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2825" windowHeight="10665" activeTab="4"/>
  </bookViews>
  <sheets>
    <sheet name="ESTIMACIÓN 2016" sheetId="39" r:id="rId1"/>
    <sheet name="Dist Mpios 2016" sheetId="40" r:id="rId2"/>
    <sheet name="COEF Art 14 F I" sheetId="1" r:id="rId3"/>
    <sheet name="COEF Art 14 F II" sheetId="36" r:id="rId4"/>
    <sheet name="CALCULO GARANTIA" sheetId="28" r:id="rId5"/>
  </sheets>
  <externalReferences>
    <externalReference r:id="rId6"/>
    <externalReference r:id="rId7"/>
  </externalReferences>
  <definedNames>
    <definedName name="_xlnm._FilterDatabase" localSheetId="1" hidden="1">'Dist Mpios 2016'!#REF!</definedName>
    <definedName name="A_impresión_IM" localSheetId="4">#REF!</definedName>
    <definedName name="A_impresión_IM" localSheetId="3">#REF!</definedName>
    <definedName name="A_impresión_IM" localSheetId="1">#REF!</definedName>
    <definedName name="A_impresión_IM" localSheetId="0">#REF!</definedName>
    <definedName name="A_impresión_IM">#REF!</definedName>
    <definedName name="AJUSTES" localSheetId="4" hidden="1">{"'beneficiarios'!$A$1:$C$7"}</definedName>
    <definedName name="AJUSTES" localSheetId="1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4">'CALCULO GARANTIA'!$A$1:$N$60</definedName>
    <definedName name="_xlnm.Print_Area" localSheetId="2">'COEF Art 14 F I'!$A$3:$AQ$61</definedName>
    <definedName name="_xlnm.Print_Area" localSheetId="3">'COEF Art 14 F II'!$A$4:$K$61</definedName>
    <definedName name="_xlnm.Print_Area" localSheetId="1">'Dist Mpios 2016'!$A$1:$I$60</definedName>
    <definedName name="_xlnm.Print_Area" localSheetId="0">'ESTIMACIÓN 2016'!$A$1:$D$14</definedName>
    <definedName name="_xlnm.Database" localSheetId="4">#REF!</definedName>
    <definedName name="_xlnm.Database" localSheetId="3">#REF!</definedName>
    <definedName name="_xlnm.Database" localSheetId="1">#REF!</definedName>
    <definedName name="_xlnm.Database" localSheetId="0">#REF!</definedName>
    <definedName name="_xlnm.Database">#REF!</definedName>
    <definedName name="cierre_2001" localSheetId="3">'[1]deuda c sadm'!#REF!</definedName>
    <definedName name="cierre_2001" localSheetId="1">'[1]deuda c sadm'!#REF!</definedName>
    <definedName name="cierre_2001" localSheetId="0">'[1]deuda c sadm'!#REF!</definedName>
    <definedName name="cierre_2001">'[1]deuda c sadm'!#REF!</definedName>
    <definedName name="deuda" localSheetId="3">'[1]deuda c sadm'!#REF!</definedName>
    <definedName name="deuda" localSheetId="1">'[1]deuda c sadm'!#REF!</definedName>
    <definedName name="deuda" localSheetId="0">'[1]deuda c sadm'!#REF!</definedName>
    <definedName name="deuda">'[1]deuda c sadm'!#REF!</definedName>
    <definedName name="Deuda_ingTot" localSheetId="3">'[1]deuda c sadm'!#REF!</definedName>
    <definedName name="Deuda_ingTot" localSheetId="1">'[1]deuda c sadm'!#REF!</definedName>
    <definedName name="Deuda_ingTot" localSheetId="0">'[1]deuda c sadm'!#REF!</definedName>
    <definedName name="Deuda_ingTot">'[1]deuda c sadm'!#REF!</definedName>
    <definedName name="ENERO" localSheetId="4">#REF!</definedName>
    <definedName name="ENERO" localSheetId="3">#REF!</definedName>
    <definedName name="ENERO" localSheetId="1">#REF!</definedName>
    <definedName name="ENERO" localSheetId="0">#REF!</definedName>
    <definedName name="ENERO">#REF!</definedName>
    <definedName name="Fto_1" localSheetId="4">#REF!</definedName>
    <definedName name="Fto_1" localSheetId="3">#REF!</definedName>
    <definedName name="Fto_1" localSheetId="1">#REF!</definedName>
    <definedName name="Fto_1" localSheetId="0">#REF!</definedName>
    <definedName name="Fto_1">#REF!</definedName>
    <definedName name="HTML_CodePage" hidden="1">1252</definedName>
    <definedName name="HTML_Control" localSheetId="4" hidden="1">{"'beneficiarios'!$A$1:$C$7"}</definedName>
    <definedName name="HTML_Control" localSheetId="1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4" hidden="1">{"'beneficiarios'!$A$1:$C$7"}</definedName>
    <definedName name="INDICADORES" localSheetId="1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4" hidden="1">{"'beneficiarios'!$A$1:$C$7"}</definedName>
    <definedName name="ingresofederales" localSheetId="1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Notas_Fto_1" localSheetId="3">#REF!</definedName>
    <definedName name="Notas_Fto_1" localSheetId="1">#REF!</definedName>
    <definedName name="Notas_Fto_1" localSheetId="0">#REF!</definedName>
    <definedName name="Notas_Fto_1">#REF!</definedName>
    <definedName name="Partidas">[2]TECHO!$B$1:$Q$2798</definedName>
    <definedName name="SINAJUSTE" localSheetId="4" hidden="1">{"'beneficiarios'!$A$1:$C$7"}</definedName>
    <definedName name="SINAJUSTE" localSheetId="1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1">#REF!</definedName>
    <definedName name="t" localSheetId="0">#REF!</definedName>
    <definedName name="t">#REF!</definedName>
    <definedName name="_xlnm.Print_Titles" localSheetId="2">'COEF Art 14 F I'!$A:$A,'COEF Art 14 F I'!$3:$3</definedName>
    <definedName name="_xlnm.Print_Titles" localSheetId="3">'COEF Art 14 F II'!$3:$3</definedName>
    <definedName name="_xlnm.Print_Titles" localSheetId="1">'Dist Mpios 2016'!$1:$4</definedName>
    <definedName name="TOT" localSheetId="3">#REF!</definedName>
    <definedName name="TOT" localSheetId="1">#REF!</definedName>
    <definedName name="TOT" localSheetId="0">#REF!</definedName>
    <definedName name="TOT">#REF!</definedName>
    <definedName name="TOTAL" localSheetId="3">#REF!</definedName>
    <definedName name="TOTAL" localSheetId="1">#REF!</definedName>
    <definedName name="TOTAL" localSheetId="0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D11" i="39" l="1"/>
  <c r="J6" i="36" s="1"/>
  <c r="B9" i="39"/>
  <c r="D9" i="39" s="1"/>
  <c r="B10" i="39" l="1"/>
  <c r="B12" i="39" s="1"/>
  <c r="D8" i="39" l="1"/>
  <c r="D7" i="39" l="1"/>
  <c r="D6" i="39"/>
  <c r="D5" i="39"/>
  <c r="D4" i="39"/>
  <c r="D10" i="39" l="1"/>
  <c r="C56" i="28"/>
  <c r="C54" i="28"/>
  <c r="C43" i="28"/>
  <c r="C37" i="28"/>
  <c r="C32" i="28"/>
  <c r="C31" i="28"/>
  <c r="C25" i="28"/>
  <c r="C16" i="28"/>
  <c r="C15" i="28"/>
  <c r="C14" i="28"/>
  <c r="C13" i="28"/>
  <c r="C11" i="28"/>
  <c r="C10" i="28"/>
  <c r="D12" i="39" l="1"/>
  <c r="AP6" i="1"/>
  <c r="C7" i="28"/>
  <c r="C9" i="28"/>
  <c r="C17" i="28"/>
  <c r="C19" i="28"/>
  <c r="C21" i="28"/>
  <c r="C23" i="28"/>
  <c r="C27" i="28"/>
  <c r="C29" i="28"/>
  <c r="C33" i="28"/>
  <c r="C35" i="28"/>
  <c r="C39" i="28"/>
  <c r="C41" i="28"/>
  <c r="C45" i="28"/>
  <c r="C47" i="28"/>
  <c r="C49" i="28"/>
  <c r="C51" i="28"/>
  <c r="C53" i="28"/>
  <c r="C55" i="28"/>
  <c r="C8" i="28"/>
  <c r="C12" i="28"/>
  <c r="C18" i="28"/>
  <c r="C20" i="28"/>
  <c r="C22" i="28"/>
  <c r="C24" i="28"/>
  <c r="C26" i="28"/>
  <c r="C28" i="28"/>
  <c r="C30" i="28"/>
  <c r="C34" i="28"/>
  <c r="C36" i="28"/>
  <c r="C38" i="28"/>
  <c r="C40" i="28"/>
  <c r="C42" i="28"/>
  <c r="C44" i="28"/>
  <c r="C46" i="28"/>
  <c r="C48" i="28"/>
  <c r="C50" i="28"/>
  <c r="C52" i="28"/>
  <c r="B57" i="28" l="1"/>
  <c r="AD58" i="1" l="1"/>
  <c r="AC58" i="1"/>
  <c r="AB58" i="1"/>
  <c r="AA58" i="1"/>
  <c r="AD57" i="1"/>
  <c r="AC57" i="1"/>
  <c r="AB57" i="1"/>
  <c r="AA57" i="1"/>
  <c r="AD56" i="1"/>
  <c r="AC56" i="1"/>
  <c r="AB56" i="1"/>
  <c r="AA56" i="1"/>
  <c r="AD55" i="1"/>
  <c r="AC55" i="1"/>
  <c r="AB55" i="1"/>
  <c r="AA55" i="1"/>
  <c r="AD54" i="1"/>
  <c r="AC54" i="1"/>
  <c r="AB54" i="1"/>
  <c r="AA54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AD50" i="1"/>
  <c r="AC50" i="1"/>
  <c r="AB50" i="1"/>
  <c r="AA50" i="1"/>
  <c r="AD49" i="1"/>
  <c r="AC49" i="1"/>
  <c r="AB49" i="1"/>
  <c r="AA49" i="1"/>
  <c r="AD48" i="1"/>
  <c r="AC48" i="1"/>
  <c r="AB48" i="1"/>
  <c r="AA48" i="1"/>
  <c r="AD47" i="1"/>
  <c r="AC47" i="1"/>
  <c r="AB47" i="1"/>
  <c r="AA47" i="1"/>
  <c r="AD46" i="1"/>
  <c r="AC46" i="1"/>
  <c r="AB46" i="1"/>
  <c r="AA46" i="1"/>
  <c r="AD45" i="1"/>
  <c r="AC45" i="1"/>
  <c r="AB45" i="1"/>
  <c r="AA45" i="1"/>
  <c r="AD44" i="1"/>
  <c r="AC44" i="1"/>
  <c r="AB44" i="1"/>
  <c r="AA44" i="1"/>
  <c r="AD43" i="1"/>
  <c r="AC43" i="1"/>
  <c r="AB43" i="1"/>
  <c r="AA43" i="1"/>
  <c r="AD42" i="1"/>
  <c r="AC42" i="1"/>
  <c r="AB42" i="1"/>
  <c r="AA42" i="1"/>
  <c r="AD41" i="1"/>
  <c r="AC41" i="1"/>
  <c r="AB41" i="1"/>
  <c r="AA41" i="1"/>
  <c r="AD40" i="1"/>
  <c r="AC40" i="1"/>
  <c r="AB40" i="1"/>
  <c r="AA40" i="1"/>
  <c r="AD39" i="1"/>
  <c r="AC39" i="1"/>
  <c r="AB39" i="1"/>
  <c r="AA39" i="1"/>
  <c r="AD38" i="1"/>
  <c r="AC38" i="1"/>
  <c r="AB38" i="1"/>
  <c r="AA38" i="1"/>
  <c r="AD37" i="1"/>
  <c r="AC37" i="1"/>
  <c r="AB37" i="1"/>
  <c r="AA37" i="1"/>
  <c r="AD36" i="1"/>
  <c r="AC36" i="1"/>
  <c r="AB36" i="1"/>
  <c r="AA36" i="1"/>
  <c r="AD35" i="1"/>
  <c r="AC35" i="1"/>
  <c r="AB35" i="1"/>
  <c r="AA35" i="1"/>
  <c r="AD34" i="1"/>
  <c r="AC34" i="1"/>
  <c r="AB34" i="1"/>
  <c r="AA34" i="1"/>
  <c r="AD33" i="1"/>
  <c r="AC33" i="1"/>
  <c r="AB33" i="1"/>
  <c r="AA33" i="1"/>
  <c r="AD32" i="1"/>
  <c r="AC32" i="1"/>
  <c r="AB32" i="1"/>
  <c r="AA32" i="1"/>
  <c r="AD31" i="1"/>
  <c r="AC31" i="1"/>
  <c r="AB31" i="1"/>
  <c r="AA31" i="1"/>
  <c r="AD30" i="1"/>
  <c r="AC30" i="1"/>
  <c r="AB30" i="1"/>
  <c r="AA30" i="1"/>
  <c r="AD29" i="1"/>
  <c r="AC29" i="1"/>
  <c r="AB29" i="1"/>
  <c r="AA29" i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D10" i="1"/>
  <c r="AC10" i="1"/>
  <c r="AB10" i="1"/>
  <c r="AA10" i="1"/>
  <c r="AD9" i="1"/>
  <c r="AC9" i="1"/>
  <c r="AB9" i="1"/>
  <c r="AA9" i="1"/>
  <c r="AD8" i="1"/>
  <c r="AD59" i="1" s="1"/>
  <c r="AC8" i="1"/>
  <c r="AC59" i="1" s="1"/>
  <c r="AB8" i="1"/>
  <c r="AA8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U59" i="1" s="1"/>
  <c r="T8" i="1"/>
  <c r="T59" i="1" s="1"/>
  <c r="S8" i="1"/>
  <c r="S59" i="1" s="1"/>
  <c r="R8" i="1"/>
  <c r="R59" i="1" s="1"/>
  <c r="V9" i="1" l="1"/>
  <c r="V10" i="1"/>
  <c r="V11" i="1"/>
  <c r="V59" i="1" s="1"/>
  <c r="V12" i="1"/>
  <c r="V13" i="1"/>
  <c r="V14" i="1"/>
  <c r="V15" i="1"/>
  <c r="AG15" i="1" s="1"/>
  <c r="AH15" i="1" s="1"/>
  <c r="V16" i="1"/>
  <c r="V17" i="1"/>
  <c r="V18" i="1"/>
  <c r="V19" i="1"/>
  <c r="AG19" i="1" s="1"/>
  <c r="AH19" i="1" s="1"/>
  <c r="V21" i="1"/>
  <c r="V22" i="1"/>
  <c r="AB59" i="1"/>
  <c r="V23" i="1"/>
  <c r="AG23" i="1" s="1"/>
  <c r="AH23" i="1" s="1"/>
  <c r="V24" i="1"/>
  <c r="V25" i="1"/>
  <c r="V26" i="1"/>
  <c r="V27" i="1"/>
  <c r="AG27" i="1" s="1"/>
  <c r="AH27" i="1" s="1"/>
  <c r="V28" i="1"/>
  <c r="V29" i="1"/>
  <c r="V30" i="1"/>
  <c r="V31" i="1"/>
  <c r="AG31" i="1" s="1"/>
  <c r="AH31" i="1" s="1"/>
  <c r="V32" i="1"/>
  <c r="V33" i="1"/>
  <c r="V34" i="1"/>
  <c r="V35" i="1"/>
  <c r="AG35" i="1" s="1"/>
  <c r="AH35" i="1" s="1"/>
  <c r="V36" i="1"/>
  <c r="V37" i="1"/>
  <c r="V38" i="1"/>
  <c r="V39" i="1"/>
  <c r="AG39" i="1" s="1"/>
  <c r="AH39" i="1" s="1"/>
  <c r="V40" i="1"/>
  <c r="V41" i="1"/>
  <c r="V42" i="1"/>
  <c r="V43" i="1"/>
  <c r="AG43" i="1" s="1"/>
  <c r="AH43" i="1" s="1"/>
  <c r="V44" i="1"/>
  <c r="V45" i="1"/>
  <c r="V46" i="1"/>
  <c r="V47" i="1"/>
  <c r="AG47" i="1" s="1"/>
  <c r="AH47" i="1" s="1"/>
  <c r="V48" i="1"/>
  <c r="V49" i="1"/>
  <c r="V50" i="1"/>
  <c r="V51" i="1"/>
  <c r="AG51" i="1" s="1"/>
  <c r="AH51" i="1" s="1"/>
  <c r="V52" i="1"/>
  <c r="V53" i="1"/>
  <c r="V55" i="1"/>
  <c r="V56" i="1"/>
  <c r="AG56" i="1" s="1"/>
  <c r="AH56" i="1" s="1"/>
  <c r="V57" i="1"/>
  <c r="V58" i="1"/>
  <c r="AE9" i="1"/>
  <c r="AE10" i="1"/>
  <c r="AF10" i="1" s="1"/>
  <c r="AE11" i="1"/>
  <c r="AE12" i="1"/>
  <c r="AE13" i="1"/>
  <c r="AE14" i="1"/>
  <c r="AG14" i="1" s="1"/>
  <c r="AH14" i="1" s="1"/>
  <c r="AE15" i="1"/>
  <c r="AE16" i="1"/>
  <c r="AE17" i="1"/>
  <c r="AE18" i="1"/>
  <c r="AG18" i="1" s="1"/>
  <c r="AH18" i="1" s="1"/>
  <c r="AE19" i="1"/>
  <c r="AE20" i="1"/>
  <c r="AE21" i="1"/>
  <c r="AE22" i="1"/>
  <c r="AF22" i="1" s="1"/>
  <c r="AE23" i="1"/>
  <c r="AE24" i="1"/>
  <c r="AE25" i="1"/>
  <c r="AE26" i="1"/>
  <c r="AG26" i="1" s="1"/>
  <c r="AH26" i="1" s="1"/>
  <c r="AE27" i="1"/>
  <c r="AE28" i="1"/>
  <c r="AE29" i="1"/>
  <c r="AE30" i="1"/>
  <c r="AG30" i="1" s="1"/>
  <c r="AH30" i="1" s="1"/>
  <c r="AE31" i="1"/>
  <c r="AE32" i="1"/>
  <c r="AE33" i="1"/>
  <c r="AE34" i="1"/>
  <c r="AG34" i="1" s="1"/>
  <c r="AH34" i="1" s="1"/>
  <c r="AE35" i="1"/>
  <c r="AE36" i="1"/>
  <c r="AE37" i="1"/>
  <c r="AE38" i="1"/>
  <c r="AG38" i="1" s="1"/>
  <c r="AH38" i="1" s="1"/>
  <c r="AE39" i="1"/>
  <c r="AE40" i="1"/>
  <c r="AG40" i="1" s="1"/>
  <c r="AH40" i="1" s="1"/>
  <c r="AE41" i="1"/>
  <c r="AE42" i="1"/>
  <c r="AG42" i="1" s="1"/>
  <c r="AH42" i="1" s="1"/>
  <c r="AE43" i="1"/>
  <c r="AE44" i="1"/>
  <c r="AG44" i="1" s="1"/>
  <c r="AH44" i="1" s="1"/>
  <c r="AE45" i="1"/>
  <c r="AE46" i="1"/>
  <c r="AG46" i="1" s="1"/>
  <c r="AH46" i="1" s="1"/>
  <c r="AE47" i="1"/>
  <c r="AE48" i="1"/>
  <c r="AG48" i="1" s="1"/>
  <c r="AH48" i="1" s="1"/>
  <c r="AE49" i="1"/>
  <c r="AE50" i="1"/>
  <c r="AG50" i="1" s="1"/>
  <c r="AH50" i="1" s="1"/>
  <c r="AE51" i="1"/>
  <c r="AE52" i="1"/>
  <c r="AG52" i="1" s="1"/>
  <c r="AH52" i="1" s="1"/>
  <c r="AE53" i="1"/>
  <c r="AE54" i="1"/>
  <c r="AF54" i="1" s="1"/>
  <c r="AE55" i="1"/>
  <c r="AE56" i="1"/>
  <c r="AE57" i="1"/>
  <c r="AF57" i="1" s="1"/>
  <c r="AE58" i="1"/>
  <c r="AG58" i="1" s="1"/>
  <c r="AH58" i="1" s="1"/>
  <c r="V54" i="1"/>
  <c r="AA59" i="1"/>
  <c r="V20" i="1"/>
  <c r="AE8" i="1"/>
  <c r="AG8" i="1" s="1"/>
  <c r="AH8" i="1" s="1"/>
  <c r="V8" i="1"/>
  <c r="H6" i="36"/>
  <c r="D59" i="36"/>
  <c r="E5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B59" i="1"/>
  <c r="AE59" i="1"/>
  <c r="AG57" i="1"/>
  <c r="AH57" i="1" s="1"/>
  <c r="AF56" i="1"/>
  <c r="AG55" i="1"/>
  <c r="AH55" i="1" s="1"/>
  <c r="AF55" i="1"/>
  <c r="AG53" i="1"/>
  <c r="AH53" i="1" s="1"/>
  <c r="AF53" i="1"/>
  <c r="AF52" i="1"/>
  <c r="AF51" i="1"/>
  <c r="AG49" i="1"/>
  <c r="AH49" i="1" s="1"/>
  <c r="AF49" i="1"/>
  <c r="AF48" i="1"/>
  <c r="AF47" i="1"/>
  <c r="AG45" i="1"/>
  <c r="AH45" i="1" s="1"/>
  <c r="AF45" i="1"/>
  <c r="AF44" i="1"/>
  <c r="AF43" i="1"/>
  <c r="AG41" i="1"/>
  <c r="AH41" i="1" s="1"/>
  <c r="AF41" i="1"/>
  <c r="AF40" i="1"/>
  <c r="AF39" i="1"/>
  <c r="AG37" i="1"/>
  <c r="AH37" i="1" s="1"/>
  <c r="AF37" i="1"/>
  <c r="AG36" i="1"/>
  <c r="AH36" i="1" s="1"/>
  <c r="AF36" i="1"/>
  <c r="AF35" i="1"/>
  <c r="AG33" i="1"/>
  <c r="AH33" i="1" s="1"/>
  <c r="AF33" i="1"/>
  <c r="AG32" i="1"/>
  <c r="AH32" i="1" s="1"/>
  <c r="AF32" i="1"/>
  <c r="AF31" i="1"/>
  <c r="AG29" i="1"/>
  <c r="AH29" i="1" s="1"/>
  <c r="AF29" i="1"/>
  <c r="AG28" i="1"/>
  <c r="AH28" i="1" s="1"/>
  <c r="AF28" i="1"/>
  <c r="AF27" i="1"/>
  <c r="AG25" i="1"/>
  <c r="AH25" i="1" s="1"/>
  <c r="AF25" i="1"/>
  <c r="AG24" i="1"/>
  <c r="AH24" i="1" s="1"/>
  <c r="AF24" i="1"/>
  <c r="AF23" i="1"/>
  <c r="AG21" i="1"/>
  <c r="AH21" i="1" s="1"/>
  <c r="AF21" i="1"/>
  <c r="AG20" i="1"/>
  <c r="AH20" i="1" s="1"/>
  <c r="AF20" i="1"/>
  <c r="AF19" i="1"/>
  <c r="AG17" i="1"/>
  <c r="AH17" i="1" s="1"/>
  <c r="AF17" i="1"/>
  <c r="AG16" i="1"/>
  <c r="AH16" i="1" s="1"/>
  <c r="AF16" i="1"/>
  <c r="AF15" i="1"/>
  <c r="AG13" i="1"/>
  <c r="AH13" i="1" s="1"/>
  <c r="AF13" i="1"/>
  <c r="AG12" i="1"/>
  <c r="AH12" i="1" s="1"/>
  <c r="AF12" i="1"/>
  <c r="AF11" i="1"/>
  <c r="AG9" i="1"/>
  <c r="AH9" i="1" s="1"/>
  <c r="AF9" i="1"/>
  <c r="AG11" i="1" l="1"/>
  <c r="AH11" i="1" s="1"/>
  <c r="AF58" i="1"/>
  <c r="AF8" i="1"/>
  <c r="AF59" i="1" s="1"/>
  <c r="AF14" i="1"/>
  <c r="AF18" i="1"/>
  <c r="AF26" i="1"/>
  <c r="AF30" i="1"/>
  <c r="AF34" i="1"/>
  <c r="AF38" i="1"/>
  <c r="AF42" i="1"/>
  <c r="AF46" i="1"/>
  <c r="AF50" i="1"/>
  <c r="AG10" i="1"/>
  <c r="AH10" i="1" s="1"/>
  <c r="AG22" i="1"/>
  <c r="AH22" i="1" s="1"/>
  <c r="AG54" i="1"/>
  <c r="AH54" i="1" s="1"/>
  <c r="AI54" i="1" s="1"/>
  <c r="AJ54" i="1" s="1"/>
  <c r="AK54" i="1" s="1"/>
  <c r="E17" i="36"/>
  <c r="H17" i="36" s="1"/>
  <c r="C12" i="36"/>
  <c r="E8" i="36"/>
  <c r="E33" i="36"/>
  <c r="E12" i="36"/>
  <c r="E25" i="36"/>
  <c r="E41" i="36"/>
  <c r="H41" i="36" s="1"/>
  <c r="E10" i="36"/>
  <c r="E14" i="36"/>
  <c r="H14" i="36" s="1"/>
  <c r="E21" i="36"/>
  <c r="E29" i="36"/>
  <c r="H29" i="36" s="1"/>
  <c r="E37" i="36"/>
  <c r="H37" i="36" s="1"/>
  <c r="E45" i="36"/>
  <c r="H45" i="36" s="1"/>
  <c r="C23" i="36"/>
  <c r="C8" i="36"/>
  <c r="C16" i="36"/>
  <c r="C31" i="36"/>
  <c r="E9" i="36"/>
  <c r="E11" i="36"/>
  <c r="E13" i="36"/>
  <c r="E15" i="36"/>
  <c r="E19" i="36"/>
  <c r="H19" i="36" s="1"/>
  <c r="E23" i="36"/>
  <c r="H23" i="36" s="1"/>
  <c r="E27" i="36"/>
  <c r="H27" i="36" s="1"/>
  <c r="E31" i="36"/>
  <c r="H31" i="36" s="1"/>
  <c r="E35" i="36"/>
  <c r="H35" i="36" s="1"/>
  <c r="E39" i="36"/>
  <c r="H39" i="36" s="1"/>
  <c r="E43" i="36"/>
  <c r="H43" i="36" s="1"/>
  <c r="E47" i="36"/>
  <c r="H47" i="36" s="1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AH59" i="1"/>
  <c r="AI9" i="1" s="1"/>
  <c r="AJ9" i="1" s="1"/>
  <c r="AK9" i="1" s="1"/>
  <c r="C33" i="36"/>
  <c r="C35" i="36"/>
  <c r="C37" i="36"/>
  <c r="C39" i="36"/>
  <c r="C43" i="36"/>
  <c r="C47" i="36"/>
  <c r="C55" i="36"/>
  <c r="E51" i="36"/>
  <c r="H51" i="36" s="1"/>
  <c r="G6" i="36"/>
  <c r="I6" i="36"/>
  <c r="C40" i="36"/>
  <c r="C42" i="36"/>
  <c r="C44" i="36"/>
  <c r="C46" i="36"/>
  <c r="C49" i="36"/>
  <c r="C53" i="36"/>
  <c r="C57" i="36"/>
  <c r="E49" i="36"/>
  <c r="H49" i="36" s="1"/>
  <c r="E53" i="36"/>
  <c r="H53" i="36" s="1"/>
  <c r="AI11" i="1"/>
  <c r="AJ11" i="1" s="1"/>
  <c r="AK11" i="1" s="1"/>
  <c r="D8" i="1"/>
  <c r="E8" i="1" s="1"/>
  <c r="E59" i="1" s="1"/>
  <c r="H8" i="36"/>
  <c r="H10" i="36"/>
  <c r="H12" i="36"/>
  <c r="H9" i="36"/>
  <c r="H11" i="36"/>
  <c r="H13" i="36"/>
  <c r="H15" i="36"/>
  <c r="H21" i="36"/>
  <c r="H25" i="36"/>
  <c r="H33" i="36"/>
  <c r="C48" i="36"/>
  <c r="C50" i="36"/>
  <c r="C52" i="36"/>
  <c r="C54" i="36"/>
  <c r="C56" i="36"/>
  <c r="E55" i="36"/>
  <c r="H55" i="36" s="1"/>
  <c r="E57" i="36"/>
  <c r="H57" i="36" s="1"/>
  <c r="E16" i="36"/>
  <c r="H16" i="36" s="1"/>
  <c r="E18" i="36"/>
  <c r="H18" i="36" s="1"/>
  <c r="E20" i="36"/>
  <c r="H20" i="36" s="1"/>
  <c r="E22" i="36"/>
  <c r="H22" i="36" s="1"/>
  <c r="E24" i="36"/>
  <c r="H24" i="36" s="1"/>
  <c r="E26" i="36"/>
  <c r="H26" i="36" s="1"/>
  <c r="E28" i="36"/>
  <c r="H28" i="36" s="1"/>
  <c r="E30" i="36"/>
  <c r="H30" i="36" s="1"/>
  <c r="E32" i="36"/>
  <c r="H32" i="36" s="1"/>
  <c r="E34" i="36"/>
  <c r="H34" i="36" s="1"/>
  <c r="E36" i="36"/>
  <c r="H36" i="36" s="1"/>
  <c r="E38" i="36"/>
  <c r="H38" i="36" s="1"/>
  <c r="E40" i="36"/>
  <c r="H40" i="36" s="1"/>
  <c r="E42" i="36"/>
  <c r="H42" i="36" s="1"/>
  <c r="E44" i="36"/>
  <c r="H44" i="36" s="1"/>
  <c r="E46" i="36"/>
  <c r="H46" i="36" s="1"/>
  <c r="E48" i="36"/>
  <c r="H48" i="36" s="1"/>
  <c r="E50" i="36"/>
  <c r="H50" i="36" s="1"/>
  <c r="E52" i="36"/>
  <c r="H52" i="36" s="1"/>
  <c r="E54" i="36"/>
  <c r="H54" i="36" s="1"/>
  <c r="E56" i="36"/>
  <c r="H56" i="36" s="1"/>
  <c r="E58" i="36"/>
  <c r="H58" i="36" s="1"/>
  <c r="AI14" i="1"/>
  <c r="AJ14" i="1" s="1"/>
  <c r="AK14" i="1" s="1"/>
  <c r="AI30" i="1"/>
  <c r="AJ30" i="1" s="1"/>
  <c r="AK30" i="1" s="1"/>
  <c r="AI46" i="1"/>
  <c r="AJ46" i="1" s="1"/>
  <c r="AK46" i="1" s="1"/>
  <c r="AI39" i="1"/>
  <c r="AJ39" i="1" s="1"/>
  <c r="AK39" i="1" s="1"/>
  <c r="AI55" i="1"/>
  <c r="AJ55" i="1" s="1"/>
  <c r="AK55" i="1" s="1"/>
  <c r="AI58" i="1" l="1"/>
  <c r="AJ58" i="1" s="1"/>
  <c r="AK58" i="1" s="1"/>
  <c r="AI26" i="1"/>
  <c r="AJ26" i="1" s="1"/>
  <c r="AK26" i="1" s="1"/>
  <c r="AI38" i="1"/>
  <c r="AJ38" i="1" s="1"/>
  <c r="AK38" i="1" s="1"/>
  <c r="AI8" i="1"/>
  <c r="AI43" i="1"/>
  <c r="AJ43" i="1" s="1"/>
  <c r="AK43" i="1" s="1"/>
  <c r="AI50" i="1"/>
  <c r="AJ50" i="1" s="1"/>
  <c r="AK50" i="1" s="1"/>
  <c r="AI34" i="1"/>
  <c r="AJ34" i="1" s="1"/>
  <c r="AK34" i="1" s="1"/>
  <c r="AI18" i="1"/>
  <c r="AJ18" i="1" s="1"/>
  <c r="AK18" i="1" s="1"/>
  <c r="AI42" i="1"/>
  <c r="AJ42" i="1" s="1"/>
  <c r="AK42" i="1" s="1"/>
  <c r="AI10" i="1"/>
  <c r="AJ10" i="1" s="1"/>
  <c r="AK10" i="1" s="1"/>
  <c r="AI51" i="1"/>
  <c r="AJ51" i="1" s="1"/>
  <c r="AK51" i="1" s="1"/>
  <c r="AI47" i="1"/>
  <c r="AJ47" i="1" s="1"/>
  <c r="AK47" i="1" s="1"/>
  <c r="AI22" i="1"/>
  <c r="AJ22" i="1" s="1"/>
  <c r="AK22" i="1" s="1"/>
  <c r="C59" i="36"/>
  <c r="AI27" i="1"/>
  <c r="AJ27" i="1" s="1"/>
  <c r="AK27" i="1" s="1"/>
  <c r="AI29" i="1"/>
  <c r="AJ29" i="1" s="1"/>
  <c r="AK29" i="1" s="1"/>
  <c r="AI19" i="1"/>
  <c r="AJ19" i="1" s="1"/>
  <c r="AK19" i="1" s="1"/>
  <c r="AI33" i="1"/>
  <c r="AJ33" i="1" s="1"/>
  <c r="AK33" i="1" s="1"/>
  <c r="AI23" i="1"/>
  <c r="AJ23" i="1" s="1"/>
  <c r="AK23" i="1" s="1"/>
  <c r="AI13" i="1"/>
  <c r="AJ13" i="1" s="1"/>
  <c r="AK13" i="1" s="1"/>
  <c r="F8" i="1"/>
  <c r="F17" i="1"/>
  <c r="F25" i="1"/>
  <c r="F32" i="1"/>
  <c r="F38" i="1"/>
  <c r="F41" i="1"/>
  <c r="F45" i="1"/>
  <c r="F49" i="1"/>
  <c r="F54" i="1"/>
  <c r="F9" i="1"/>
  <c r="F13" i="1"/>
  <c r="F18" i="1"/>
  <c r="F22" i="1"/>
  <c r="F26" i="1"/>
  <c r="F31" i="1"/>
  <c r="F35" i="1"/>
  <c r="F39" i="1"/>
  <c r="F44" i="1"/>
  <c r="F48" i="1"/>
  <c r="F52" i="1"/>
  <c r="F55" i="1"/>
  <c r="F58" i="1"/>
  <c r="F21" i="1"/>
  <c r="F29" i="1"/>
  <c r="F43" i="1"/>
  <c r="F51" i="1"/>
  <c r="F57" i="1"/>
  <c r="F16" i="1"/>
  <c r="F24" i="1"/>
  <c r="F33" i="1"/>
  <c r="F42" i="1"/>
  <c r="F50" i="1"/>
  <c r="F56" i="1"/>
  <c r="F14" i="1"/>
  <c r="F36" i="1"/>
  <c r="F40" i="1"/>
  <c r="F47" i="1"/>
  <c r="F11" i="1"/>
  <c r="F20" i="1"/>
  <c r="F28" i="1"/>
  <c r="F37" i="1"/>
  <c r="F46" i="1"/>
  <c r="F53" i="1"/>
  <c r="AI57" i="1"/>
  <c r="AJ57" i="1" s="1"/>
  <c r="AK57" i="1" s="1"/>
  <c r="AI53" i="1"/>
  <c r="AJ53" i="1" s="1"/>
  <c r="AK53" i="1" s="1"/>
  <c r="AI49" i="1"/>
  <c r="AJ49" i="1" s="1"/>
  <c r="AK49" i="1" s="1"/>
  <c r="AI45" i="1"/>
  <c r="AJ45" i="1" s="1"/>
  <c r="AK45" i="1" s="1"/>
  <c r="AI41" i="1"/>
  <c r="AJ41" i="1" s="1"/>
  <c r="AK41" i="1" s="1"/>
  <c r="AI37" i="1"/>
  <c r="AJ37" i="1" s="1"/>
  <c r="AK37" i="1" s="1"/>
  <c r="AI56" i="1"/>
  <c r="AJ56" i="1" s="1"/>
  <c r="AK56" i="1" s="1"/>
  <c r="AI52" i="1"/>
  <c r="AJ52" i="1" s="1"/>
  <c r="AK52" i="1" s="1"/>
  <c r="AI48" i="1"/>
  <c r="AJ48" i="1" s="1"/>
  <c r="AK48" i="1" s="1"/>
  <c r="AI44" i="1"/>
  <c r="AJ44" i="1" s="1"/>
  <c r="AK44" i="1" s="1"/>
  <c r="AI40" i="1"/>
  <c r="AJ40" i="1" s="1"/>
  <c r="AK40" i="1" s="1"/>
  <c r="AI36" i="1"/>
  <c r="AJ36" i="1" s="1"/>
  <c r="AK36" i="1" s="1"/>
  <c r="AI32" i="1"/>
  <c r="AJ32" i="1" s="1"/>
  <c r="AK32" i="1" s="1"/>
  <c r="AI28" i="1"/>
  <c r="AJ28" i="1" s="1"/>
  <c r="AK28" i="1" s="1"/>
  <c r="AI24" i="1"/>
  <c r="AJ24" i="1" s="1"/>
  <c r="AK24" i="1" s="1"/>
  <c r="AI20" i="1"/>
  <c r="AJ20" i="1" s="1"/>
  <c r="AK20" i="1" s="1"/>
  <c r="AI16" i="1"/>
  <c r="AJ16" i="1" s="1"/>
  <c r="AK16" i="1" s="1"/>
  <c r="AI12" i="1"/>
  <c r="AJ12" i="1" s="1"/>
  <c r="AK12" i="1" s="1"/>
  <c r="AI21" i="1"/>
  <c r="AJ21" i="1" s="1"/>
  <c r="AK21" i="1" s="1"/>
  <c r="AI15" i="1"/>
  <c r="AJ15" i="1" s="1"/>
  <c r="AK15" i="1" s="1"/>
  <c r="AI35" i="1"/>
  <c r="AJ35" i="1" s="1"/>
  <c r="AK35" i="1" s="1"/>
  <c r="AI31" i="1"/>
  <c r="AJ31" i="1" s="1"/>
  <c r="AK31" i="1" s="1"/>
  <c r="AI25" i="1"/>
  <c r="AJ25" i="1" s="1"/>
  <c r="AK25" i="1" s="1"/>
  <c r="AI17" i="1"/>
  <c r="AJ17" i="1" s="1"/>
  <c r="AK17" i="1" s="1"/>
  <c r="F34" i="1"/>
  <c r="F30" i="1"/>
  <c r="F27" i="1"/>
  <c r="F23" i="1"/>
  <c r="F19" i="1"/>
  <c r="F15" i="1"/>
  <c r="F10" i="1"/>
  <c r="F12" i="1"/>
  <c r="G58" i="36"/>
  <c r="G56" i="36"/>
  <c r="G54" i="36"/>
  <c r="G52" i="36"/>
  <c r="G50" i="36"/>
  <c r="G48" i="36"/>
  <c r="G46" i="36"/>
  <c r="G44" i="36"/>
  <c r="G42" i="36"/>
  <c r="G40" i="36"/>
  <c r="G38" i="36"/>
  <c r="G36" i="36"/>
  <c r="G34" i="36"/>
  <c r="G32" i="36"/>
  <c r="G30" i="36"/>
  <c r="G28" i="36"/>
  <c r="G26" i="36"/>
  <c r="G24" i="36"/>
  <c r="G22" i="36"/>
  <c r="G20" i="36"/>
  <c r="G18" i="36"/>
  <c r="G16" i="36"/>
  <c r="G14" i="36"/>
  <c r="G12" i="36"/>
  <c r="G10" i="36"/>
  <c r="G8" i="36"/>
  <c r="G57" i="36"/>
  <c r="G55" i="36"/>
  <c r="G53" i="36"/>
  <c r="G51" i="36"/>
  <c r="G49" i="36"/>
  <c r="G47" i="36"/>
  <c r="G45" i="36"/>
  <c r="G43" i="36"/>
  <c r="G41" i="36"/>
  <c r="G39" i="36"/>
  <c r="G37" i="36"/>
  <c r="G35" i="36"/>
  <c r="G33" i="36"/>
  <c r="G31" i="36"/>
  <c r="G29" i="36"/>
  <c r="G27" i="36"/>
  <c r="G25" i="36"/>
  <c r="G23" i="36"/>
  <c r="G21" i="36"/>
  <c r="G19" i="36"/>
  <c r="G17" i="36"/>
  <c r="G15" i="36"/>
  <c r="G13" i="36"/>
  <c r="G11" i="36"/>
  <c r="G9" i="36"/>
  <c r="AJ8" i="1"/>
  <c r="AO6" i="1" l="1"/>
  <c r="AM6" i="1"/>
  <c r="AN6" i="1"/>
  <c r="F59" i="1"/>
  <c r="AI59" i="1"/>
  <c r="G59" i="36"/>
  <c r="AJ59" i="1"/>
  <c r="AK8" i="1"/>
  <c r="AM57" i="1" l="1"/>
  <c r="AM55" i="1"/>
  <c r="AM53" i="1"/>
  <c r="AM51" i="1"/>
  <c r="AM49" i="1"/>
  <c r="AM47" i="1"/>
  <c r="AM45" i="1"/>
  <c r="AM43" i="1"/>
  <c r="AM41" i="1"/>
  <c r="AM39" i="1"/>
  <c r="AM37" i="1"/>
  <c r="AM35" i="1"/>
  <c r="AM33" i="1"/>
  <c r="AM31" i="1"/>
  <c r="AM29" i="1"/>
  <c r="AM27" i="1"/>
  <c r="AM25" i="1"/>
  <c r="AM23" i="1"/>
  <c r="AM21" i="1"/>
  <c r="AM19" i="1"/>
  <c r="AM17" i="1"/>
  <c r="AM15" i="1"/>
  <c r="AM13" i="1"/>
  <c r="AM11" i="1"/>
  <c r="AM9" i="1"/>
  <c r="AM58" i="1"/>
  <c r="AM56" i="1"/>
  <c r="AM54" i="1"/>
  <c r="AM52" i="1"/>
  <c r="AM50" i="1"/>
  <c r="AM48" i="1"/>
  <c r="AM46" i="1"/>
  <c r="AM44" i="1"/>
  <c r="AM42" i="1"/>
  <c r="AM40" i="1"/>
  <c r="AM38" i="1"/>
  <c r="AM36" i="1"/>
  <c r="AM34" i="1"/>
  <c r="AM32" i="1"/>
  <c r="AM30" i="1"/>
  <c r="AM28" i="1"/>
  <c r="AM26" i="1"/>
  <c r="AM24" i="1"/>
  <c r="AM22" i="1"/>
  <c r="AM20" i="1"/>
  <c r="AM18" i="1"/>
  <c r="AM16" i="1"/>
  <c r="AM14" i="1"/>
  <c r="AM12" i="1"/>
  <c r="AM10" i="1"/>
  <c r="AM8" i="1"/>
  <c r="AO58" i="1"/>
  <c r="AO56" i="1"/>
  <c r="AO54" i="1"/>
  <c r="AO52" i="1"/>
  <c r="AO50" i="1"/>
  <c r="AO48" i="1"/>
  <c r="AO46" i="1"/>
  <c r="AO44" i="1"/>
  <c r="AO42" i="1"/>
  <c r="AO40" i="1"/>
  <c r="AO38" i="1"/>
  <c r="AO36" i="1"/>
  <c r="AO34" i="1"/>
  <c r="AO32" i="1"/>
  <c r="AO30" i="1"/>
  <c r="AO28" i="1"/>
  <c r="AO26" i="1"/>
  <c r="AO24" i="1"/>
  <c r="AO22" i="1"/>
  <c r="AO20" i="1"/>
  <c r="AO18" i="1"/>
  <c r="AO16" i="1"/>
  <c r="AO14" i="1"/>
  <c r="AO12" i="1"/>
  <c r="AO10" i="1"/>
  <c r="AO13" i="1"/>
  <c r="AO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5" i="1"/>
  <c r="AO23" i="1"/>
  <c r="AO21" i="1"/>
  <c r="AO19" i="1"/>
  <c r="AO17" i="1"/>
  <c r="AO15" i="1"/>
  <c r="AO11" i="1"/>
  <c r="AK59" i="1"/>
  <c r="AO8" i="1"/>
  <c r="AO59" i="1" l="1"/>
  <c r="AM59" i="1"/>
  <c r="H59" i="36"/>
  <c r="C6" i="28" l="1"/>
  <c r="C57" i="28" l="1"/>
  <c r="J59" i="1" l="1"/>
  <c r="K19" i="1" s="1"/>
  <c r="L19" i="1" s="1"/>
  <c r="G59" i="1"/>
  <c r="H11" i="1" s="1"/>
  <c r="H47" i="1" l="1"/>
  <c r="I47" i="1" s="1"/>
  <c r="H25" i="1"/>
  <c r="H55" i="1"/>
  <c r="I55" i="1" s="1"/>
  <c r="H39" i="1"/>
  <c r="I39" i="1" s="1"/>
  <c r="H10" i="1"/>
  <c r="H53" i="1"/>
  <c r="I53" i="1" s="1"/>
  <c r="H43" i="1"/>
  <c r="I43" i="1" s="1"/>
  <c r="H33" i="1"/>
  <c r="I33" i="1" s="1"/>
  <c r="H18" i="1"/>
  <c r="H56" i="1"/>
  <c r="K59" i="1"/>
  <c r="K27" i="1"/>
  <c r="L27" i="1" s="1"/>
  <c r="K43" i="1"/>
  <c r="L43" i="1" s="1"/>
  <c r="K11" i="1"/>
  <c r="L11" i="1" s="1"/>
  <c r="H34" i="1"/>
  <c r="I34" i="1" s="1"/>
  <c r="H48" i="1"/>
  <c r="H17" i="1"/>
  <c r="H57" i="1"/>
  <c r="I57" i="1" s="1"/>
  <c r="H49" i="1"/>
  <c r="I49" i="1" s="1"/>
  <c r="H45" i="1"/>
  <c r="I45" i="1" s="1"/>
  <c r="H41" i="1"/>
  <c r="I41" i="1" s="1"/>
  <c r="H37" i="1"/>
  <c r="I37" i="1" s="1"/>
  <c r="H29" i="1"/>
  <c r="I29" i="1" s="1"/>
  <c r="H21" i="1"/>
  <c r="I21" i="1" s="1"/>
  <c r="H14" i="1"/>
  <c r="H51" i="1"/>
  <c r="I51" i="1" s="1"/>
  <c r="H52" i="1"/>
  <c r="H42" i="1"/>
  <c r="I42" i="1" s="1"/>
  <c r="H26" i="1"/>
  <c r="H9" i="1"/>
  <c r="I9" i="1" s="1"/>
  <c r="K51" i="1"/>
  <c r="L51" i="1" s="1"/>
  <c r="K35" i="1"/>
  <c r="L35" i="1" s="1"/>
  <c r="H35" i="1"/>
  <c r="I35" i="1" s="1"/>
  <c r="H31" i="1"/>
  <c r="H27" i="1"/>
  <c r="H23" i="1"/>
  <c r="H19" i="1"/>
  <c r="H16" i="1"/>
  <c r="H12" i="1"/>
  <c r="H8" i="1"/>
  <c r="H58" i="1"/>
  <c r="H54" i="1"/>
  <c r="H50" i="1"/>
  <c r="H46" i="1"/>
  <c r="H38" i="1"/>
  <c r="H30" i="1"/>
  <c r="I30" i="1" s="1"/>
  <c r="H22" i="1"/>
  <c r="I22" i="1" s="1"/>
  <c r="H13" i="1"/>
  <c r="I13" i="1" s="1"/>
  <c r="H44" i="1"/>
  <c r="H40" i="1"/>
  <c r="H36" i="1"/>
  <c r="H32" i="1"/>
  <c r="H28" i="1"/>
  <c r="H24" i="1"/>
  <c r="H20" i="1"/>
  <c r="H15" i="1"/>
  <c r="K8" i="1"/>
  <c r="L8" i="1" s="1"/>
  <c r="D59" i="1"/>
  <c r="K55" i="1"/>
  <c r="L55" i="1" s="1"/>
  <c r="M55" i="1" s="1"/>
  <c r="AN55" i="1" s="1"/>
  <c r="AP55" i="1" s="1"/>
  <c r="K47" i="1"/>
  <c r="L47" i="1" s="1"/>
  <c r="M47" i="1" s="1"/>
  <c r="AN47" i="1" s="1"/>
  <c r="AP47" i="1" s="1"/>
  <c r="K39" i="1"/>
  <c r="L39" i="1" s="1"/>
  <c r="K31" i="1"/>
  <c r="L31" i="1" s="1"/>
  <c r="K23" i="1"/>
  <c r="L23" i="1" s="1"/>
  <c r="K15" i="1"/>
  <c r="L15" i="1" s="1"/>
  <c r="K57" i="1"/>
  <c r="L57" i="1" s="1"/>
  <c r="K53" i="1"/>
  <c r="L53" i="1" s="1"/>
  <c r="K49" i="1"/>
  <c r="L49" i="1" s="1"/>
  <c r="M49" i="1" s="1"/>
  <c r="AN49" i="1" s="1"/>
  <c r="AP49" i="1" s="1"/>
  <c r="K45" i="1"/>
  <c r="L45" i="1" s="1"/>
  <c r="M45" i="1" s="1"/>
  <c r="AN45" i="1" s="1"/>
  <c r="AP45" i="1" s="1"/>
  <c r="K41" i="1"/>
  <c r="L41" i="1" s="1"/>
  <c r="M41" i="1" s="1"/>
  <c r="AN41" i="1" s="1"/>
  <c r="AP41" i="1" s="1"/>
  <c r="K37" i="1"/>
  <c r="L37" i="1" s="1"/>
  <c r="M37" i="1" s="1"/>
  <c r="AN37" i="1" s="1"/>
  <c r="AP37" i="1" s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9" i="1"/>
  <c r="L9" i="1" s="1"/>
  <c r="M53" i="1"/>
  <c r="AN53" i="1" s="1"/>
  <c r="AP53" i="1" s="1"/>
  <c r="M43" i="1"/>
  <c r="AN43" i="1" s="1"/>
  <c r="AP43" i="1" s="1"/>
  <c r="M35" i="1"/>
  <c r="AN35" i="1" s="1"/>
  <c r="AP35" i="1" s="1"/>
  <c r="I25" i="1"/>
  <c r="I18" i="1"/>
  <c r="I14" i="1"/>
  <c r="I10" i="1"/>
  <c r="I56" i="1"/>
  <c r="I52" i="1"/>
  <c r="I48" i="1"/>
  <c r="I44" i="1"/>
  <c r="I40" i="1"/>
  <c r="I36" i="1"/>
  <c r="I32" i="1"/>
  <c r="I28" i="1"/>
  <c r="I24" i="1"/>
  <c r="I20" i="1"/>
  <c r="I15" i="1"/>
  <c r="M15" i="1" s="1"/>
  <c r="AN15" i="1" s="1"/>
  <c r="AP15" i="1" s="1"/>
  <c r="I11" i="1"/>
  <c r="I31" i="1"/>
  <c r="M31" i="1" s="1"/>
  <c r="AN31" i="1" s="1"/>
  <c r="AP31" i="1" s="1"/>
  <c r="I27" i="1"/>
  <c r="I23" i="1"/>
  <c r="I19" i="1"/>
  <c r="M19" i="1" s="1"/>
  <c r="AN19" i="1" s="1"/>
  <c r="AP19" i="1" s="1"/>
  <c r="I16" i="1"/>
  <c r="I12" i="1"/>
  <c r="I8" i="1"/>
  <c r="M8" i="1" s="1"/>
  <c r="AN8" i="1" s="1"/>
  <c r="AP8" i="1" s="1"/>
  <c r="I58" i="1"/>
  <c r="I54" i="1"/>
  <c r="I50" i="1"/>
  <c r="I46" i="1"/>
  <c r="I38" i="1"/>
  <c r="I26" i="1"/>
  <c r="I17" i="1"/>
  <c r="K58" i="1"/>
  <c r="L58" i="1" s="1"/>
  <c r="K56" i="1"/>
  <c r="L56" i="1" s="1"/>
  <c r="K54" i="1"/>
  <c r="L54" i="1" s="1"/>
  <c r="K52" i="1"/>
  <c r="L52" i="1" s="1"/>
  <c r="K50" i="1"/>
  <c r="L50" i="1" s="1"/>
  <c r="K48" i="1"/>
  <c r="L48" i="1" s="1"/>
  <c r="K46" i="1"/>
  <c r="L46" i="1" s="1"/>
  <c r="M46" i="1" s="1"/>
  <c r="AN46" i="1" s="1"/>
  <c r="AP46" i="1" s="1"/>
  <c r="K44" i="1"/>
  <c r="L44" i="1" s="1"/>
  <c r="M44" i="1" s="1"/>
  <c r="AN44" i="1" s="1"/>
  <c r="AP44" i="1" s="1"/>
  <c r="K42" i="1"/>
  <c r="L42" i="1" s="1"/>
  <c r="K40" i="1"/>
  <c r="L40" i="1" s="1"/>
  <c r="K38" i="1"/>
  <c r="L38" i="1" s="1"/>
  <c r="K36" i="1"/>
  <c r="L36" i="1" s="1"/>
  <c r="K34" i="1"/>
  <c r="L34" i="1" s="1"/>
  <c r="K32" i="1"/>
  <c r="L32" i="1" s="1"/>
  <c r="K30" i="1"/>
  <c r="L30" i="1" s="1"/>
  <c r="K28" i="1"/>
  <c r="L28" i="1" s="1"/>
  <c r="M28" i="1" s="1"/>
  <c r="AN28" i="1" s="1"/>
  <c r="AP28" i="1" s="1"/>
  <c r="K26" i="1"/>
  <c r="L26" i="1" s="1"/>
  <c r="K24" i="1"/>
  <c r="L24" i="1" s="1"/>
  <c r="K22" i="1"/>
  <c r="L22" i="1" s="1"/>
  <c r="K20" i="1"/>
  <c r="L20" i="1" s="1"/>
  <c r="K18" i="1"/>
  <c r="L18" i="1" s="1"/>
  <c r="K16" i="1"/>
  <c r="L16" i="1" s="1"/>
  <c r="K14" i="1"/>
  <c r="L14" i="1" s="1"/>
  <c r="M14" i="1" s="1"/>
  <c r="AN14" i="1" s="1"/>
  <c r="AP14" i="1" s="1"/>
  <c r="K12" i="1"/>
  <c r="L12" i="1" s="1"/>
  <c r="K10" i="1"/>
  <c r="L10" i="1" s="1"/>
  <c r="M12" i="1" l="1"/>
  <c r="AN12" i="1" s="1"/>
  <c r="AP12" i="1" s="1"/>
  <c r="M36" i="1"/>
  <c r="AN36" i="1" s="1"/>
  <c r="AP36" i="1" s="1"/>
  <c r="M52" i="1"/>
  <c r="AN52" i="1" s="1"/>
  <c r="AP52" i="1" s="1"/>
  <c r="M22" i="1"/>
  <c r="AN22" i="1" s="1"/>
  <c r="AP22" i="1" s="1"/>
  <c r="M38" i="1"/>
  <c r="AN38" i="1" s="1"/>
  <c r="AP38" i="1" s="1"/>
  <c r="M54" i="1"/>
  <c r="AN54" i="1" s="1"/>
  <c r="AP54" i="1" s="1"/>
  <c r="M23" i="1"/>
  <c r="AN23" i="1" s="1"/>
  <c r="AP23" i="1" s="1"/>
  <c r="M18" i="1"/>
  <c r="AN18" i="1" s="1"/>
  <c r="AP18" i="1" s="1"/>
  <c r="M20" i="1"/>
  <c r="AN20" i="1" s="1"/>
  <c r="AP20" i="1" s="1"/>
  <c r="M30" i="1"/>
  <c r="AN30" i="1" s="1"/>
  <c r="AP30" i="1" s="1"/>
  <c r="M39" i="1"/>
  <c r="AN39" i="1" s="1"/>
  <c r="AP39" i="1" s="1"/>
  <c r="M51" i="1"/>
  <c r="AN51" i="1" s="1"/>
  <c r="AP51" i="1" s="1"/>
  <c r="M13" i="1"/>
  <c r="AN13" i="1" s="1"/>
  <c r="AP13" i="1" s="1"/>
  <c r="M27" i="1"/>
  <c r="AN27" i="1" s="1"/>
  <c r="AP27" i="1" s="1"/>
  <c r="M11" i="1"/>
  <c r="AN11" i="1" s="1"/>
  <c r="AP11" i="1" s="1"/>
  <c r="M33" i="1"/>
  <c r="AN33" i="1" s="1"/>
  <c r="AP33" i="1" s="1"/>
  <c r="M57" i="1"/>
  <c r="AN57" i="1" s="1"/>
  <c r="AP57" i="1" s="1"/>
  <c r="H59" i="1"/>
  <c r="M21" i="1"/>
  <c r="AN21" i="1" s="1"/>
  <c r="AP21" i="1" s="1"/>
  <c r="M29" i="1"/>
  <c r="AN29" i="1" s="1"/>
  <c r="AP29" i="1" s="1"/>
  <c r="M26" i="1"/>
  <c r="AN26" i="1" s="1"/>
  <c r="AP26" i="1" s="1"/>
  <c r="M34" i="1"/>
  <c r="AN34" i="1" s="1"/>
  <c r="AP34" i="1" s="1"/>
  <c r="M42" i="1"/>
  <c r="AN42" i="1" s="1"/>
  <c r="AP42" i="1" s="1"/>
  <c r="M50" i="1"/>
  <c r="AN50" i="1" s="1"/>
  <c r="AP50" i="1" s="1"/>
  <c r="M58" i="1"/>
  <c r="AN58" i="1" s="1"/>
  <c r="AP58" i="1" s="1"/>
  <c r="M25" i="1"/>
  <c r="AN25" i="1" s="1"/>
  <c r="AP25" i="1" s="1"/>
  <c r="M16" i="1"/>
  <c r="AN16" i="1" s="1"/>
  <c r="AP16" i="1" s="1"/>
  <c r="M24" i="1"/>
  <c r="AN24" i="1" s="1"/>
  <c r="AP24" i="1" s="1"/>
  <c r="M32" i="1"/>
  <c r="AN32" i="1" s="1"/>
  <c r="AP32" i="1" s="1"/>
  <c r="M40" i="1"/>
  <c r="AN40" i="1" s="1"/>
  <c r="AP40" i="1" s="1"/>
  <c r="M48" i="1"/>
  <c r="AN48" i="1" s="1"/>
  <c r="AP48" i="1" s="1"/>
  <c r="M56" i="1"/>
  <c r="AN56" i="1" s="1"/>
  <c r="AP56" i="1" s="1"/>
  <c r="M9" i="1"/>
  <c r="AN9" i="1" s="1"/>
  <c r="AP9" i="1" s="1"/>
  <c r="M17" i="1"/>
  <c r="AN17" i="1" s="1"/>
  <c r="AP17" i="1" s="1"/>
  <c r="L59" i="1"/>
  <c r="M10" i="1"/>
  <c r="AN10" i="1" s="1"/>
  <c r="AP10" i="1" s="1"/>
  <c r="I59" i="1"/>
  <c r="AP59" i="1" l="1"/>
  <c r="AN59" i="1"/>
  <c r="M59" i="1"/>
  <c r="AQ8" i="1" l="1"/>
  <c r="F8" i="36" s="1"/>
  <c r="AQ48" i="1"/>
  <c r="F48" i="36" s="1"/>
  <c r="I48" i="36" s="1"/>
  <c r="J48" i="36" s="1"/>
  <c r="AQ24" i="1"/>
  <c r="F24" i="36" s="1"/>
  <c r="I24" i="36" s="1"/>
  <c r="J24" i="36" s="1"/>
  <c r="AQ16" i="1"/>
  <c r="F16" i="36" s="1"/>
  <c r="I16" i="36" s="1"/>
  <c r="J16" i="36" s="1"/>
  <c r="AQ9" i="1"/>
  <c r="F9" i="36" s="1"/>
  <c r="I9" i="36" s="1"/>
  <c r="J9" i="36" s="1"/>
  <c r="AQ56" i="1"/>
  <c r="F56" i="36" s="1"/>
  <c r="I56" i="36" s="1"/>
  <c r="J56" i="36" s="1"/>
  <c r="AQ32" i="1"/>
  <c r="F32" i="36" s="1"/>
  <c r="I32" i="36" s="1"/>
  <c r="J32" i="36" s="1"/>
  <c r="AQ17" i="1"/>
  <c r="F17" i="36" s="1"/>
  <c r="I17" i="36" s="1"/>
  <c r="J17" i="36" s="1"/>
  <c r="AQ10" i="1"/>
  <c r="F10" i="36" s="1"/>
  <c r="I10" i="36" s="1"/>
  <c r="J10" i="36" s="1"/>
  <c r="AQ40" i="1"/>
  <c r="F40" i="36" s="1"/>
  <c r="I40" i="36" s="1"/>
  <c r="J40" i="36" s="1"/>
  <c r="AQ14" i="1"/>
  <c r="F14" i="36" s="1"/>
  <c r="I14" i="36" s="1"/>
  <c r="J14" i="36" s="1"/>
  <c r="AQ26" i="1"/>
  <c r="F26" i="36" s="1"/>
  <c r="I26" i="36" s="1"/>
  <c r="J26" i="36" s="1"/>
  <c r="AQ42" i="1"/>
  <c r="F42" i="36" s="1"/>
  <c r="I42" i="36" s="1"/>
  <c r="J42" i="36" s="1"/>
  <c r="AQ58" i="1"/>
  <c r="F58" i="36" s="1"/>
  <c r="I58" i="36" s="1"/>
  <c r="J58" i="36" s="1"/>
  <c r="AQ15" i="1"/>
  <c r="F15" i="36" s="1"/>
  <c r="I15" i="36" s="1"/>
  <c r="J15" i="36" s="1"/>
  <c r="AQ43" i="1"/>
  <c r="F43" i="36" s="1"/>
  <c r="I43" i="36" s="1"/>
  <c r="J43" i="36" s="1"/>
  <c r="AQ45" i="1"/>
  <c r="F45" i="36" s="1"/>
  <c r="I45" i="36" s="1"/>
  <c r="J45" i="36" s="1"/>
  <c r="AQ41" i="1"/>
  <c r="F41" i="36" s="1"/>
  <c r="I41" i="36" s="1"/>
  <c r="J41" i="36" s="1"/>
  <c r="AQ57" i="1"/>
  <c r="F57" i="36" s="1"/>
  <c r="I57" i="36" s="1"/>
  <c r="J57" i="36" s="1"/>
  <c r="AQ51" i="1"/>
  <c r="F51" i="36" s="1"/>
  <c r="I51" i="36" s="1"/>
  <c r="J51" i="36" s="1"/>
  <c r="AQ37" i="1"/>
  <c r="F37" i="36" s="1"/>
  <c r="I37" i="36" s="1"/>
  <c r="J37" i="36" s="1"/>
  <c r="AQ54" i="1"/>
  <c r="F54" i="36" s="1"/>
  <c r="I54" i="36" s="1"/>
  <c r="J54" i="36" s="1"/>
  <c r="AQ47" i="1"/>
  <c r="F47" i="36" s="1"/>
  <c r="I47" i="36" s="1"/>
  <c r="J47" i="36" s="1"/>
  <c r="AQ22" i="1"/>
  <c r="F22" i="36" s="1"/>
  <c r="I22" i="36" s="1"/>
  <c r="J22" i="36" s="1"/>
  <c r="AQ34" i="1"/>
  <c r="F34" i="36" s="1"/>
  <c r="I34" i="36" s="1"/>
  <c r="J34" i="36" s="1"/>
  <c r="AQ50" i="1"/>
  <c r="F50" i="36" s="1"/>
  <c r="I50" i="36" s="1"/>
  <c r="J50" i="36" s="1"/>
  <c r="AQ23" i="1"/>
  <c r="F23" i="36" s="1"/>
  <c r="I23" i="36" s="1"/>
  <c r="J23" i="36" s="1"/>
  <c r="AQ35" i="1"/>
  <c r="F35" i="36" s="1"/>
  <c r="I35" i="36" s="1"/>
  <c r="J35" i="36" s="1"/>
  <c r="AQ55" i="1"/>
  <c r="F55" i="36" s="1"/>
  <c r="I55" i="36" s="1"/>
  <c r="J55" i="36" s="1"/>
  <c r="AQ33" i="1"/>
  <c r="F33" i="36" s="1"/>
  <c r="I33" i="36" s="1"/>
  <c r="J33" i="36" s="1"/>
  <c r="AQ49" i="1"/>
  <c r="F49" i="36" s="1"/>
  <c r="I49" i="36" s="1"/>
  <c r="J49" i="36" s="1"/>
  <c r="AQ12" i="1"/>
  <c r="F12" i="36" s="1"/>
  <c r="I12" i="36" s="1"/>
  <c r="J12" i="36" s="1"/>
  <c r="AQ20" i="1"/>
  <c r="F20" i="36" s="1"/>
  <c r="I20" i="36" s="1"/>
  <c r="J20" i="36" s="1"/>
  <c r="AQ28" i="1"/>
  <c r="F28" i="36" s="1"/>
  <c r="I28" i="36" s="1"/>
  <c r="J28" i="36" s="1"/>
  <c r="AQ36" i="1"/>
  <c r="F36" i="36" s="1"/>
  <c r="I36" i="36" s="1"/>
  <c r="J36" i="36" s="1"/>
  <c r="AQ44" i="1"/>
  <c r="F44" i="36" s="1"/>
  <c r="I44" i="36" s="1"/>
  <c r="J44" i="36" s="1"/>
  <c r="AQ52" i="1"/>
  <c r="F52" i="36" s="1"/>
  <c r="I52" i="36" s="1"/>
  <c r="J52" i="36" s="1"/>
  <c r="AQ19" i="1"/>
  <c r="F19" i="36" s="1"/>
  <c r="I19" i="36" s="1"/>
  <c r="J19" i="36" s="1"/>
  <c r="AQ11" i="1"/>
  <c r="F11" i="36" s="1"/>
  <c r="I11" i="36" s="1"/>
  <c r="J11" i="36" s="1"/>
  <c r="AQ21" i="1"/>
  <c r="F21" i="36" s="1"/>
  <c r="I21" i="36" s="1"/>
  <c r="J21" i="36" s="1"/>
  <c r="D19" i="28" s="1"/>
  <c r="AQ39" i="1"/>
  <c r="F39" i="36" s="1"/>
  <c r="I39" i="36" s="1"/>
  <c r="J39" i="36" s="1"/>
  <c r="AQ53" i="1"/>
  <c r="F53" i="36" s="1"/>
  <c r="I53" i="36" s="1"/>
  <c r="J53" i="36" s="1"/>
  <c r="AQ30" i="1"/>
  <c r="F30" i="36" s="1"/>
  <c r="I30" i="36" s="1"/>
  <c r="J30" i="36" s="1"/>
  <c r="AQ46" i="1"/>
  <c r="F46" i="36" s="1"/>
  <c r="I46" i="36" s="1"/>
  <c r="J46" i="36" s="1"/>
  <c r="AQ13" i="1"/>
  <c r="F13" i="36" s="1"/>
  <c r="I13" i="36" s="1"/>
  <c r="J13" i="36" s="1"/>
  <c r="AQ25" i="1"/>
  <c r="F25" i="36" s="1"/>
  <c r="I25" i="36" s="1"/>
  <c r="J25" i="36" s="1"/>
  <c r="AQ27" i="1"/>
  <c r="F27" i="36" s="1"/>
  <c r="I27" i="36" s="1"/>
  <c r="J27" i="36" s="1"/>
  <c r="AQ29" i="1"/>
  <c r="F29" i="36" s="1"/>
  <c r="I29" i="36" s="1"/>
  <c r="J29" i="36" s="1"/>
  <c r="AQ18" i="1"/>
  <c r="F18" i="36" s="1"/>
  <c r="I18" i="36" s="1"/>
  <c r="J18" i="36" s="1"/>
  <c r="AQ38" i="1"/>
  <c r="F38" i="36" s="1"/>
  <c r="I38" i="36" s="1"/>
  <c r="J38" i="36" s="1"/>
  <c r="AQ31" i="1"/>
  <c r="F31" i="36" s="1"/>
  <c r="I31" i="36" s="1"/>
  <c r="J31" i="36" s="1"/>
  <c r="D29" i="28" l="1"/>
  <c r="I29" i="28" s="1"/>
  <c r="D16" i="28"/>
  <c r="I16" i="28" s="1"/>
  <c r="D25" i="28"/>
  <c r="I25" i="28" s="1"/>
  <c r="D11" i="28"/>
  <c r="I11" i="28" s="1"/>
  <c r="D28" i="28"/>
  <c r="I28" i="28" s="1"/>
  <c r="D37" i="28"/>
  <c r="I37" i="28" s="1"/>
  <c r="D9" i="28"/>
  <c r="I9" i="28" s="1"/>
  <c r="D50" i="28"/>
  <c r="I50" i="28" s="1"/>
  <c r="D34" i="28"/>
  <c r="I34" i="28" s="1"/>
  <c r="D18" i="28"/>
  <c r="I18" i="28" s="1"/>
  <c r="D47" i="28"/>
  <c r="I47" i="28" s="1"/>
  <c r="D53" i="28"/>
  <c r="I53" i="28" s="1"/>
  <c r="D21" i="28"/>
  <c r="I21" i="28" s="1"/>
  <c r="D32" i="28"/>
  <c r="I32" i="28" s="1"/>
  <c r="D45" i="28"/>
  <c r="I45" i="28" s="1"/>
  <c r="D35" i="28"/>
  <c r="I35" i="28" s="1"/>
  <c r="D55" i="28"/>
  <c r="I55" i="28" s="1"/>
  <c r="D43" i="28"/>
  <c r="I43" i="28" s="1"/>
  <c r="D13" i="28"/>
  <c r="I13" i="28" s="1"/>
  <c r="D40" i="28"/>
  <c r="I40" i="28" s="1"/>
  <c r="D12" i="28"/>
  <c r="I12" i="28" s="1"/>
  <c r="D8" i="28"/>
  <c r="I8" i="28" s="1"/>
  <c r="D30" i="28"/>
  <c r="I30" i="28" s="1"/>
  <c r="D7" i="28"/>
  <c r="I7" i="28" s="1"/>
  <c r="D22" i="28"/>
  <c r="I22" i="28" s="1"/>
  <c r="D36" i="28"/>
  <c r="I36" i="28" s="1"/>
  <c r="D27" i="28"/>
  <c r="I27" i="28" s="1"/>
  <c r="D23" i="28"/>
  <c r="I23" i="28" s="1"/>
  <c r="D44" i="28"/>
  <c r="I44" i="28" s="1"/>
  <c r="D51" i="28"/>
  <c r="I51" i="28" s="1"/>
  <c r="D17" i="28"/>
  <c r="I17" i="28" s="1"/>
  <c r="D42" i="28"/>
  <c r="I42" i="28" s="1"/>
  <c r="D26" i="28"/>
  <c r="I26" i="28" s="1"/>
  <c r="D10" i="28"/>
  <c r="I10" i="28" s="1"/>
  <c r="D31" i="28"/>
  <c r="I31" i="28" s="1"/>
  <c r="D33" i="28"/>
  <c r="I33" i="28" s="1"/>
  <c r="D48" i="28"/>
  <c r="I48" i="28" s="1"/>
  <c r="D20" i="28"/>
  <c r="I20" i="28" s="1"/>
  <c r="D52" i="28"/>
  <c r="I52" i="28" s="1"/>
  <c r="D49" i="28"/>
  <c r="I49" i="28" s="1"/>
  <c r="D39" i="28"/>
  <c r="I39" i="28" s="1"/>
  <c r="D41" i="28"/>
  <c r="I41" i="28" s="1"/>
  <c r="D56" i="28"/>
  <c r="I56" i="28" s="1"/>
  <c r="D24" i="28"/>
  <c r="I24" i="28" s="1"/>
  <c r="D38" i="28"/>
  <c r="I38" i="28" s="1"/>
  <c r="D15" i="28"/>
  <c r="I15" i="28" s="1"/>
  <c r="D54" i="28"/>
  <c r="I54" i="28" s="1"/>
  <c r="D14" i="28"/>
  <c r="I14" i="28" s="1"/>
  <c r="D46" i="28"/>
  <c r="I46" i="28" s="1"/>
  <c r="E45" i="28"/>
  <c r="AQ59" i="1"/>
  <c r="I8" i="36"/>
  <c r="F59" i="36"/>
  <c r="E31" i="28" l="1"/>
  <c r="E9" i="28"/>
  <c r="E27" i="28"/>
  <c r="E56" i="28"/>
  <c r="E7" i="28"/>
  <c r="E13" i="28"/>
  <c r="E47" i="28"/>
  <c r="E54" i="28"/>
  <c r="E52" i="28"/>
  <c r="E17" i="28"/>
  <c r="E25" i="28"/>
  <c r="E8" i="28"/>
  <c r="E22" i="28"/>
  <c r="E30" i="28"/>
  <c r="E12" i="28"/>
  <c r="E55" i="28"/>
  <c r="E21" i="28"/>
  <c r="E34" i="28"/>
  <c r="E46" i="28"/>
  <c r="E38" i="28"/>
  <c r="E39" i="28"/>
  <c r="E48" i="28"/>
  <c r="E26" i="28"/>
  <c r="E44" i="28"/>
  <c r="E28" i="28"/>
  <c r="E29" i="28"/>
  <c r="E43" i="28"/>
  <c r="E35" i="28"/>
  <c r="E32" i="28"/>
  <c r="E53" i="28"/>
  <c r="E18" i="28"/>
  <c r="E50" i="28"/>
  <c r="E11" i="28"/>
  <c r="E16" i="28"/>
  <c r="E40" i="28"/>
  <c r="E37" i="28"/>
  <c r="E14" i="28"/>
  <c r="E41" i="28"/>
  <c r="E49" i="28"/>
  <c r="E20" i="28"/>
  <c r="E33" i="28"/>
  <c r="E10" i="28"/>
  <c r="E42" i="28"/>
  <c r="E51" i="28"/>
  <c r="E23" i="28"/>
  <c r="E36" i="28"/>
  <c r="E24" i="28"/>
  <c r="E15" i="28"/>
  <c r="F22" i="28"/>
  <c r="F7" i="28"/>
  <c r="G7" i="28" s="1"/>
  <c r="H7" i="28" s="1"/>
  <c r="F30" i="28"/>
  <c r="G30" i="28" s="1"/>
  <c r="H30" i="28" s="1"/>
  <c r="F8" i="28"/>
  <c r="G8" i="28" s="1"/>
  <c r="H8" i="28" s="1"/>
  <c r="F12" i="28"/>
  <c r="G12" i="28" s="1"/>
  <c r="H12" i="28" s="1"/>
  <c r="F40" i="28"/>
  <c r="G40" i="28" s="1"/>
  <c r="H40" i="28" s="1"/>
  <c r="F13" i="28"/>
  <c r="G13" i="28" s="1"/>
  <c r="H13" i="28" s="1"/>
  <c r="F43" i="28"/>
  <c r="G43" i="28" s="1"/>
  <c r="H43" i="28" s="1"/>
  <c r="F55" i="28"/>
  <c r="G55" i="28" s="1"/>
  <c r="H55" i="28" s="1"/>
  <c r="F35" i="28"/>
  <c r="G35" i="28" s="1"/>
  <c r="H35" i="28" s="1"/>
  <c r="F45" i="28"/>
  <c r="G45" i="28" s="1"/>
  <c r="H45" i="28" s="1"/>
  <c r="F32" i="28"/>
  <c r="G32" i="28" s="1"/>
  <c r="H32" i="28" s="1"/>
  <c r="F21" i="28"/>
  <c r="G21" i="28" s="1"/>
  <c r="H21" i="28" s="1"/>
  <c r="F53" i="28"/>
  <c r="G53" i="28" s="1"/>
  <c r="H53" i="28" s="1"/>
  <c r="F47" i="28"/>
  <c r="G47" i="28" s="1"/>
  <c r="H47" i="28" s="1"/>
  <c r="F18" i="28"/>
  <c r="G18" i="28" s="1"/>
  <c r="H18" i="28" s="1"/>
  <c r="F34" i="28"/>
  <c r="F50" i="28"/>
  <c r="G50" i="28" s="1"/>
  <c r="H50" i="28" s="1"/>
  <c r="F9" i="28"/>
  <c r="G9" i="28" s="1"/>
  <c r="H9" i="28" s="1"/>
  <c r="F37" i="28"/>
  <c r="G37" i="28" s="1"/>
  <c r="H37" i="28" s="1"/>
  <c r="F11" i="28"/>
  <c r="G11" i="28" s="1"/>
  <c r="H11" i="28" s="1"/>
  <c r="F16" i="28"/>
  <c r="G16" i="28" s="1"/>
  <c r="H16" i="28" s="1"/>
  <c r="F46" i="28"/>
  <c r="G46" i="28" s="1"/>
  <c r="H46" i="28" s="1"/>
  <c r="F14" i="28"/>
  <c r="G14" i="28" s="1"/>
  <c r="H14" i="28" s="1"/>
  <c r="F54" i="28"/>
  <c r="F15" i="28"/>
  <c r="G15" i="28" s="1"/>
  <c r="H15" i="28" s="1"/>
  <c r="F38" i="28"/>
  <c r="G38" i="28" s="1"/>
  <c r="H38" i="28" s="1"/>
  <c r="F24" i="28"/>
  <c r="G24" i="28" s="1"/>
  <c r="H24" i="28" s="1"/>
  <c r="F56" i="28"/>
  <c r="G56" i="28" s="1"/>
  <c r="H56" i="28" s="1"/>
  <c r="F41" i="28"/>
  <c r="G41" i="28" s="1"/>
  <c r="H41" i="28" s="1"/>
  <c r="F39" i="28"/>
  <c r="G39" i="28" s="1"/>
  <c r="H39" i="28" s="1"/>
  <c r="F49" i="28"/>
  <c r="G49" i="28" s="1"/>
  <c r="H49" i="28" s="1"/>
  <c r="F52" i="28"/>
  <c r="G52" i="28" s="1"/>
  <c r="H52" i="28" s="1"/>
  <c r="F20" i="28"/>
  <c r="G20" i="28" s="1"/>
  <c r="H20" i="28" s="1"/>
  <c r="F48" i="28"/>
  <c r="G48" i="28" s="1"/>
  <c r="H48" i="28" s="1"/>
  <c r="F33" i="28"/>
  <c r="G33" i="28" s="1"/>
  <c r="H33" i="28" s="1"/>
  <c r="F31" i="28"/>
  <c r="G31" i="28" s="1"/>
  <c r="H31" i="28" s="1"/>
  <c r="F10" i="28"/>
  <c r="G10" i="28" s="1"/>
  <c r="H10" i="28" s="1"/>
  <c r="F26" i="28"/>
  <c r="G26" i="28" s="1"/>
  <c r="H26" i="28" s="1"/>
  <c r="F42" i="28"/>
  <c r="G42" i="28" s="1"/>
  <c r="H42" i="28" s="1"/>
  <c r="F17" i="28"/>
  <c r="F51" i="28"/>
  <c r="G51" i="28" s="1"/>
  <c r="H51" i="28" s="1"/>
  <c r="F44" i="28"/>
  <c r="G44" i="28" s="1"/>
  <c r="H44" i="28" s="1"/>
  <c r="F23" i="28"/>
  <c r="G23" i="28" s="1"/>
  <c r="H23" i="28" s="1"/>
  <c r="F27" i="28"/>
  <c r="G27" i="28" s="1"/>
  <c r="H27" i="28" s="1"/>
  <c r="F36" i="28"/>
  <c r="G36" i="28" s="1"/>
  <c r="H36" i="28" s="1"/>
  <c r="F28" i="28"/>
  <c r="G28" i="28" s="1"/>
  <c r="H28" i="28" s="1"/>
  <c r="F25" i="28"/>
  <c r="G25" i="28" s="1"/>
  <c r="H25" i="28" s="1"/>
  <c r="F29" i="28"/>
  <c r="E19" i="28"/>
  <c r="I19" i="28"/>
  <c r="J22" i="28"/>
  <c r="G22" i="28"/>
  <c r="H22" i="28" s="1"/>
  <c r="J7" i="28"/>
  <c r="J30" i="28"/>
  <c r="J8" i="28"/>
  <c r="J12" i="28"/>
  <c r="J40" i="28"/>
  <c r="J13" i="28"/>
  <c r="J43" i="28"/>
  <c r="J55" i="28"/>
  <c r="J35" i="28"/>
  <c r="J45" i="28"/>
  <c r="J32" i="28"/>
  <c r="J21" i="28"/>
  <c r="J53" i="28"/>
  <c r="J47" i="28"/>
  <c r="J18" i="28"/>
  <c r="J34" i="28"/>
  <c r="G34" i="28"/>
  <c r="H34" i="28" s="1"/>
  <c r="J50" i="28"/>
  <c r="J9" i="28"/>
  <c r="J37" i="28"/>
  <c r="J11" i="28"/>
  <c r="J16" i="28"/>
  <c r="J46" i="28"/>
  <c r="J14" i="28"/>
  <c r="J54" i="28"/>
  <c r="G54" i="28"/>
  <c r="H54" i="28" s="1"/>
  <c r="J15" i="28"/>
  <c r="J38" i="28"/>
  <c r="J24" i="28"/>
  <c r="J56" i="28"/>
  <c r="J41" i="28"/>
  <c r="J39" i="28"/>
  <c r="J49" i="28"/>
  <c r="J52" i="28"/>
  <c r="J20" i="28"/>
  <c r="J48" i="28"/>
  <c r="J33" i="28"/>
  <c r="J31" i="28"/>
  <c r="J10" i="28"/>
  <c r="J26" i="28"/>
  <c r="J42" i="28"/>
  <c r="J17" i="28"/>
  <c r="G17" i="28"/>
  <c r="H17" i="28" s="1"/>
  <c r="J51" i="28"/>
  <c r="J44" i="28"/>
  <c r="J23" i="28"/>
  <c r="J27" i="28"/>
  <c r="J36" i="28"/>
  <c r="J28" i="28"/>
  <c r="J25" i="28"/>
  <c r="J29" i="28"/>
  <c r="G29" i="28"/>
  <c r="H29" i="28" s="1"/>
  <c r="F19" i="28"/>
  <c r="I59" i="36"/>
  <c r="J8" i="36"/>
  <c r="D6" i="28" s="1"/>
  <c r="E6" i="28" l="1"/>
  <c r="E57" i="28" s="1"/>
  <c r="I6" i="28"/>
  <c r="J19" i="28"/>
  <c r="G19" i="28"/>
  <c r="H19" i="28" s="1"/>
  <c r="D57" i="28"/>
  <c r="F6" i="28"/>
  <c r="J59" i="36"/>
  <c r="K8" i="36" s="1"/>
  <c r="F57" i="28" l="1"/>
  <c r="J6" i="28"/>
  <c r="G6" i="28"/>
  <c r="H6" i="28" s="1"/>
  <c r="K16" i="36"/>
  <c r="K9" i="36"/>
  <c r="K40" i="36"/>
  <c r="K48" i="36"/>
  <c r="K24" i="36"/>
  <c r="K32" i="36"/>
  <c r="K10" i="36"/>
  <c r="K56" i="36"/>
  <c r="K17" i="36"/>
  <c r="K31" i="36"/>
  <c r="K27" i="36"/>
  <c r="K30" i="36"/>
  <c r="K11" i="36"/>
  <c r="K36" i="36"/>
  <c r="K49" i="36"/>
  <c r="K23" i="36"/>
  <c r="K47" i="36"/>
  <c r="K57" i="36"/>
  <c r="K15" i="36"/>
  <c r="K14" i="36"/>
  <c r="K29" i="36"/>
  <c r="K46" i="36"/>
  <c r="K21" i="36"/>
  <c r="K44" i="36"/>
  <c r="K12" i="36"/>
  <c r="K35" i="36"/>
  <c r="K22" i="36"/>
  <c r="K51" i="36"/>
  <c r="K43" i="36"/>
  <c r="K26" i="36"/>
  <c r="K18" i="36"/>
  <c r="K13" i="36"/>
  <c r="K39" i="36"/>
  <c r="K52" i="36"/>
  <c r="K20" i="36"/>
  <c r="K55" i="36"/>
  <c r="K34" i="36"/>
  <c r="K37" i="36"/>
  <c r="K45" i="36"/>
  <c r="K42" i="36"/>
  <c r="K38" i="36"/>
  <c r="K25" i="36"/>
  <c r="K53" i="36"/>
  <c r="K19" i="36"/>
  <c r="K28" i="36"/>
  <c r="K33" i="36"/>
  <c r="K50" i="36"/>
  <c r="K54" i="36"/>
  <c r="K41" i="36"/>
  <c r="K58" i="36"/>
  <c r="J57" i="28" l="1"/>
  <c r="G57" i="28"/>
  <c r="K59" i="36"/>
  <c r="H57" i="28"/>
  <c r="I57" i="28"/>
  <c r="K4" i="28" l="1"/>
  <c r="K27" i="28" s="1"/>
  <c r="K24" i="28" l="1"/>
  <c r="K28" i="28"/>
  <c r="K19" i="28"/>
  <c r="L19" i="28" s="1"/>
  <c r="K53" i="28"/>
  <c r="K38" i="28"/>
  <c r="L38" i="28" s="1"/>
  <c r="K21" i="28"/>
  <c r="K37" i="28"/>
  <c r="K29" i="28"/>
  <c r="L29" i="28" s="1"/>
  <c r="K31" i="28"/>
  <c r="L31" i="28" s="1"/>
  <c r="K35" i="28"/>
  <c r="L35" i="28" s="1"/>
  <c r="K36" i="28"/>
  <c r="L36" i="28" s="1"/>
  <c r="K20" i="28"/>
  <c r="L20" i="28" s="1"/>
  <c r="K13" i="28"/>
  <c r="K14" i="28"/>
  <c r="K52" i="28"/>
  <c r="L52" i="28" s="1"/>
  <c r="K40" i="28"/>
  <c r="L40" i="28" s="1"/>
  <c r="K50" i="28"/>
  <c r="L50" i="28" s="1"/>
  <c r="K17" i="28"/>
  <c r="K12" i="28"/>
  <c r="L12" i="28" s="1"/>
  <c r="K46" i="28"/>
  <c r="L46" i="28" s="1"/>
  <c r="K49" i="28"/>
  <c r="K8" i="28"/>
  <c r="K34" i="28"/>
  <c r="K42" i="28"/>
  <c r="L42" i="28" s="1"/>
  <c r="K6" i="28"/>
  <c r="K7" i="28"/>
  <c r="L7" i="28" s="1"/>
  <c r="K55" i="28"/>
  <c r="K16" i="28"/>
  <c r="L16" i="28" s="1"/>
  <c r="K15" i="28"/>
  <c r="L15" i="28" s="1"/>
  <c r="K41" i="28"/>
  <c r="L41" i="28" s="1"/>
  <c r="K33" i="28"/>
  <c r="L33" i="28" s="1"/>
  <c r="K30" i="28"/>
  <c r="L30" i="28" s="1"/>
  <c r="K32" i="28"/>
  <c r="K18" i="28"/>
  <c r="K39" i="28"/>
  <c r="L39" i="28" s="1"/>
  <c r="K26" i="28"/>
  <c r="L26" i="28" s="1"/>
  <c r="K44" i="28"/>
  <c r="L44" i="28" s="1"/>
  <c r="K25" i="28"/>
  <c r="K43" i="28"/>
  <c r="L43" i="28" s="1"/>
  <c r="K11" i="28"/>
  <c r="K54" i="28"/>
  <c r="L54" i="28" s="1"/>
  <c r="K56" i="28"/>
  <c r="L56" i="28" s="1"/>
  <c r="K48" i="28"/>
  <c r="L48" i="28" s="1"/>
  <c r="K22" i="28"/>
  <c r="L22" i="28" s="1"/>
  <c r="K45" i="28"/>
  <c r="K47" i="28"/>
  <c r="K9" i="28"/>
  <c r="L9" i="28" s="1"/>
  <c r="K10" i="28"/>
  <c r="K23" i="28"/>
  <c r="L23" i="28" s="1"/>
  <c r="K51" i="28"/>
  <c r="L51" i="28" s="1"/>
  <c r="L21" i="28"/>
  <c r="L53" i="28"/>
  <c r="L37" i="28"/>
  <c r="L18" i="28"/>
  <c r="L34" i="28"/>
  <c r="L13" i="28"/>
  <c r="L45" i="28"/>
  <c r="L10" i="28"/>
  <c r="L17" i="28"/>
  <c r="L25" i="28"/>
  <c r="L49" i="28"/>
  <c r="L6" i="28"/>
  <c r="L14" i="28"/>
  <c r="L11" i="28"/>
  <c r="L27" i="28"/>
  <c r="L47" i="28"/>
  <c r="L55" i="28"/>
  <c r="L8" i="28"/>
  <c r="L24" i="28"/>
  <c r="L28" i="28"/>
  <c r="L32" i="28"/>
  <c r="M28" i="28" l="1"/>
  <c r="M47" i="28"/>
  <c r="M6" i="28"/>
  <c r="M10" i="28"/>
  <c r="M18" i="28"/>
  <c r="M51" i="28"/>
  <c r="M32" i="28"/>
  <c r="M24" i="28"/>
  <c r="M55" i="28"/>
  <c r="M27" i="28"/>
  <c r="M14" i="28"/>
  <c r="M49" i="28"/>
  <c r="M17" i="28"/>
  <c r="M45" i="28"/>
  <c r="M34" i="28"/>
  <c r="M37" i="28"/>
  <c r="M21" i="28"/>
  <c r="M23" i="28"/>
  <c r="M9" i="28"/>
  <c r="M48" i="28"/>
  <c r="M54" i="28"/>
  <c r="M43" i="28"/>
  <c r="M44" i="28"/>
  <c r="M39" i="28"/>
  <c r="M33" i="28"/>
  <c r="M15" i="28"/>
  <c r="M12" i="28"/>
  <c r="M50" i="28"/>
  <c r="M52" i="28"/>
  <c r="M36" i="28"/>
  <c r="M31" i="28"/>
  <c r="M38" i="28"/>
  <c r="M19" i="28"/>
  <c r="M8" i="28"/>
  <c r="M11" i="28"/>
  <c r="M25" i="28"/>
  <c r="M13" i="28"/>
  <c r="M53" i="28"/>
  <c r="M22" i="28"/>
  <c r="M56" i="28"/>
  <c r="M26" i="28"/>
  <c r="M30" i="28"/>
  <c r="M41" i="28"/>
  <c r="M16" i="28"/>
  <c r="M7" i="28"/>
  <c r="M42" i="28"/>
  <c r="M46" i="28"/>
  <c r="M40" i="28"/>
  <c r="M20" i="28"/>
  <c r="M35" i="28"/>
  <c r="M29" i="28"/>
  <c r="L57" i="28"/>
  <c r="N19" i="28" s="1"/>
  <c r="K57" i="28"/>
  <c r="G20" i="40" l="1"/>
  <c r="H20" i="40"/>
  <c r="E20" i="40"/>
  <c r="C20" i="40"/>
  <c r="F20" i="40"/>
  <c r="D20" i="40"/>
  <c r="B20" i="40"/>
  <c r="N10" i="28"/>
  <c r="N14" i="28"/>
  <c r="N11" i="28"/>
  <c r="N28" i="28"/>
  <c r="N20" i="28"/>
  <c r="N18" i="28"/>
  <c r="N9" i="28"/>
  <c r="N48" i="28"/>
  <c r="N43" i="28"/>
  <c r="N15" i="28"/>
  <c r="N50" i="28"/>
  <c r="N16" i="28"/>
  <c r="N32" i="28"/>
  <c r="N31" i="28"/>
  <c r="N41" i="28"/>
  <c r="N38" i="28"/>
  <c r="N30" i="28"/>
  <c r="N45" i="28"/>
  <c r="N22" i="28"/>
  <c r="N49" i="28"/>
  <c r="N53" i="28"/>
  <c r="N26" i="28"/>
  <c r="N24" i="28"/>
  <c r="N36" i="28"/>
  <c r="N37" i="28"/>
  <c r="N13" i="28"/>
  <c r="N42" i="28"/>
  <c r="N47" i="28"/>
  <c r="N35" i="28"/>
  <c r="N51" i="28"/>
  <c r="N54" i="28"/>
  <c r="N34" i="28"/>
  <c r="N17" i="28"/>
  <c r="N40" i="28"/>
  <c r="N6" i="28"/>
  <c r="B7" i="40" s="1"/>
  <c r="M57" i="28"/>
  <c r="N39" i="28"/>
  <c r="N44" i="28"/>
  <c r="N27" i="28"/>
  <c r="N23" i="28"/>
  <c r="N52" i="28"/>
  <c r="N55" i="28"/>
  <c r="N21" i="28"/>
  <c r="N33" i="28"/>
  <c r="N46" i="28"/>
  <c r="N8" i="28"/>
  <c r="N25" i="28"/>
  <c r="N7" i="28"/>
  <c r="N56" i="28"/>
  <c r="N29" i="28"/>
  <c r="N12" i="28"/>
  <c r="G57" i="40" l="1"/>
  <c r="H57" i="40"/>
  <c r="G47" i="40"/>
  <c r="H47" i="40"/>
  <c r="G22" i="40"/>
  <c r="H22" i="40"/>
  <c r="G53" i="40"/>
  <c r="H53" i="40"/>
  <c r="G28" i="40"/>
  <c r="H28" i="40"/>
  <c r="G40" i="40"/>
  <c r="H40" i="40"/>
  <c r="H7" i="40"/>
  <c r="G7" i="40"/>
  <c r="G18" i="40"/>
  <c r="H18" i="40"/>
  <c r="G55" i="40"/>
  <c r="H55" i="40"/>
  <c r="G36" i="40"/>
  <c r="H36" i="40"/>
  <c r="G43" i="40"/>
  <c r="H43" i="40"/>
  <c r="G38" i="40"/>
  <c r="H38" i="40"/>
  <c r="G25" i="40"/>
  <c r="H25" i="40"/>
  <c r="G54" i="40"/>
  <c r="H54" i="40"/>
  <c r="G23" i="40"/>
  <c r="H23" i="40"/>
  <c r="G31" i="40"/>
  <c r="H31" i="40"/>
  <c r="G42" i="40"/>
  <c r="H42" i="40"/>
  <c r="G33" i="40"/>
  <c r="H33" i="40"/>
  <c r="G51" i="40"/>
  <c r="H51" i="40"/>
  <c r="G44" i="40"/>
  <c r="H44" i="40"/>
  <c r="G10" i="40"/>
  <c r="H10" i="40"/>
  <c r="G21" i="40"/>
  <c r="H21" i="40"/>
  <c r="G12" i="40"/>
  <c r="H12" i="40"/>
  <c r="G11" i="40"/>
  <c r="H11" i="40"/>
  <c r="G13" i="40"/>
  <c r="H13" i="40"/>
  <c r="G26" i="40"/>
  <c r="H26" i="40"/>
  <c r="G30" i="40"/>
  <c r="H30" i="40"/>
  <c r="G8" i="40"/>
  <c r="H8" i="40"/>
  <c r="H9" i="40"/>
  <c r="G9" i="40"/>
  <c r="G34" i="40"/>
  <c r="H34" i="40"/>
  <c r="G56" i="40"/>
  <c r="H56" i="40"/>
  <c r="G24" i="40"/>
  <c r="H24" i="40"/>
  <c r="G45" i="40"/>
  <c r="H45" i="40"/>
  <c r="G41" i="40"/>
  <c r="H41" i="40"/>
  <c r="G35" i="40"/>
  <c r="H35" i="40"/>
  <c r="G52" i="40"/>
  <c r="H52" i="40"/>
  <c r="G48" i="40"/>
  <c r="H48" i="40"/>
  <c r="G14" i="40"/>
  <c r="H14" i="40"/>
  <c r="G37" i="40"/>
  <c r="H37" i="40"/>
  <c r="G27" i="40"/>
  <c r="H27" i="40"/>
  <c r="G50" i="40"/>
  <c r="H50" i="40"/>
  <c r="G46" i="40"/>
  <c r="H46" i="40"/>
  <c r="G39" i="40"/>
  <c r="H39" i="40"/>
  <c r="G32" i="40"/>
  <c r="H32" i="40"/>
  <c r="G17" i="40"/>
  <c r="H17" i="40"/>
  <c r="G16" i="40"/>
  <c r="H16" i="40"/>
  <c r="G49" i="40"/>
  <c r="H49" i="40"/>
  <c r="G19" i="40"/>
  <c r="H19" i="40"/>
  <c r="G29" i="40"/>
  <c r="H29" i="40"/>
  <c r="G15" i="40"/>
  <c r="H15" i="40"/>
  <c r="I20" i="40"/>
  <c r="E30" i="40"/>
  <c r="C30" i="40"/>
  <c r="F30" i="40"/>
  <c r="D30" i="40"/>
  <c r="B30" i="40"/>
  <c r="E9" i="40"/>
  <c r="C9" i="40"/>
  <c r="F9" i="40"/>
  <c r="D9" i="40"/>
  <c r="B9" i="40"/>
  <c r="E56" i="40"/>
  <c r="C56" i="40"/>
  <c r="F56" i="40"/>
  <c r="D56" i="40"/>
  <c r="B56" i="40"/>
  <c r="F35" i="40"/>
  <c r="D35" i="40"/>
  <c r="E35" i="40"/>
  <c r="C35" i="40"/>
  <c r="B35" i="40"/>
  <c r="E52" i="40"/>
  <c r="C52" i="40"/>
  <c r="F52" i="40"/>
  <c r="D52" i="40"/>
  <c r="B52" i="40"/>
  <c r="F14" i="40"/>
  <c r="D14" i="40"/>
  <c r="E14" i="40"/>
  <c r="C14" i="40"/>
  <c r="B14" i="40"/>
  <c r="F27" i="40"/>
  <c r="D27" i="40"/>
  <c r="E27" i="40"/>
  <c r="C27" i="40"/>
  <c r="B27" i="40"/>
  <c r="E46" i="40"/>
  <c r="C46" i="40"/>
  <c r="F46" i="40"/>
  <c r="D46" i="40"/>
  <c r="B46" i="40"/>
  <c r="F39" i="40"/>
  <c r="D39" i="40"/>
  <c r="E39" i="40"/>
  <c r="C39" i="40"/>
  <c r="B39" i="40"/>
  <c r="E17" i="40"/>
  <c r="C17" i="40"/>
  <c r="F17" i="40"/>
  <c r="D17" i="40"/>
  <c r="B17" i="40"/>
  <c r="F49" i="40"/>
  <c r="D49" i="40"/>
  <c r="E49" i="40"/>
  <c r="C49" i="40"/>
  <c r="B49" i="40"/>
  <c r="E13" i="40"/>
  <c r="C13" i="40"/>
  <c r="F13" i="40"/>
  <c r="D13" i="40"/>
  <c r="B13" i="40"/>
  <c r="F57" i="40"/>
  <c r="D57" i="40"/>
  <c r="E57" i="40"/>
  <c r="C57" i="40"/>
  <c r="B57" i="40"/>
  <c r="E26" i="40"/>
  <c r="C26" i="40"/>
  <c r="F26" i="40"/>
  <c r="D26" i="40"/>
  <c r="B26" i="40"/>
  <c r="F47" i="40"/>
  <c r="D47" i="40"/>
  <c r="E47" i="40"/>
  <c r="C47" i="40"/>
  <c r="B47" i="40"/>
  <c r="E22" i="40"/>
  <c r="C22" i="40"/>
  <c r="F22" i="40"/>
  <c r="D22" i="40"/>
  <c r="B22" i="40"/>
  <c r="F53" i="40"/>
  <c r="D53" i="40"/>
  <c r="E53" i="40"/>
  <c r="C53" i="40"/>
  <c r="B53" i="40"/>
  <c r="E28" i="40"/>
  <c r="C28" i="40"/>
  <c r="F28" i="40"/>
  <c r="D28" i="40"/>
  <c r="B28" i="40"/>
  <c r="E40" i="40"/>
  <c r="C40" i="40"/>
  <c r="F40" i="40"/>
  <c r="D40" i="40"/>
  <c r="B40" i="40"/>
  <c r="E7" i="40"/>
  <c r="C7" i="40"/>
  <c r="F7" i="40"/>
  <c r="D7" i="40"/>
  <c r="E18" i="40"/>
  <c r="C18" i="40"/>
  <c r="F18" i="40"/>
  <c r="D18" i="40"/>
  <c r="B18" i="40"/>
  <c r="F55" i="40"/>
  <c r="D55" i="40"/>
  <c r="E55" i="40"/>
  <c r="C55" i="40"/>
  <c r="B55" i="40"/>
  <c r="E36" i="40"/>
  <c r="C36" i="40"/>
  <c r="F36" i="40"/>
  <c r="D36" i="40"/>
  <c r="B36" i="40"/>
  <c r="F43" i="40"/>
  <c r="D43" i="40"/>
  <c r="E43" i="40"/>
  <c r="C43" i="40"/>
  <c r="B43" i="40"/>
  <c r="E38" i="40"/>
  <c r="C38" i="40"/>
  <c r="F38" i="40"/>
  <c r="D38" i="40"/>
  <c r="B38" i="40"/>
  <c r="F25" i="40"/>
  <c r="D25" i="40"/>
  <c r="E25" i="40"/>
  <c r="C25" i="40"/>
  <c r="B25" i="40"/>
  <c r="E54" i="40"/>
  <c r="C54" i="40"/>
  <c r="F54" i="40"/>
  <c r="D54" i="40"/>
  <c r="B54" i="40"/>
  <c r="F23" i="40"/>
  <c r="D23" i="40"/>
  <c r="E23" i="40"/>
  <c r="C23" i="40"/>
  <c r="B23" i="40"/>
  <c r="F31" i="40"/>
  <c r="D31" i="40"/>
  <c r="E31" i="40"/>
  <c r="C31" i="40"/>
  <c r="B31" i="40"/>
  <c r="E42" i="40"/>
  <c r="C42" i="40"/>
  <c r="F42" i="40"/>
  <c r="D42" i="40"/>
  <c r="B42" i="40"/>
  <c r="F33" i="40"/>
  <c r="D33" i="40"/>
  <c r="E33" i="40"/>
  <c r="C33" i="40"/>
  <c r="B33" i="40"/>
  <c r="F51" i="40"/>
  <c r="D51" i="40"/>
  <c r="E51" i="40"/>
  <c r="C51" i="40"/>
  <c r="B51" i="40"/>
  <c r="E44" i="40"/>
  <c r="C44" i="40"/>
  <c r="F44" i="40"/>
  <c r="D44" i="40"/>
  <c r="B44" i="40"/>
  <c r="F10" i="40"/>
  <c r="D10" i="40"/>
  <c r="E10" i="40"/>
  <c r="C10" i="40"/>
  <c r="B10" i="40"/>
  <c r="F21" i="40"/>
  <c r="D21" i="40"/>
  <c r="E21" i="40"/>
  <c r="C21" i="40"/>
  <c r="B21" i="40"/>
  <c r="F12" i="40"/>
  <c r="D12" i="40"/>
  <c r="E12" i="40"/>
  <c r="C12" i="40"/>
  <c r="B12" i="40"/>
  <c r="E11" i="40"/>
  <c r="C11" i="40"/>
  <c r="F11" i="40"/>
  <c r="D11" i="40"/>
  <c r="B11" i="40"/>
  <c r="F8" i="40"/>
  <c r="D8" i="40"/>
  <c r="E8" i="40"/>
  <c r="C8" i="40"/>
  <c r="B8" i="40"/>
  <c r="E34" i="40"/>
  <c r="C34" i="40"/>
  <c r="F34" i="40"/>
  <c r="D34" i="40"/>
  <c r="B34" i="40"/>
  <c r="E24" i="40"/>
  <c r="C24" i="40"/>
  <c r="F24" i="40"/>
  <c r="D24" i="40"/>
  <c r="B24" i="40"/>
  <c r="F45" i="40"/>
  <c r="D45" i="40"/>
  <c r="E45" i="40"/>
  <c r="C45" i="40"/>
  <c r="B45" i="40"/>
  <c r="F41" i="40"/>
  <c r="D41" i="40"/>
  <c r="E41" i="40"/>
  <c r="C41" i="40"/>
  <c r="B41" i="40"/>
  <c r="E48" i="40"/>
  <c r="C48" i="40"/>
  <c r="F48" i="40"/>
  <c r="D48" i="40"/>
  <c r="B48" i="40"/>
  <c r="F37" i="40"/>
  <c r="D37" i="40"/>
  <c r="E37" i="40"/>
  <c r="C37" i="40"/>
  <c r="B37" i="40"/>
  <c r="E50" i="40"/>
  <c r="C50" i="40"/>
  <c r="F50" i="40"/>
  <c r="D50" i="40"/>
  <c r="B50" i="40"/>
  <c r="E32" i="40"/>
  <c r="C32" i="40"/>
  <c r="F32" i="40"/>
  <c r="D32" i="40"/>
  <c r="B32" i="40"/>
  <c r="F16" i="40"/>
  <c r="D16" i="40"/>
  <c r="E16" i="40"/>
  <c r="C16" i="40"/>
  <c r="B16" i="40"/>
  <c r="F19" i="40"/>
  <c r="D19" i="40"/>
  <c r="E19" i="40"/>
  <c r="C19" i="40"/>
  <c r="B19" i="40"/>
  <c r="F29" i="40"/>
  <c r="D29" i="40"/>
  <c r="E29" i="40"/>
  <c r="C29" i="40"/>
  <c r="B29" i="40"/>
  <c r="E15" i="40"/>
  <c r="C15" i="40"/>
  <c r="F15" i="40"/>
  <c r="D15" i="40"/>
  <c r="B15" i="40"/>
  <c r="N57" i="28"/>
  <c r="F58" i="40" l="1"/>
  <c r="I17" i="40"/>
  <c r="I39" i="40"/>
  <c r="I46" i="40"/>
  <c r="I27" i="40"/>
  <c r="I14" i="40"/>
  <c r="I52" i="40"/>
  <c r="I35" i="40"/>
  <c r="I15" i="40"/>
  <c r="I29" i="40"/>
  <c r="I19" i="40"/>
  <c r="I16" i="40"/>
  <c r="I32" i="40"/>
  <c r="I50" i="40"/>
  <c r="I37" i="40"/>
  <c r="I48" i="40"/>
  <c r="I41" i="40"/>
  <c r="I24" i="40"/>
  <c r="I34" i="40"/>
  <c r="I8" i="40"/>
  <c r="I11" i="40"/>
  <c r="I12" i="40"/>
  <c r="I21" i="40"/>
  <c r="I10" i="40"/>
  <c r="I51" i="40"/>
  <c r="I33" i="40"/>
  <c r="I42" i="40"/>
  <c r="I31" i="40"/>
  <c r="I23" i="40"/>
  <c r="I54" i="40"/>
  <c r="I25" i="40"/>
  <c r="I38" i="40"/>
  <c r="I43" i="40"/>
  <c r="I36" i="40"/>
  <c r="I55" i="40"/>
  <c r="I18" i="40"/>
  <c r="I40" i="40"/>
  <c r="I28" i="40"/>
  <c r="I53" i="40"/>
  <c r="I22" i="40"/>
  <c r="I47" i="40"/>
  <c r="I26" i="40"/>
  <c r="I57" i="40"/>
  <c r="I13" i="40"/>
  <c r="I49" i="40"/>
  <c r="I56" i="40"/>
  <c r="I9" i="40"/>
  <c r="I30" i="40"/>
  <c r="I45" i="40"/>
  <c r="I44" i="40"/>
  <c r="D58" i="40"/>
  <c r="G58" i="40"/>
  <c r="E58" i="40"/>
  <c r="I7" i="40"/>
  <c r="B58" i="40"/>
  <c r="C58" i="40"/>
  <c r="H58" i="40"/>
  <c r="I58" i="40" l="1"/>
</calcChain>
</file>

<file path=xl/comments1.xml><?xml version="1.0" encoding="utf-8"?>
<comments xmlns="http://schemas.openxmlformats.org/spreadsheetml/2006/main">
  <authors>
    <author>cesar.rivera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<sst xmlns="http://schemas.openxmlformats.org/spreadsheetml/2006/main" count="382" uniqueCount="197">
  <si>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</si>
  <si>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</si>
  <si>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</si>
  <si>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</si>
  <si>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</si>
  <si>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</si>
  <si>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</si>
  <si>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</si>
  <si>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</si>
  <si>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</si>
  <si>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</si>
  <si>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</si>
  <si>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</si>
  <si>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</si>
  <si>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</si>
  <si>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</si>
  <si>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</si>
  <si>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</si>
  <si>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</si>
  <si>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</si>
  <si>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</si>
  <si>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</si>
  <si>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</si>
  <si>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</si>
  <si>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</si>
  <si>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</si>
  <si>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</si>
  <si>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</si>
  <si>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</si>
  <si>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</si>
  <si>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</si>
  <si>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</si>
  <si>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</si>
  <si>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</si>
  <si>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</si>
  <si>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</si>
  <si>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</si>
  <si>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</si>
  <si>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</si>
  <si>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</si>
  <si>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</si>
  <si>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</si>
  <si>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</si>
  <si>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</si>
  <si>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</si>
  <si>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</si>
  <si>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</si>
  <si>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</si>
  <si>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</si>
  <si>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</si>
  <si>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</si>
  <si>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</si>
  <si>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</si>
  <si>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</si>
  <si>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</si>
  <si>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</si>
  <si>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</si>
  <si>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</si>
  <si>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</si>
  <si>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</si>
  <si>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</si>
  <si>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</si>
  <si>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</si>
  <si>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</si>
  <si>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</si>
  <si>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</si>
  <si>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</si>
  <si>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</si>
  <si>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</si>
  <si>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</si>
  <si>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</si>
  <si>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</si>
  <si>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</si>
  <si>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MONTO ESTIMADO DE GASOLINAS</t>
  </si>
  <si>
    <t>MONTO ESTIMADO DE PARTICIPACIONES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</si>
  <si>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</si>
  <si>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</si>
  <si>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</si>
  <si>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</si>
  <si>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</si>
  <si>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</si>
  <si>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</si>
  <si>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</si>
  <si>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</si>
  <si>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</si>
  <si>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</si>
  <si>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</si>
  <si>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</si>
  <si>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</si>
  <si>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</si>
  <si>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</si>
  <si>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</si>
  <si>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</si>
  <si>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</si>
  <si>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</si>
  <si>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</si>
  <si>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</si>
  <si>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</si>
  <si>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</si>
  <si>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</si>
  <si>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</si>
  <si>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</si>
  <si>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</si>
  <si>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</si>
  <si>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</si>
  <si>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</si>
  <si>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</si>
  <si>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</si>
  <si>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</si>
  <si>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</si>
  <si>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</si>
  <si>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</si>
  <si>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</si>
  <si>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</si>
  <si>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</si>
  <si>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</si>
  <si>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</si>
  <si>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</si>
  <si>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</si>
  <si>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</si>
  <si>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</si>
  <si>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</si>
  <si>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</si>
  <si>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</si>
  <si>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</si>
  <si>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</si>
  <si>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</si>
  <si>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</si>
  <si>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</si>
  <si>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</si>
  <si>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</si>
  <si>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</si>
  <si>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MAE2=(PI*35%)+(PC*35%)+(CD*30%)</t>
  </si>
  <si>
    <t>FGP</t>
  </si>
  <si>
    <t>FFM</t>
  </si>
  <si>
    <t>IEPS</t>
  </si>
  <si>
    <t>ISAN</t>
  </si>
  <si>
    <t>POBLACIÓN  2010</t>
  </si>
  <si>
    <t>EFECTIVIDAD RECAUDACIÓN DE PREDIAL</t>
  </si>
  <si>
    <t>PARTICIPACIONES ESTIMADAS 2016</t>
  </si>
  <si>
    <t>MONTO A DISMINUIR EN MUNICIPIOS CON CRECIMIENTO SUPERIOR A 2015 MÁS INFLACIÓN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</si>
  <si>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</si>
  <si>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</si>
  <si>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</si>
  <si>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</si>
  <si>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</si>
  <si>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</si>
  <si>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</si>
  <si>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</si>
  <si>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</si>
  <si>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</si>
  <si>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</si>
  <si>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DIRECCIÓN DE COORDINACIÓN Y PLANEACIÓN HACENDARIA</t>
  </si>
  <si>
    <t>(PESOS)</t>
  </si>
  <si>
    <t>Fondo de Fiscalización y Recaudación (FOFIR) *</t>
  </si>
  <si>
    <t>Impuesto sobre Adquisición de Vehículos Nuevos (ISAN) y su Compensación</t>
  </si>
  <si>
    <t>Fondo sobre Extracción de Hidrocarburos</t>
  </si>
  <si>
    <t>FEXHI</t>
  </si>
  <si>
    <t>Estimación de Participaciones para 2016</t>
  </si>
  <si>
    <t>CÁLCULO  DE PARTICIPACIONES ESTIMADAS PARA  2016</t>
  </si>
  <si>
    <t>PARTICIPACIONES PAGADAS 2015 MÁS INFLACIÓN</t>
  </si>
  <si>
    <t xml:space="preserve"> DIFERENCIA ENTRE PARTICIPACIONES ESTIMADAS 2016 MENOS PARTICIPACIONES 2015 MÁS INFLACIÓN</t>
  </si>
  <si>
    <t>MONTOS 2015 MÁS INFLACIÓN DE MUNICIPIOS CON PARTICIPACIÓN  INFERIOR EN 2016</t>
  </si>
  <si>
    <t>MONTO NECESARIO PARA ALCANZAR 2015 MÁS INFLACIÓN
"COMPENSACIÓN"</t>
  </si>
  <si>
    <t>MONTOS 2016 DE MUNICIPIOS CON PARTICIPACIÓN SUPERIOR A 2015 MÁS INFLACIÓN</t>
  </si>
  <si>
    <t>MONTO 2016 POR ENCIMA DE 2015 MÁS INFLACIÓN</t>
  </si>
  <si>
    <t>MONTO A DISTRIBUIR EN 2016 PARA GARANTIZAR AL MENOS EL PAGO DE 2015 MÁS INFLACIÓN</t>
  </si>
  <si>
    <t>DETERMINACIÓN INCREMENTO 2016 vs PAGO 2015 MÁS INFLACIÓN</t>
  </si>
  <si>
    <t>* 4.19%DE CRECIMIENTO DE ESTIMACIÓN 2016 RESPECTO 2015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</si>
  <si>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</si>
  <si>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</si>
  <si>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</si>
  <si>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</si>
  <si>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</si>
  <si>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</si>
  <si>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</si>
  <si>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</si>
  <si>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</si>
  <si>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DETERMINACIÓN PRELIMINAR DE LOS COEFICIENTES DE PARTICIPACIÓN DE RECURSOS A MUNICIPIOS POR VARIABLE (ARTÍCULO14 FRACC II LCH 2016)</t>
  </si>
  <si>
    <t>*2.13% INFLACIÓN ANUAL 2016 ESPERADA</t>
  </si>
  <si>
    <r>
      <t xml:space="preserve">Sub-total 
</t>
    </r>
    <r>
      <rPr>
        <b/>
        <sz val="8"/>
        <rFont val="Arial"/>
        <family val="2"/>
      </rPr>
      <t>(Distribución Art 14 Fracc I)</t>
    </r>
  </si>
  <si>
    <t>FACTURACIÓN  2013
(2009-2013)</t>
  </si>
  <si>
    <t>RECAUDACIÓN 2014</t>
  </si>
  <si>
    <t>PROPORCION DE RECAUDACIÓN</t>
  </si>
  <si>
    <t>RECAUDACIÓN PONDERADO POR EFICIENCIA</t>
  </si>
  <si>
    <t>PROYECCIÓN DE POBLACIÓN 2015</t>
  </si>
  <si>
    <t>CIMP=
0.85(CS2/∑CS2)+0.15(MS/∑MS)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</si>
  <si>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</si>
  <si>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FUENTE:
Población.- Censo de población y vivienda 2010, INEGI
Proyecciones de la Población 2010-2030, Consejo Nacional de Población
Vairables de Carencia Social 2000 y 2010.- Censo de población y vivienda 2010, INEGI</t>
  </si>
  <si>
    <t>FOFIR</t>
  </si>
  <si>
    <t>COEFICIENTE PRELIMINAR DE GASOLINAS</t>
  </si>
  <si>
    <t>Estimaciones de la SHCP publicadas en el Diario Oficial de la Federación el día 18 de diciembre de 2015</t>
  </si>
  <si>
    <t>PARTICIPACIONES PAGADAS 2015
FGP, FFM, FOFIR, IEPS, ISAN, FEXHI, IEPSGYD</t>
  </si>
  <si>
    <t>COEFICIENTE PRIMER SEMESTRE 2016</t>
  </si>
  <si>
    <t>DETERMINACIÓN DEL COEFICIENTE DE PARTICIPACIÓNES FEDERALES
 PARA EL PRIMER SEMESTRE 2016  (ARTÍCULO 19 LCHNL )</t>
  </si>
  <si>
    <r>
      <t xml:space="preserve">Impuesto sobre la Venta Final de Gasolinas y Diesel (IEPSGYD)
 </t>
    </r>
    <r>
      <rPr>
        <sz val="8"/>
        <rFont val="Arial"/>
        <family val="2"/>
      </rPr>
      <t>(Distribución Art 14 Fracc II)</t>
    </r>
  </si>
  <si>
    <t>IEPSGYD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</si>
</sst>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</numFmts>
  <fonts count="5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0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69" fontId="1" fillId="0" borderId="0" applyFont="0" applyFill="0" applyBorder="0" applyAlignment="0" applyProtection="0"/>
    <xf numFmtId="0" fontId="19" fillId="3" borderId="0" applyNumberFormat="0" applyBorder="0" applyAlignment="0" applyProtection="0"/>
    <xf numFmtId="164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30" fillId="0" borderId="0"/>
    <xf numFmtId="0" fontId="3" fillId="0" borderId="0"/>
    <xf numFmtId="37" fontId="2" fillId="0" borderId="0"/>
    <xf numFmtId="0" fontId="11" fillId="23" borderId="4" applyNumberFormat="0" applyFont="0" applyAlignment="0" applyProtection="0"/>
    <xf numFmtId="170" fontId="3" fillId="0" borderId="0" applyFont="0" applyFill="0" applyBorder="0" applyAlignment="0" applyProtection="0">
      <alignment horizontal="right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171" fontId="4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87" fontId="1" fillId="0" borderId="0" applyFont="0" applyFill="0" applyBorder="0" applyAlignment="0" applyProtection="0"/>
    <xf numFmtId="0" fontId="19" fillId="3" borderId="0" applyNumberFormat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234">
    <xf numFmtId="0" fontId="0" fillId="0" borderId="0" xfId="0"/>
    <xf numFmtId="37" fontId="2" fillId="0" borderId="0" xfId="37" applyFont="1" applyProtection="1"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8" fillId="0" borderId="0" xfId="37" applyFont="1" applyBorder="1" applyAlignment="1" applyProtection="1">
      <alignment horizontal="center" vertical="center" wrapText="1"/>
      <protection hidden="1"/>
    </xf>
    <xf numFmtId="37" fontId="31" fillId="0" borderId="0" xfId="37" applyFont="1" applyBorder="1" applyAlignment="1" applyProtection="1">
      <alignment horizontal="center" vertical="center" wrapText="1"/>
      <protection hidden="1"/>
    </xf>
    <xf numFmtId="37" fontId="1" fillId="0" borderId="11" xfId="37" applyFont="1" applyFill="1" applyBorder="1" applyAlignment="1" applyProtection="1">
      <alignment horizontal="left"/>
      <protection hidden="1"/>
    </xf>
    <xf numFmtId="37" fontId="1" fillId="0" borderId="20" xfId="37" applyFont="1" applyFill="1" applyBorder="1" applyAlignment="1" applyProtection="1">
      <alignment horizontal="right"/>
      <protection hidden="1"/>
    </xf>
    <xf numFmtId="37" fontId="1" fillId="0" borderId="12" xfId="37" applyFont="1" applyFill="1" applyBorder="1" applyAlignment="1" applyProtection="1">
      <alignment horizontal="left"/>
      <protection hidden="1"/>
    </xf>
    <xf numFmtId="37" fontId="1" fillId="0" borderId="23" xfId="37" applyFont="1" applyFill="1" applyBorder="1" applyAlignment="1" applyProtection="1">
      <alignment horizontal="right"/>
      <protection hidden="1"/>
    </xf>
    <xf numFmtId="37" fontId="2" fillId="0" borderId="0" xfId="37" applyFont="1" applyFill="1" applyProtection="1">
      <protection hidden="1"/>
    </xf>
    <xf numFmtId="37" fontId="2" fillId="0" borderId="0" xfId="37" applyFont="1" applyBorder="1" applyProtection="1">
      <protection hidden="1"/>
    </xf>
    <xf numFmtId="37" fontId="6" fillId="0" borderId="13" xfId="37" applyFont="1" applyFill="1" applyBorder="1" applyAlignment="1" applyProtection="1">
      <alignment horizontal="left"/>
      <protection hidden="1"/>
    </xf>
    <xf numFmtId="37" fontId="6" fillId="0" borderId="14" xfId="37" applyFont="1" applyFill="1" applyBorder="1" applyAlignment="1" applyProtection="1">
      <alignment horizontal="right"/>
      <protection hidden="1"/>
    </xf>
    <xf numFmtId="37" fontId="5" fillId="0" borderId="0" xfId="37" applyFont="1" applyProtection="1">
      <protection hidden="1"/>
    </xf>
    <xf numFmtId="2" fontId="5" fillId="0" borderId="0" xfId="33" applyNumberFormat="1" applyFont="1" applyFill="1" applyBorder="1" applyProtection="1">
      <protection hidden="1"/>
    </xf>
    <xf numFmtId="164" fontId="2" fillId="0" borderId="0" xfId="33" applyFont="1" applyBorder="1" applyProtection="1">
      <protection hidden="1"/>
    </xf>
    <xf numFmtId="167" fontId="10" fillId="0" borderId="0" xfId="40" applyNumberFormat="1" applyFont="1" applyBorder="1" applyProtection="1">
      <protection hidden="1"/>
    </xf>
    <xf numFmtId="172" fontId="2" fillId="0" borderId="0" xfId="37" applyNumberFormat="1" applyFont="1" applyProtection="1">
      <protection hidden="1"/>
    </xf>
    <xf numFmtId="167" fontId="10" fillId="0" borderId="0" xfId="40" applyNumberFormat="1" applyFont="1" applyProtection="1">
      <protection hidden="1"/>
    </xf>
    <xf numFmtId="37" fontId="6" fillId="0" borderId="10" xfId="37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9" fontId="6" fillId="0" borderId="10" xfId="40" applyFont="1" applyFill="1" applyBorder="1" applyAlignment="1" applyProtection="1">
      <alignment horizontal="center" vertical="center" wrapText="1"/>
      <protection hidden="1"/>
    </xf>
    <xf numFmtId="37" fontId="1" fillId="0" borderId="0" xfId="37" applyFont="1" applyFill="1" applyProtection="1">
      <protection hidden="1"/>
    </xf>
    <xf numFmtId="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1" fillId="0" borderId="0" xfId="37" applyFont="1" applyProtection="1">
      <protection hidden="1"/>
    </xf>
    <xf numFmtId="37" fontId="33" fillId="0" borderId="0" xfId="37" applyFont="1" applyAlignment="1" applyProtection="1">
      <alignment horizontal="center" vertical="center"/>
      <protection hidden="1"/>
    </xf>
    <xf numFmtId="37" fontId="33" fillId="0" borderId="0" xfId="37" applyFont="1" applyFill="1" applyProtection="1">
      <protection hidden="1"/>
    </xf>
    <xf numFmtId="37" fontId="33" fillId="0" borderId="0" xfId="37" applyFont="1" applyProtection="1">
      <protection hidden="1"/>
    </xf>
    <xf numFmtId="37" fontId="38" fillId="0" borderId="0" xfId="37" applyFont="1" applyFill="1" applyBorder="1" applyAlignment="1" applyProtection="1">
      <alignment horizontal="center" vertical="center" wrapText="1"/>
      <protection hidden="1"/>
    </xf>
    <xf numFmtId="37" fontId="38" fillId="0" borderId="0" xfId="37" applyFont="1" applyFill="1" applyProtection="1">
      <protection hidden="1"/>
    </xf>
    <xf numFmtId="177" fontId="38" fillId="0" borderId="0" xfId="37" applyNumberFormat="1" applyFont="1" applyFill="1" applyProtection="1">
      <protection hidden="1"/>
    </xf>
    <xf numFmtId="178" fontId="39" fillId="0" borderId="0" xfId="0" applyNumberFormat="1" applyFont="1" applyFill="1" applyAlignment="1" applyProtection="1">
      <alignment horizontal="center" vertical="center" wrapText="1"/>
      <protection hidden="1"/>
    </xf>
    <xf numFmtId="177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Alignment="1" applyProtection="1">
      <alignment horizontal="center" vertical="center" wrapText="1"/>
      <protection hidden="1"/>
    </xf>
    <xf numFmtId="37" fontId="33" fillId="0" borderId="0" xfId="37" applyFont="1" applyAlignment="1" applyProtection="1">
      <alignment horizontal="center" vertical="center" wrapText="1"/>
      <protection hidden="1"/>
    </xf>
    <xf numFmtId="37" fontId="38" fillId="0" borderId="0" xfId="37" applyFont="1" applyProtection="1">
      <protection hidden="1"/>
    </xf>
    <xf numFmtId="3" fontId="32" fillId="0" borderId="20" xfId="0" applyNumberFormat="1" applyFont="1" applyBorder="1" applyProtection="1">
      <protection hidden="1"/>
    </xf>
    <xf numFmtId="175" fontId="1" fillId="0" borderId="20" xfId="40" applyNumberFormat="1" applyFont="1" applyFill="1" applyBorder="1" applyProtection="1">
      <protection hidden="1"/>
    </xf>
    <xf numFmtId="177" fontId="1" fillId="0" borderId="20" xfId="40" applyNumberFormat="1" applyFont="1" applyFill="1" applyBorder="1" applyProtection="1">
      <protection hidden="1"/>
    </xf>
    <xf numFmtId="165" fontId="1" fillId="0" borderId="20" xfId="33" applyNumberFormat="1" applyFont="1" applyFill="1" applyBorder="1" applyProtection="1">
      <protection hidden="1"/>
    </xf>
    <xf numFmtId="177" fontId="1" fillId="0" borderId="27" xfId="40" applyNumberFormat="1" applyFont="1" applyFill="1" applyBorder="1" applyProtection="1">
      <protection hidden="1"/>
    </xf>
    <xf numFmtId="37" fontId="1" fillId="0" borderId="11" xfId="37" applyFont="1" applyFill="1" applyBorder="1" applyAlignment="1" applyProtection="1">
      <protection hidden="1"/>
    </xf>
    <xf numFmtId="37" fontId="1" fillId="0" borderId="20" xfId="37" applyFont="1" applyFill="1" applyBorder="1" applyAlignment="1" applyProtection="1">
      <protection hidden="1"/>
    </xf>
    <xf numFmtId="179" fontId="1" fillId="0" borderId="20" xfId="37" applyNumberFormat="1" applyFont="1" applyFill="1" applyBorder="1" applyAlignment="1" applyProtection="1">
      <protection hidden="1"/>
    </xf>
    <xf numFmtId="175" fontId="32" fillId="0" borderId="20" xfId="40" applyNumberFormat="1" applyFont="1" applyBorder="1" applyProtection="1">
      <protection hidden="1"/>
    </xf>
    <xf numFmtId="1" fontId="41" fillId="0" borderId="20" xfId="40" applyNumberFormat="1" applyFont="1" applyBorder="1" applyProtection="1">
      <protection hidden="1"/>
    </xf>
    <xf numFmtId="179" fontId="1" fillId="0" borderId="22" xfId="37" applyNumberFormat="1" applyFont="1" applyFill="1" applyBorder="1" applyAlignment="1" applyProtection="1">
      <protection hidden="1"/>
    </xf>
    <xf numFmtId="177" fontId="32" fillId="0" borderId="20" xfId="40" applyNumberFormat="1" applyFont="1" applyBorder="1" applyProtection="1">
      <protection hidden="1"/>
    </xf>
    <xf numFmtId="174" fontId="1" fillId="0" borderId="20" xfId="33" applyNumberFormat="1" applyFont="1" applyFill="1" applyBorder="1" applyProtection="1">
      <protection hidden="1"/>
    </xf>
    <xf numFmtId="165" fontId="1" fillId="0" borderId="27" xfId="33" applyNumberFormat="1" applyFont="1" applyFill="1" applyBorder="1" applyProtection="1">
      <protection hidden="1"/>
    </xf>
    <xf numFmtId="37" fontId="1" fillId="0" borderId="11" xfId="37" applyFont="1" applyBorder="1" applyProtection="1">
      <protection hidden="1"/>
    </xf>
    <xf numFmtId="37" fontId="1" fillId="0" borderId="20" xfId="37" applyFont="1" applyBorder="1" applyProtection="1">
      <protection hidden="1"/>
    </xf>
    <xf numFmtId="178" fontId="1" fillId="0" borderId="21" xfId="40" applyNumberFormat="1" applyFont="1" applyBorder="1" applyProtection="1">
      <protection hidden="1"/>
    </xf>
    <xf numFmtId="3" fontId="32" fillId="0" borderId="23" xfId="0" applyNumberFormat="1" applyFont="1" applyBorder="1" applyProtection="1">
      <protection hidden="1"/>
    </xf>
    <xf numFmtId="175" fontId="1" fillId="0" borderId="23" xfId="40" applyNumberFormat="1" applyFont="1" applyFill="1" applyBorder="1" applyProtection="1">
      <protection hidden="1"/>
    </xf>
    <xf numFmtId="177" fontId="1" fillId="0" borderId="23" xfId="40" applyNumberFormat="1" applyFont="1" applyFill="1" applyBorder="1" applyProtection="1">
      <protection hidden="1"/>
    </xf>
    <xf numFmtId="165" fontId="1" fillId="0" borderId="23" xfId="33" applyNumberFormat="1" applyFont="1" applyFill="1" applyBorder="1" applyProtection="1">
      <protection hidden="1"/>
    </xf>
    <xf numFmtId="177" fontId="1" fillId="0" borderId="28" xfId="40" applyNumberFormat="1" applyFont="1" applyFill="1" applyBorder="1" applyProtection="1">
      <protection hidden="1"/>
    </xf>
    <xf numFmtId="37" fontId="1" fillId="0" borderId="12" xfId="37" applyFont="1" applyFill="1" applyBorder="1" applyAlignment="1" applyProtection="1">
      <protection hidden="1"/>
    </xf>
    <xf numFmtId="37" fontId="1" fillId="0" borderId="23" xfId="37" applyFont="1" applyFill="1" applyBorder="1" applyAlignment="1" applyProtection="1">
      <protection hidden="1"/>
    </xf>
    <xf numFmtId="179" fontId="1" fillId="0" borderId="23" xfId="37" applyNumberFormat="1" applyFont="1" applyFill="1" applyBorder="1" applyAlignment="1" applyProtection="1">
      <protection hidden="1"/>
    </xf>
    <xf numFmtId="175" fontId="32" fillId="0" borderId="23" xfId="40" applyNumberFormat="1" applyFont="1" applyBorder="1" applyProtection="1">
      <protection hidden="1"/>
    </xf>
    <xf numFmtId="1" fontId="41" fillId="0" borderId="23" xfId="40" applyNumberFormat="1" applyFont="1" applyBorder="1" applyProtection="1">
      <protection hidden="1"/>
    </xf>
    <xf numFmtId="179" fontId="1" fillId="0" borderId="24" xfId="37" applyNumberFormat="1" applyFont="1" applyFill="1" applyBorder="1" applyAlignment="1" applyProtection="1">
      <protection hidden="1"/>
    </xf>
    <xf numFmtId="177" fontId="32" fillId="0" borderId="23" xfId="40" applyNumberFormat="1" applyFont="1" applyBorder="1" applyProtection="1">
      <protection hidden="1"/>
    </xf>
    <xf numFmtId="174" fontId="1" fillId="0" borderId="23" xfId="33" applyNumberFormat="1" applyFont="1" applyFill="1" applyBorder="1" applyProtection="1">
      <protection hidden="1"/>
    </xf>
    <xf numFmtId="165" fontId="1" fillId="0" borderId="28" xfId="33" applyNumberFormat="1" applyFont="1" applyFill="1" applyBorder="1" applyProtection="1">
      <protection hidden="1"/>
    </xf>
    <xf numFmtId="37" fontId="1" fillId="0" borderId="12" xfId="37" applyFont="1" applyBorder="1" applyProtection="1">
      <protection hidden="1"/>
    </xf>
    <xf numFmtId="37" fontId="1" fillId="0" borderId="23" xfId="37" applyFont="1" applyBorder="1" applyProtection="1">
      <protection hidden="1"/>
    </xf>
    <xf numFmtId="178" fontId="1" fillId="0" borderId="19" xfId="40" applyNumberFormat="1" applyFont="1" applyBorder="1" applyProtection="1">
      <protection hidden="1"/>
    </xf>
    <xf numFmtId="3" fontId="34" fillId="0" borderId="14" xfId="0" applyNumberFormat="1" applyFont="1" applyBorder="1" applyProtection="1">
      <protection hidden="1"/>
    </xf>
    <xf numFmtId="175" fontId="6" fillId="0" borderId="14" xfId="40" applyNumberFormat="1" applyFont="1" applyFill="1" applyBorder="1" applyProtection="1">
      <protection hidden="1"/>
    </xf>
    <xf numFmtId="177" fontId="6" fillId="0" borderId="14" xfId="40" applyNumberFormat="1" applyFont="1" applyFill="1" applyBorder="1" applyProtection="1">
      <protection hidden="1"/>
    </xf>
    <xf numFmtId="165" fontId="6" fillId="0" borderId="14" xfId="33" applyNumberFormat="1" applyFont="1" applyFill="1" applyBorder="1" applyProtection="1">
      <protection hidden="1"/>
    </xf>
    <xf numFmtId="177" fontId="6" fillId="0" borderId="26" xfId="40" applyNumberFormat="1" applyFont="1" applyFill="1" applyBorder="1" applyProtection="1">
      <protection hidden="1"/>
    </xf>
    <xf numFmtId="37" fontId="40" fillId="0" borderId="13" xfId="37" applyFont="1" applyFill="1" applyBorder="1" applyAlignment="1" applyProtection="1">
      <protection hidden="1"/>
    </xf>
    <xf numFmtId="37" fontId="40" fillId="0" borderId="14" xfId="37" applyFont="1" applyFill="1" applyBorder="1" applyAlignment="1" applyProtection="1">
      <protection hidden="1"/>
    </xf>
    <xf numFmtId="173" fontId="40" fillId="0" borderId="14" xfId="37" applyNumberFormat="1" applyFont="1" applyFill="1" applyBorder="1" applyAlignment="1" applyProtection="1">
      <protection hidden="1"/>
    </xf>
    <xf numFmtId="175" fontId="34" fillId="0" borderId="14" xfId="40" applyNumberFormat="1" applyFont="1" applyBorder="1" applyProtection="1">
      <protection hidden="1"/>
    </xf>
    <xf numFmtId="1" fontId="42" fillId="0" borderId="14" xfId="40" applyNumberFormat="1" applyFont="1" applyBorder="1" applyProtection="1">
      <protection hidden="1"/>
    </xf>
    <xf numFmtId="173" fontId="40" fillId="0" borderId="25" xfId="37" applyNumberFormat="1" applyFont="1" applyFill="1" applyBorder="1" applyAlignment="1" applyProtection="1">
      <protection hidden="1"/>
    </xf>
    <xf numFmtId="177" fontId="34" fillId="0" borderId="14" xfId="40" applyNumberFormat="1" applyFont="1" applyBorder="1" applyProtection="1">
      <protection hidden="1"/>
    </xf>
    <xf numFmtId="168" fontId="6" fillId="0" borderId="14" xfId="40" applyNumberFormat="1" applyFont="1" applyFill="1" applyBorder="1" applyProtection="1">
      <protection hidden="1"/>
    </xf>
    <xf numFmtId="177" fontId="6" fillId="0" borderId="14" xfId="33" applyNumberFormat="1" applyFont="1" applyFill="1" applyBorder="1" applyProtection="1">
      <protection hidden="1"/>
    </xf>
    <xf numFmtId="174" fontId="6" fillId="0" borderId="14" xfId="33" applyNumberFormat="1" applyFont="1" applyFill="1" applyBorder="1" applyProtection="1">
      <protection hidden="1"/>
    </xf>
    <xf numFmtId="165" fontId="6" fillId="0" borderId="26" xfId="40" applyNumberFormat="1" applyFont="1" applyFill="1" applyBorder="1" applyProtection="1">
      <protection hidden="1"/>
    </xf>
    <xf numFmtId="37" fontId="6" fillId="0" borderId="13" xfId="37" applyFont="1" applyBorder="1" applyProtection="1">
      <protection hidden="1"/>
    </xf>
    <xf numFmtId="37" fontId="6" fillId="0" borderId="14" xfId="37" applyFont="1" applyBorder="1" applyProtection="1">
      <protection hidden="1"/>
    </xf>
    <xf numFmtId="178" fontId="6" fillId="0" borderId="15" xfId="40" applyNumberFormat="1" applyFont="1" applyBorder="1" applyProtection="1">
      <protection hidden="1"/>
    </xf>
    <xf numFmtId="177" fontId="1" fillId="0" borderId="0" xfId="37" applyNumberFormat="1" applyFont="1" applyProtection="1">
      <protection hidden="1"/>
    </xf>
    <xf numFmtId="39" fontId="1" fillId="0" borderId="0" xfId="37" applyNumberFormat="1" applyFont="1" applyProtection="1">
      <protection hidden="1"/>
    </xf>
    <xf numFmtId="178" fontId="1" fillId="0" borderId="0" xfId="37" applyNumberFormat="1" applyFont="1" applyProtection="1">
      <protection hidden="1"/>
    </xf>
    <xf numFmtId="166" fontId="1" fillId="0" borderId="0" xfId="40" applyNumberFormat="1" applyFont="1" applyProtection="1">
      <protection hidden="1"/>
    </xf>
    <xf numFmtId="177" fontId="1" fillId="0" borderId="0" xfId="37" applyNumberFormat="1" applyFont="1" applyFill="1" applyProtection="1">
      <protection hidden="1"/>
    </xf>
    <xf numFmtId="178" fontId="1" fillId="0" borderId="0" xfId="37" applyNumberFormat="1" applyFont="1" applyFill="1" applyProtection="1">
      <protection hidden="1"/>
    </xf>
    <xf numFmtId="166" fontId="1" fillId="0" borderId="0" xfId="40" applyNumberFormat="1" applyFont="1" applyFill="1" applyProtection="1">
      <protection hidden="1"/>
    </xf>
    <xf numFmtId="39" fontId="6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5" fillId="0" borderId="0" xfId="37" applyFont="1" applyFill="1" applyBorder="1" applyAlignment="1" applyProtection="1">
      <alignment horizontal="center" vertical="center" wrapText="1"/>
      <protection hidden="1"/>
    </xf>
    <xf numFmtId="39" fontId="33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8" fillId="0" borderId="0" xfId="37" applyNumberFormat="1" applyFont="1" applyFill="1" applyProtection="1">
      <protection hidden="1"/>
    </xf>
    <xf numFmtId="39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8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1" fillId="0" borderId="11" xfId="37" applyNumberFormat="1" applyFont="1" applyFill="1" applyBorder="1" applyProtection="1">
      <protection hidden="1"/>
    </xf>
    <xf numFmtId="37" fontId="1" fillId="0" borderId="12" xfId="37" applyNumberFormat="1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176" fontId="10" fillId="0" borderId="19" xfId="33" applyNumberFormat="1" applyFont="1" applyFill="1" applyBorder="1" applyProtection="1">
      <protection hidden="1"/>
    </xf>
    <xf numFmtId="176" fontId="10" fillId="0" borderId="21" xfId="33" applyNumberFormat="1" applyFont="1" applyFill="1" applyBorder="1" applyProtection="1">
      <protection hidden="1"/>
    </xf>
    <xf numFmtId="176" fontId="7" fillId="0" borderId="15" xfId="33" applyNumberFormat="1" applyFont="1" applyFill="1" applyBorder="1" applyProtection="1">
      <protection hidden="1"/>
    </xf>
    <xf numFmtId="37" fontId="45" fillId="0" borderId="0" xfId="37" applyFont="1" applyAlignment="1" applyProtection="1">
      <alignment horizontal="center"/>
      <protection hidden="1"/>
    </xf>
    <xf numFmtId="37" fontId="1" fillId="0" borderId="0" xfId="37" applyFont="1" applyAlignment="1" applyProtection="1">
      <alignment wrapText="1"/>
      <protection hidden="1"/>
    </xf>
    <xf numFmtId="37" fontId="1" fillId="0" borderId="30" xfId="37" applyFont="1" applyBorder="1" applyAlignment="1" applyProtection="1">
      <alignment wrapText="1"/>
      <protection hidden="1"/>
    </xf>
    <xf numFmtId="37" fontId="49" fillId="0" borderId="0" xfId="37" applyFont="1" applyProtection="1">
      <protection hidden="1"/>
    </xf>
    <xf numFmtId="37" fontId="6" fillId="0" borderId="29" xfId="37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9" fontId="6" fillId="0" borderId="29" xfId="40" applyFont="1" applyFill="1" applyBorder="1" applyAlignment="1" applyProtection="1">
      <alignment horizontal="center" vertical="center" wrapText="1"/>
      <protection hidden="1"/>
    </xf>
    <xf numFmtId="37" fontId="6" fillId="0" borderId="0" xfId="37" applyFont="1" applyFill="1" applyBorder="1" applyAlignment="1" applyProtection="1">
      <alignment horizontal="center" vertical="center" wrapText="1"/>
      <protection hidden="1"/>
    </xf>
    <xf numFmtId="9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6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3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Border="1" applyAlignment="1" applyProtection="1">
      <alignment horizontal="center" vertical="center" wrapText="1"/>
      <protection hidden="1"/>
    </xf>
    <xf numFmtId="177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5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3" fillId="0" borderId="0" xfId="39" applyFont="1" applyFill="1" applyBorder="1" applyAlignment="1" applyProtection="1">
      <alignment horizontal="center" vertical="center" wrapText="1"/>
      <protection hidden="1"/>
    </xf>
    <xf numFmtId="37" fontId="1" fillId="0" borderId="0" xfId="37" applyFont="1" applyFill="1" applyBorder="1" applyProtection="1">
      <protection hidden="1"/>
    </xf>
    <xf numFmtId="180" fontId="1" fillId="0" borderId="20" xfId="40" applyNumberFormat="1" applyFont="1" applyFill="1" applyBorder="1" applyProtection="1">
      <protection hidden="1"/>
    </xf>
    <xf numFmtId="180" fontId="1" fillId="0" borderId="23" xfId="40" applyNumberFormat="1" applyFont="1" applyFill="1" applyBorder="1" applyProtection="1">
      <protection hidden="1"/>
    </xf>
    <xf numFmtId="180" fontId="6" fillId="0" borderId="14" xfId="40" applyNumberFormat="1" applyFont="1" applyFill="1" applyBorder="1" applyProtection="1">
      <protection hidden="1"/>
    </xf>
    <xf numFmtId="181" fontId="1" fillId="0" borderId="20" xfId="40" applyNumberFormat="1" applyFont="1" applyFill="1" applyBorder="1" applyProtection="1">
      <protection hidden="1"/>
    </xf>
    <xf numFmtId="181" fontId="1" fillId="0" borderId="23" xfId="40" applyNumberFormat="1" applyFont="1" applyFill="1" applyBorder="1" applyProtection="1">
      <protection hidden="1"/>
    </xf>
    <xf numFmtId="181" fontId="6" fillId="0" borderId="14" xfId="40" applyNumberFormat="1" applyFont="1" applyFill="1" applyBorder="1" applyProtection="1">
      <protection hidden="1"/>
    </xf>
    <xf numFmtId="39" fontId="6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82" fontId="2" fillId="0" borderId="20" xfId="40" applyNumberFormat="1" applyFont="1" applyFill="1" applyBorder="1" applyProtection="1">
      <protection hidden="1"/>
    </xf>
    <xf numFmtId="182" fontId="2" fillId="0" borderId="23" xfId="40" applyNumberFormat="1" applyFont="1" applyFill="1" applyBorder="1" applyProtection="1">
      <protection hidden="1"/>
    </xf>
    <xf numFmtId="182" fontId="5" fillId="0" borderId="14" xfId="40" applyNumberFormat="1" applyFont="1" applyFill="1" applyBorder="1" applyProtection="1">
      <protection hidden="1"/>
    </xf>
    <xf numFmtId="183" fontId="31" fillId="0" borderId="0" xfId="37" applyNumberFormat="1" applyFont="1" applyBorder="1" applyAlignment="1" applyProtection="1">
      <alignment horizontal="center" vertical="center" wrapText="1"/>
      <protection hidden="1"/>
    </xf>
    <xf numFmtId="183" fontId="2" fillId="0" borderId="0" xfId="37" applyNumberFormat="1" applyFont="1" applyProtection="1">
      <protection hidden="1"/>
    </xf>
    <xf numFmtId="178" fontId="44" fillId="0" borderId="0" xfId="37" applyNumberFormat="1" applyFont="1" applyAlignment="1" applyProtection="1">
      <alignment horizontal="center" vertical="center"/>
      <protection hidden="1"/>
    </xf>
    <xf numFmtId="49" fontId="46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2" fillId="0" borderId="0" xfId="37" applyNumberFormat="1" applyFont="1" applyProtection="1">
      <protection hidden="1"/>
    </xf>
    <xf numFmtId="185" fontId="2" fillId="0" borderId="0" xfId="40" applyNumberFormat="1" applyFont="1" applyProtection="1">
      <protection hidden="1"/>
    </xf>
    <xf numFmtId="178" fontId="43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1" fillId="0" borderId="21" xfId="40" applyNumberFormat="1" applyFont="1" applyFill="1" applyBorder="1" applyProtection="1">
      <protection hidden="1"/>
    </xf>
    <xf numFmtId="178" fontId="1" fillId="0" borderId="19" xfId="40" applyNumberFormat="1" applyFont="1" applyFill="1" applyBorder="1" applyProtection="1">
      <protection hidden="1"/>
    </xf>
    <xf numFmtId="178" fontId="6" fillId="0" borderId="15" xfId="40" applyNumberFormat="1" applyFont="1" applyFill="1" applyBorder="1" applyProtection="1">
      <protection hidden="1"/>
    </xf>
    <xf numFmtId="37" fontId="45" fillId="0" borderId="0" xfId="37" applyFont="1" applyAlignment="1" applyProtection="1">
      <protection hidden="1"/>
    </xf>
    <xf numFmtId="0" fontId="43" fillId="0" borderId="10" xfId="0" applyFont="1" applyFill="1" applyBorder="1" applyAlignment="1" applyProtection="1">
      <alignment horizontal="center" vertical="center" wrapText="1"/>
      <protection hidden="1"/>
    </xf>
    <xf numFmtId="165" fontId="34" fillId="0" borderId="14" xfId="33" applyNumberFormat="1" applyFont="1" applyFill="1" applyBorder="1" applyProtection="1"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178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3" fillId="0" borderId="0" xfId="37" applyFont="1" applyFill="1" applyAlignment="1" applyProtection="1">
      <alignment horizontal="center" vertical="center"/>
      <protection hidden="1"/>
    </xf>
    <xf numFmtId="178" fontId="33" fillId="0" borderId="0" xfId="37" applyNumberFormat="1" applyFont="1" applyFill="1" applyProtection="1">
      <protection hidden="1"/>
    </xf>
    <xf numFmtId="37" fontId="33" fillId="0" borderId="0" xfId="37" applyFont="1" applyFill="1" applyAlignment="1" applyProtection="1">
      <alignment horizontal="center" vertical="center" wrapText="1"/>
      <protection hidden="1"/>
    </xf>
    <xf numFmtId="178" fontId="33" fillId="0" borderId="0" xfId="37" applyNumberFormat="1" applyFont="1" applyFill="1" applyAlignment="1" applyProtection="1">
      <alignment horizontal="center" vertical="center" wrapText="1"/>
      <protection hidden="1"/>
    </xf>
    <xf numFmtId="3" fontId="32" fillId="0" borderId="20" xfId="0" applyNumberFormat="1" applyFont="1" applyFill="1" applyBorder="1" applyProtection="1">
      <protection hidden="1"/>
    </xf>
    <xf numFmtId="178" fontId="1" fillId="0" borderId="16" xfId="33" applyNumberFormat="1" applyFont="1" applyFill="1" applyBorder="1" applyProtection="1">
      <protection hidden="1"/>
    </xf>
    <xf numFmtId="37" fontId="1" fillId="0" borderId="11" xfId="37" applyFont="1" applyFill="1" applyBorder="1" applyProtection="1">
      <protection hidden="1"/>
    </xf>
    <xf numFmtId="37" fontId="1" fillId="0" borderId="20" xfId="37" applyFont="1" applyFill="1" applyBorder="1" applyProtection="1">
      <protection hidden="1"/>
    </xf>
    <xf numFmtId="178" fontId="1" fillId="0" borderId="21" xfId="37" applyNumberFormat="1" applyFont="1" applyFill="1" applyBorder="1" applyProtection="1">
      <protection hidden="1"/>
    </xf>
    <xf numFmtId="3" fontId="32" fillId="0" borderId="23" xfId="0" applyNumberFormat="1" applyFont="1" applyFill="1" applyBorder="1" applyProtection="1">
      <protection hidden="1"/>
    </xf>
    <xf numFmtId="178" fontId="1" fillId="0" borderId="17" xfId="33" applyNumberFormat="1" applyFont="1" applyFill="1" applyBorder="1" applyProtection="1">
      <protection hidden="1"/>
    </xf>
    <xf numFmtId="37" fontId="1" fillId="0" borderId="12" xfId="37" applyFont="1" applyFill="1" applyBorder="1" applyProtection="1">
      <protection hidden="1"/>
    </xf>
    <xf numFmtId="37" fontId="1" fillId="0" borderId="23" xfId="37" applyFont="1" applyFill="1" applyBorder="1" applyProtection="1">
      <protection hidden="1"/>
    </xf>
    <xf numFmtId="178" fontId="1" fillId="0" borderId="19" xfId="37" applyNumberFormat="1" applyFont="1" applyFill="1" applyBorder="1" applyProtection="1">
      <protection hidden="1"/>
    </xf>
    <xf numFmtId="3" fontId="34" fillId="0" borderId="14" xfId="0" applyNumberFormat="1" applyFont="1" applyFill="1" applyBorder="1" applyProtection="1">
      <protection hidden="1"/>
    </xf>
    <xf numFmtId="37" fontId="6" fillId="0" borderId="13" xfId="37" applyNumberFormat="1" applyFont="1" applyFill="1" applyBorder="1" applyProtection="1">
      <protection hidden="1"/>
    </xf>
    <xf numFmtId="178" fontId="6" fillId="0" borderId="18" xfId="40" applyNumberFormat="1" applyFont="1" applyFill="1" applyBorder="1" applyProtection="1">
      <protection hidden="1"/>
    </xf>
    <xf numFmtId="37" fontId="6" fillId="0" borderId="13" xfId="37" applyFont="1" applyFill="1" applyBorder="1" applyProtection="1">
      <protection hidden="1"/>
    </xf>
    <xf numFmtId="37" fontId="6" fillId="0" borderId="14" xfId="37" applyFont="1" applyFill="1" applyBorder="1" applyProtection="1">
      <protection hidden="1"/>
    </xf>
    <xf numFmtId="178" fontId="6" fillId="0" borderId="15" xfId="37" applyNumberFormat="1" applyFont="1" applyFill="1" applyBorder="1" applyProtection="1">
      <protection hidden="1"/>
    </xf>
    <xf numFmtId="10" fontId="46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6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2" fillId="0" borderId="0" xfId="37" applyNumberFormat="1" applyFont="1" applyProtection="1">
      <protection hidden="1"/>
    </xf>
    <xf numFmtId="175" fontId="2" fillId="0" borderId="0" xfId="40" applyNumberFormat="1" applyFont="1" applyProtection="1">
      <protection hidden="1"/>
    </xf>
    <xf numFmtId="0" fontId="1" fillId="0" borderId="0" xfId="53"/>
    <xf numFmtId="0" fontId="6" fillId="0" borderId="38" xfId="53" applyFont="1" applyBorder="1" applyAlignment="1">
      <alignment horizontal="center" vertical="center" wrapText="1"/>
    </xf>
    <xf numFmtId="0" fontId="1" fillId="0" borderId="38" xfId="53" applyFont="1" applyBorder="1" applyAlignment="1">
      <alignment vertical="center" wrapText="1"/>
    </xf>
    <xf numFmtId="0" fontId="1" fillId="0" borderId="38" xfId="53" applyFont="1" applyBorder="1" applyAlignment="1">
      <alignment horizontal="center" vertical="center" wrapText="1"/>
    </xf>
    <xf numFmtId="0" fontId="1" fillId="0" borderId="0" xfId="53" applyFont="1" applyBorder="1" applyAlignment="1">
      <alignment vertical="center"/>
    </xf>
    <xf numFmtId="3" fontId="1" fillId="0" borderId="0" xfId="53" applyNumberFormat="1" applyBorder="1" applyAlignment="1">
      <alignment horizontal="center" vertical="center"/>
    </xf>
    <xf numFmtId="0" fontId="1" fillId="0" borderId="0" xfId="53" applyBorder="1" applyAlignment="1">
      <alignment horizontal="center" vertical="center"/>
    </xf>
    <xf numFmtId="0" fontId="1" fillId="0" borderId="0" xfId="53" applyFont="1"/>
    <xf numFmtId="188" fontId="0" fillId="0" borderId="0" xfId="51" applyNumberFormat="1" applyFont="1"/>
    <xf numFmtId="188" fontId="1" fillId="0" borderId="0" xfId="51" applyNumberFormat="1" applyFont="1"/>
    <xf numFmtId="188" fontId="6" fillId="0" borderId="39" xfId="51" applyNumberFormat="1" applyFont="1" applyFill="1" applyBorder="1" applyAlignment="1">
      <alignment horizontal="center" vertical="center" wrapText="1"/>
    </xf>
    <xf numFmtId="188" fontId="6" fillId="0" borderId="40" xfId="51" applyNumberFormat="1" applyFont="1" applyFill="1" applyBorder="1" applyAlignment="1">
      <alignment horizontal="center" vertical="center" wrapText="1"/>
    </xf>
    <xf numFmtId="188" fontId="6" fillId="0" borderId="40" xfId="51" applyNumberFormat="1" applyFont="1" applyFill="1" applyBorder="1" applyAlignment="1">
      <alignment horizontal="center" vertical="center"/>
    </xf>
    <xf numFmtId="188" fontId="6" fillId="0" borderId="41" xfId="51" applyNumberFormat="1" applyFont="1" applyFill="1" applyBorder="1" applyAlignment="1">
      <alignment horizontal="center" vertical="center"/>
    </xf>
    <xf numFmtId="188" fontId="6" fillId="0" borderId="42" xfId="51" applyNumberFormat="1" applyFont="1" applyFill="1" applyBorder="1"/>
    <xf numFmtId="188" fontId="0" fillId="0" borderId="0" xfId="51" applyNumberFormat="1" applyFont="1" applyFill="1" applyBorder="1"/>
    <xf numFmtId="188" fontId="6" fillId="0" borderId="43" xfId="51" applyNumberFormat="1" applyFont="1" applyFill="1" applyBorder="1"/>
    <xf numFmtId="188" fontId="6" fillId="0" borderId="39" xfId="51" applyNumberFormat="1" applyFont="1" applyFill="1" applyBorder="1"/>
    <xf numFmtId="188" fontId="6" fillId="0" borderId="40" xfId="51" applyNumberFormat="1" applyFont="1" applyFill="1" applyBorder="1"/>
    <xf numFmtId="188" fontId="6" fillId="0" borderId="41" xfId="51" applyNumberFormat="1" applyFont="1" applyFill="1" applyBorder="1"/>
    <xf numFmtId="188" fontId="6" fillId="0" borderId="0" xfId="51" applyNumberFormat="1" applyFont="1" applyFill="1" applyBorder="1"/>
    <xf numFmtId="14" fontId="0" fillId="0" borderId="0" xfId="51" applyNumberFormat="1" applyFont="1" applyAlignment="1">
      <alignment horizontal="left"/>
    </xf>
    <xf numFmtId="0" fontId="6" fillId="0" borderId="38" xfId="53" applyFont="1" applyBorder="1" applyAlignment="1">
      <alignment horizontal="center" vertical="center"/>
    </xf>
    <xf numFmtId="10" fontId="46" fillId="0" borderId="33" xfId="56" applyNumberFormat="1" applyFont="1" applyFill="1" applyBorder="1" applyAlignment="1" applyProtection="1">
      <alignment horizontal="center" vertical="center" wrapText="1"/>
      <protection hidden="1"/>
    </xf>
    <xf numFmtId="0" fontId="6" fillId="0" borderId="38" xfId="53" applyFont="1" applyBorder="1" applyAlignment="1">
      <alignment vertical="center" wrapText="1"/>
    </xf>
    <xf numFmtId="0" fontId="6" fillId="0" borderId="38" xfId="53" applyFont="1" applyBorder="1" applyAlignment="1">
      <alignment horizontal="left" vertical="center"/>
    </xf>
    <xf numFmtId="3" fontId="1" fillId="0" borderId="38" xfId="53" applyNumberFormat="1" applyFont="1" applyBorder="1" applyAlignment="1">
      <alignment vertical="center" wrapText="1"/>
    </xf>
    <xf numFmtId="3" fontId="6" fillId="0" borderId="38" xfId="53" applyNumberFormat="1" applyFont="1" applyBorder="1" applyAlignment="1">
      <alignment vertical="center" wrapText="1"/>
    </xf>
    <xf numFmtId="3" fontId="6" fillId="0" borderId="38" xfId="53" applyNumberFormat="1" applyFont="1" applyBorder="1" applyAlignment="1">
      <alignment vertical="center"/>
    </xf>
    <xf numFmtId="37" fontId="1" fillId="0" borderId="0" xfId="37" applyFont="1" applyAlignment="1" applyProtection="1">
      <alignment vertical="top"/>
      <protection hidden="1"/>
    </xf>
    <xf numFmtId="0" fontId="38" fillId="0" borderId="0" xfId="53" applyFont="1"/>
    <xf numFmtId="0" fontId="44" fillId="0" borderId="30" xfId="0" applyFont="1" applyBorder="1" applyAlignment="1">
      <alignment horizontal="center"/>
    </xf>
    <xf numFmtId="0" fontId="6" fillId="0" borderId="0" xfId="53" applyFont="1" applyAlignment="1">
      <alignment horizontal="center" vertical="center"/>
    </xf>
    <xf numFmtId="188" fontId="6" fillId="0" borderId="0" xfId="51" applyNumberFormat="1" applyFont="1" applyAlignment="1">
      <alignment horizontal="center"/>
    </xf>
    <xf numFmtId="0" fontId="44" fillId="0" borderId="30" xfId="0" applyFont="1" applyBorder="1" applyAlignment="1">
      <alignment horizontal="center"/>
    </xf>
    <xf numFmtId="37" fontId="44" fillId="0" borderId="30" xfId="37" applyFont="1" applyBorder="1" applyAlignment="1" applyProtection="1">
      <alignment horizontal="center"/>
      <protection hidden="1"/>
    </xf>
    <xf numFmtId="37" fontId="1" fillId="0" borderId="0" xfId="37" applyFont="1" applyAlignment="1" applyProtection="1">
      <alignment horizontal="left" vertical="top" wrapText="1"/>
      <protection hidden="1"/>
    </xf>
    <xf numFmtId="37" fontId="45" fillId="0" borderId="0" xfId="37" applyFont="1" applyAlignment="1" applyProtection="1">
      <alignment horizontal="center" wrapText="1"/>
      <protection hidden="1"/>
    </xf>
    <xf numFmtId="37" fontId="47" fillId="0" borderId="0" xfId="37" applyFont="1" applyAlignment="1" applyProtection="1">
      <alignment horizontal="center" wrapText="1"/>
      <protection hidden="1"/>
    </xf>
    <xf numFmtId="37" fontId="44" fillId="0" borderId="30" xfId="37" applyFont="1" applyBorder="1" applyAlignment="1" applyProtection="1">
      <alignment horizontal="center" vertical="center"/>
      <protection hidden="1"/>
    </xf>
    <xf numFmtId="37" fontId="1" fillId="0" borderId="30" xfId="37" applyFont="1" applyBorder="1" applyAlignment="1" applyProtection="1">
      <alignment horizontal="center" vertical="center"/>
      <protection hidden="1"/>
    </xf>
    <xf numFmtId="37" fontId="44" fillId="0" borderId="30" xfId="37" applyFont="1" applyBorder="1" applyAlignment="1" applyProtection="1">
      <alignment horizontal="center" vertical="center" wrapText="1"/>
      <protection hidden="1"/>
    </xf>
    <xf numFmtId="37" fontId="44" fillId="0" borderId="44" xfId="37" applyFont="1" applyBorder="1" applyAlignment="1" applyProtection="1">
      <alignment horizontal="center" vertical="center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2" fillId="0" borderId="0" xfId="37" applyFont="1" applyAlignment="1" applyProtection="1">
      <alignment horizontal="center" wrapText="1"/>
      <protection hidden="1"/>
    </xf>
    <xf numFmtId="49" fontId="46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6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6" fillId="0" borderId="32" xfId="37" applyFont="1" applyFill="1" applyBorder="1" applyAlignment="1" applyProtection="1">
      <alignment horizontal="center" vertical="center" wrapText="1"/>
      <protection hidden="1"/>
    </xf>
    <xf numFmtId="37" fontId="6" fillId="0" borderId="33" xfId="37" applyFont="1" applyFill="1" applyBorder="1" applyAlignment="1" applyProtection="1">
      <alignment horizontal="center" vertical="center" wrapText="1"/>
      <protection hidden="1"/>
    </xf>
    <xf numFmtId="49" fontId="5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6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6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6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6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1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2" xfId="51"/>
    <cellStyle name="Millares 2 2" xfId="54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3" xfId="36"/>
    <cellStyle name="Normal 4" xfId="53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" xfId="46" builtinId="16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zoomScale="130" zoomScaleNormal="130" zoomScaleSheetLayoutView="100" workbookViewId="0">
      <selection activeCell="A9" sqref="A9"/>
    </sheetView>
  </sheetViews>
  <sheetFormatPr baseColWidth="10" defaultRowHeight="12.75" x14ac:dyDescent="0.2"/>
  <cols>
    <col min="1" max="1" width="61.140625" style="180" customWidth="1"/>
    <col min="2" max="4" width="21" style="180" customWidth="1"/>
    <col min="5" max="16384" width="11.42578125" style="180"/>
  </cols>
  <sheetData>
    <row r="1" spans="1:4" ht="27.75" customHeight="1" x14ac:dyDescent="0.2">
      <c r="A1" s="212" t="s">
        <v>158</v>
      </c>
      <c r="B1" s="212"/>
      <c r="C1" s="212"/>
      <c r="D1" s="212"/>
    </row>
    <row r="3" spans="1:4" ht="25.5" x14ac:dyDescent="0.2">
      <c r="A3" s="181" t="s">
        <v>144</v>
      </c>
      <c r="B3" s="181" t="s">
        <v>145</v>
      </c>
      <c r="C3" s="181" t="s">
        <v>146</v>
      </c>
      <c r="D3" s="181" t="s">
        <v>145</v>
      </c>
    </row>
    <row r="4" spans="1:4" ht="25.5" customHeight="1" x14ac:dyDescent="0.2">
      <c r="A4" s="182" t="s">
        <v>147</v>
      </c>
      <c r="B4" s="206">
        <v>22695205810</v>
      </c>
      <c r="C4" s="183">
        <v>20</v>
      </c>
      <c r="D4" s="206">
        <f>+C4/100*B4</f>
        <v>4539041162</v>
      </c>
    </row>
    <row r="5" spans="1:4" ht="25.5" customHeight="1" x14ac:dyDescent="0.2">
      <c r="A5" s="182" t="s">
        <v>148</v>
      </c>
      <c r="B5" s="206">
        <v>579299275</v>
      </c>
      <c r="C5" s="183">
        <v>100</v>
      </c>
      <c r="D5" s="206">
        <f t="shared" ref="D5:D7" si="0">+C5/100*B5</f>
        <v>579299275</v>
      </c>
    </row>
    <row r="6" spans="1:4" ht="25.5" customHeight="1" x14ac:dyDescent="0.2">
      <c r="A6" s="182" t="s">
        <v>149</v>
      </c>
      <c r="B6" s="206">
        <v>904799708</v>
      </c>
      <c r="C6" s="183">
        <v>20</v>
      </c>
      <c r="D6" s="206">
        <f t="shared" si="0"/>
        <v>180959941.60000002</v>
      </c>
    </row>
    <row r="7" spans="1:4" ht="25.5" customHeight="1" x14ac:dyDescent="0.2">
      <c r="A7" s="182" t="s">
        <v>154</v>
      </c>
      <c r="B7" s="206">
        <v>1028764185</v>
      </c>
      <c r="C7" s="183">
        <v>20</v>
      </c>
      <c r="D7" s="206">
        <f t="shared" si="0"/>
        <v>205752837</v>
      </c>
    </row>
    <row r="8" spans="1:4" ht="25.5" customHeight="1" x14ac:dyDescent="0.2">
      <c r="A8" s="182" t="s">
        <v>156</v>
      </c>
      <c r="B8" s="206">
        <v>141711824</v>
      </c>
      <c r="C8" s="183">
        <v>20</v>
      </c>
      <c r="D8" s="206">
        <f>+C8/100*B8</f>
        <v>28342364.800000001</v>
      </c>
    </row>
    <row r="9" spans="1:4" ht="25.5" customHeight="1" x14ac:dyDescent="0.2">
      <c r="A9" s="182" t="s">
        <v>155</v>
      </c>
      <c r="B9" s="206">
        <f>160074384+548743122</f>
        <v>708817506</v>
      </c>
      <c r="C9" s="183">
        <v>20</v>
      </c>
      <c r="D9" s="206">
        <f t="shared" ref="D9" si="1">+C9/100*B9</f>
        <v>141763501.20000002</v>
      </c>
    </row>
    <row r="10" spans="1:4" ht="25.5" customHeight="1" x14ac:dyDescent="0.2">
      <c r="A10" s="204" t="s">
        <v>180</v>
      </c>
      <c r="B10" s="207">
        <f>SUM(B4:B9)</f>
        <v>26058598308</v>
      </c>
      <c r="C10" s="183"/>
      <c r="D10" s="207">
        <f>SUM(D4:D9)</f>
        <v>5675159081.6000004</v>
      </c>
    </row>
    <row r="11" spans="1:4" ht="25.5" customHeight="1" x14ac:dyDescent="0.2">
      <c r="A11" s="182" t="s">
        <v>195</v>
      </c>
      <c r="B11" s="206">
        <v>1068030111</v>
      </c>
      <c r="C11" s="183">
        <v>20</v>
      </c>
      <c r="D11" s="206">
        <f>+C11/100*B11</f>
        <v>213606022.20000002</v>
      </c>
    </row>
    <row r="12" spans="1:4" ht="25.5" customHeight="1" x14ac:dyDescent="0.2">
      <c r="A12" s="205" t="s">
        <v>53</v>
      </c>
      <c r="B12" s="208">
        <f>SUM(B10:B11)</f>
        <v>27126628419</v>
      </c>
      <c r="C12" s="202"/>
      <c r="D12" s="208">
        <f>SUM(D10:D11)</f>
        <v>5888765103.8000002</v>
      </c>
    </row>
    <row r="13" spans="1:4" x14ac:dyDescent="0.2">
      <c r="A13" s="184"/>
      <c r="B13" s="185"/>
      <c r="C13" s="186"/>
      <c r="D13" s="185"/>
    </row>
    <row r="14" spans="1:4" x14ac:dyDescent="0.2">
      <c r="A14" s="210" t="s">
        <v>191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&amp;LANEXO I
Pag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zoomScaleNormal="100" zoomScaleSheetLayoutView="100" workbookViewId="0">
      <selection activeCell="H7" sqref="H7"/>
    </sheetView>
  </sheetViews>
  <sheetFormatPr baseColWidth="10" defaultRowHeight="12.75" x14ac:dyDescent="0.2"/>
  <cols>
    <col min="1" max="1" width="28" style="188" customWidth="1"/>
    <col min="2" max="2" width="13.85546875" style="188" bestFit="1" customWidth="1"/>
    <col min="3" max="8" width="13.42578125" style="188" customWidth="1"/>
    <col min="9" max="9" width="14.7109375" style="188" customWidth="1"/>
    <col min="10" max="16384" width="11.42578125" style="188"/>
  </cols>
  <sheetData>
    <row r="1" spans="1:9" x14ac:dyDescent="0.2">
      <c r="A1" s="213" t="s">
        <v>151</v>
      </c>
      <c r="B1" s="213"/>
      <c r="C1" s="213"/>
      <c r="D1" s="213"/>
      <c r="E1" s="213"/>
      <c r="F1" s="213"/>
      <c r="G1" s="213"/>
      <c r="H1" s="213"/>
      <c r="I1" s="213"/>
    </row>
    <row r="2" spans="1:9" x14ac:dyDescent="0.2">
      <c r="A2" s="213" t="s">
        <v>152</v>
      </c>
      <c r="B2" s="213"/>
      <c r="C2" s="213"/>
      <c r="D2" s="213"/>
      <c r="E2" s="213"/>
      <c r="F2" s="213"/>
      <c r="G2" s="213"/>
      <c r="H2" s="213"/>
      <c r="I2" s="213"/>
    </row>
    <row r="3" spans="1:9" x14ac:dyDescent="0.2">
      <c r="A3" s="213" t="s">
        <v>159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2">
      <c r="A4" s="213" t="s">
        <v>153</v>
      </c>
      <c r="B4" s="213"/>
      <c r="C4" s="213"/>
      <c r="D4" s="213"/>
      <c r="E4" s="213"/>
      <c r="F4" s="213"/>
      <c r="G4" s="213"/>
      <c r="H4" s="213"/>
      <c r="I4" s="213"/>
    </row>
    <row r="5" spans="1:9" ht="13.5" customHeight="1" thickBot="1" x14ac:dyDescent="0.25">
      <c r="A5" s="189"/>
    </row>
    <row r="6" spans="1:9" ht="14.25" thickTop="1" thickBot="1" x14ac:dyDescent="0.25">
      <c r="A6" s="190" t="s">
        <v>0</v>
      </c>
      <c r="B6" s="191" t="s">
        <v>133</v>
      </c>
      <c r="C6" s="191" t="s">
        <v>134</v>
      </c>
      <c r="D6" s="191" t="s">
        <v>135</v>
      </c>
      <c r="E6" s="191" t="s">
        <v>189</v>
      </c>
      <c r="F6" s="191" t="s">
        <v>157</v>
      </c>
      <c r="G6" s="191" t="s">
        <v>136</v>
      </c>
      <c r="H6" s="192" t="s">
        <v>196</v>
      </c>
      <c r="I6" s="193" t="s">
        <v>53</v>
      </c>
    </row>
    <row r="7" spans="1:9" ht="13.5" thickTop="1" x14ac:dyDescent="0.2">
      <c r="A7" s="194" t="s">
        <v>1</v>
      </c>
      <c r="B7" s="195">
        <f>+'ESTIMACIÓN 2016'!D$4*'CALCULO GARANTIA'!N6</f>
        <v>6718655.5521227308</v>
      </c>
      <c r="C7" s="195">
        <f>+'ESTIMACIÓN 2016'!D$5*'CALCULO GARANTIA'!N6</f>
        <v>857474.55275432533</v>
      </c>
      <c r="D7" s="195">
        <f>+'ESTIMACIÓN 2016'!D$6*'CALCULO GARANTIA'!N6</f>
        <v>267855.58291939663</v>
      </c>
      <c r="E7" s="195">
        <f>+'ESTIMACIÓN 2016'!D$7*'CALCULO GARANTIA'!N6</f>
        <v>304553.84547910676</v>
      </c>
      <c r="F7" s="195">
        <f>+'ESTIMACIÓN 2016'!D$8*'CALCULO GARANTIA'!N6</f>
        <v>41952.161222504437</v>
      </c>
      <c r="G7" s="195">
        <f>+'ESTIMACIÓN 2016'!D$9*'CALCULO GARANTIA'!N6</f>
        <v>209837.29832625334</v>
      </c>
      <c r="H7" s="195">
        <f>'ESTIMACIÓN 2016'!D$11*'CALCULO GARANTIA'!N6</f>
        <v>316178.07281318534</v>
      </c>
      <c r="I7" s="196">
        <f t="shared" ref="I7:I38" si="0">SUM(B7:H7)</f>
        <v>8716507.0656375028</v>
      </c>
    </row>
    <row r="8" spans="1:9" x14ac:dyDescent="0.2">
      <c r="A8" s="194" t="s">
        <v>2</v>
      </c>
      <c r="B8" s="195">
        <f>+'ESTIMACIÓN 2016'!D$4*'CALCULO GARANTIA'!N7</f>
        <v>13308160.895154066</v>
      </c>
      <c r="C8" s="195">
        <f>+'ESTIMACIÓN 2016'!D$5*'CALCULO GARANTIA'!N7</f>
        <v>1698466.1920865176</v>
      </c>
      <c r="D8" s="195">
        <f>+'ESTIMACIÓN 2016'!D$6*'CALCULO GARANTIA'!N7</f>
        <v>530562.27789953758</v>
      </c>
      <c r="E8" s="195">
        <f>+'ESTIMACIÓN 2016'!D$7*'CALCULO GARANTIA'!N7</f>
        <v>603253.36600911152</v>
      </c>
      <c r="F8" s="195">
        <f>+'ESTIMACIÓN 2016'!D$8*'CALCULO GARANTIA'!N7</f>
        <v>83097.891701285058</v>
      </c>
      <c r="G8" s="195">
        <f>+'ESTIMACIÓN 2016'!D$9*'CALCULO GARANTIA'!N7</f>
        <v>415640.97255260072</v>
      </c>
      <c r="H8" s="195">
        <f>'ESTIMACIÓN 2016'!D$11*'CALCULO GARANTIA'!N7</f>
        <v>626278.37249197694</v>
      </c>
      <c r="I8" s="196">
        <f t="shared" si="0"/>
        <v>17265459.967895098</v>
      </c>
    </row>
    <row r="9" spans="1:9" x14ac:dyDescent="0.2">
      <c r="A9" s="194" t="s">
        <v>3</v>
      </c>
      <c r="B9" s="195">
        <f>+'ESTIMACIÓN 2016'!D$4*'CALCULO GARANTIA'!N8</f>
        <v>13022410.097877393</v>
      </c>
      <c r="C9" s="195">
        <f>+'ESTIMACIÓN 2016'!D$5*'CALCULO GARANTIA'!N8</f>
        <v>1661996.985532746</v>
      </c>
      <c r="D9" s="195">
        <f>+'ESTIMACIÓN 2016'!D$6*'CALCULO GARANTIA'!N8</f>
        <v>519170.12573748134</v>
      </c>
      <c r="E9" s="195">
        <f>+'ESTIMACIÓN 2016'!D$7*'CALCULO GARANTIA'!N8</f>
        <v>590300.4019102396</v>
      </c>
      <c r="F9" s="195">
        <f>+'ESTIMACIÓN 2016'!D$8*'CALCULO GARANTIA'!N8</f>
        <v>81313.626467889859</v>
      </c>
      <c r="G9" s="195">
        <f>+'ESTIMACIÓN 2016'!D$9*'CALCULO GARANTIA'!N8</f>
        <v>406716.39309917629</v>
      </c>
      <c r="H9" s="195">
        <f>'ESTIMACIÓN 2016'!D$11*'CALCULO GARANTIA'!N8</f>
        <v>612831.01897208625</v>
      </c>
      <c r="I9" s="196">
        <f t="shared" si="0"/>
        <v>16894738.649597012</v>
      </c>
    </row>
    <row r="10" spans="1:9" x14ac:dyDescent="0.2">
      <c r="A10" s="194" t="s">
        <v>4</v>
      </c>
      <c r="B10" s="195">
        <f>+'ESTIMACIÓN 2016'!D$4*'CALCULO GARANTIA'!N9</f>
        <v>35214098.530156709</v>
      </c>
      <c r="C10" s="195">
        <f>+'ESTIMACIÓN 2016'!D$5*'CALCULO GARANTIA'!N9</f>
        <v>4494231.4952063328</v>
      </c>
      <c r="D10" s="195">
        <f>+'ESTIMACIÓN 2016'!D$6*'CALCULO GARANTIA'!N9</f>
        <v>1403895.885955353</v>
      </c>
      <c r="E10" s="195">
        <f>+'ESTIMACIÓN 2016'!D$7*'CALCULO GARANTIA'!N9</f>
        <v>1596240.3548208391</v>
      </c>
      <c r="F10" s="195">
        <f>+'ESTIMACIÓN 2016'!D$8*'CALCULO GARANTIA'!N9</f>
        <v>219881.42231454948</v>
      </c>
      <c r="G10" s="195">
        <f>+'ESTIMACIÓN 2016'!D$9*'CALCULO GARANTIA'!N9</f>
        <v>1099808.025763127</v>
      </c>
      <c r="H10" s="195">
        <f>'ESTIMACIÓN 2016'!D$11*'CALCULO GARANTIA'!N9</f>
        <v>1657165.7413812284</v>
      </c>
      <c r="I10" s="196">
        <f t="shared" si="0"/>
        <v>45685321.455598138</v>
      </c>
    </row>
    <row r="11" spans="1:9" x14ac:dyDescent="0.2">
      <c r="A11" s="194" t="s">
        <v>5</v>
      </c>
      <c r="B11" s="195">
        <f>+'ESTIMACIÓN 2016'!D$4*'CALCULO GARANTIA'!N10</f>
        <v>48362819.340782203</v>
      </c>
      <c r="C11" s="195">
        <f>+'ESTIMACIÓN 2016'!D$5*'CALCULO GARANTIA'!N10</f>
        <v>6172349.0008463394</v>
      </c>
      <c r="D11" s="195">
        <f>+'ESTIMACIÓN 2016'!D$6*'CALCULO GARANTIA'!N10</f>
        <v>1928101.6961879889</v>
      </c>
      <c r="E11" s="195">
        <f>+'ESTIMACIÓN 2016'!D$7*'CALCULO GARANTIA'!N10</f>
        <v>2192266.3684988208</v>
      </c>
      <c r="F11" s="195">
        <f>+'ESTIMACIÓN 2016'!D$8*'CALCULO GARANTIA'!N10</f>
        <v>301983.7493407919</v>
      </c>
      <c r="G11" s="195">
        <f>+'ESTIMACIÓN 2016'!D$9*'CALCULO GARANTIA'!N10</f>
        <v>1510469.3597075518</v>
      </c>
      <c r="H11" s="195">
        <f>'ESTIMACIÓN 2016'!D$11*'CALCULO GARANTIA'!N10</f>
        <v>2275940.9075748129</v>
      </c>
      <c r="I11" s="196">
        <f t="shared" si="0"/>
        <v>62743930.422938511</v>
      </c>
    </row>
    <row r="12" spans="1:9" x14ac:dyDescent="0.2">
      <c r="A12" s="194" t="s">
        <v>6</v>
      </c>
      <c r="B12" s="195">
        <f>+'ESTIMACIÓN 2016'!D$4*'CALCULO GARANTIA'!N11</f>
        <v>307274560.13454902</v>
      </c>
      <c r="C12" s="195">
        <f>+'ESTIMACIÓN 2016'!D$5*'CALCULO GARANTIA'!N11</f>
        <v>39216196.45181974</v>
      </c>
      <c r="D12" s="195">
        <f>+'ESTIMACIÓN 2016'!D$6*'CALCULO GARANTIA'!N11</f>
        <v>12250249.440922273</v>
      </c>
      <c r="E12" s="195">
        <f>+'ESTIMACIÓN 2016'!D$7*'CALCULO GARANTIA'!N11</f>
        <v>13928627.264916299</v>
      </c>
      <c r="F12" s="195">
        <f>+'ESTIMACIÓN 2016'!D$8*'CALCULO GARANTIA'!N11</f>
        <v>1918662.4148734533</v>
      </c>
      <c r="G12" s="195">
        <f>+'ESTIMACIÓN 2016'!D$9*'CALCULO GARANTIA'!N11</f>
        <v>9596810.4098818079</v>
      </c>
      <c r="H12" s="195">
        <f>'ESTIMACIÓN 2016'!D$11*'CALCULO GARANTIA'!N11</f>
        <v>14460255.849425962</v>
      </c>
      <c r="I12" s="196">
        <f t="shared" si="0"/>
        <v>398645361.96638858</v>
      </c>
    </row>
    <row r="13" spans="1:9" x14ac:dyDescent="0.2">
      <c r="A13" s="194" t="s">
        <v>7</v>
      </c>
      <c r="B13" s="195">
        <f>+'ESTIMACIÓN 2016'!D$4*'CALCULO GARANTIA'!N12</f>
        <v>53909078.720295534</v>
      </c>
      <c r="C13" s="195">
        <f>+'ESTIMACIÓN 2016'!D$5*'CALCULO GARANTIA'!N12</f>
        <v>6880195.4210137054</v>
      </c>
      <c r="D13" s="195">
        <f>+'ESTIMACIÓN 2016'!D$6*'CALCULO GARANTIA'!N12</f>
        <v>2149216.8475150047</v>
      </c>
      <c r="E13" s="195">
        <f>+'ESTIMACIÓN 2016'!D$7*'CALCULO GARANTIA'!N12</f>
        <v>2443675.9859365942</v>
      </c>
      <c r="F13" s="195">
        <f>+'ESTIMACIÓN 2016'!D$8*'CALCULO GARANTIA'!N12</f>
        <v>336615.31600856921</v>
      </c>
      <c r="G13" s="195">
        <f>+'ESTIMACIÓN 2016'!D$9*'CALCULO GARANTIA'!N12</f>
        <v>1683690.3374738577</v>
      </c>
      <c r="H13" s="195">
        <f>'ESTIMACIÓN 2016'!D$11*'CALCULO GARANTIA'!N12</f>
        <v>2536946.340630915</v>
      </c>
      <c r="I13" s="196">
        <f t="shared" si="0"/>
        <v>69939418.968874186</v>
      </c>
    </row>
    <row r="14" spans="1:9" x14ac:dyDescent="0.2">
      <c r="A14" s="194" t="s">
        <v>8</v>
      </c>
      <c r="B14" s="195">
        <f>+'ESTIMACIÓN 2016'!D$4*'CALCULO GARANTIA'!N13</f>
        <v>8778121.4076260645</v>
      </c>
      <c r="C14" s="195">
        <f>+'ESTIMACIÓN 2016'!D$5*'CALCULO GARANTIA'!N13</f>
        <v>1120315.7640146024</v>
      </c>
      <c r="D14" s="195">
        <f>+'ESTIMACIÓN 2016'!D$6*'CALCULO GARANTIA'!N13</f>
        <v>349961.20999744366</v>
      </c>
      <c r="E14" s="195">
        <f>+'ESTIMACIÓN 2016'!D$7*'CALCULO GARANTIA'!N13</f>
        <v>397908.57114714495</v>
      </c>
      <c r="F14" s="195">
        <f>+'ESTIMACIÓN 2016'!D$8*'CALCULO GARANTIA'!N13</f>
        <v>54811.734530295376</v>
      </c>
      <c r="G14" s="195">
        <f>+'ESTIMACIÓN 2016'!D$9*'CALCULO GARANTIA'!N13</f>
        <v>274158.61198214523</v>
      </c>
      <c r="H14" s="195">
        <f>'ESTIMACIÓN 2016'!D$11*'CALCULO GARANTIA'!N13</f>
        <v>413095.96660398575</v>
      </c>
      <c r="I14" s="196">
        <f t="shared" si="0"/>
        <v>11388373.265901681</v>
      </c>
    </row>
    <row r="15" spans="1:9" x14ac:dyDescent="0.2">
      <c r="A15" s="194" t="s">
        <v>9</v>
      </c>
      <c r="B15" s="195">
        <f>+'ESTIMACIÓN 2016'!D$4*'CALCULO GARANTIA'!N14</f>
        <v>87256244.466923937</v>
      </c>
      <c r="C15" s="195">
        <f>+'ESTIMACIÓN 2016'!D$5*'CALCULO GARANTIA'!N14</f>
        <v>11136157.91416165</v>
      </c>
      <c r="D15" s="195">
        <f>+'ESTIMACIÓN 2016'!D$6*'CALCULO GARANTIA'!N14</f>
        <v>3478682.9066807833</v>
      </c>
      <c r="E15" s="195">
        <f>+'ESTIMACIÓN 2016'!D$7*'CALCULO GARANTIA'!N14</f>
        <v>3955289.0586972721</v>
      </c>
      <c r="F15" s="195">
        <f>+'ESTIMACIÓN 2016'!D$8*'CALCULO GARANTIA'!N14</f>
        <v>544839.36661853513</v>
      </c>
      <c r="G15" s="195">
        <f>+'ESTIMACIÓN 2016'!D$9*'CALCULO GARANTIA'!N14</f>
        <v>2725190.249595332</v>
      </c>
      <c r="H15" s="195">
        <f>'ESTIMACIÓN 2016'!D$11*'CALCULO GARANTIA'!N14</f>
        <v>4106254.7413599291</v>
      </c>
      <c r="I15" s="196">
        <f t="shared" si="0"/>
        <v>113202658.70403743</v>
      </c>
    </row>
    <row r="16" spans="1:9" x14ac:dyDescent="0.2">
      <c r="A16" s="194" t="s">
        <v>10</v>
      </c>
      <c r="B16" s="195">
        <f>+'ESTIMACIÓN 2016'!D$4*'CALCULO GARANTIA'!N15</f>
        <v>12465797.719412705</v>
      </c>
      <c r="C16" s="195">
        <f>+'ESTIMACIÓN 2016'!D$5*'CALCULO GARANTIA'!N15</f>
        <v>1590958.822230754</v>
      </c>
      <c r="D16" s="195">
        <f>+'ESTIMACIÓN 2016'!D$6*'CALCULO GARANTIA'!N15</f>
        <v>496979.41631099413</v>
      </c>
      <c r="E16" s="195">
        <f>+'ESTIMACIÓN 2016'!D$7*'CALCULO GARANTIA'!N15</f>
        <v>565069.39564900426</v>
      </c>
      <c r="F16" s="195">
        <f>+'ESTIMACIÓN 2016'!D$8*'CALCULO GARANTIA'!N15</f>
        <v>77838.066207561511</v>
      </c>
      <c r="G16" s="195">
        <f>+'ESTIMACIÓN 2016'!D$9*'CALCULO GARANTIA'!N15</f>
        <v>389332.25473907264</v>
      </c>
      <c r="H16" s="195">
        <f>'ESTIMACIÓN 2016'!D$11*'CALCULO GARANTIA'!N15</f>
        <v>586636.99432509788</v>
      </c>
      <c r="I16" s="196">
        <f t="shared" si="0"/>
        <v>16172612.668875189</v>
      </c>
    </row>
    <row r="17" spans="1:9" x14ac:dyDescent="0.2">
      <c r="A17" s="194" t="s">
        <v>11</v>
      </c>
      <c r="B17" s="195">
        <f>+'ESTIMACIÓN 2016'!D$4*'CALCULO GARANTIA'!N16</f>
        <v>17566384.050628118</v>
      </c>
      <c r="C17" s="195">
        <f>+'ESTIMACIÓN 2016'!D$5*'CALCULO GARANTIA'!N16</f>
        <v>2241925.8124587219</v>
      </c>
      <c r="D17" s="195">
        <f>+'ESTIMACIÓN 2016'!D$6*'CALCULO GARANTIA'!N16</f>
        <v>700326.72506635357</v>
      </c>
      <c r="E17" s="195">
        <f>+'ESTIMACIÓN 2016'!D$7*'CALCULO GARANTIA'!N16</f>
        <v>796276.84025137441</v>
      </c>
      <c r="F17" s="195">
        <f>+'ESTIMACIÓN 2016'!D$8*'CALCULO GARANTIA'!N16</f>
        <v>109686.79225645757</v>
      </c>
      <c r="G17" s="195">
        <f>+'ESTIMACIÓN 2016'!D$9*'CALCULO GARANTIA'!N16</f>
        <v>548633.95540207275</v>
      </c>
      <c r="H17" s="195">
        <f>'ESTIMACIÓN 2016'!D$11*'CALCULO GARANTIA'!N16</f>
        <v>826669.17694107397</v>
      </c>
      <c r="I17" s="196">
        <f t="shared" si="0"/>
        <v>22789903.353004172</v>
      </c>
    </row>
    <row r="18" spans="1:9" x14ac:dyDescent="0.2">
      <c r="A18" s="194" t="s">
        <v>12</v>
      </c>
      <c r="B18" s="195">
        <f>+'ESTIMACIÓN 2016'!D$4*'CALCULO GARANTIA'!N17</f>
        <v>44298038.551386759</v>
      </c>
      <c r="C18" s="195">
        <f>+'ESTIMACIÓN 2016'!D$5*'CALCULO GARANTIA'!N17</f>
        <v>5653577.6391666923</v>
      </c>
      <c r="D18" s="195">
        <f>+'ESTIMACIÓN 2016'!D$6*'CALCULO GARANTIA'!N17</f>
        <v>1766049.3005358425</v>
      </c>
      <c r="E18" s="195">
        <f>+'ESTIMACIÓN 2016'!D$7*'CALCULO GARANTIA'!N17</f>
        <v>2008011.555785754</v>
      </c>
      <c r="F18" s="195">
        <f>+'ESTIMACIÓN 2016'!D$8*'CALCULO GARANTIA'!N17</f>
        <v>276602.72813976021</v>
      </c>
      <c r="G18" s="195">
        <f>+'ESTIMACIÓN 2016'!D$9*'CALCULO GARANTIA'!N17</f>
        <v>1383517.9759793428</v>
      </c>
      <c r="H18" s="195">
        <f>'ESTIMACIÓN 2016'!D$11*'CALCULO GARANTIA'!N17</f>
        <v>2084653.4473934292</v>
      </c>
      <c r="I18" s="196">
        <f t="shared" si="0"/>
        <v>57470451.198387578</v>
      </c>
    </row>
    <row r="19" spans="1:9" x14ac:dyDescent="0.2">
      <c r="A19" s="194" t="s">
        <v>13</v>
      </c>
      <c r="B19" s="195">
        <f>+'ESTIMACIÓN 2016'!D$4*'CALCULO GARANTIA'!N18</f>
        <v>22539265.155614424</v>
      </c>
      <c r="C19" s="195">
        <f>+'ESTIMACIÓN 2016'!D$5*'CALCULO GARANTIA'!N18</f>
        <v>2876594.3065224397</v>
      </c>
      <c r="D19" s="195">
        <f>+'ESTIMACIÓN 2016'!D$6*'CALCULO GARANTIA'!N18</f>
        <v>898582.75364696991</v>
      </c>
      <c r="E19" s="195">
        <f>+'ESTIMACIÓN 2016'!D$7*'CALCULO GARANTIA'!N18</f>
        <v>1021695.4603732926</v>
      </c>
      <c r="F19" s="195">
        <f>+'ESTIMACIÓN 2016'!D$8*'CALCULO GARANTIA'!N18</f>
        <v>140738.11022301385</v>
      </c>
      <c r="G19" s="195">
        <f>+'ESTIMACIÓN 2016'!D$9*'CALCULO GARANTIA'!N18</f>
        <v>703947.16172328556</v>
      </c>
      <c r="H19" s="195">
        <f>'ESTIMACIÓN 2016'!D$11*'CALCULO GARANTIA'!N18</f>
        <v>1060691.586916669</v>
      </c>
      <c r="I19" s="196">
        <f t="shared" si="0"/>
        <v>29241514.535020098</v>
      </c>
    </row>
    <row r="20" spans="1:9" x14ac:dyDescent="0.2">
      <c r="A20" s="194" t="s">
        <v>14</v>
      </c>
      <c r="B20" s="195">
        <f>+'ESTIMACIÓN 2016'!D$4*'CALCULO GARANTIA'!N19</f>
        <v>117616838.79638079</v>
      </c>
      <c r="C20" s="195">
        <f>+'ESTIMACIÓN 2016'!D$5*'CALCULO GARANTIA'!N19</f>
        <v>15010956.501772139</v>
      </c>
      <c r="D20" s="195">
        <f>+'ESTIMACIÓN 2016'!D$6*'CALCULO GARANTIA'!N19</f>
        <v>4689082.015372498</v>
      </c>
      <c r="E20" s="195">
        <f>+'ESTIMACIÓN 2016'!D$7*'CALCULO GARANTIA'!N19</f>
        <v>5331522.0985270748</v>
      </c>
      <c r="F20" s="195">
        <f>+'ESTIMACIÓN 2016'!D$8*'CALCULO GARANTIA'!N19</f>
        <v>734414.87592084042</v>
      </c>
      <c r="G20" s="195">
        <f>+'ESTIMACIÓN 2016'!D$9*'CALCULO GARANTIA'!N19</f>
        <v>3673413.4529205523</v>
      </c>
      <c r="H20" s="195">
        <f>'ESTIMACIÓN 2016'!D$11*'CALCULO GARANTIA'!N19</f>
        <v>5535015.9168778071</v>
      </c>
      <c r="I20" s="196">
        <f t="shared" si="0"/>
        <v>152591243.65777168</v>
      </c>
    </row>
    <row r="21" spans="1:9" x14ac:dyDescent="0.2">
      <c r="A21" s="194" t="s">
        <v>15</v>
      </c>
      <c r="B21" s="195">
        <f>+'ESTIMACIÓN 2016'!D$4*'CALCULO GARANTIA'!N20</f>
        <v>14727535.918337835</v>
      </c>
      <c r="C21" s="195">
        <f>+'ESTIMACIÓN 2016'!D$5*'CALCULO GARANTIA'!N20</f>
        <v>1879615.2261087531</v>
      </c>
      <c r="D21" s="195">
        <f>+'ESTIMACIÓN 2016'!D$6*'CALCULO GARANTIA'!N20</f>
        <v>587149.12347699865</v>
      </c>
      <c r="E21" s="195">
        <f>+'ESTIMACIÓN 2016'!D$7*'CALCULO GARANTIA'!N20</f>
        <v>667593.04202525096</v>
      </c>
      <c r="F21" s="195">
        <f>+'ESTIMACIÓN 2016'!D$8*'CALCULO GARANTIA'!N20</f>
        <v>91960.654399245992</v>
      </c>
      <c r="G21" s="195">
        <f>+'ESTIMACIÓN 2016'!D$9*'CALCULO GARANTIA'!N20</f>
        <v>459970.94569470419</v>
      </c>
      <c r="H21" s="195">
        <f>'ESTIMACIÓN 2016'!D$11*'CALCULO GARANTIA'!N20</f>
        <v>693073.76867620682</v>
      </c>
      <c r="I21" s="196">
        <f t="shared" si="0"/>
        <v>19106898.678718992</v>
      </c>
    </row>
    <row r="22" spans="1:9" x14ac:dyDescent="0.2">
      <c r="A22" s="194" t="s">
        <v>16</v>
      </c>
      <c r="B22" s="195">
        <f>+'ESTIMACIÓN 2016'!D$4*'CALCULO GARANTIA'!N21</f>
        <v>10975181.238516865</v>
      </c>
      <c r="C22" s="195">
        <f>+'ESTIMACIÓN 2016'!D$5*'CALCULO GARANTIA'!N21</f>
        <v>1400717.5320844604</v>
      </c>
      <c r="D22" s="195">
        <f>+'ESTIMACIÓN 2016'!D$6*'CALCULO GARANTIA'!N21</f>
        <v>437552.35634310113</v>
      </c>
      <c r="E22" s="195">
        <f>+'ESTIMACIÓN 2016'!D$7*'CALCULO GARANTIA'!N21</f>
        <v>497500.37415810034</v>
      </c>
      <c r="F22" s="195">
        <f>+'ESTIMACIÓN 2016'!D$8*'CALCULO GARANTIA'!N21</f>
        <v>68530.462559431791</v>
      </c>
      <c r="G22" s="195">
        <f>+'ESTIMACIÓN 2016'!D$9*'CALCULO GARANTIA'!N21</f>
        <v>342777.26575873321</v>
      </c>
      <c r="H22" s="195">
        <f>'ESTIMACIÓN 2016'!D$11*'CALCULO GARANTIA'!N21</f>
        <v>516488.99483667139</v>
      </c>
      <c r="I22" s="196">
        <f t="shared" si="0"/>
        <v>14238748.224257363</v>
      </c>
    </row>
    <row r="23" spans="1:9" x14ac:dyDescent="0.2">
      <c r="A23" s="194" t="s">
        <v>17</v>
      </c>
      <c r="B23" s="195">
        <f>+'ESTIMACIÓN 2016'!D$4*'CALCULO GARANTIA'!N22</f>
        <v>96253811.712829635</v>
      </c>
      <c r="C23" s="195">
        <f>+'ESTIMACIÓN 2016'!D$5*'CALCULO GARANTIA'!N22</f>
        <v>12284480.653764276</v>
      </c>
      <c r="D23" s="195">
        <f>+'ESTIMACIÓN 2016'!D$6*'CALCULO GARANTIA'!N22</f>
        <v>3837392.8600057601</v>
      </c>
      <c r="E23" s="195">
        <f>+'ESTIMACIÓN 2016'!D$7*'CALCULO GARANTIA'!N22</f>
        <v>4363145.0178901302</v>
      </c>
      <c r="F23" s="195">
        <f>+'ESTIMACIÓN 2016'!D$8*'CALCULO GARANTIA'!N22</f>
        <v>601021.34957363724</v>
      </c>
      <c r="G23" s="195">
        <f>+'ESTIMACIÓN 2016'!D$9*'CALCULO GARANTIA'!N22</f>
        <v>3006202.6021028403</v>
      </c>
      <c r="H23" s="195">
        <f>'ESTIMACIÓN 2016'!D$11*'CALCULO GARANTIA'!N22</f>
        <v>4529677.7684443723</v>
      </c>
      <c r="I23" s="196">
        <f t="shared" si="0"/>
        <v>124875731.96461067</v>
      </c>
    </row>
    <row r="24" spans="1:9" x14ac:dyDescent="0.2">
      <c r="A24" s="194" t="s">
        <v>18</v>
      </c>
      <c r="B24" s="195">
        <f>+'ESTIMACIÓN 2016'!D$4*'CALCULO GARANTIA'!N23</f>
        <v>101920903.98674722</v>
      </c>
      <c r="C24" s="195">
        <f>+'ESTIMACIÓN 2016'!D$5*'CALCULO GARANTIA'!N23</f>
        <v>13007748.482468437</v>
      </c>
      <c r="D24" s="195">
        <f>+'ESTIMACIÓN 2016'!D$6*'CALCULO GARANTIA'!N23</f>
        <v>4063325.3092453419</v>
      </c>
      <c r="E24" s="195">
        <f>+'ESTIMACIÓN 2016'!D$7*'CALCULO GARANTIA'!N23</f>
        <v>4620031.9398817234</v>
      </c>
      <c r="F24" s="195">
        <f>+'ESTIMACIÓN 2016'!D$8*'CALCULO GARANTIA'!N23</f>
        <v>636407.41258784919</v>
      </c>
      <c r="G24" s="195">
        <f>+'ESTIMACIÓN 2016'!D$9*'CALCULO GARANTIA'!N23</f>
        <v>3183197.4372895821</v>
      </c>
      <c r="H24" s="195">
        <f>'ESTIMACIÓN 2016'!D$11*'CALCULO GARANTIA'!N23</f>
        <v>4796369.5641051335</v>
      </c>
      <c r="I24" s="196">
        <f t="shared" si="0"/>
        <v>132227984.13232531</v>
      </c>
    </row>
    <row r="25" spans="1:9" x14ac:dyDescent="0.2">
      <c r="A25" s="194" t="s">
        <v>19</v>
      </c>
      <c r="B25" s="195">
        <f>+'ESTIMACIÓN 2016'!D$4*'CALCULO GARANTIA'!N24</f>
        <v>18500016.029247578</v>
      </c>
      <c r="C25" s="195">
        <f>+'ESTIMACIÓN 2016'!D$5*'CALCULO GARANTIA'!N24</f>
        <v>2361081.446661598</v>
      </c>
      <c r="D25" s="195">
        <f>+'ESTIMACIÓN 2016'!D$6*'CALCULO GARANTIA'!N24</f>
        <v>737548.23998480989</v>
      </c>
      <c r="E25" s="195">
        <f>+'ESTIMACIÓN 2016'!D$7*'CALCULO GARANTIA'!N24</f>
        <v>838597.98726433411</v>
      </c>
      <c r="F25" s="195">
        <f>+'ESTIMACIÓN 2016'!D$8*'CALCULO GARANTIA'!N24</f>
        <v>115516.51205466253</v>
      </c>
      <c r="G25" s="195">
        <f>+'ESTIMACIÓN 2016'!D$9*'CALCULO GARANTIA'!N24</f>
        <v>577793.1838376791</v>
      </c>
      <c r="H25" s="195">
        <f>'ESTIMACIÓN 2016'!D$11*'CALCULO GARANTIA'!N24</f>
        <v>870605.63973881293</v>
      </c>
      <c r="I25" s="196">
        <f t="shared" si="0"/>
        <v>24001159.038789477</v>
      </c>
    </row>
    <row r="26" spans="1:9" x14ac:dyDescent="0.2">
      <c r="A26" s="194" t="s">
        <v>20</v>
      </c>
      <c r="B26" s="195">
        <f>+'ESTIMACIÓN 2016'!D$4*'CALCULO GARANTIA'!N25</f>
        <v>251776928.35903081</v>
      </c>
      <c r="C26" s="195">
        <f>+'ESTIMACIÓN 2016'!D$5*'CALCULO GARANTIA'!N25</f>
        <v>32133260.495890055</v>
      </c>
      <c r="D26" s="195">
        <f>+'ESTIMACIÓN 2016'!D$6*'CALCULO GARANTIA'!N25</f>
        <v>10037701.053145375</v>
      </c>
      <c r="E26" s="195">
        <f>+'ESTIMACIÓN 2016'!D$7*'CALCULO GARANTIA'!N25</f>
        <v>11412942.83354559</v>
      </c>
      <c r="F26" s="195">
        <f>+'ESTIMACIÓN 2016'!D$8*'CALCULO GARANTIA'!N25</f>
        <v>1572127.966478026</v>
      </c>
      <c r="G26" s="195">
        <f>+'ESTIMACIÓN 2016'!D$9*'CALCULO GARANTIA'!N25</f>
        <v>7863506.3247214016</v>
      </c>
      <c r="H26" s="195">
        <f>'ESTIMACIÓN 2016'!D$11*'CALCULO GARANTIA'!N25</f>
        <v>11848552.641194785</v>
      </c>
      <c r="I26" s="196">
        <f t="shared" si="0"/>
        <v>326645019.67400599</v>
      </c>
    </row>
    <row r="27" spans="1:9" x14ac:dyDescent="0.2">
      <c r="A27" s="194" t="s">
        <v>21</v>
      </c>
      <c r="B27" s="195">
        <f>+'ESTIMACIÓN 2016'!D$4*'CALCULO GARANTIA'!N26</f>
        <v>37337406.668180116</v>
      </c>
      <c r="C27" s="195">
        <f>+'ESTIMACIÓN 2016'!D$5*'CALCULO GARANTIA'!N26</f>
        <v>4765220.636097176</v>
      </c>
      <c r="D27" s="195">
        <f>+'ESTIMACIÓN 2016'!D$6*'CALCULO GARANTIA'!N26</f>
        <v>1488546.7412664378</v>
      </c>
      <c r="E27" s="195">
        <f>+'ESTIMACIÓN 2016'!D$7*'CALCULO GARANTIA'!N26</f>
        <v>1692489.0244475771</v>
      </c>
      <c r="F27" s="195">
        <f>+'ESTIMACIÓN 2016'!D$8*'CALCULO GARANTIA'!N26</f>
        <v>233139.63515793151</v>
      </c>
      <c r="G27" s="195">
        <f>+'ESTIMACIÓN 2016'!D$9*'CALCULO GARANTIA'!N26</f>
        <v>1166123.263944404</v>
      </c>
      <c r="H27" s="195">
        <f>'ESTIMACIÓN 2016'!D$11*'CALCULO GARANTIA'!N26</f>
        <v>1757088.0353372989</v>
      </c>
      <c r="I27" s="196">
        <f t="shared" si="0"/>
        <v>48440014.004430935</v>
      </c>
    </row>
    <row r="28" spans="1:9" x14ac:dyDescent="0.2">
      <c r="A28" s="194" t="s">
        <v>22</v>
      </c>
      <c r="B28" s="195">
        <f>+'ESTIMACIÓN 2016'!D$4*'CALCULO GARANTIA'!N27</f>
        <v>5988935.9207417825</v>
      </c>
      <c r="C28" s="195">
        <f>+'ESTIMACIÓN 2016'!D$5*'CALCULO GARANTIA'!N27</f>
        <v>764343.41815452615</v>
      </c>
      <c r="D28" s="195">
        <f>+'ESTIMACIÓN 2016'!D$6*'CALCULO GARANTIA'!N27</f>
        <v>238763.53083919783</v>
      </c>
      <c r="E28" s="195">
        <f>+'ESTIMACIÓN 2016'!D$7*'CALCULO GARANTIA'!N27</f>
        <v>271475.95986128424</v>
      </c>
      <c r="F28" s="195">
        <f>+'ESTIMACIÓN 2016'!D$8*'CALCULO GARANTIA'!N27</f>
        <v>37395.696705842631</v>
      </c>
      <c r="G28" s="195">
        <f>+'ESTIMACIÓN 2016'!D$9*'CALCULO GARANTIA'!N27</f>
        <v>187046.66785015617</v>
      </c>
      <c r="H28" s="195">
        <f>'ESTIMACIÓN 2016'!D$11*'CALCULO GARANTIA'!N27</f>
        <v>281837.66870196688</v>
      </c>
      <c r="I28" s="196">
        <f t="shared" si="0"/>
        <v>7769798.8628547573</v>
      </c>
    </row>
    <row r="29" spans="1:9" x14ac:dyDescent="0.2">
      <c r="A29" s="194" t="s">
        <v>23</v>
      </c>
      <c r="B29" s="195">
        <f>+'ESTIMACIÓN 2016'!D$4*'CALCULO GARANTIA'!N28</f>
        <v>27405606.653133899</v>
      </c>
      <c r="C29" s="195">
        <f>+'ESTIMACIÓN 2016'!D$5*'CALCULO GARANTIA'!N28</f>
        <v>3497665.5858525666</v>
      </c>
      <c r="D29" s="195">
        <f>+'ESTIMACIÓN 2016'!D$6*'CALCULO GARANTIA'!N28</f>
        <v>1092591.3210442225</v>
      </c>
      <c r="E29" s="195">
        <f>+'ESTIMACIÓN 2016'!D$7*'CALCULO GARANTIA'!N28</f>
        <v>1242284.684658776</v>
      </c>
      <c r="F29" s="195">
        <f>+'ESTIMACIÓN 2016'!D$8*'CALCULO GARANTIA'!N28</f>
        <v>171124.18099028204</v>
      </c>
      <c r="G29" s="195">
        <f>+'ESTIMACIÓN 2016'!D$9*'CALCULO GARANTIA'!N28</f>
        <v>855932.91908954841</v>
      </c>
      <c r="H29" s="195">
        <f>'ESTIMACIÓN 2016'!D$11*'CALCULO GARANTIA'!N28</f>
        <v>1289700.2724192939</v>
      </c>
      <c r="I29" s="196">
        <f t="shared" si="0"/>
        <v>35554905.617188595</v>
      </c>
    </row>
    <row r="30" spans="1:9" x14ac:dyDescent="0.2">
      <c r="A30" s="194" t="s">
        <v>24</v>
      </c>
      <c r="B30" s="195">
        <f>+'ESTIMACIÓN 2016'!D$4*'CALCULO GARANTIA'!N29</f>
        <v>26397248.833266433</v>
      </c>
      <c r="C30" s="195">
        <f>+'ESTIMACIÓN 2016'!D$5*'CALCULO GARANTIA'!N29</f>
        <v>3368972.9978936552</v>
      </c>
      <c r="D30" s="195">
        <f>+'ESTIMACIÓN 2016'!D$6*'CALCULO GARANTIA'!N29</f>
        <v>1052390.6782911352</v>
      </c>
      <c r="E30" s="195">
        <f>+'ESTIMACIÓN 2016'!D$7*'CALCULO GARANTIA'!N29</f>
        <v>1196576.2465230336</v>
      </c>
      <c r="F30" s="195">
        <f>+'ESTIMACIÓN 2016'!D$8*'CALCULO GARANTIA'!N29</f>
        <v>164827.86329682806</v>
      </c>
      <c r="G30" s="195">
        <f>+'ESTIMACIÓN 2016'!D$9*'CALCULO GARANTIA'!N29</f>
        <v>824439.85042043228</v>
      </c>
      <c r="H30" s="195">
        <f>'ESTIMACIÓN 2016'!D$11*'CALCULO GARANTIA'!N29</f>
        <v>1242247.2321914656</v>
      </c>
      <c r="I30" s="196">
        <f t="shared" si="0"/>
        <v>34246703.701882981</v>
      </c>
    </row>
    <row r="31" spans="1:9" x14ac:dyDescent="0.2">
      <c r="A31" s="194" t="s">
        <v>25</v>
      </c>
      <c r="B31" s="195">
        <f>+'ESTIMACIÓN 2016'!D$4*'CALCULO GARANTIA'!N30</f>
        <v>425631211.06155998</v>
      </c>
      <c r="C31" s="195">
        <f>+'ESTIMACIÓN 2016'!D$5*'CALCULO GARANTIA'!N30</f>
        <v>54321572.152628496</v>
      </c>
      <c r="D31" s="195">
        <f>+'ESTIMACIÓN 2016'!D$6*'CALCULO GARANTIA'!N30</f>
        <v>16968825.87046193</v>
      </c>
      <c r="E31" s="195">
        <f>+'ESTIMACIÓN 2016'!D$7*'CALCULO GARANTIA'!N30</f>
        <v>19293684.737830043</v>
      </c>
      <c r="F31" s="195">
        <f>+'ESTIMACIÓN 2016'!D$8*'CALCULO GARANTIA'!N30</f>
        <v>2657696.7741920929</v>
      </c>
      <c r="G31" s="195">
        <f>+'ESTIMACIÓN 2016'!D$9*'CALCULO GARANTIA'!N30</f>
        <v>13293329.702587729</v>
      </c>
      <c r="H31" s="195">
        <f>'ESTIMACIÓN 2016'!D$11*'CALCULO GARANTIA'!N30</f>
        <v>20030087.12063944</v>
      </c>
      <c r="I31" s="196">
        <f t="shared" si="0"/>
        <v>552196407.4198997</v>
      </c>
    </row>
    <row r="32" spans="1:9" x14ac:dyDescent="0.2">
      <c r="A32" s="194" t="s">
        <v>26</v>
      </c>
      <c r="B32" s="195">
        <f>+'ESTIMACIÓN 2016'!D$4*'CALCULO GARANTIA'!N31</f>
        <v>11136997.788390348</v>
      </c>
      <c r="C32" s="195">
        <f>+'ESTIMACIÓN 2016'!D$5*'CALCULO GARANTIA'!N31</f>
        <v>1421369.5170916654</v>
      </c>
      <c r="D32" s="195">
        <f>+'ESTIMACIÓN 2016'!D$6*'CALCULO GARANTIA'!N31</f>
        <v>444003.56759453565</v>
      </c>
      <c r="E32" s="195">
        <f>+'ESTIMACIÓN 2016'!D$7*'CALCULO GARANTIA'!N31</f>
        <v>504835.4506691384</v>
      </c>
      <c r="F32" s="195">
        <f>+'ESTIMACIÓN 2016'!D$8*'CALCULO GARANTIA'!N31</f>
        <v>69540.866193923372</v>
      </c>
      <c r="G32" s="195">
        <f>+'ESTIMACIÓN 2016'!D$9*'CALCULO GARANTIA'!N31</f>
        <v>347831.12622032501</v>
      </c>
      <c r="H32" s="195">
        <f>'ESTIMACIÓN 2016'!D$11*'CALCULO GARANTIA'!N31</f>
        <v>524104.0369371869</v>
      </c>
      <c r="I32" s="196">
        <f t="shared" si="0"/>
        <v>14448682.353097122</v>
      </c>
    </row>
    <row r="33" spans="1:9" x14ac:dyDescent="0.2">
      <c r="A33" s="194" t="s">
        <v>27</v>
      </c>
      <c r="B33" s="195">
        <f>+'ESTIMACIÓN 2016'!D$4*'CALCULO GARANTIA'!N32</f>
        <v>19170619.509156201</v>
      </c>
      <c r="C33" s="195">
        <f>+'ESTIMACIÓN 2016'!D$5*'CALCULO GARANTIA'!N32</f>
        <v>2446667.8284234167</v>
      </c>
      <c r="D33" s="195">
        <f>+'ESTIMACIÓN 2016'!D$6*'CALCULO GARANTIA'!N32</f>
        <v>764283.48256797041</v>
      </c>
      <c r="E33" s="195">
        <f>+'ESTIMACIÓN 2016'!D$7*'CALCULO GARANTIA'!N32</f>
        <v>868996.16246670985</v>
      </c>
      <c r="F33" s="195">
        <f>+'ESTIMACIÓN 2016'!D$8*'CALCULO GARANTIA'!N32</f>
        <v>119703.84761417194</v>
      </c>
      <c r="G33" s="195">
        <f>+'ESTIMACIÓN 2016'!D$9*'CALCULO GARANTIA'!N32</f>
        <v>598737.49648781191</v>
      </c>
      <c r="H33" s="195">
        <f>'ESTIMACIÓN 2016'!D$11*'CALCULO GARANTIA'!N32</f>
        <v>902164.05410526053</v>
      </c>
      <c r="I33" s="196">
        <f t="shared" si="0"/>
        <v>24871172.380821541</v>
      </c>
    </row>
    <row r="34" spans="1:9" x14ac:dyDescent="0.2">
      <c r="A34" s="194" t="s">
        <v>28</v>
      </c>
      <c r="B34" s="195">
        <f>+'ESTIMACIÓN 2016'!D$4*'CALCULO GARANTIA'!N33</f>
        <v>10354080.942236174</v>
      </c>
      <c r="C34" s="195">
        <f>+'ESTIMACIÓN 2016'!D$5*'CALCULO GARANTIA'!N33</f>
        <v>1321449.0393574298</v>
      </c>
      <c r="D34" s="195">
        <f>+'ESTIMACIÓN 2016'!D$6*'CALCULO GARANTIA'!N33</f>
        <v>412790.67885851685</v>
      </c>
      <c r="E34" s="195">
        <f>+'ESTIMACIÓN 2016'!D$7*'CALCULO GARANTIA'!N33</f>
        <v>469346.15756029706</v>
      </c>
      <c r="F34" s="195">
        <f>+'ESTIMACIÓN 2016'!D$8*'CALCULO GARANTIA'!N33</f>
        <v>64652.231332548858</v>
      </c>
      <c r="G34" s="195">
        <f>+'ESTIMACIÓN 2016'!D$9*'CALCULO GARANTIA'!N33</f>
        <v>323379.03836783825</v>
      </c>
      <c r="H34" s="195">
        <f>'ESTIMACIÓN 2016'!D$11*'CALCULO GARANTIA'!N33</f>
        <v>487260.18660588149</v>
      </c>
      <c r="I34" s="196">
        <f t="shared" si="0"/>
        <v>13432958.274318684</v>
      </c>
    </row>
    <row r="35" spans="1:9" x14ac:dyDescent="0.2">
      <c r="A35" s="194" t="s">
        <v>29</v>
      </c>
      <c r="B35" s="195">
        <f>+'ESTIMACIÓN 2016'!D$4*'CALCULO GARANTIA'!N34</f>
        <v>15347239.442898722</v>
      </c>
      <c r="C35" s="195">
        <f>+'ESTIMACIÓN 2016'!D$5*'CALCULO GARANTIA'!N34</f>
        <v>1958705.4545690047</v>
      </c>
      <c r="D35" s="195">
        <f>+'ESTIMACIÓN 2016'!D$6*'CALCULO GARANTIA'!N34</f>
        <v>611855.115251799</v>
      </c>
      <c r="E35" s="195">
        <f>+'ESTIMACIÓN 2016'!D$7*'CALCULO GARANTIA'!N34</f>
        <v>695683.94354532438</v>
      </c>
      <c r="F35" s="195">
        <f>+'ESTIMACIÓN 2016'!D$8*'CALCULO GARANTIA'!N34</f>
        <v>95830.16400140422</v>
      </c>
      <c r="G35" s="195">
        <f>+'ESTIMACIÓN 2016'!D$9*'CALCULO GARANTIA'!N34</f>
        <v>479325.54905966297</v>
      </c>
      <c r="H35" s="195">
        <f>'ESTIMACIÓN 2016'!D$11*'CALCULO GARANTIA'!N34</f>
        <v>722236.84521602059</v>
      </c>
      <c r="I35" s="196">
        <f t="shared" si="0"/>
        <v>19910876.514541939</v>
      </c>
    </row>
    <row r="36" spans="1:9" x14ac:dyDescent="0.2">
      <c r="A36" s="194" t="s">
        <v>30</v>
      </c>
      <c r="B36" s="195">
        <f>+'ESTIMACIÓN 2016'!D$4*'CALCULO GARANTIA'!N35</f>
        <v>14112226.962369261</v>
      </c>
      <c r="C36" s="195">
        <f>+'ESTIMACIÓN 2016'!D$5*'CALCULO GARANTIA'!N35</f>
        <v>1801085.8584798102</v>
      </c>
      <c r="D36" s="195">
        <f>+'ESTIMACIÓN 2016'!D$6*'CALCULO GARANTIA'!N35</f>
        <v>562618.3318925997</v>
      </c>
      <c r="E36" s="195">
        <f>+'ESTIMACIÓN 2016'!D$7*'CALCULO GARANTIA'!N35</f>
        <v>639701.34446103266</v>
      </c>
      <c r="F36" s="195">
        <f>+'ESTIMACIÓN 2016'!D$8*'CALCULO GARANTIA'!N35</f>
        <v>88118.585056326818</v>
      </c>
      <c r="G36" s="195">
        <f>+'ESTIMACIÓN 2016'!D$9*'CALCULO GARANTIA'!N35</f>
        <v>440753.59365831356</v>
      </c>
      <c r="H36" s="195">
        <f>'ESTIMACIÓN 2016'!D$11*'CALCULO GARANTIA'!N35</f>
        <v>664117.49931940518</v>
      </c>
      <c r="I36" s="196">
        <f t="shared" si="0"/>
        <v>18308622.17523675</v>
      </c>
    </row>
    <row r="37" spans="1:9" x14ac:dyDescent="0.2">
      <c r="A37" s="194" t="s">
        <v>31</v>
      </c>
      <c r="B37" s="195">
        <f>+'ESTIMACIÓN 2016'!D$4*'CALCULO GARANTIA'!N36</f>
        <v>134189177.11135106</v>
      </c>
      <c r="C37" s="195">
        <f>+'ESTIMACIÓN 2016'!D$5*'CALCULO GARANTIA'!N36</f>
        <v>17126016.319094192</v>
      </c>
      <c r="D37" s="195">
        <f>+'ESTIMACIÓN 2016'!D$6*'CALCULO GARANTIA'!N36</f>
        <v>5349778.6838140478</v>
      </c>
      <c r="E37" s="195">
        <f>+'ESTIMACIÓN 2016'!D$7*'CALCULO GARANTIA'!N36</f>
        <v>6082739.2614325769</v>
      </c>
      <c r="F37" s="195">
        <f>+'ESTIMACIÓN 2016'!D$8*'CALCULO GARANTIA'!N36</f>
        <v>837894.71700360882</v>
      </c>
      <c r="G37" s="195">
        <f>+'ESTIMACIÓN 2016'!D$9*'CALCULO GARANTIA'!N36</f>
        <v>4191001.3351960941</v>
      </c>
      <c r="H37" s="195">
        <f>'ESTIMACIÓN 2016'!D$11*'CALCULO GARANTIA'!N36</f>
        <v>6314905.5763171744</v>
      </c>
      <c r="I37" s="196">
        <f t="shared" si="0"/>
        <v>174091513.00420877</v>
      </c>
    </row>
    <row r="38" spans="1:9" x14ac:dyDescent="0.2">
      <c r="A38" s="194" t="s">
        <v>32</v>
      </c>
      <c r="B38" s="195">
        <f>+'ESTIMACIÓN 2016'!D$4*'CALCULO GARANTIA'!N37</f>
        <v>26150426.264598597</v>
      </c>
      <c r="C38" s="195">
        <f>+'ESTIMACIÓN 2016'!D$5*'CALCULO GARANTIA'!N37</f>
        <v>3337472.0420794734</v>
      </c>
      <c r="D38" s="195">
        <f>+'ESTIMACIÓN 2016'!D$6*'CALCULO GARANTIA'!N37</f>
        <v>1042550.4948652565</v>
      </c>
      <c r="E38" s="195">
        <f>+'ESTIMACIÓN 2016'!D$7*'CALCULO GARANTIA'!N37</f>
        <v>1185387.8827416711</v>
      </c>
      <c r="F38" s="195">
        <f>+'ESTIMACIÓN 2016'!D$8*'CALCULO GARANTIA'!N37</f>
        <v>163286.67099819414</v>
      </c>
      <c r="G38" s="195">
        <f>+'ESTIMACIÓN 2016'!D$9*'CALCULO GARANTIA'!N37</f>
        <v>816731.07884055248</v>
      </c>
      <c r="H38" s="195">
        <f>'ESTIMACIÓN 2016'!D$11*'CALCULO GARANTIA'!N37</f>
        <v>1230631.8303476339</v>
      </c>
      <c r="I38" s="196">
        <f t="shared" si="0"/>
        <v>33926486.264471382</v>
      </c>
    </row>
    <row r="39" spans="1:9" x14ac:dyDescent="0.2">
      <c r="A39" s="194" t="s">
        <v>33</v>
      </c>
      <c r="B39" s="195">
        <f>+'ESTIMACIÓN 2016'!D$4*'CALCULO GARANTIA'!N38</f>
        <v>95878114.679697067</v>
      </c>
      <c r="C39" s="195">
        <f>+'ESTIMACIÓN 2016'!D$5*'CALCULO GARANTIA'!N38</f>
        <v>12236531.976687849</v>
      </c>
      <c r="D39" s="195">
        <f>+'ESTIMACIÓN 2016'!D$6*'CALCULO GARANTIA'!N38</f>
        <v>3822414.7818724024</v>
      </c>
      <c r="E39" s="195">
        <f>+'ESTIMACIÓN 2016'!D$7*'CALCULO GARANTIA'!N38</f>
        <v>4346114.8285482368</v>
      </c>
      <c r="F39" s="195">
        <f>+'ESTIMACIÓN 2016'!D$8*'CALCULO GARANTIA'!N38</f>
        <v>598675.44831667899</v>
      </c>
      <c r="G39" s="195">
        <f>+'ESTIMACIÓN 2016'!D$9*'CALCULO GARANTIA'!N38</f>
        <v>2994468.8184894179</v>
      </c>
      <c r="H39" s="195">
        <f>'ESTIMACIÓN 2016'!D$11*'CALCULO GARANTIA'!N38</f>
        <v>4511997.5699320436</v>
      </c>
      <c r="I39" s="196">
        <f t="shared" ref="I39:I57" si="1">SUM(B39:H39)</f>
        <v>124388318.1035437</v>
      </c>
    </row>
    <row r="40" spans="1:9" x14ac:dyDescent="0.2">
      <c r="A40" s="194" t="s">
        <v>34</v>
      </c>
      <c r="B40" s="195">
        <f>+'ESTIMACIÓN 2016'!D$4*'CALCULO GARANTIA'!N39</f>
        <v>19106510.174579874</v>
      </c>
      <c r="C40" s="195">
        <f>+'ESTIMACIÓN 2016'!D$5*'CALCULO GARANTIA'!N39</f>
        <v>2438485.816030202</v>
      </c>
      <c r="D40" s="195">
        <f>+'ESTIMACIÓN 2016'!D$6*'CALCULO GARANTIA'!N39</f>
        <v>761727.60765366699</v>
      </c>
      <c r="E40" s="195">
        <f>+'ESTIMACIÓN 2016'!D$7*'CALCULO GARANTIA'!N39</f>
        <v>866090.1131500192</v>
      </c>
      <c r="F40" s="195">
        <f>+'ESTIMACIÓN 2016'!D$8*'CALCULO GARANTIA'!N39</f>
        <v>119303.54057072429</v>
      </c>
      <c r="G40" s="195">
        <f>+'ESTIMACIÓN 2016'!D$9*'CALCULO GARANTIA'!N39</f>
        <v>596735.23138274346</v>
      </c>
      <c r="H40" s="195">
        <f>'ESTIMACIÓN 2016'!D$11*'CALCULO GARANTIA'!N39</f>
        <v>899147.08654405351</v>
      </c>
      <c r="I40" s="196">
        <f t="shared" si="1"/>
        <v>24787999.569911279</v>
      </c>
    </row>
    <row r="41" spans="1:9" x14ac:dyDescent="0.2">
      <c r="A41" s="194" t="s">
        <v>35</v>
      </c>
      <c r="B41" s="195">
        <f>+'ESTIMACIÓN 2016'!D$4*'CALCULO GARANTIA'!N40</f>
        <v>16791006.87323124</v>
      </c>
      <c r="C41" s="195">
        <f>+'ESTIMACIÓN 2016'!D$5*'CALCULO GARANTIA'!N40</f>
        <v>2142967.591837598</v>
      </c>
      <c r="D41" s="195">
        <f>+'ESTIMACIÓN 2016'!D$6*'CALCULO GARANTIA'!N40</f>
        <v>669414.42360621714</v>
      </c>
      <c r="E41" s="195">
        <f>+'ESTIMACIÓN 2016'!D$7*'CALCULO GARANTIA'!N40</f>
        <v>761129.31717313791</v>
      </c>
      <c r="F41" s="195">
        <f>+'ESTIMACIÓN 2016'!D$8*'CALCULO GARANTIA'!N40</f>
        <v>104845.23606979952</v>
      </c>
      <c r="G41" s="195">
        <f>+'ESTIMACIÓN 2016'!D$9*'CALCULO GARANTIA'!N40</f>
        <v>524417.34676265647</v>
      </c>
      <c r="H41" s="195">
        <f>'ESTIMACIÓN 2016'!D$11*'CALCULO GARANTIA'!N40</f>
        <v>790180.14133703616</v>
      </c>
      <c r="I41" s="196">
        <f t="shared" si="1"/>
        <v>21783960.930017687</v>
      </c>
    </row>
    <row r="42" spans="1:9" x14ac:dyDescent="0.2">
      <c r="A42" s="194" t="s">
        <v>36</v>
      </c>
      <c r="B42" s="195">
        <f>+'ESTIMACIÓN 2016'!D$4*'CALCULO GARANTIA'!N41</f>
        <v>20646419.854455106</v>
      </c>
      <c r="C42" s="195">
        <f>+'ESTIMACIÓN 2016'!D$5*'CALCULO GARANTIA'!N41</f>
        <v>2635018.1957286792</v>
      </c>
      <c r="D42" s="195">
        <f>+'ESTIMACIÓN 2016'!D$6*'CALCULO GARANTIA'!N41</f>
        <v>823119.86117020296</v>
      </c>
      <c r="E42" s="195">
        <f>+'ESTIMACIÓN 2016'!D$7*'CALCULO GARANTIA'!N41</f>
        <v>935893.57472922269</v>
      </c>
      <c r="F42" s="195">
        <f>+'ESTIMACIÓN 2016'!D$8*'CALCULO GARANTIA'!N41</f>
        <v>128918.93737995793</v>
      </c>
      <c r="G42" s="195">
        <f>+'ESTIMACIÓN 2016'!D$9*'CALCULO GARANTIA'!N41</f>
        <v>644829.74737402273</v>
      </c>
      <c r="H42" s="195">
        <f>'ESTIMACIÓN 2016'!D$11*'CALCULO GARANTIA'!N41</f>
        <v>971614.81034863065</v>
      </c>
      <c r="I42" s="196">
        <f t="shared" si="1"/>
        <v>26785814.98118582</v>
      </c>
    </row>
    <row r="43" spans="1:9" x14ac:dyDescent="0.2">
      <c r="A43" s="194" t="s">
        <v>37</v>
      </c>
      <c r="B43" s="195">
        <f>+'ESTIMACIÓN 2016'!D$4*'CALCULO GARANTIA'!N42</f>
        <v>29081377.321410678</v>
      </c>
      <c r="C43" s="195">
        <f>+'ESTIMACIÓN 2016'!D$5*'CALCULO GARANTIA'!N42</f>
        <v>3711537.3483133544</v>
      </c>
      <c r="D43" s="195">
        <f>+'ESTIMACIÓN 2016'!D$6*'CALCULO GARANTIA'!N42</f>
        <v>1159400.0040773461</v>
      </c>
      <c r="E43" s="195">
        <f>+'ESTIMACIÓN 2016'!D$7*'CALCULO GARANTIA'!N42</f>
        <v>1318246.6680058073</v>
      </c>
      <c r="F43" s="195">
        <f>+'ESTIMACIÓN 2016'!D$8*'CALCULO GARANTIA'!N42</f>
        <v>181587.91152418024</v>
      </c>
      <c r="G43" s="195">
        <f>+'ESTIMACIÓN 2016'!D$9*'CALCULO GARANTIA'!N42</f>
        <v>908270.65048797987</v>
      </c>
      <c r="H43" s="195">
        <f>'ESTIMACIÓN 2016'!D$11*'CALCULO GARANTIA'!N42</f>
        <v>1368561.5767773085</v>
      </c>
      <c r="I43" s="196">
        <f t="shared" si="1"/>
        <v>37728981.480596654</v>
      </c>
    </row>
    <row r="44" spans="1:9" x14ac:dyDescent="0.2">
      <c r="A44" s="194" t="s">
        <v>38</v>
      </c>
      <c r="B44" s="195">
        <f>+'ESTIMACIÓN 2016'!D$4*'CALCULO GARANTIA'!N43</f>
        <v>68227596.711077124</v>
      </c>
      <c r="C44" s="195">
        <f>+'ESTIMACIÓN 2016'!D$5*'CALCULO GARANTIA'!N43</f>
        <v>8707609.3604544755</v>
      </c>
      <c r="D44" s="195">
        <f>+'ESTIMACIÓN 2016'!D$6*'CALCULO GARANTIA'!N43</f>
        <v>2720059.4741698159</v>
      </c>
      <c r="E44" s="195">
        <f>+'ESTIMACIÓN 2016'!D$7*'CALCULO GARANTIA'!N43</f>
        <v>3092728.41641527</v>
      </c>
      <c r="F44" s="195">
        <f>+'ESTIMACIÓN 2016'!D$8*'CALCULO GARANTIA'!N43</f>
        <v>426022.00914181268</v>
      </c>
      <c r="G44" s="195">
        <f>+'ESTIMACIÓN 2016'!D$9*'CALCULO GARANTIA'!N43</f>
        <v>2130886.820149947</v>
      </c>
      <c r="H44" s="195">
        <f>'ESTIMACIÓN 2016'!D$11*'CALCULO GARANTIA'!N43</f>
        <v>3210771.8387152595</v>
      </c>
      <c r="I44" s="196">
        <f t="shared" si="1"/>
        <v>88515674.630123705</v>
      </c>
    </row>
    <row r="45" spans="1:9" x14ac:dyDescent="0.2">
      <c r="A45" s="194" t="s">
        <v>39</v>
      </c>
      <c r="B45" s="195">
        <f>+'ESTIMACIÓN 2016'!D$4*'CALCULO GARANTIA'!N44</f>
        <v>1035266673.708859</v>
      </c>
      <c r="C45" s="195">
        <f>+'ESTIMACIÓN 2016'!D$5*'CALCULO GARANTIA'!N44</f>
        <v>132126855.01335041</v>
      </c>
      <c r="D45" s="195">
        <f>+'ESTIMACIÓN 2016'!D$6*'CALCULO GARANTIA'!N44</f>
        <v>41273429.812263377</v>
      </c>
      <c r="E45" s="195">
        <f>+'ESTIMACIÓN 2016'!D$7*'CALCULO GARANTIA'!N44</f>
        <v>46928205.223257907</v>
      </c>
      <c r="F45" s="195">
        <f>+'ESTIMACIÓN 2016'!D$8*'CALCULO GARANTIA'!N44</f>
        <v>6464340.0851228172</v>
      </c>
      <c r="G45" s="195">
        <f>+'ESTIMACIÓN 2016'!D$9*'CALCULO GARANTIA'!N44</f>
        <v>32333486.98604418</v>
      </c>
      <c r="H45" s="195">
        <f>'ESTIMACIÓN 2016'!D$11*'CALCULO GARANTIA'!N44</f>
        <v>48719363.450261369</v>
      </c>
      <c r="I45" s="196">
        <f t="shared" si="1"/>
        <v>1343112354.2791593</v>
      </c>
    </row>
    <row r="46" spans="1:9" x14ac:dyDescent="0.2">
      <c r="A46" s="194" t="s">
        <v>40</v>
      </c>
      <c r="B46" s="195">
        <f>+'ESTIMACIÓN 2016'!D$4*'CALCULO GARANTIA'!N45</f>
        <v>7292338.2792118974</v>
      </c>
      <c r="C46" s="195">
        <f>+'ESTIMACIÓN 2016'!D$5*'CALCULO GARANTIA'!N45</f>
        <v>930691.33489435399</v>
      </c>
      <c r="D46" s="195">
        <f>+'ESTIMACIÓN 2016'!D$6*'CALCULO GARANTIA'!N45</f>
        <v>290726.84340940765</v>
      </c>
      <c r="E46" s="195">
        <f>+'ESTIMACIÓN 2016'!D$7*'CALCULO GARANTIA'!N45</f>
        <v>330558.64350223885</v>
      </c>
      <c r="F46" s="195">
        <f>+'ESTIMACIÓN 2016'!D$8*'CALCULO GARANTIA'!N45</f>
        <v>45534.310965216988</v>
      </c>
      <c r="G46" s="195">
        <f>+'ESTIMACIÓN 2016'!D$9*'CALCULO GARANTIA'!N45</f>
        <v>227754.57844501079</v>
      </c>
      <c r="H46" s="195">
        <f>'ESTIMACIÓN 2016'!D$11*'CALCULO GARANTIA'!N45</f>
        <v>343175.42334709642</v>
      </c>
      <c r="I46" s="196">
        <f t="shared" si="1"/>
        <v>9460779.4137752224</v>
      </c>
    </row>
    <row r="47" spans="1:9" x14ac:dyDescent="0.2">
      <c r="A47" s="194" t="s">
        <v>41</v>
      </c>
      <c r="B47" s="195">
        <f>+'ESTIMACIÓN 2016'!D$4*'CALCULO GARANTIA'!N46</f>
        <v>19284761.202638119</v>
      </c>
      <c r="C47" s="195">
        <f>+'ESTIMACIÓN 2016'!D$5*'CALCULO GARANTIA'!N46</f>
        <v>2461235.2663296671</v>
      </c>
      <c r="D47" s="195">
        <f>+'ESTIMACIÓN 2016'!D$6*'CALCULO GARANTIA'!N46</f>
        <v>768834.0194433647</v>
      </c>
      <c r="E47" s="195">
        <f>+'ESTIMACIÓN 2016'!D$7*'CALCULO GARANTIA'!N46</f>
        <v>874170.15768193314</v>
      </c>
      <c r="F47" s="195">
        <f>+'ESTIMACIÓN 2016'!D$8*'CALCULO GARANTIA'!N46</f>
        <v>120416.56322967188</v>
      </c>
      <c r="G47" s="195">
        <f>+'ESTIMACIÓN 2016'!D$9*'CALCULO GARANTIA'!N46</f>
        <v>602302.37407393288</v>
      </c>
      <c r="H47" s="195">
        <f>'ESTIMACIÓN 2016'!D$11*'CALCULO GARANTIA'!N46</f>
        <v>907535.53064439411</v>
      </c>
      <c r="I47" s="196">
        <f t="shared" si="1"/>
        <v>25019255.114041086</v>
      </c>
    </row>
    <row r="48" spans="1:9" x14ac:dyDescent="0.2">
      <c r="A48" s="194" t="s">
        <v>42</v>
      </c>
      <c r="B48" s="195">
        <f>+'ESTIMACIÓN 2016'!D$4*'CALCULO GARANTIA'!N47</f>
        <v>15466827.838105513</v>
      </c>
      <c r="C48" s="195">
        <f>+'ESTIMACIÓN 2016'!D$5*'CALCULO GARANTIA'!N47</f>
        <v>1973968.0327587964</v>
      </c>
      <c r="D48" s="195">
        <f>+'ESTIMACIÓN 2016'!D$6*'CALCULO GARANTIA'!N47</f>
        <v>616622.79816990742</v>
      </c>
      <c r="E48" s="195">
        <f>+'ESTIMACIÓN 2016'!D$7*'CALCULO GARANTIA'!N47</f>
        <v>701104.83547114965</v>
      </c>
      <c r="F48" s="195">
        <f>+'ESTIMACIÓN 2016'!D$8*'CALCULO GARANTIA'!N47</f>
        <v>96576.889532596353</v>
      </c>
      <c r="G48" s="195">
        <f>+'ESTIMACIÓN 2016'!D$9*'CALCULO GARANTIA'!N47</f>
        <v>483060.53823520371</v>
      </c>
      <c r="H48" s="195">
        <f>'ESTIMACIÓN 2016'!D$11*'CALCULO GARANTIA'!N47</f>
        <v>727864.64203250699</v>
      </c>
      <c r="I48" s="196">
        <f t="shared" si="1"/>
        <v>20066025.574305672</v>
      </c>
    </row>
    <row r="49" spans="1:9" x14ac:dyDescent="0.2">
      <c r="A49" s="194" t="s">
        <v>43</v>
      </c>
      <c r="B49" s="195">
        <f>+'ESTIMACIÓN 2016'!D$4*'CALCULO GARANTIA'!N48</f>
        <v>16729996.899225889</v>
      </c>
      <c r="C49" s="195">
        <f>+'ESTIMACIÓN 2016'!D$5*'CALCULO GARANTIA'!N48</f>
        <v>2135181.1381687145</v>
      </c>
      <c r="D49" s="195">
        <f>+'ESTIMACIÓN 2016'!D$6*'CALCULO GARANTIA'!N48</f>
        <v>666982.11225697154</v>
      </c>
      <c r="E49" s="195">
        <f>+'ESTIMACIÓN 2016'!D$7*'CALCULO GARANTIA'!N48</f>
        <v>758363.76057453558</v>
      </c>
      <c r="F49" s="195">
        <f>+'ESTIMACIÓN 2016'!D$8*'CALCULO GARANTIA'!N48</f>
        <v>104464.28183784093</v>
      </c>
      <c r="G49" s="195">
        <f>+'ESTIMACIÓN 2016'!D$9*'CALCULO GARANTIA'!N48</f>
        <v>522511.88100140123</v>
      </c>
      <c r="H49" s="195">
        <f>'ESTIMACIÓN 2016'!D$11*'CALCULO GARANTIA'!N48</f>
        <v>787309.02882743604</v>
      </c>
      <c r="I49" s="196">
        <f t="shared" si="1"/>
        <v>21704809.101892784</v>
      </c>
    </row>
    <row r="50" spans="1:9" x14ac:dyDescent="0.2">
      <c r="A50" s="194" t="s">
        <v>44</v>
      </c>
      <c r="B50" s="195">
        <f>+'ESTIMACIÓN 2016'!D$4*'CALCULO GARANTIA'!N49</f>
        <v>49866105.92703288</v>
      </c>
      <c r="C50" s="195">
        <f>+'ESTIMACIÓN 2016'!D$5*'CALCULO GARANTIA'!N49</f>
        <v>6364207.3247634824</v>
      </c>
      <c r="D50" s="195">
        <f>+'ESTIMACIÓN 2016'!D$6*'CALCULO GARANTIA'!N49</f>
        <v>1988033.880794158</v>
      </c>
      <c r="E50" s="195">
        <f>+'ESTIMACIÓN 2016'!D$7*'CALCULO GARANTIA'!N49</f>
        <v>2260409.7205650168</v>
      </c>
      <c r="F50" s="195">
        <f>+'ESTIMACIÓN 2016'!D$8*'CALCULO GARANTIA'!N49</f>
        <v>311370.46677864168</v>
      </c>
      <c r="G50" s="195">
        <f>+'ESTIMACIÓN 2016'!D$9*'CALCULO GARANTIA'!N49</f>
        <v>1557420.0618862449</v>
      </c>
      <c r="H50" s="195">
        <f>'ESTIMACIÓN 2016'!D$11*'CALCULO GARANTIA'!N49</f>
        <v>2346685.1587184039</v>
      </c>
      <c r="I50" s="196">
        <f t="shared" si="1"/>
        <v>64694232.540538833</v>
      </c>
    </row>
    <row r="51" spans="1:9" x14ac:dyDescent="0.2">
      <c r="A51" s="194" t="s">
        <v>45</v>
      </c>
      <c r="B51" s="195">
        <f>+'ESTIMACIÓN 2016'!D$4*'CALCULO GARANTIA'!N50</f>
        <v>42912398.459654652</v>
      </c>
      <c r="C51" s="195">
        <f>+'ESTIMACIÓN 2016'!D$5*'CALCULO GARANTIA'!N50</f>
        <v>5476734.0565899573</v>
      </c>
      <c r="D51" s="195">
        <f>+'ESTIMACIÓN 2016'!D$6*'CALCULO GARANTIA'!N50</f>
        <v>1710807.3802427077</v>
      </c>
      <c r="E51" s="195">
        <f>+'ESTIMACIÓN 2016'!D$7*'CALCULO GARANTIA'!N50</f>
        <v>1945201.0700995652</v>
      </c>
      <c r="F51" s="195">
        <f>+'ESTIMACIÓN 2016'!D$8*'CALCULO GARANTIA'!N50</f>
        <v>267950.61075202696</v>
      </c>
      <c r="G51" s="195">
        <f>+'ESTIMACIÓN 2016'!D$9*'CALCULO GARANTIA'!N50</f>
        <v>1340241.6134621806</v>
      </c>
      <c r="H51" s="195">
        <f>'ESTIMACIÓN 2016'!D$11*'CALCULO GARANTIA'!N50</f>
        <v>2019445.6077568035</v>
      </c>
      <c r="I51" s="196">
        <f t="shared" si="1"/>
        <v>55672778.798557878</v>
      </c>
    </row>
    <row r="52" spans="1:9" x14ac:dyDescent="0.2">
      <c r="A52" s="194" t="s">
        <v>46</v>
      </c>
      <c r="B52" s="195">
        <f>+'ESTIMACIÓN 2016'!D$4*'CALCULO GARANTIA'!N51</f>
        <v>360221917.12464982</v>
      </c>
      <c r="C52" s="195">
        <f>+'ESTIMACIÓN 2016'!D$5*'CALCULO GARANTIA'!N51</f>
        <v>45973651.258424021</v>
      </c>
      <c r="D52" s="195">
        <f>+'ESTIMACIÓN 2016'!D$6*'CALCULO GARANTIA'!N51</f>
        <v>14361124.907092588</v>
      </c>
      <c r="E52" s="195">
        <f>+'ESTIMACIÓN 2016'!D$7*'CALCULO GARANTIA'!N51</f>
        <v>16328708.807152161</v>
      </c>
      <c r="F52" s="195">
        <f>+'ESTIMACIÓN 2016'!D$8*'CALCULO GARANTIA'!N51</f>
        <v>2249272.615012737</v>
      </c>
      <c r="G52" s="195">
        <f>+'ESTIMACIÓN 2016'!D$9*'CALCULO GARANTIA'!N51</f>
        <v>11250464.218761496</v>
      </c>
      <c r="H52" s="195">
        <f>'ESTIMACIÓN 2016'!D$11*'CALCULO GARANTIA'!N51</f>
        <v>16951943.831315827</v>
      </c>
      <c r="I52" s="196">
        <f t="shared" si="1"/>
        <v>467337082.76240867</v>
      </c>
    </row>
    <row r="53" spans="1:9" x14ac:dyDescent="0.2">
      <c r="A53" s="194" t="s">
        <v>47</v>
      </c>
      <c r="B53" s="195">
        <f>+'ESTIMACIÓN 2016'!D$4*'CALCULO GARANTIA'!N52</f>
        <v>435486957.14375412</v>
      </c>
      <c r="C53" s="195">
        <f>+'ESTIMACIÓN 2016'!D$5*'CALCULO GARANTIA'!N52</f>
        <v>55579420.750212803</v>
      </c>
      <c r="D53" s="195">
        <f>+'ESTIMACIÓN 2016'!D$6*'CALCULO GARANTIA'!N52</f>
        <v>17361749.215239979</v>
      </c>
      <c r="E53" s="195">
        <f>+'ESTIMACIÓN 2016'!D$7*'CALCULO GARANTIA'!N52</f>
        <v>19740441.584659249</v>
      </c>
      <c r="F53" s="195">
        <f>+'ESTIMACIÓN 2016'!D$8*'CALCULO GARANTIA'!N52</f>
        <v>2719237.3376873657</v>
      </c>
      <c r="G53" s="195">
        <f>+'ESTIMACIÓN 2016'!D$9*'CALCULO GARANTIA'!N52</f>
        <v>13601144.728203051</v>
      </c>
      <c r="H53" s="195">
        <f>'ESTIMACIÓN 2016'!D$11*'CALCULO GARANTIA'!N52</f>
        <v>20493895.806503639</v>
      </c>
      <c r="I53" s="196">
        <f t="shared" si="1"/>
        <v>564982846.56626022</v>
      </c>
    </row>
    <row r="54" spans="1:9" x14ac:dyDescent="0.2">
      <c r="A54" s="194" t="s">
        <v>48</v>
      </c>
      <c r="B54" s="195">
        <f>+'ESTIMACIÓN 2016'!D$4*'CALCULO GARANTIA'!N53</f>
        <v>194480394.14867046</v>
      </c>
      <c r="C54" s="195">
        <f>+'ESTIMACIÓN 2016'!D$5*'CALCULO GARANTIA'!N53</f>
        <v>24820737.973303057</v>
      </c>
      <c r="D54" s="195">
        <f>+'ESTIMACIÓN 2016'!D$6*'CALCULO GARANTIA'!N53</f>
        <v>7753435.0342796892</v>
      </c>
      <c r="E54" s="195">
        <f>+'ESTIMACIÓN 2016'!D$7*'CALCULO GARANTIA'!N53</f>
        <v>8815714.9073606804</v>
      </c>
      <c r="F54" s="195">
        <f>+'ESTIMACIÓN 2016'!D$8*'CALCULO GARANTIA'!N53</f>
        <v>1214360.9367447731</v>
      </c>
      <c r="G54" s="195">
        <f>+'ESTIMACIÓN 2016'!D$9*'CALCULO GARANTIA'!N53</f>
        <v>6074018.8522818955</v>
      </c>
      <c r="H54" s="195">
        <f>'ESTIMACIÓN 2016'!D$11*'CALCULO GARANTIA'!N53</f>
        <v>9152193.5817125905</v>
      </c>
      <c r="I54" s="196">
        <f t="shared" si="1"/>
        <v>252310855.43435317</v>
      </c>
    </row>
    <row r="55" spans="1:9" x14ac:dyDescent="0.2">
      <c r="A55" s="194" t="s">
        <v>49</v>
      </c>
      <c r="B55" s="195">
        <f>+'ESTIMACIÓN 2016'!D$4*'CALCULO GARANTIA'!N54</f>
        <v>45808601.049467005</v>
      </c>
      <c r="C55" s="195">
        <f>+'ESTIMACIÓN 2016'!D$5*'CALCULO GARANTIA'!N54</f>
        <v>5846364.5579780871</v>
      </c>
      <c r="D55" s="195">
        <f>+'ESTIMACIÓN 2016'!D$6*'CALCULO GARANTIA'!N54</f>
        <v>1826271.5571049603</v>
      </c>
      <c r="E55" s="195">
        <f>+'ESTIMACIÓN 2016'!D$7*'CALCULO GARANTIA'!N54</f>
        <v>2076484.7218913618</v>
      </c>
      <c r="F55" s="195">
        <f>+'ESTIMACIÓN 2016'!D$8*'CALCULO GARANTIA'!N54</f>
        <v>286034.87731968198</v>
      </c>
      <c r="G55" s="195">
        <f>+'ESTIMACIÓN 2016'!D$9*'CALCULO GARANTIA'!N54</f>
        <v>1430695.9197049991</v>
      </c>
      <c r="H55" s="195">
        <f>'ESTIMACIÓN 2016'!D$11*'CALCULO GARANTIA'!N54</f>
        <v>2155740.1009361879</v>
      </c>
      <c r="I55" s="196">
        <f t="shared" si="1"/>
        <v>59430192.784402274</v>
      </c>
    </row>
    <row r="56" spans="1:9" x14ac:dyDescent="0.2">
      <c r="A56" s="194" t="s">
        <v>50</v>
      </c>
      <c r="B56" s="195">
        <f>+'ESTIMACIÓN 2016'!D$4*'CALCULO GARANTIA'!N55</f>
        <v>12948224.465055196</v>
      </c>
      <c r="C56" s="195">
        <f>+'ESTIMACIÓN 2016'!D$5*'CALCULO GARANTIA'!N55</f>
        <v>1652528.9763705689</v>
      </c>
      <c r="D56" s="195">
        <f>+'ESTIMACIÓN 2016'!D$6*'CALCULO GARANTIA'!N55</f>
        <v>516212.53462871327</v>
      </c>
      <c r="E56" s="195">
        <f>+'ESTIMACIÓN 2016'!D$7*'CALCULO GARANTIA'!N55</f>
        <v>586937.5982094066</v>
      </c>
      <c r="F56" s="195">
        <f>+'ESTIMACIÓN 2016'!D$8*'CALCULO GARANTIA'!N55</f>
        <v>80850.401704482108</v>
      </c>
      <c r="G56" s="195">
        <f>+'ESTIMACIÓN 2016'!D$9*'CALCULO GARANTIA'!N55</f>
        <v>404399.4246751715</v>
      </c>
      <c r="H56" s="195">
        <f>'ESTIMACIÓN 2016'!D$11*'CALCULO GARANTIA'!N55</f>
        <v>609339.86360116722</v>
      </c>
      <c r="I56" s="196">
        <f t="shared" si="1"/>
        <v>16798493.264244709</v>
      </c>
    </row>
    <row r="57" spans="1:9" ht="13.5" thickBot="1" x14ac:dyDescent="0.25">
      <c r="A57" s="194" t="s">
        <v>51</v>
      </c>
      <c r="B57" s="195">
        <f>+'ESTIMACIÓN 2016'!D$4*'CALCULO GARANTIA'!N56</f>
        <v>17838912.317720767</v>
      </c>
      <c r="C57" s="195">
        <f>+'ESTIMACIÓN 2016'!D$5*'CALCULO GARANTIA'!N56</f>
        <v>2276707.4815181443</v>
      </c>
      <c r="D57" s="195">
        <f>+'ESTIMACIÓN 2016'!D$6*'CALCULO GARANTIA'!N56</f>
        <v>711191.72882756754</v>
      </c>
      <c r="E57" s="195">
        <f>+'ESTIMACIÓN 2016'!D$7*'CALCULO GARANTIA'!N56</f>
        <v>808630.43258854968</v>
      </c>
      <c r="F57" s="195">
        <f>+'ESTIMACIÓN 2016'!D$8*'CALCULO GARANTIA'!N56</f>
        <v>111388.49428747602</v>
      </c>
      <c r="G57" s="195">
        <f>+'ESTIMACIÓN 2016'!D$9*'CALCULO GARANTIA'!N56</f>
        <v>557145.56830447691</v>
      </c>
      <c r="H57" s="195">
        <f>'ESTIMACIÓN 2016'!D$11*'CALCULO GARANTIA'!N56</f>
        <v>839494.28184606449</v>
      </c>
      <c r="I57" s="196">
        <f t="shared" si="1"/>
        <v>23143470.305093046</v>
      </c>
    </row>
    <row r="58" spans="1:9" ht="14.25" thickTop="1" thickBot="1" x14ac:dyDescent="0.25">
      <c r="A58" s="197" t="s">
        <v>52</v>
      </c>
      <c r="B58" s="198">
        <f t="shared" ref="B58:I58" si="2">SUM(B7:B57)</f>
        <v>4539041162</v>
      </c>
      <c r="C58" s="198">
        <f t="shared" si="2"/>
        <v>579299274.99999988</v>
      </c>
      <c r="D58" s="198">
        <f>SUM(D7:D57)</f>
        <v>180959941.59999999</v>
      </c>
      <c r="E58" s="198">
        <f>SUM(E7:E57)</f>
        <v>205752837</v>
      </c>
      <c r="F58" s="198">
        <f>SUM(F7:F57)</f>
        <v>28342364.800000001</v>
      </c>
      <c r="G58" s="198">
        <f>SUM(G7:G57)</f>
        <v>141763501.20000002</v>
      </c>
      <c r="H58" s="198">
        <f>SUM(H7:H57)</f>
        <v>213606022.19999999</v>
      </c>
      <c r="I58" s="199">
        <f t="shared" si="2"/>
        <v>5888765103.7999992</v>
      </c>
    </row>
    <row r="59" spans="1:9" ht="13.5" thickTop="1" x14ac:dyDescent="0.2">
      <c r="A59" s="200"/>
      <c r="B59" s="200"/>
      <c r="C59" s="200"/>
      <c r="D59" s="200"/>
      <c r="E59" s="200"/>
      <c r="F59" s="200"/>
      <c r="G59" s="200"/>
      <c r="H59" s="200"/>
      <c r="I59" s="200"/>
    </row>
    <row r="60" spans="1:9" ht="16.5" customHeight="1" x14ac:dyDescent="0.2">
      <c r="A60" s="187" t="s">
        <v>150</v>
      </c>
    </row>
    <row r="61" spans="1:9" x14ac:dyDescent="0.2">
      <c r="A61" s="201"/>
    </row>
    <row r="64" spans="1:9" ht="16.5" customHeight="1" x14ac:dyDescent="0.2"/>
  </sheetData>
  <mergeCells count="4">
    <mergeCell ref="A1:I1"/>
    <mergeCell ref="A2:I2"/>
    <mergeCell ref="A3:I3"/>
    <mergeCell ref="A4:I4"/>
  </mergeCells>
  <printOptions horizontalCentered="1"/>
  <pageMargins left="0.39370078740157483" right="0.39370078740157483" top="0.43307086614173229" bottom="0.15748031496062992" header="0.23622047244094491" footer="0.15748031496062992"/>
  <pageSetup scale="71" orientation="landscape" horizontalDpi="1200" verticalDpi="1200" r:id="rId1"/>
  <headerFooter alignWithMargins="0">
    <oddHeader>&amp;LANEXO II
Pag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workbookViewId="0">
      <selection activeCell="A4" sqref="A4"/>
    </sheetView>
  </sheetViews>
  <sheetFormatPr baseColWidth="10" defaultColWidth="9.7109375" defaultRowHeight="12.75" x14ac:dyDescent="0.2"/>
  <cols>
    <col min="1" max="1" width="28.85546875" style="25" customWidth="1"/>
    <col min="2" max="6" width="15.7109375" style="25" customWidth="1"/>
    <col min="7" max="8" width="12.7109375" style="25" customWidth="1"/>
    <col min="9" max="9" width="12.7109375" style="90" customWidth="1"/>
    <col min="10" max="11" width="12.7109375" style="25" customWidth="1"/>
    <col min="12" max="12" width="12.7109375" style="90" customWidth="1"/>
    <col min="13" max="13" width="12.7109375" style="92" customWidth="1"/>
    <col min="14" max="20" width="13.140625" style="25" customWidth="1"/>
    <col min="21" max="22" width="14.140625" style="25" customWidth="1"/>
    <col min="23" max="26" width="12.7109375" style="25" customWidth="1"/>
    <col min="27" max="31" width="14.5703125" style="25" customWidth="1"/>
    <col min="32" max="32" width="14.42578125" style="90" customWidth="1"/>
    <col min="33" max="33" width="14.42578125" style="25" customWidth="1"/>
    <col min="34" max="34" width="14.7109375" style="25" customWidth="1"/>
    <col min="35" max="36" width="14.7109375" style="90" customWidth="1"/>
    <col min="37" max="37" width="14.7109375" style="92" customWidth="1"/>
    <col min="38" max="38" width="1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 x14ac:dyDescent="0.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</row>
    <row r="2" spans="1:43" ht="26.25" x14ac:dyDescent="0.4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3" ht="18.75" thickBot="1" x14ac:dyDescent="0.3">
      <c r="B3" s="214" t="s">
        <v>138</v>
      </c>
      <c r="C3" s="214"/>
      <c r="D3" s="214"/>
      <c r="E3" s="214"/>
      <c r="F3" s="214"/>
      <c r="G3" s="215" t="s">
        <v>68</v>
      </c>
      <c r="H3" s="215"/>
      <c r="I3" s="215"/>
      <c r="J3" s="215"/>
      <c r="K3" s="215"/>
      <c r="L3" s="215"/>
      <c r="M3" s="215"/>
      <c r="N3" s="215" t="s">
        <v>124</v>
      </c>
      <c r="O3" s="215"/>
      <c r="P3" s="215"/>
      <c r="Q3" s="215"/>
      <c r="R3" s="215"/>
      <c r="S3" s="215"/>
      <c r="T3" s="215"/>
      <c r="U3" s="215" t="s">
        <v>124</v>
      </c>
      <c r="V3" s="215"/>
      <c r="W3" s="215"/>
      <c r="X3" s="215"/>
      <c r="Y3" s="215"/>
      <c r="Z3" s="215"/>
      <c r="AA3" s="215"/>
      <c r="AB3" s="215" t="s">
        <v>124</v>
      </c>
      <c r="AC3" s="215"/>
      <c r="AD3" s="215"/>
      <c r="AE3" s="215"/>
      <c r="AF3" s="215"/>
      <c r="AG3" s="215"/>
      <c r="AH3" s="215"/>
      <c r="AI3" s="211"/>
      <c r="AJ3" s="211"/>
      <c r="AK3" s="211"/>
      <c r="AM3" s="214"/>
      <c r="AN3" s="214"/>
      <c r="AO3" s="214"/>
      <c r="AP3" s="214"/>
      <c r="AQ3" s="214"/>
    </row>
    <row r="4" spans="1:43" ht="77.25" thickBot="1" x14ac:dyDescent="0.25">
      <c r="A4" s="19" t="s">
        <v>0</v>
      </c>
      <c r="B4" s="20" t="s">
        <v>181</v>
      </c>
      <c r="C4" s="19" t="s">
        <v>182</v>
      </c>
      <c r="D4" s="20" t="s">
        <v>183</v>
      </c>
      <c r="E4" s="23" t="s">
        <v>184</v>
      </c>
      <c r="F4" s="152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47" t="s">
        <v>101</v>
      </c>
      <c r="N4" s="19" t="s">
        <v>85</v>
      </c>
      <c r="O4" s="19" t="s">
        <v>86</v>
      </c>
      <c r="P4" s="19" t="s">
        <v>102</v>
      </c>
      <c r="Q4" s="19" t="s">
        <v>103</v>
      </c>
      <c r="R4" s="19" t="s">
        <v>87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96</v>
      </c>
      <c r="X4" s="19" t="s">
        <v>97</v>
      </c>
      <c r="Y4" s="19" t="s">
        <v>113</v>
      </c>
      <c r="Z4" s="19" t="s">
        <v>112</v>
      </c>
      <c r="AA4" s="19" t="s">
        <v>87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47" t="s">
        <v>104</v>
      </c>
      <c r="AM4" s="154" t="s">
        <v>127</v>
      </c>
      <c r="AN4" s="154" t="s">
        <v>125</v>
      </c>
      <c r="AO4" s="154" t="s">
        <v>126</v>
      </c>
      <c r="AP4" s="154" t="s">
        <v>74</v>
      </c>
      <c r="AQ4" s="154" t="s">
        <v>115</v>
      </c>
    </row>
    <row r="5" spans="1:43" x14ac:dyDescent="0.2">
      <c r="A5" s="113"/>
      <c r="B5" s="114" t="s">
        <v>131</v>
      </c>
      <c r="C5" s="113" t="s">
        <v>131</v>
      </c>
      <c r="D5" s="114"/>
      <c r="E5" s="117"/>
      <c r="F5" s="120"/>
      <c r="G5" s="113"/>
      <c r="H5" s="114"/>
      <c r="I5" s="115"/>
      <c r="J5" s="116"/>
      <c r="K5" s="114"/>
      <c r="L5" s="115"/>
      <c r="M5" s="119"/>
      <c r="N5" s="116"/>
      <c r="O5" s="116"/>
      <c r="P5" s="116"/>
      <c r="Q5" s="116"/>
      <c r="R5" s="116"/>
      <c r="S5" s="116"/>
      <c r="T5" s="116"/>
      <c r="U5" s="116"/>
      <c r="V5" s="113"/>
      <c r="W5" s="116"/>
      <c r="X5" s="116"/>
      <c r="Y5" s="116"/>
      <c r="Z5" s="116"/>
      <c r="AA5" s="116"/>
      <c r="AB5" s="116"/>
      <c r="AC5" s="116"/>
      <c r="AD5" s="116"/>
      <c r="AE5" s="113"/>
      <c r="AF5" s="115"/>
      <c r="AG5" s="113"/>
      <c r="AH5" s="117"/>
      <c r="AI5" s="118"/>
      <c r="AJ5" s="115"/>
      <c r="AK5" s="119"/>
      <c r="AL5" s="128"/>
      <c r="AM5" s="121" t="s">
        <v>131</v>
      </c>
      <c r="AN5" s="121" t="s">
        <v>131</v>
      </c>
      <c r="AO5" s="121" t="s">
        <v>131</v>
      </c>
      <c r="AP5" s="121" t="s">
        <v>131</v>
      </c>
      <c r="AQ5" s="121"/>
    </row>
    <row r="6" spans="1:43" s="28" customFormat="1" ht="33.75" x14ac:dyDescent="0.2">
      <c r="A6" s="122"/>
      <c r="B6" s="126" t="s">
        <v>176</v>
      </c>
      <c r="C6" s="105" t="s">
        <v>177</v>
      </c>
      <c r="D6" s="105" t="s">
        <v>54</v>
      </c>
      <c r="E6" s="105" t="s">
        <v>55</v>
      </c>
      <c r="F6" s="127" t="s">
        <v>78</v>
      </c>
      <c r="G6" s="122" t="s">
        <v>57</v>
      </c>
      <c r="H6" s="105" t="s">
        <v>76</v>
      </c>
      <c r="I6" s="123" t="s">
        <v>79</v>
      </c>
      <c r="J6" s="26" t="s">
        <v>67</v>
      </c>
      <c r="K6" s="105" t="s">
        <v>80</v>
      </c>
      <c r="L6" s="123" t="s">
        <v>81</v>
      </c>
      <c r="M6" s="124" t="s">
        <v>69</v>
      </c>
      <c r="N6" s="26" t="s">
        <v>88</v>
      </c>
      <c r="O6" s="26" t="s">
        <v>89</v>
      </c>
      <c r="P6" s="26" t="s">
        <v>90</v>
      </c>
      <c r="Q6" s="26" t="s">
        <v>91</v>
      </c>
      <c r="R6" s="26" t="s">
        <v>92</v>
      </c>
      <c r="S6" s="26" t="s">
        <v>93</v>
      </c>
      <c r="T6" s="26" t="s">
        <v>94</v>
      </c>
      <c r="U6" s="26" t="s">
        <v>95</v>
      </c>
      <c r="V6" s="122" t="s">
        <v>60</v>
      </c>
      <c r="W6" s="26" t="s">
        <v>88</v>
      </c>
      <c r="X6" s="26" t="s">
        <v>89</v>
      </c>
      <c r="Y6" s="26" t="s">
        <v>90</v>
      </c>
      <c r="Z6" s="26" t="s">
        <v>91</v>
      </c>
      <c r="AA6" s="26" t="s">
        <v>92</v>
      </c>
      <c r="AB6" s="26" t="s">
        <v>93</v>
      </c>
      <c r="AC6" s="26" t="s">
        <v>94</v>
      </c>
      <c r="AD6" s="26" t="s">
        <v>95</v>
      </c>
      <c r="AE6" s="105" t="s">
        <v>59</v>
      </c>
      <c r="AF6" s="123" t="s">
        <v>82</v>
      </c>
      <c r="AG6" s="105" t="s">
        <v>65</v>
      </c>
      <c r="AH6" s="105" t="s">
        <v>61</v>
      </c>
      <c r="AI6" s="123" t="s">
        <v>83</v>
      </c>
      <c r="AJ6" s="123" t="s">
        <v>84</v>
      </c>
      <c r="AK6" s="125" t="s">
        <v>186</v>
      </c>
      <c r="AL6" s="27"/>
      <c r="AM6" s="26">
        <f>+AP6*0.5</f>
        <v>2837579540.8000002</v>
      </c>
      <c r="AN6" s="26">
        <f>+AP6*0.25</f>
        <v>1418789770.4000001</v>
      </c>
      <c r="AO6" s="26">
        <f>+AP6*0.25</f>
        <v>1418789770.4000001</v>
      </c>
      <c r="AP6" s="26">
        <f>+'ESTIMACIÓN 2016'!D10</f>
        <v>5675159081.6000004</v>
      </c>
    </row>
    <row r="7" spans="1:43" s="36" customFormat="1" ht="23.25" customHeight="1" thickBot="1" x14ac:dyDescent="0.25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141</v>
      </c>
      <c r="AN7" s="26" t="s">
        <v>142</v>
      </c>
      <c r="AO7" s="26" t="s">
        <v>75</v>
      </c>
      <c r="AP7" s="35" t="s">
        <v>143</v>
      </c>
      <c r="AQ7" s="35" t="s">
        <v>71</v>
      </c>
    </row>
    <row r="8" spans="1:43" ht="15" thickTop="1" x14ac:dyDescent="0.2">
      <c r="A8" s="5" t="s">
        <v>1</v>
      </c>
      <c r="B8" s="40">
        <v>450842</v>
      </c>
      <c r="C8" s="40">
        <v>87883</v>
      </c>
      <c r="D8" s="49">
        <f t="shared" ref="D8:D39" si="0">+C8/B8</f>
        <v>0.19493081833547007</v>
      </c>
      <c r="E8" s="50">
        <f>+D8*C8</f>
        <v>17131.105107776115</v>
      </c>
      <c r="F8" s="148">
        <f t="shared" ref="F8:F39" si="1">+E8/E$59</f>
        <v>1.5067275638797558E-5</v>
      </c>
      <c r="G8" s="37">
        <v>2791</v>
      </c>
      <c r="H8" s="132">
        <f t="shared" ref="H8:H39" si="2">+G8/$G$59</f>
        <v>5.9976903197579094E-4</v>
      </c>
      <c r="I8" s="39">
        <f>+H8*I$4</f>
        <v>5.0980367717942232E-4</v>
      </c>
      <c r="J8" s="40">
        <v>47.45</v>
      </c>
      <c r="K8" s="129">
        <f t="shared" ref="K8:K39" si="3">+J8/$J$59</f>
        <v>7.3886478603129777E-4</v>
      </c>
      <c r="L8" s="41">
        <f>+K8*L$4</f>
        <v>1.1082971790469465E-4</v>
      </c>
      <c r="M8" s="148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48">
        <f t="shared" ref="AK8:AK58" si="10">+AJ8+AF8</f>
        <v>1.2024615204675394E-3</v>
      </c>
      <c r="AM8" s="51">
        <f t="shared" ref="AM8:AM39" si="11">+F8*AM$6</f>
        <v>42754.593088246205</v>
      </c>
      <c r="AN8" s="52">
        <f t="shared" ref="AN8:AN39" si="12">+M8*AN$6</f>
        <v>880548.31211396691</v>
      </c>
      <c r="AO8" s="52">
        <f t="shared" ref="AO8:AO39" si="13">+AK8*AO$6</f>
        <v>1706040.1045389753</v>
      </c>
      <c r="AP8" s="52">
        <f>SUM(AM8:AO8)</f>
        <v>2629343.0097411885</v>
      </c>
      <c r="AQ8" s="53">
        <f>+AP8/AP$59</f>
        <v>4.6330736670731289E-4</v>
      </c>
    </row>
    <row r="9" spans="1:43" ht="14.25" x14ac:dyDescent="0.2">
      <c r="A9" s="7" t="s">
        <v>2</v>
      </c>
      <c r="B9" s="57">
        <v>2452853</v>
      </c>
      <c r="C9" s="57">
        <v>747936</v>
      </c>
      <c r="D9" s="66">
        <f t="shared" si="0"/>
        <v>0.30492491804441602</v>
      </c>
      <c r="E9" s="67">
        <f t="shared" ref="E9:E58" si="14">+D9*C9</f>
        <v>228064.32350246832</v>
      </c>
      <c r="F9" s="149">
        <f t="shared" si="1"/>
        <v>2.0058881222016347E-4</v>
      </c>
      <c r="G9" s="54">
        <v>3443</v>
      </c>
      <c r="H9" s="133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30">
        <f t="shared" si="3"/>
        <v>1.524428317970032E-2</v>
      </c>
      <c r="L9" s="58">
        <f t="shared" ref="L9:L58" si="16">+K9*L$4</f>
        <v>2.2866424769550477E-3</v>
      </c>
      <c r="M9" s="149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49">
        <f t="shared" si="10"/>
        <v>6.7003841024929206E-3</v>
      </c>
      <c r="AM9" s="68">
        <f t="shared" si="11"/>
        <v>569186.70966930897</v>
      </c>
      <c r="AN9" s="69">
        <f t="shared" si="12"/>
        <v>4136538.8730068407</v>
      </c>
      <c r="AO9" s="69">
        <f t="shared" si="13"/>
        <v>9506436.4223677423</v>
      </c>
      <c r="AP9" s="69">
        <f t="shared" ref="AP9:AP58" si="23">SUM(AM9:AO9)</f>
        <v>14212162.005043892</v>
      </c>
      <c r="AQ9" s="70">
        <f t="shared" ref="AQ9:AQ58" si="24">+AP9/AP$59</f>
        <v>2.5042755279094399E-3</v>
      </c>
    </row>
    <row r="10" spans="1:43" ht="14.25" x14ac:dyDescent="0.2">
      <c r="A10" s="7" t="s">
        <v>3</v>
      </c>
      <c r="B10" s="57">
        <v>885299</v>
      </c>
      <c r="C10" s="57">
        <v>261118</v>
      </c>
      <c r="D10" s="66">
        <f t="shared" si="0"/>
        <v>0.29494893815535767</v>
      </c>
      <c r="E10" s="67">
        <f t="shared" si="14"/>
        <v>77016.476833250679</v>
      </c>
      <c r="F10" s="149">
        <f t="shared" si="1"/>
        <v>6.7738098498322516E-5</v>
      </c>
      <c r="G10" s="54">
        <v>1374</v>
      </c>
      <c r="H10" s="133">
        <f t="shared" si="2"/>
        <v>2.9526429592788847E-4</v>
      </c>
      <c r="I10" s="56">
        <f t="shared" si="15"/>
        <v>2.509746515387052E-4</v>
      </c>
      <c r="J10" s="57">
        <v>696.75</v>
      </c>
      <c r="K10" s="130">
        <f t="shared" si="3"/>
        <v>1.0849400203736705E-2</v>
      </c>
      <c r="L10" s="58">
        <f t="shared" si="16"/>
        <v>1.6274100305605057E-3</v>
      </c>
      <c r="M10" s="149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49">
        <f t="shared" si="10"/>
        <v>8.7056695028393145E-3</v>
      </c>
      <c r="AM10" s="68">
        <f t="shared" si="11"/>
        <v>192212.24243153518</v>
      </c>
      <c r="AN10" s="69">
        <f t="shared" si="12"/>
        <v>2665032.9718384165</v>
      </c>
      <c r="AO10" s="69">
        <f t="shared" si="13"/>
        <v>12351514.835111674</v>
      </c>
      <c r="AP10" s="69">
        <f t="shared" si="23"/>
        <v>15208760.049381625</v>
      </c>
      <c r="AQ10" s="70">
        <f t="shared" si="24"/>
        <v>2.6798825954837927E-3</v>
      </c>
    </row>
    <row r="11" spans="1:43" ht="13.5" customHeight="1" x14ac:dyDescent="0.2">
      <c r="A11" s="7" t="s">
        <v>4</v>
      </c>
      <c r="B11" s="57">
        <v>29940299</v>
      </c>
      <c r="C11" s="57">
        <v>10413921</v>
      </c>
      <c r="D11" s="66">
        <f t="shared" si="0"/>
        <v>0.34782287912355186</v>
      </c>
      <c r="E11" s="67">
        <f t="shared" si="14"/>
        <v>3622199.9851852185</v>
      </c>
      <c r="F11" s="149">
        <f t="shared" si="1"/>
        <v>3.1858239881361059E-3</v>
      </c>
      <c r="G11" s="54">
        <v>32593</v>
      </c>
      <c r="H11" s="133">
        <f t="shared" si="2"/>
        <v>7.0040387170143149E-3</v>
      </c>
      <c r="I11" s="56">
        <f t="shared" si="15"/>
        <v>5.9534329094621677E-3</v>
      </c>
      <c r="J11" s="57">
        <v>190.52</v>
      </c>
      <c r="K11" s="130">
        <f t="shared" si="3"/>
        <v>2.9666705802883636E-3</v>
      </c>
      <c r="L11" s="58">
        <f t="shared" si="16"/>
        <v>4.4500058704325453E-4</v>
      </c>
      <c r="M11" s="149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49">
        <f t="shared" si="10"/>
        <v>1.5189599064161979E-2</v>
      </c>
      <c r="AM11" s="68">
        <f t="shared" si="11"/>
        <v>9040028.9693248775</v>
      </c>
      <c r="AN11" s="69">
        <f t="shared" si="12"/>
        <v>9078031.9914265983</v>
      </c>
      <c r="AO11" s="69">
        <f t="shared" si="13"/>
        <v>21550847.768710431</v>
      </c>
      <c r="AP11" s="69">
        <f t="shared" si="23"/>
        <v>39668908.729461908</v>
      </c>
      <c r="AQ11" s="70">
        <f t="shared" si="24"/>
        <v>6.9899201342349037E-3</v>
      </c>
    </row>
    <row r="12" spans="1:43" ht="14.25" x14ac:dyDescent="0.2">
      <c r="A12" s="7" t="s">
        <v>5</v>
      </c>
      <c r="B12" s="57">
        <v>10019260</v>
      </c>
      <c r="C12" s="57">
        <v>2220524</v>
      </c>
      <c r="D12" s="66">
        <f t="shared" si="0"/>
        <v>0.22162554919225572</v>
      </c>
      <c r="E12" s="67">
        <f t="shared" si="14"/>
        <v>492124.85099458444</v>
      </c>
      <c r="F12" s="149">
        <f t="shared" si="1"/>
        <v>4.3283727068324317E-4</v>
      </c>
      <c r="G12" s="54">
        <v>18480</v>
      </c>
      <c r="H12" s="133">
        <f t="shared" si="2"/>
        <v>3.9712403120432159E-3</v>
      </c>
      <c r="I12" s="56">
        <f t="shared" si="15"/>
        <v>3.3755542652367334E-3</v>
      </c>
      <c r="J12" s="57">
        <v>4572.87</v>
      </c>
      <c r="K12" s="130">
        <f t="shared" si="3"/>
        <v>7.1206166788175776E-2</v>
      </c>
      <c r="L12" s="58">
        <f t="shared" si="16"/>
        <v>1.0680925018226366E-2</v>
      </c>
      <c r="M12" s="149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49">
        <f t="shared" si="10"/>
        <v>1.4897846468279709E-2</v>
      </c>
      <c r="AM12" s="68">
        <f t="shared" si="11"/>
        <v>1228210.1837864826</v>
      </c>
      <c r="AN12" s="69">
        <f t="shared" si="12"/>
        <v>19943189.015216969</v>
      </c>
      <c r="AO12" s="69">
        <f t="shared" si="13"/>
        <v>21136912.170185022</v>
      </c>
      <c r="AP12" s="69">
        <f t="shared" si="23"/>
        <v>42308311.369188473</v>
      </c>
      <c r="AQ12" s="70">
        <f t="shared" si="24"/>
        <v>7.4550000732773241E-3</v>
      </c>
    </row>
    <row r="13" spans="1:43" ht="14.25" x14ac:dyDescent="0.2">
      <c r="A13" s="7" t="s">
        <v>6</v>
      </c>
      <c r="B13" s="57">
        <v>323470933</v>
      </c>
      <c r="C13" s="57">
        <v>141732262.94999999</v>
      </c>
      <c r="D13" s="66">
        <f t="shared" si="0"/>
        <v>0.43816073869611027</v>
      </c>
      <c r="E13" s="67">
        <f t="shared" si="14"/>
        <v>62101513.031243339</v>
      </c>
      <c r="F13" s="149">
        <f t="shared" si="1"/>
        <v>5.4619979770212879E-2</v>
      </c>
      <c r="G13" s="54">
        <v>523370</v>
      </c>
      <c r="H13" s="133">
        <f t="shared" si="2"/>
        <v>0.11246904989794686</v>
      </c>
      <c r="I13" s="56">
        <f t="shared" si="15"/>
        <v>9.5598692413254832E-2</v>
      </c>
      <c r="J13" s="57">
        <v>238.03</v>
      </c>
      <c r="K13" s="130">
        <f t="shared" si="3"/>
        <v>3.7064696526665922E-3</v>
      </c>
      <c r="L13" s="58">
        <f t="shared" si="16"/>
        <v>5.5597044789998883E-4</v>
      </c>
      <c r="M13" s="149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49">
        <f t="shared" si="10"/>
        <v>3.9971285953087153E-2</v>
      </c>
      <c r="AM13" s="68">
        <f t="shared" si="11"/>
        <v>154988537.11486596</v>
      </c>
      <c r="AN13" s="69">
        <f t="shared" si="12"/>
        <v>136423252.04366726</v>
      </c>
      <c r="AO13" s="69">
        <f t="shared" si="13"/>
        <v>56710851.619973272</v>
      </c>
      <c r="AP13" s="69">
        <f t="shared" si="23"/>
        <v>348122640.77850652</v>
      </c>
      <c r="AQ13" s="70">
        <f t="shared" si="24"/>
        <v>6.1341477088666933E-2</v>
      </c>
    </row>
    <row r="14" spans="1:43" ht="14.25" x14ac:dyDescent="0.2">
      <c r="A14" s="7" t="s">
        <v>7</v>
      </c>
      <c r="B14" s="57">
        <v>1153497</v>
      </c>
      <c r="C14" s="57">
        <v>457946</v>
      </c>
      <c r="D14" s="66">
        <f t="shared" si="0"/>
        <v>0.39700666755093422</v>
      </c>
      <c r="E14" s="67">
        <f t="shared" si="14"/>
        <v>181807.61537828011</v>
      </c>
      <c r="F14" s="149">
        <f t="shared" si="1"/>
        <v>1.5990477186983101E-4</v>
      </c>
      <c r="G14" s="54">
        <v>15470</v>
      </c>
      <c r="H14" s="133">
        <f t="shared" si="2"/>
        <v>3.3244095036422377E-3</v>
      </c>
      <c r="I14" s="56">
        <f t="shared" si="15"/>
        <v>2.825748078095902E-3</v>
      </c>
      <c r="J14" s="57">
        <v>2664.8</v>
      </c>
      <c r="K14" s="130">
        <f t="shared" si="3"/>
        <v>4.149477095503061E-2</v>
      </c>
      <c r="L14" s="58">
        <f t="shared" si="16"/>
        <v>6.224215643254591E-3</v>
      </c>
      <c r="M14" s="149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49">
        <f t="shared" si="10"/>
        <v>3.2711552009463477E-2</v>
      </c>
      <c r="AM14" s="68">
        <f t="shared" si="11"/>
        <v>453742.50913412386</v>
      </c>
      <c r="AN14" s="69">
        <f t="shared" si="12"/>
        <v>12839995.950343195</v>
      </c>
      <c r="AO14" s="69">
        <f t="shared" si="13"/>
        <v>46410815.364934348</v>
      </c>
      <c r="AP14" s="69">
        <f t="shared" si="23"/>
        <v>59704553.824411668</v>
      </c>
      <c r="AQ14" s="70">
        <f t="shared" si="24"/>
        <v>1.0520331318638408E-2</v>
      </c>
    </row>
    <row r="15" spans="1:43" ht="14.25" x14ac:dyDescent="0.2">
      <c r="A15" s="7" t="s">
        <v>8</v>
      </c>
      <c r="B15" s="57">
        <v>2451486</v>
      </c>
      <c r="C15" s="57">
        <v>617377</v>
      </c>
      <c r="D15" s="66">
        <f t="shared" si="0"/>
        <v>0.25183786487053161</v>
      </c>
      <c r="E15" s="67">
        <f t="shared" si="14"/>
        <v>155478.90550017421</v>
      </c>
      <c r="F15" s="149">
        <f t="shared" si="1"/>
        <v>1.3674795119471392E-4</v>
      </c>
      <c r="G15" s="54">
        <v>3773</v>
      </c>
      <c r="H15" s="133">
        <f t="shared" si="2"/>
        <v>8.1079489704215658E-4</v>
      </c>
      <c r="I15" s="56">
        <f t="shared" si="15"/>
        <v>6.8917566248583311E-4</v>
      </c>
      <c r="J15" s="57">
        <v>465.62</v>
      </c>
      <c r="K15" s="130">
        <f t="shared" si="3"/>
        <v>7.2503734809671837E-3</v>
      </c>
      <c r="L15" s="58">
        <f t="shared" si="16"/>
        <v>1.0875560221450776E-3</v>
      </c>
      <c r="M15" s="149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49">
        <f t="shared" si="10"/>
        <v>3.4441749558831313E-3</v>
      </c>
      <c r="AM15" s="68">
        <f t="shared" si="11"/>
        <v>388033.18855643715</v>
      </c>
      <c r="AN15" s="69">
        <f t="shared" si="12"/>
        <v>2520808.738899895</v>
      </c>
      <c r="AO15" s="69">
        <f t="shared" si="13"/>
        <v>4886560.1948748585</v>
      </c>
      <c r="AP15" s="69">
        <f t="shared" si="23"/>
        <v>7795402.1223311909</v>
      </c>
      <c r="AQ15" s="70">
        <f t="shared" si="24"/>
        <v>1.3736006357258676E-3</v>
      </c>
    </row>
    <row r="16" spans="1:43" ht="14.25" x14ac:dyDescent="0.2">
      <c r="A16" s="7" t="s">
        <v>9</v>
      </c>
      <c r="B16" s="57">
        <v>55173019</v>
      </c>
      <c r="C16" s="57">
        <v>22057207.130000003</v>
      </c>
      <c r="D16" s="66">
        <f t="shared" si="0"/>
        <v>0.39978249386715636</v>
      </c>
      <c r="E16" s="67">
        <f t="shared" si="14"/>
        <v>8818085.2741758246</v>
      </c>
      <c r="F16" s="149">
        <f t="shared" si="1"/>
        <v>7.755747256031913E-3</v>
      </c>
      <c r="G16" s="54">
        <v>86445</v>
      </c>
      <c r="H16" s="133">
        <f t="shared" si="2"/>
        <v>1.8576508050572284E-2</v>
      </c>
      <c r="I16" s="56">
        <f t="shared" si="15"/>
        <v>1.5790031842986441E-2</v>
      </c>
      <c r="J16" s="57">
        <v>1140.97</v>
      </c>
      <c r="K16" s="130">
        <f t="shared" si="3"/>
        <v>1.7766544887631817E-2</v>
      </c>
      <c r="L16" s="58">
        <f t="shared" si="16"/>
        <v>2.6649817331447726E-3</v>
      </c>
      <c r="M16" s="149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49">
        <f t="shared" si="10"/>
        <v>2.1274556130539607E-2</v>
      </c>
      <c r="AM16" s="68">
        <f t="shared" si="11"/>
        <v>22007549.737331897</v>
      </c>
      <c r="AN16" s="69">
        <f t="shared" si="12"/>
        <v>26183784.474408086</v>
      </c>
      <c r="AO16" s="69">
        <f t="shared" si="13"/>
        <v>30184122.607810203</v>
      </c>
      <c r="AP16" s="69">
        <f t="shared" si="23"/>
        <v>78375456.819550186</v>
      </c>
      <c r="AQ16" s="70">
        <f t="shared" si="24"/>
        <v>1.381026605468366E-2</v>
      </c>
    </row>
    <row r="17" spans="1:43" ht="14.25" x14ac:dyDescent="0.2">
      <c r="A17" s="7" t="s">
        <v>10</v>
      </c>
      <c r="B17" s="57">
        <v>12155591</v>
      </c>
      <c r="C17" s="57">
        <v>4001782</v>
      </c>
      <c r="D17" s="66">
        <f t="shared" si="0"/>
        <v>0.32921328136163847</v>
      </c>
      <c r="E17" s="67">
        <f t="shared" si="14"/>
        <v>1317439.7835139404</v>
      </c>
      <c r="F17" s="149">
        <f t="shared" si="1"/>
        <v>1.1587243339434038E-3</v>
      </c>
      <c r="G17" s="54">
        <v>16092</v>
      </c>
      <c r="H17" s="133">
        <f t="shared" si="2"/>
        <v>3.4580735444480213E-3</v>
      </c>
      <c r="I17" s="56">
        <f t="shared" si="15"/>
        <v>2.9393625127808179E-3</v>
      </c>
      <c r="J17" s="57">
        <v>102.38</v>
      </c>
      <c r="K17" s="130">
        <f t="shared" si="3"/>
        <v>1.5942039366466652E-3</v>
      </c>
      <c r="L17" s="58">
        <f t="shared" si="16"/>
        <v>2.3913059049699976E-4</v>
      </c>
      <c r="M17" s="149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49">
        <f t="shared" si="10"/>
        <v>4.0532322911484417E-3</v>
      </c>
      <c r="AM17" s="68">
        <f t="shared" si="11"/>
        <v>3287972.4634249099</v>
      </c>
      <c r="AN17" s="69">
        <f t="shared" si="12"/>
        <v>4509613.5002175188</v>
      </c>
      <c r="AO17" s="69">
        <f t="shared" si="13"/>
        <v>5750684.5117363641</v>
      </c>
      <c r="AP17" s="69">
        <f t="shared" si="23"/>
        <v>13548270.475378793</v>
      </c>
      <c r="AQ17" s="70">
        <f t="shared" si="24"/>
        <v>2.3872935155782667E-3</v>
      </c>
    </row>
    <row r="18" spans="1:43" ht="14.25" x14ac:dyDescent="0.2">
      <c r="A18" s="7" t="s">
        <v>11</v>
      </c>
      <c r="B18" s="57">
        <v>4246390</v>
      </c>
      <c r="C18" s="57">
        <v>1009815</v>
      </c>
      <c r="D18" s="66">
        <f t="shared" si="0"/>
        <v>0.23780552422175072</v>
      </c>
      <c r="E18" s="67">
        <f t="shared" si="14"/>
        <v>240139.5854419872</v>
      </c>
      <c r="F18" s="149">
        <f t="shared" si="1"/>
        <v>2.1120933546771658E-4</v>
      </c>
      <c r="G18" s="54">
        <v>7855</v>
      </c>
      <c r="H18" s="133">
        <f t="shared" si="2"/>
        <v>1.6879920265746463E-3</v>
      </c>
      <c r="I18" s="56">
        <f t="shared" si="15"/>
        <v>1.4347932225884494E-3</v>
      </c>
      <c r="J18" s="57">
        <v>1006.89</v>
      </c>
      <c r="K18" s="130">
        <f t="shared" si="3"/>
        <v>1.5678726331023254E-2</v>
      </c>
      <c r="L18" s="58">
        <f t="shared" si="16"/>
        <v>2.3518089496534882E-3</v>
      </c>
      <c r="M18" s="149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49">
        <f t="shared" si="10"/>
        <v>8.4664590097587207E-3</v>
      </c>
      <c r="AM18" s="68">
        <f t="shared" si="11"/>
        <v>599323.28914915642</v>
      </c>
      <c r="AN18" s="69">
        <f t="shared" si="12"/>
        <v>5372392.4265512805</v>
      </c>
      <c r="AO18" s="69">
        <f t="shared" si="13"/>
        <v>12012125.434556587</v>
      </c>
      <c r="AP18" s="69">
        <f t="shared" si="23"/>
        <v>17983841.150257025</v>
      </c>
      <c r="AQ18" s="70">
        <f t="shared" si="24"/>
        <v>3.1688699632340229E-3</v>
      </c>
    </row>
    <row r="19" spans="1:43" ht="14.25" x14ac:dyDescent="0.2">
      <c r="A19" s="7" t="s">
        <v>12</v>
      </c>
      <c r="B19" s="57">
        <v>3608731</v>
      </c>
      <c r="C19" s="57">
        <v>933397</v>
      </c>
      <c r="D19" s="66">
        <f t="shared" si="0"/>
        <v>0.25864964720285333</v>
      </c>
      <c r="E19" s="67">
        <f t="shared" si="14"/>
        <v>241422.8047502017</v>
      </c>
      <c r="F19" s="149">
        <f t="shared" si="1"/>
        <v>2.1233796195738294E-4</v>
      </c>
      <c r="G19" s="54">
        <v>10864</v>
      </c>
      <c r="H19" s="133">
        <f t="shared" si="2"/>
        <v>2.3346079410193452E-3</v>
      </c>
      <c r="I19" s="56">
        <f t="shared" si="15"/>
        <v>1.9844167498664434E-3</v>
      </c>
      <c r="J19" s="57">
        <v>4292.05</v>
      </c>
      <c r="K19" s="130">
        <f t="shared" si="3"/>
        <v>6.6833395255756198E-2</v>
      </c>
      <c r="L19" s="58">
        <f t="shared" si="16"/>
        <v>1.002500928836343E-2</v>
      </c>
      <c r="M19" s="149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49">
        <f t="shared" si="10"/>
        <v>1.5865661602731191E-2</v>
      </c>
      <c r="AM19" s="68">
        <f t="shared" si="11"/>
        <v>602525.8565854386</v>
      </c>
      <c r="AN19" s="69">
        <f t="shared" si="12"/>
        <v>17038850.811415944</v>
      </c>
      <c r="AO19" s="69">
        <f t="shared" si="13"/>
        <v>22510038.382583085</v>
      </c>
      <c r="AP19" s="69">
        <f t="shared" si="23"/>
        <v>40151415.050584465</v>
      </c>
      <c r="AQ19" s="70">
        <f t="shared" si="24"/>
        <v>7.0749408912189572E-3</v>
      </c>
    </row>
    <row r="20" spans="1:43" ht="14.25" x14ac:dyDescent="0.2">
      <c r="A20" s="7" t="s">
        <v>13</v>
      </c>
      <c r="B20" s="57">
        <v>27095871</v>
      </c>
      <c r="C20" s="57">
        <v>12162147</v>
      </c>
      <c r="D20" s="66">
        <f t="shared" si="0"/>
        <v>0.44885610062138248</v>
      </c>
      <c r="E20" s="67">
        <f t="shared" si="14"/>
        <v>5459053.877604045</v>
      </c>
      <c r="F20" s="149">
        <f t="shared" si="1"/>
        <v>4.80138724171219E-3</v>
      </c>
      <c r="G20" s="54">
        <v>24526</v>
      </c>
      <c r="H20" s="133">
        <f t="shared" si="2"/>
        <v>5.2704891717084371E-3</v>
      </c>
      <c r="I20" s="56">
        <f t="shared" si="15"/>
        <v>4.4799157959521715E-3</v>
      </c>
      <c r="J20" s="57">
        <v>146.56</v>
      </c>
      <c r="K20" s="130">
        <f t="shared" si="3"/>
        <v>2.2821501167702212E-3</v>
      </c>
      <c r="L20" s="58">
        <f t="shared" si="16"/>
        <v>3.4232251751553319E-4</v>
      </c>
      <c r="M20" s="149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49">
        <f t="shared" si="10"/>
        <v>3.1037677644834673E-3</v>
      </c>
      <c r="AM20" s="68">
        <f t="shared" si="11"/>
        <v>13624318.204540655</v>
      </c>
      <c r="AN20" s="69">
        <f t="shared" si="12"/>
        <v>6841742.3895789282</v>
      </c>
      <c r="AO20" s="69">
        <f t="shared" si="13"/>
        <v>4403593.95394642</v>
      </c>
      <c r="AP20" s="69">
        <f t="shared" si="23"/>
        <v>24869654.548066001</v>
      </c>
      <c r="AQ20" s="70">
        <f t="shared" si="24"/>
        <v>4.3821951403438877E-3</v>
      </c>
    </row>
    <row r="21" spans="1:43" ht="14.25" x14ac:dyDescent="0.2">
      <c r="A21" s="7" t="s">
        <v>14</v>
      </c>
      <c r="B21" s="57">
        <v>4826493</v>
      </c>
      <c r="C21" s="57">
        <v>665188</v>
      </c>
      <c r="D21" s="66">
        <f t="shared" si="0"/>
        <v>0.13782015223061547</v>
      </c>
      <c r="E21" s="67">
        <f t="shared" si="14"/>
        <v>91676.311421978651</v>
      </c>
      <c r="F21" s="149">
        <f t="shared" si="1"/>
        <v>8.0631824103174463E-5</v>
      </c>
      <c r="G21" s="54">
        <v>35445</v>
      </c>
      <c r="H21" s="133">
        <f t="shared" si="2"/>
        <v>7.6169162803231489E-3</v>
      </c>
      <c r="I21" s="56">
        <f t="shared" si="15"/>
        <v>6.4743788382746765E-3</v>
      </c>
      <c r="J21" s="57">
        <v>5091.18</v>
      </c>
      <c r="K21" s="130">
        <f t="shared" si="3"/>
        <v>7.9276999396139566E-2</v>
      </c>
      <c r="L21" s="58">
        <f t="shared" si="16"/>
        <v>1.1891549909420934E-2</v>
      </c>
      <c r="M21" s="149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49">
        <f t="shared" si="10"/>
        <v>7.6653090462183035E-2</v>
      </c>
      <c r="AM21" s="68">
        <f t="shared" si="11"/>
        <v>228799.21441255219</v>
      </c>
      <c r="AN21" s="69">
        <f t="shared" si="12"/>
        <v>26057391.831125818</v>
      </c>
      <c r="AO21" s="69">
        <f t="shared" si="13"/>
        <v>108754620.61729111</v>
      </c>
      <c r="AP21" s="69">
        <f t="shared" si="23"/>
        <v>135040811.66282949</v>
      </c>
      <c r="AQ21" s="70">
        <f t="shared" si="24"/>
        <v>2.3795070714521253E-2</v>
      </c>
    </row>
    <row r="22" spans="1:43" ht="14.25" x14ac:dyDescent="0.2">
      <c r="A22" s="7" t="s">
        <v>15</v>
      </c>
      <c r="B22" s="57">
        <v>1196595</v>
      </c>
      <c r="C22" s="57">
        <v>288600</v>
      </c>
      <c r="D22" s="66">
        <f t="shared" si="0"/>
        <v>0.24118436062326853</v>
      </c>
      <c r="E22" s="67">
        <f t="shared" si="14"/>
        <v>69605.806475875303</v>
      </c>
      <c r="F22" s="149">
        <f t="shared" si="1"/>
        <v>6.1220211167623847E-5</v>
      </c>
      <c r="G22" s="54">
        <v>1716</v>
      </c>
      <c r="H22" s="133">
        <f t="shared" si="2"/>
        <v>3.6875802897544147E-4</v>
      </c>
      <c r="I22" s="56">
        <f t="shared" si="15"/>
        <v>3.1344432462912525E-4</v>
      </c>
      <c r="J22" s="57">
        <v>720.74</v>
      </c>
      <c r="K22" s="130">
        <f t="shared" si="3"/>
        <v>1.1222959028117967E-2</v>
      </c>
      <c r="L22" s="58">
        <f t="shared" si="16"/>
        <v>1.683443854217695E-3</v>
      </c>
      <c r="M22" s="149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49">
        <f t="shared" si="10"/>
        <v>1.0033256295573299E-2</v>
      </c>
      <c r="AM22" s="68">
        <f t="shared" si="11"/>
        <v>173717.21869270512</v>
      </c>
      <c r="AN22" s="69">
        <f t="shared" si="12"/>
        <v>2833164.5207805545</v>
      </c>
      <c r="AO22" s="69">
        <f t="shared" si="13"/>
        <v>14235081.395960797</v>
      </c>
      <c r="AP22" s="69">
        <f t="shared" si="23"/>
        <v>17241963.135434058</v>
      </c>
      <c r="AQ22" s="70">
        <f t="shared" si="24"/>
        <v>3.0381462241888422E-3</v>
      </c>
    </row>
    <row r="23" spans="1:43" ht="14.25" x14ac:dyDescent="0.2">
      <c r="A23" s="7" t="s">
        <v>16</v>
      </c>
      <c r="B23" s="57">
        <v>1526301</v>
      </c>
      <c r="C23" s="57">
        <v>540876</v>
      </c>
      <c r="D23" s="66">
        <f t="shared" si="0"/>
        <v>0.35437046821039886</v>
      </c>
      <c r="E23" s="67">
        <f t="shared" si="14"/>
        <v>191670.4813637677</v>
      </c>
      <c r="F23" s="149">
        <f t="shared" si="1"/>
        <v>1.6857943234601982E-4</v>
      </c>
      <c r="G23" s="54">
        <v>3345</v>
      </c>
      <c r="H23" s="133">
        <f t="shared" si="2"/>
        <v>7.1882028375457561E-4</v>
      </c>
      <c r="I23" s="56">
        <f t="shared" si="15"/>
        <v>6.1099724119138929E-4</v>
      </c>
      <c r="J23" s="57">
        <v>615.78</v>
      </c>
      <c r="K23" s="130">
        <f t="shared" si="3"/>
        <v>9.5885807785532663E-3</v>
      </c>
      <c r="L23" s="58">
        <f t="shared" si="16"/>
        <v>1.4382871167829899E-3</v>
      </c>
      <c r="M23" s="149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49">
        <f t="shared" si="10"/>
        <v>2.4273538769986279E-3</v>
      </c>
      <c r="AM23" s="68">
        <f t="shared" si="11"/>
        <v>478357.54822474363</v>
      </c>
      <c r="AN23" s="69">
        <f t="shared" si="12"/>
        <v>2907503.6837347806</v>
      </c>
      <c r="AO23" s="69">
        <f t="shared" si="13"/>
        <v>3443904.8498264332</v>
      </c>
      <c r="AP23" s="69">
        <f t="shared" si="23"/>
        <v>6829766.0817859573</v>
      </c>
      <c r="AQ23" s="70">
        <f t="shared" si="24"/>
        <v>1.2034492749162615E-3</v>
      </c>
    </row>
    <row r="24" spans="1:43" ht="14.25" x14ac:dyDescent="0.2">
      <c r="A24" s="7" t="s">
        <v>17</v>
      </c>
      <c r="B24" s="57">
        <v>8523125</v>
      </c>
      <c r="C24" s="57">
        <v>802881</v>
      </c>
      <c r="D24" s="66">
        <f t="shared" si="0"/>
        <v>9.4200307985627341E-2</v>
      </c>
      <c r="E24" s="67">
        <f t="shared" si="14"/>
        <v>75631.637475808471</v>
      </c>
      <c r="F24" s="149">
        <f t="shared" si="1"/>
        <v>6.6520094395098271E-5</v>
      </c>
      <c r="G24" s="54">
        <v>39991</v>
      </c>
      <c r="H24" s="133">
        <f t="shared" si="2"/>
        <v>8.5938242055692785E-3</v>
      </c>
      <c r="I24" s="56">
        <f t="shared" si="15"/>
        <v>7.3047505747338868E-3</v>
      </c>
      <c r="J24" s="57">
        <v>7010.79</v>
      </c>
      <c r="K24" s="130">
        <f t="shared" si="3"/>
        <v>0.1091680896366778</v>
      </c>
      <c r="L24" s="58">
        <f t="shared" si="16"/>
        <v>1.637521344550167E-2</v>
      </c>
      <c r="M24" s="149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49">
        <f t="shared" si="10"/>
        <v>4.6780203077559736E-2</v>
      </c>
      <c r="AM24" s="68">
        <f t="shared" si="11"/>
        <v>188756.05890761563</v>
      </c>
      <c r="AN24" s="69">
        <f t="shared" si="12"/>
        <v>33596890.71535027</v>
      </c>
      <c r="AO24" s="69">
        <f t="shared" si="13"/>
        <v>66371273.583676353</v>
      </c>
      <c r="AP24" s="69">
        <f t="shared" si="23"/>
        <v>100156920.35793424</v>
      </c>
      <c r="AQ24" s="70">
        <f t="shared" si="24"/>
        <v>1.7648301821646371E-2</v>
      </c>
    </row>
    <row r="25" spans="1:43" ht="14.25" x14ac:dyDescent="0.2">
      <c r="A25" s="7" t="s">
        <v>18</v>
      </c>
      <c r="B25" s="57">
        <v>114622404</v>
      </c>
      <c r="C25" s="57">
        <v>54578683.010000005</v>
      </c>
      <c r="D25" s="66">
        <f t="shared" si="0"/>
        <v>0.47616069027831598</v>
      </c>
      <c r="E25" s="67">
        <f t="shared" si="14"/>
        <v>25988223.376522999</v>
      </c>
      <c r="F25" s="149">
        <f t="shared" si="1"/>
        <v>2.2857353481473462E-2</v>
      </c>
      <c r="G25" s="54">
        <v>143668</v>
      </c>
      <c r="H25" s="133">
        <f t="shared" si="2"/>
        <v>3.0873384910748092E-2</v>
      </c>
      <c r="I25" s="56">
        <f t="shared" si="15"/>
        <v>2.6242377174135877E-2</v>
      </c>
      <c r="J25" s="57">
        <v>1040.01</v>
      </c>
      <c r="K25" s="130">
        <f t="shared" si="3"/>
        <v>1.6194452394529189E-2</v>
      </c>
      <c r="L25" s="58">
        <f t="shared" si="16"/>
        <v>2.4291678591793781E-3</v>
      </c>
      <c r="M25" s="149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49">
        <f t="shared" si="10"/>
        <v>2.7268078429431852E-2</v>
      </c>
      <c r="AM25" s="68">
        <f t="shared" si="11"/>
        <v>64859558.595862754</v>
      </c>
      <c r="AN25" s="69">
        <f t="shared" si="12"/>
        <v>40678894.794830613</v>
      </c>
      <c r="AO25" s="69">
        <f t="shared" si="13"/>
        <v>38687670.73414281</v>
      </c>
      <c r="AP25" s="69">
        <f t="shared" si="23"/>
        <v>144226124.12483618</v>
      </c>
      <c r="AQ25" s="70">
        <f t="shared" si="24"/>
        <v>2.5413582606423509E-2</v>
      </c>
    </row>
    <row r="26" spans="1:43" ht="14.25" x14ac:dyDescent="0.2">
      <c r="A26" s="7" t="s">
        <v>19</v>
      </c>
      <c r="B26" s="57">
        <v>4638826</v>
      </c>
      <c r="C26" s="57">
        <v>945887</v>
      </c>
      <c r="D26" s="66">
        <f t="shared" si="0"/>
        <v>0.20390654876902042</v>
      </c>
      <c r="E26" s="67">
        <f t="shared" si="14"/>
        <v>192872.55369548243</v>
      </c>
      <c r="F26" s="149">
        <f t="shared" si="1"/>
        <v>1.6963668784972325E-4</v>
      </c>
      <c r="G26" s="54">
        <v>5527</v>
      </c>
      <c r="H26" s="133">
        <f t="shared" si="2"/>
        <v>1.1877188963562151E-3</v>
      </c>
      <c r="I26" s="56">
        <f t="shared" si="15"/>
        <v>1.0095610619027828E-3</v>
      </c>
      <c r="J26" s="57">
        <v>1894.8</v>
      </c>
      <c r="K26" s="130">
        <f t="shared" si="3"/>
        <v>2.9504762836082252E-2</v>
      </c>
      <c r="L26" s="58">
        <f t="shared" si="16"/>
        <v>4.425714425412338E-3</v>
      </c>
      <c r="M26" s="149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49">
        <f t="shared" si="10"/>
        <v>5.0795958724273293E-3</v>
      </c>
      <c r="AM26" s="68">
        <f t="shared" si="11"/>
        <v>481357.59481145069</v>
      </c>
      <c r="AN26" s="69">
        <f t="shared" si="12"/>
        <v>7711513.2607085686</v>
      </c>
      <c r="AO26" s="69">
        <f t="shared" si="13"/>
        <v>7206878.6615659585</v>
      </c>
      <c r="AP26" s="69">
        <f t="shared" si="23"/>
        <v>15399749.517085977</v>
      </c>
      <c r="AQ26" s="70">
        <f t="shared" si="24"/>
        <v>2.7135361838604741E-3</v>
      </c>
    </row>
    <row r="27" spans="1:43" ht="14.25" x14ac:dyDescent="0.2">
      <c r="A27" s="7" t="s">
        <v>20</v>
      </c>
      <c r="B27" s="57">
        <v>251259203</v>
      </c>
      <c r="C27" s="57">
        <v>100887430</v>
      </c>
      <c r="D27" s="66">
        <f t="shared" si="0"/>
        <v>0.4015273024646186</v>
      </c>
      <c r="E27" s="67">
        <f t="shared" si="14"/>
        <v>40509057.620488033</v>
      </c>
      <c r="F27" s="149">
        <f t="shared" si="1"/>
        <v>3.5628824480142388E-2</v>
      </c>
      <c r="G27" s="54">
        <v>357937</v>
      </c>
      <c r="H27" s="133">
        <f t="shared" si="2"/>
        <v>7.6918498028777746E-2</v>
      </c>
      <c r="I27" s="56">
        <f t="shared" si="15"/>
        <v>6.5380723324461085E-2</v>
      </c>
      <c r="J27" s="57">
        <v>151.27000000000001</v>
      </c>
      <c r="K27" s="130">
        <f t="shared" si="3"/>
        <v>2.3554915950043079E-3</v>
      </c>
      <c r="L27" s="58">
        <f t="shared" si="16"/>
        <v>3.5332373925064616E-4</v>
      </c>
      <c r="M27" s="149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49">
        <f t="shared" si="10"/>
        <v>5.9814059808863618E-2</v>
      </c>
      <c r="AM27" s="68">
        <f t="shared" si="11"/>
        <v>101099623.40760624</v>
      </c>
      <c r="AN27" s="69">
        <f t="shared" si="12"/>
        <v>93262793.540986374</v>
      </c>
      <c r="AO27" s="69">
        <f t="shared" si="13"/>
        <v>84863576.182909489</v>
      </c>
      <c r="AP27" s="69">
        <f t="shared" si="23"/>
        <v>279225993.13150209</v>
      </c>
      <c r="AQ27" s="70">
        <f t="shared" si="24"/>
        <v>4.9201438958215028E-2</v>
      </c>
    </row>
    <row r="28" spans="1:43" ht="14.25" x14ac:dyDescent="0.2">
      <c r="A28" s="7" t="s">
        <v>21</v>
      </c>
      <c r="B28" s="57">
        <v>11154426</v>
      </c>
      <c r="C28" s="57">
        <v>3532121</v>
      </c>
      <c r="D28" s="66">
        <f t="shared" si="0"/>
        <v>0.31665645547336996</v>
      </c>
      <c r="E28" s="67">
        <f t="shared" si="14"/>
        <v>1118468.916163055</v>
      </c>
      <c r="F28" s="149">
        <f t="shared" si="1"/>
        <v>9.8372401238763958E-4</v>
      </c>
      <c r="G28" s="54">
        <v>14437</v>
      </c>
      <c r="H28" s="133">
        <f t="shared" si="2"/>
        <v>3.1024240468056226E-3</v>
      </c>
      <c r="I28" s="56">
        <f t="shared" si="15"/>
        <v>2.637060439784779E-3</v>
      </c>
      <c r="J28" s="57">
        <v>2479.16</v>
      </c>
      <c r="K28" s="130">
        <f t="shared" si="3"/>
        <v>3.8604088997625963E-2</v>
      </c>
      <c r="L28" s="58">
        <f t="shared" si="16"/>
        <v>5.7906133496438946E-3</v>
      </c>
      <c r="M28" s="149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49">
        <f t="shared" si="10"/>
        <v>1.5897883330101534E-2</v>
      </c>
      <c r="AM28" s="68">
        <f t="shared" si="11"/>
        <v>2791395.131344852</v>
      </c>
      <c r="AN28" s="69">
        <f t="shared" si="12"/>
        <v>11957097.360709606</v>
      </c>
      <c r="AO28" s="69">
        <f t="shared" si="13"/>
        <v>22555754.239760745</v>
      </c>
      <c r="AP28" s="69">
        <f t="shared" si="23"/>
        <v>37304246.731815204</v>
      </c>
      <c r="AQ28" s="70">
        <f t="shared" si="24"/>
        <v>6.5732512860763722E-3</v>
      </c>
    </row>
    <row r="29" spans="1:43" ht="14.25" x14ac:dyDescent="0.2">
      <c r="A29" s="7" t="s">
        <v>22</v>
      </c>
      <c r="B29" s="57">
        <v>923877</v>
      </c>
      <c r="C29" s="57">
        <v>199978</v>
      </c>
      <c r="D29" s="66">
        <f t="shared" si="0"/>
        <v>0.21645522077073032</v>
      </c>
      <c r="E29" s="67">
        <f t="shared" si="14"/>
        <v>43286.282139289106</v>
      </c>
      <c r="F29" s="149">
        <f t="shared" si="1"/>
        <v>3.807146942758412E-5</v>
      </c>
      <c r="G29" s="54">
        <v>1277</v>
      </c>
      <c r="H29" s="133">
        <f t="shared" si="2"/>
        <v>2.7441958216878717E-4</v>
      </c>
      <c r="I29" s="56">
        <f t="shared" si="15"/>
        <v>2.3325664484346909E-4</v>
      </c>
      <c r="J29" s="57">
        <v>388.05</v>
      </c>
      <c r="K29" s="130">
        <f t="shared" si="3"/>
        <v>6.0424969487765032E-3</v>
      </c>
      <c r="L29" s="58">
        <f t="shared" si="16"/>
        <v>9.0637454231647541E-4</v>
      </c>
      <c r="M29" s="149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49">
        <f t="shared" si="10"/>
        <v>9.7205213352830283E-4</v>
      </c>
      <c r="AM29" s="68">
        <f t="shared" si="11"/>
        <v>108030.8227359054</v>
      </c>
      <c r="AN29" s="69">
        <f t="shared" si="12"/>
        <v>1616897.0703713372</v>
      </c>
      <c r="AO29" s="69">
        <f t="shared" si="13"/>
        <v>1379137.623345451</v>
      </c>
      <c r="AP29" s="69">
        <f t="shared" si="23"/>
        <v>3104065.5164526934</v>
      </c>
      <c r="AQ29" s="70">
        <f t="shared" si="24"/>
        <v>5.4695656488585383E-4</v>
      </c>
    </row>
    <row r="30" spans="1:43" ht="14.25" x14ac:dyDescent="0.2">
      <c r="A30" s="7" t="s">
        <v>23</v>
      </c>
      <c r="B30" s="57">
        <v>792098</v>
      </c>
      <c r="C30" s="57">
        <v>170611</v>
      </c>
      <c r="D30" s="66">
        <f t="shared" si="0"/>
        <v>0.21539127734194508</v>
      </c>
      <c r="E30" s="67">
        <f t="shared" si="14"/>
        <v>36748.121218586588</v>
      </c>
      <c r="F30" s="149">
        <f t="shared" si="1"/>
        <v>3.2320978017761255E-5</v>
      </c>
      <c r="G30" s="54">
        <v>5942</v>
      </c>
      <c r="H30" s="133">
        <f t="shared" si="2"/>
        <v>1.2768998882121639E-3</v>
      </c>
      <c r="I30" s="56">
        <f t="shared" si="15"/>
        <v>1.0853649049803393E-3</v>
      </c>
      <c r="J30" s="57">
        <v>1314.52</v>
      </c>
      <c r="K30" s="130">
        <f t="shared" si="3"/>
        <v>2.0468968146129852E-2</v>
      </c>
      <c r="L30" s="58">
        <f t="shared" si="16"/>
        <v>3.0703452219194775E-3</v>
      </c>
      <c r="M30" s="149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49">
        <f t="shared" si="10"/>
        <v>1.6702901369743402E-2</v>
      </c>
      <c r="AM30" s="68">
        <f t="shared" si="11"/>
        <v>91713.345961845887</v>
      </c>
      <c r="AN30" s="69">
        <f t="shared" si="12"/>
        <v>5896079.0167931467</v>
      </c>
      <c r="AO30" s="69">
        <f t="shared" si="13"/>
        <v>23697905.599392086</v>
      </c>
      <c r="AP30" s="69">
        <f t="shared" si="23"/>
        <v>29685697.962147079</v>
      </c>
      <c r="AQ30" s="70">
        <f t="shared" si="24"/>
        <v>5.2308133631696853E-3</v>
      </c>
    </row>
    <row r="31" spans="1:43" ht="14.25" x14ac:dyDescent="0.2">
      <c r="A31" s="7" t="s">
        <v>24</v>
      </c>
      <c r="B31" s="57">
        <v>56111697</v>
      </c>
      <c r="C31" s="57">
        <v>4256091</v>
      </c>
      <c r="D31" s="66">
        <f t="shared" si="0"/>
        <v>7.5850334735019689E-2</v>
      </c>
      <c r="E31" s="67">
        <f t="shared" si="14"/>
        <v>322825.92701270466</v>
      </c>
      <c r="F31" s="149">
        <f t="shared" si="1"/>
        <v>2.8393423512665616E-4</v>
      </c>
      <c r="G31" s="54">
        <v>55213</v>
      </c>
      <c r="H31" s="133">
        <f t="shared" si="2"/>
        <v>1.1864940008054225E-2</v>
      </c>
      <c r="I31" s="56">
        <f t="shared" si="15"/>
        <v>1.0085199006846091E-2</v>
      </c>
      <c r="J31" s="57">
        <v>184.87</v>
      </c>
      <c r="K31" s="130">
        <f t="shared" si="3"/>
        <v>2.8786919492856905E-3</v>
      </c>
      <c r="L31" s="58">
        <f t="shared" si="16"/>
        <v>4.3180379239285356E-4</v>
      </c>
      <c r="M31" s="149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49">
        <f t="shared" si="10"/>
        <v>5.7548687858912165E-3</v>
      </c>
      <c r="AM31" s="68">
        <f t="shared" si="11"/>
        <v>805685.97652809625</v>
      </c>
      <c r="AN31" s="69">
        <f t="shared" si="12"/>
        <v>14921415.986828381</v>
      </c>
      <c r="AO31" s="69">
        <f t="shared" si="13"/>
        <v>8164948.9634167263</v>
      </c>
      <c r="AP31" s="69">
        <f t="shared" si="23"/>
        <v>23892050.926773205</v>
      </c>
      <c r="AQ31" s="70">
        <f t="shared" si="24"/>
        <v>4.2099350138458686E-3</v>
      </c>
    </row>
    <row r="32" spans="1:43" ht="14.25" x14ac:dyDescent="0.2">
      <c r="A32" s="7" t="s">
        <v>25</v>
      </c>
      <c r="B32" s="57">
        <v>398453314</v>
      </c>
      <c r="C32" s="57">
        <v>168647682.93000001</v>
      </c>
      <c r="D32" s="66">
        <f t="shared" si="0"/>
        <v>0.42325581694120384</v>
      </c>
      <c r="E32" s="67">
        <f t="shared" si="14"/>
        <v>71381112.813778266</v>
      </c>
      <c r="F32" s="149">
        <f t="shared" si="1"/>
        <v>6.2781641663099963E-2</v>
      </c>
      <c r="G32" s="54">
        <v>678006</v>
      </c>
      <c r="H32" s="133">
        <f t="shared" si="2"/>
        <v>0.14569939172116736</v>
      </c>
      <c r="I32" s="56">
        <f t="shared" si="15"/>
        <v>0.12384448296299225</v>
      </c>
      <c r="J32" s="57">
        <v>117.79</v>
      </c>
      <c r="K32" s="130">
        <f t="shared" si="3"/>
        <v>1.8341598134167874E-3</v>
      </c>
      <c r="L32" s="58">
        <f t="shared" si="16"/>
        <v>2.7512397201251811E-4</v>
      </c>
      <c r="M32" s="149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49">
        <f t="shared" si="10"/>
        <v>6.7906130548090318E-2</v>
      </c>
      <c r="AM32" s="68">
        <f t="shared" si="11"/>
        <v>178147901.92104936</v>
      </c>
      <c r="AN32" s="69">
        <f t="shared" si="12"/>
        <v>176099628.62545365</v>
      </c>
      <c r="AO32" s="69">
        <f t="shared" si="13"/>
        <v>96344523.369077489</v>
      </c>
      <c r="AP32" s="69">
        <f t="shared" si="23"/>
        <v>450592053.91558051</v>
      </c>
      <c r="AQ32" s="70">
        <f t="shared" si="24"/>
        <v>7.9397255202323755E-2</v>
      </c>
    </row>
    <row r="33" spans="1:43" ht="14.25" x14ac:dyDescent="0.2">
      <c r="A33" s="7" t="s">
        <v>26</v>
      </c>
      <c r="B33" s="57">
        <v>719838</v>
      </c>
      <c r="C33" s="57">
        <v>182717</v>
      </c>
      <c r="D33" s="66">
        <f t="shared" si="0"/>
        <v>0.25383072302379145</v>
      </c>
      <c r="E33" s="67">
        <f t="shared" si="14"/>
        <v>46379.188218738105</v>
      </c>
      <c r="F33" s="149">
        <f t="shared" si="1"/>
        <v>4.079176494446922E-5</v>
      </c>
      <c r="G33" s="54">
        <v>2030</v>
      </c>
      <c r="H33" s="133">
        <f t="shared" si="2"/>
        <v>4.3623473124717146E-4</v>
      </c>
      <c r="I33" s="56">
        <f t="shared" si="15"/>
        <v>3.7079952156009573E-4</v>
      </c>
      <c r="J33" s="57">
        <v>497.27</v>
      </c>
      <c r="K33" s="130">
        <f t="shared" si="3"/>
        <v>7.743209528973307E-3</v>
      </c>
      <c r="L33" s="58">
        <f t="shared" si="16"/>
        <v>1.1614814293459961E-3</v>
      </c>
      <c r="M33" s="149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49">
        <f t="shared" si="10"/>
        <v>3.9785184367690171E-3</v>
      </c>
      <c r="AM33" s="68">
        <f t="shared" si="11"/>
        <v>115749.87763954852</v>
      </c>
      <c r="AN33" s="69">
        <f t="shared" si="12"/>
        <v>2173984.5385243478</v>
      </c>
      <c r="AO33" s="69">
        <f t="shared" si="13"/>
        <v>5644681.2594356807</v>
      </c>
      <c r="AP33" s="69">
        <f t="shared" si="23"/>
        <v>7934415.6755995769</v>
      </c>
      <c r="AQ33" s="70">
        <f t="shared" si="24"/>
        <v>1.3980957293910118E-3</v>
      </c>
    </row>
    <row r="34" spans="1:43" ht="14.25" x14ac:dyDescent="0.2">
      <c r="A34" s="7" t="s">
        <v>27</v>
      </c>
      <c r="B34" s="57">
        <v>1892182</v>
      </c>
      <c r="C34" s="57">
        <v>525469</v>
      </c>
      <c r="D34" s="66">
        <f t="shared" si="0"/>
        <v>0.27770531587342023</v>
      </c>
      <c r="E34" s="67">
        <f t="shared" si="14"/>
        <v>145925.53462669026</v>
      </c>
      <c r="F34" s="149">
        <f t="shared" si="1"/>
        <v>1.2834550013712836E-4</v>
      </c>
      <c r="G34" s="54">
        <v>16604</v>
      </c>
      <c r="H34" s="133">
        <f t="shared" si="2"/>
        <v>3.5680992500630713E-3</v>
      </c>
      <c r="I34" s="56">
        <f t="shared" si="15"/>
        <v>3.0328843625536104E-3</v>
      </c>
      <c r="J34" s="57">
        <v>170.12</v>
      </c>
      <c r="K34" s="130">
        <f t="shared" si="3"/>
        <v>2.6490132223318096E-3</v>
      </c>
      <c r="L34" s="58">
        <f t="shared" si="16"/>
        <v>3.9735198334977145E-4</v>
      </c>
      <c r="M34" s="149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49">
        <f t="shared" si="10"/>
        <v>1.0009227049937402E-2</v>
      </c>
      <c r="AM34" s="68">
        <f t="shared" si="11"/>
        <v>364190.56534285907</v>
      </c>
      <c r="AN34" s="69">
        <f t="shared" si="12"/>
        <v>4866784.2376219947</v>
      </c>
      <c r="AO34" s="69">
        <f t="shared" si="13"/>
        <v>14200988.948062157</v>
      </c>
      <c r="AP34" s="69">
        <f t="shared" si="23"/>
        <v>19431963.75102701</v>
      </c>
      <c r="AQ34" s="70">
        <f t="shared" si="24"/>
        <v>3.4240385990287601E-3</v>
      </c>
    </row>
    <row r="35" spans="1:43" ht="14.25" x14ac:dyDescent="0.2">
      <c r="A35" s="7" t="s">
        <v>28</v>
      </c>
      <c r="B35" s="57">
        <v>629204</v>
      </c>
      <c r="C35" s="57">
        <v>271165</v>
      </c>
      <c r="D35" s="66">
        <f t="shared" si="0"/>
        <v>0.43096515597485074</v>
      </c>
      <c r="E35" s="67">
        <f t="shared" si="14"/>
        <v>116862.6665199204</v>
      </c>
      <c r="F35" s="149">
        <f t="shared" si="1"/>
        <v>1.0278391249501237E-4</v>
      </c>
      <c r="G35" s="54">
        <v>1594</v>
      </c>
      <c r="H35" s="133">
        <f t="shared" si="2"/>
        <v>3.425409663093553E-4</v>
      </c>
      <c r="I35" s="56">
        <f t="shared" si="15"/>
        <v>2.9115982136295197E-4</v>
      </c>
      <c r="J35" s="57">
        <v>444.11</v>
      </c>
      <c r="K35" s="130">
        <f t="shared" si="3"/>
        <v>6.9154318255924057E-3</v>
      </c>
      <c r="L35" s="58">
        <f t="shared" si="16"/>
        <v>1.0373147738388607E-3</v>
      </c>
      <c r="M35" s="149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49">
        <f t="shared" si="10"/>
        <v>7.0010598604681555E-3</v>
      </c>
      <c r="AM35" s="68">
        <f t="shared" si="11"/>
        <v>291657.5272192246</v>
      </c>
      <c r="AN35" s="69">
        <f t="shared" si="12"/>
        <v>1884826.165908613</v>
      </c>
      <c r="AO35" s="69">
        <f t="shared" si="13"/>
        <v>9933032.1119902711</v>
      </c>
      <c r="AP35" s="69">
        <f t="shared" si="23"/>
        <v>12109515.805118108</v>
      </c>
      <c r="AQ35" s="70">
        <f t="shared" si="24"/>
        <v>2.1337755701649982E-3</v>
      </c>
    </row>
    <row r="36" spans="1:43" ht="14.25" x14ac:dyDescent="0.2">
      <c r="A36" s="7" t="s">
        <v>29</v>
      </c>
      <c r="B36" s="57">
        <v>1525497</v>
      </c>
      <c r="C36" s="57">
        <v>437587</v>
      </c>
      <c r="D36" s="66">
        <f t="shared" si="0"/>
        <v>0.2868488105843538</v>
      </c>
      <c r="E36" s="67">
        <f t="shared" si="14"/>
        <v>125521.31047717562</v>
      </c>
      <c r="F36" s="149">
        <f t="shared" si="1"/>
        <v>1.1039942675059616E-4</v>
      </c>
      <c r="G36" s="54">
        <v>6914</v>
      </c>
      <c r="H36" s="133">
        <f t="shared" si="2"/>
        <v>1.4857768137157357E-3</v>
      </c>
      <c r="I36" s="56">
        <f t="shared" si="15"/>
        <v>1.2629102916583753E-3</v>
      </c>
      <c r="J36" s="57">
        <v>127.8</v>
      </c>
      <c r="K36" s="130">
        <f t="shared" si="3"/>
        <v>1.990029918963116E-3</v>
      </c>
      <c r="L36" s="58">
        <f t="shared" si="16"/>
        <v>2.9850448784446741E-4</v>
      </c>
      <c r="M36" s="149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49">
        <f t="shared" si="10"/>
        <v>7.7164556114936193E-3</v>
      </c>
      <c r="AM36" s="68">
        <f t="shared" si="11"/>
        <v>313267.1546635399</v>
      </c>
      <c r="AN36" s="69">
        <f t="shared" si="12"/>
        <v>2215319.3165100049</v>
      </c>
      <c r="AO36" s="69">
        <f t="shared" si="13"/>
        <v>10948028.285332825</v>
      </c>
      <c r="AP36" s="69">
        <f t="shared" si="23"/>
        <v>13476614.75650637</v>
      </c>
      <c r="AQ36" s="70">
        <f t="shared" si="24"/>
        <v>2.3746673111244136E-3</v>
      </c>
    </row>
    <row r="37" spans="1:43" ht="14.25" x14ac:dyDescent="0.2">
      <c r="A37" s="7" t="s">
        <v>30</v>
      </c>
      <c r="B37" s="57">
        <v>411123</v>
      </c>
      <c r="C37" s="57">
        <v>82091</v>
      </c>
      <c r="D37" s="66">
        <f t="shared" si="0"/>
        <v>0.19967503642462231</v>
      </c>
      <c r="E37" s="67">
        <f t="shared" si="14"/>
        <v>16391.52341513367</v>
      </c>
      <c r="F37" s="149">
        <f t="shared" si="1"/>
        <v>1.44167933056179E-5</v>
      </c>
      <c r="G37" s="54">
        <v>3558</v>
      </c>
      <c r="H37" s="133">
        <f t="shared" si="2"/>
        <v>7.6459269644208675E-4</v>
      </c>
      <c r="I37" s="56">
        <f t="shared" si="15"/>
        <v>6.4990379197577377E-4</v>
      </c>
      <c r="J37" s="57">
        <v>561.88</v>
      </c>
      <c r="K37" s="130">
        <f t="shared" si="3"/>
        <v>8.7492802102268827E-3</v>
      </c>
      <c r="L37" s="58">
        <f t="shared" si="16"/>
        <v>1.3123920315340324E-3</v>
      </c>
      <c r="M37" s="149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49">
        <f t="shared" si="10"/>
        <v>8.9709204139591381E-3</v>
      </c>
      <c r="AM37" s="68">
        <f t="shared" si="11"/>
        <v>40908.797727963756</v>
      </c>
      <c r="AN37" s="69">
        <f t="shared" si="12"/>
        <v>2784085.2408943567</v>
      </c>
      <c r="AO37" s="69">
        <f t="shared" si="13"/>
        <v>12727850.114397759</v>
      </c>
      <c r="AP37" s="69">
        <f t="shared" si="23"/>
        <v>15552844.15302008</v>
      </c>
      <c r="AQ37" s="70">
        <f t="shared" si="24"/>
        <v>2.7405124560200451E-3</v>
      </c>
    </row>
    <row r="38" spans="1:43" ht="14.25" x14ac:dyDescent="0.2">
      <c r="A38" s="7" t="s">
        <v>31</v>
      </c>
      <c r="B38" s="57">
        <v>152108024</v>
      </c>
      <c r="C38" s="57">
        <v>49023503.210000001</v>
      </c>
      <c r="D38" s="66">
        <f t="shared" si="0"/>
        <v>0.32229399817855764</v>
      </c>
      <c r="E38" s="67">
        <f t="shared" si="14"/>
        <v>15799980.854270255</v>
      </c>
      <c r="F38" s="149">
        <f t="shared" si="1"/>
        <v>1.3896515439097571E-2</v>
      </c>
      <c r="G38" s="54">
        <v>256970</v>
      </c>
      <c r="H38" s="133">
        <f t="shared" si="2"/>
        <v>5.5221299945116084E-2</v>
      </c>
      <c r="I38" s="56">
        <f t="shared" si="15"/>
        <v>4.6938104953348672E-2</v>
      </c>
      <c r="J38" s="57">
        <v>247</v>
      </c>
      <c r="K38" s="130">
        <f t="shared" si="3"/>
        <v>3.8461454615327825E-3</v>
      </c>
      <c r="L38" s="58">
        <f t="shared" si="16"/>
        <v>5.769218192299174E-4</v>
      </c>
      <c r="M38" s="149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49">
        <f t="shared" si="10"/>
        <v>2.8754909790974444E-2</v>
      </c>
      <c r="AM38" s="68">
        <f t="shared" si="11"/>
        <v>39432467.8983946</v>
      </c>
      <c r="AN38" s="69">
        <f t="shared" si="12"/>
        <v>67413833.92521663</v>
      </c>
      <c r="AO38" s="69">
        <f t="shared" si="13"/>
        <v>40797171.860209346</v>
      </c>
      <c r="AP38" s="69">
        <f t="shared" si="23"/>
        <v>147643473.68382058</v>
      </c>
      <c r="AQ38" s="70">
        <f t="shared" si="24"/>
        <v>2.6015741860437043E-2</v>
      </c>
    </row>
    <row r="39" spans="1:43" ht="14.25" x14ac:dyDescent="0.2">
      <c r="A39" s="7" t="s">
        <v>32</v>
      </c>
      <c r="B39" s="57">
        <v>2837623</v>
      </c>
      <c r="C39" s="57">
        <v>926066</v>
      </c>
      <c r="D39" s="66">
        <f t="shared" si="0"/>
        <v>0.32635272550300021</v>
      </c>
      <c r="E39" s="67">
        <f t="shared" si="14"/>
        <v>302224.16309566138</v>
      </c>
      <c r="F39" s="149">
        <f t="shared" si="1"/>
        <v>2.6581442011001585E-4</v>
      </c>
      <c r="G39" s="54">
        <v>5349</v>
      </c>
      <c r="H39" s="133">
        <f t="shared" si="2"/>
        <v>1.1494677721384829E-3</v>
      </c>
      <c r="I39" s="56">
        <f t="shared" si="15"/>
        <v>9.7704760631771043E-4</v>
      </c>
      <c r="J39" s="57">
        <v>3428.68</v>
      </c>
      <c r="K39" s="130">
        <f t="shared" si="3"/>
        <v>5.3389481866591988E-2</v>
      </c>
      <c r="L39" s="58">
        <f t="shared" si="16"/>
        <v>8.0084222799887972E-3</v>
      </c>
      <c r="M39" s="149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49">
        <f t="shared" si="10"/>
        <v>8.3837715003909005E-3</v>
      </c>
      <c r="AM39" s="68">
        <f t="shared" si="11"/>
        <v>754269.56015379715</v>
      </c>
      <c r="AN39" s="69">
        <f t="shared" si="12"/>
        <v>12748492.756928924</v>
      </c>
      <c r="AO39" s="69">
        <f t="shared" si="13"/>
        <v>11894809.242125669</v>
      </c>
      <c r="AP39" s="69">
        <f t="shared" si="23"/>
        <v>25397571.559208393</v>
      </c>
      <c r="AQ39" s="70">
        <f t="shared" si="24"/>
        <v>4.4752175567293597E-3</v>
      </c>
    </row>
    <row r="40" spans="1:43" ht="14.25" x14ac:dyDescent="0.2">
      <c r="A40" s="7" t="s">
        <v>33</v>
      </c>
      <c r="B40" s="57">
        <v>28103333</v>
      </c>
      <c r="C40" s="57">
        <v>8842327</v>
      </c>
      <c r="D40" s="66">
        <f t="shared" ref="D40:D58" si="25">+C40/B40</f>
        <v>0.31463623905392291</v>
      </c>
      <c r="E40" s="67">
        <f t="shared" si="14"/>
        <v>2782116.5117649571</v>
      </c>
      <c r="F40" s="149">
        <f t="shared" ref="F40:F58" si="26">+E40/E$59</f>
        <v>2.4469475890953954E-3</v>
      </c>
      <c r="G40" s="54">
        <v>78669</v>
      </c>
      <c r="H40" s="133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30">
        <f t="shared" ref="K40:K59" si="28">+J40/$J$59</f>
        <v>3.9546316778505917E-2</v>
      </c>
      <c r="L40" s="58">
        <f t="shared" si="16"/>
        <v>5.9319475167758876E-3</v>
      </c>
      <c r="M40" s="149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49">
        <f t="shared" si="10"/>
        <v>4.5537887298726175E-2</v>
      </c>
      <c r="AM40" s="68">
        <f t="shared" ref="AM40:AM58" si="31">+F40*AM$6</f>
        <v>6943408.4162269793</v>
      </c>
      <c r="AN40" s="69">
        <f t="shared" ref="AN40:AN58" si="32">+M40*AN$6</f>
        <v>28803725.481266655</v>
      </c>
      <c r="AO40" s="69">
        <f t="shared" ref="AO40:AO58" si="33">+AK40*AO$6</f>
        <v>64608688.665060788</v>
      </c>
      <c r="AP40" s="69">
        <f t="shared" si="23"/>
        <v>100355822.56255442</v>
      </c>
      <c r="AQ40" s="70">
        <f t="shared" si="24"/>
        <v>1.7683349685813751E-2</v>
      </c>
    </row>
    <row r="41" spans="1:43" ht="14.25" x14ac:dyDescent="0.2">
      <c r="A41" s="7" t="s">
        <v>34</v>
      </c>
      <c r="B41" s="57">
        <v>1442240</v>
      </c>
      <c r="C41" s="57">
        <v>427907</v>
      </c>
      <c r="D41" s="66">
        <f t="shared" si="25"/>
        <v>0.29669611160417131</v>
      </c>
      <c r="E41" s="67">
        <f t="shared" si="14"/>
        <v>126958.34302820613</v>
      </c>
      <c r="F41" s="149">
        <f t="shared" si="26"/>
        <v>1.1166333619555502E-4</v>
      </c>
      <c r="G41" s="54">
        <v>5488</v>
      </c>
      <c r="H41" s="133">
        <f t="shared" si="27"/>
        <v>1.1793380320613187E-3</v>
      </c>
      <c r="I41" s="56">
        <f t="shared" si="15"/>
        <v>1.0024373272521209E-3</v>
      </c>
      <c r="J41" s="57">
        <v>264.23</v>
      </c>
      <c r="K41" s="130">
        <f t="shared" si="28"/>
        <v>4.114441357493147E-3</v>
      </c>
      <c r="L41" s="58">
        <f t="shared" si="16"/>
        <v>6.1716620362397201E-4</v>
      </c>
      <c r="M41" s="149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49">
        <f t="shared" si="10"/>
        <v>1.3964163617687278E-2</v>
      </c>
      <c r="AM41" s="68">
        <f t="shared" si="31"/>
        <v>316853.59824597905</v>
      </c>
      <c r="AN41" s="69">
        <f t="shared" si="32"/>
        <v>2297876.9217107212</v>
      </c>
      <c r="AO41" s="69">
        <f t="shared" si="33"/>
        <v>19812212.492966566</v>
      </c>
      <c r="AP41" s="69">
        <f t="shared" si="23"/>
        <v>22426943.012923267</v>
      </c>
      <c r="AQ41" s="70">
        <f t="shared" si="24"/>
        <v>3.9517734552386198E-3</v>
      </c>
    </row>
    <row r="42" spans="1:43" ht="14.25" x14ac:dyDescent="0.2">
      <c r="A42" s="7" t="s">
        <v>35</v>
      </c>
      <c r="B42" s="57">
        <v>669233</v>
      </c>
      <c r="C42" s="57">
        <v>308778</v>
      </c>
      <c r="D42" s="66">
        <f t="shared" si="25"/>
        <v>0.46139087582351734</v>
      </c>
      <c r="E42" s="67">
        <f t="shared" si="14"/>
        <v>142467.35185503404</v>
      </c>
      <c r="F42" s="149">
        <f t="shared" si="26"/>
        <v>1.2530393377570119E-4</v>
      </c>
      <c r="G42" s="54">
        <v>862</v>
      </c>
      <c r="H42" s="133">
        <f t="shared" si="27"/>
        <v>1.8523859031283833E-4</v>
      </c>
      <c r="I42" s="56">
        <f t="shared" si="15"/>
        <v>1.5745280176591257E-4</v>
      </c>
      <c r="J42" s="57">
        <v>207.92</v>
      </c>
      <c r="K42" s="130">
        <f t="shared" si="28"/>
        <v>3.2376136208983647E-3</v>
      </c>
      <c r="L42" s="58">
        <f t="shared" si="16"/>
        <v>4.8564204313475466E-4</v>
      </c>
      <c r="M42" s="149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49">
        <f t="shared" si="10"/>
        <v>1.4448528707631827E-2</v>
      </c>
      <c r="AM42" s="68">
        <f t="shared" si="31"/>
        <v>355559.8788636878</v>
      </c>
      <c r="AN42" s="69">
        <f t="shared" si="32"/>
        <v>912416.38734204124</v>
      </c>
      <c r="AO42" s="69">
        <f t="shared" si="33"/>
        <v>20499424.727718771</v>
      </c>
      <c r="AP42" s="69">
        <f t="shared" si="23"/>
        <v>21767400.993924499</v>
      </c>
      <c r="AQ42" s="70">
        <f t="shared" si="24"/>
        <v>3.835557855020974E-3</v>
      </c>
    </row>
    <row r="43" spans="1:43" ht="14.25" x14ac:dyDescent="0.2">
      <c r="A43" s="7" t="s">
        <v>36</v>
      </c>
      <c r="B43" s="57">
        <v>578340</v>
      </c>
      <c r="C43" s="57">
        <v>79679</v>
      </c>
      <c r="D43" s="66">
        <f t="shared" si="25"/>
        <v>0.13777189888301</v>
      </c>
      <c r="E43" s="67">
        <f t="shared" si="14"/>
        <v>10977.527131099354</v>
      </c>
      <c r="F43" s="149">
        <f t="shared" si="26"/>
        <v>9.6550354501983577E-6</v>
      </c>
      <c r="G43" s="54">
        <v>7095</v>
      </c>
      <c r="H43" s="133">
        <f t="shared" si="27"/>
        <v>1.5246726198023062E-3</v>
      </c>
      <c r="I43" s="56">
        <f t="shared" si="15"/>
        <v>1.2959717268319602E-3</v>
      </c>
      <c r="J43" s="57">
        <v>1006.78</v>
      </c>
      <c r="K43" s="130">
        <f t="shared" si="28"/>
        <v>1.5677013472720547E-2</v>
      </c>
      <c r="L43" s="58">
        <f t="shared" si="16"/>
        <v>2.3515520209080819E-3</v>
      </c>
      <c r="M43" s="149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49">
        <f t="shared" si="10"/>
        <v>1.1843769745889727E-2</v>
      </c>
      <c r="AM43" s="68">
        <f t="shared" si="31"/>
        <v>27396.931059181577</v>
      </c>
      <c r="AN43" s="69">
        <f t="shared" si="32"/>
        <v>5175069.3805846423</v>
      </c>
      <c r="AO43" s="69">
        <f t="shared" si="33"/>
        <v>16803819.358441353</v>
      </c>
      <c r="AP43" s="69">
        <f t="shared" si="23"/>
        <v>22006285.670085177</v>
      </c>
      <c r="AQ43" s="70">
        <f t="shared" si="24"/>
        <v>3.8776508911325413E-3</v>
      </c>
    </row>
    <row r="44" spans="1:43" ht="14.25" x14ac:dyDescent="0.2">
      <c r="A44" s="7" t="s">
        <v>37</v>
      </c>
      <c r="B44" s="57">
        <v>3535068</v>
      </c>
      <c r="C44" s="57">
        <v>709878</v>
      </c>
      <c r="D44" s="66">
        <f t="shared" si="25"/>
        <v>0.20081028144295951</v>
      </c>
      <c r="E44" s="67">
        <f t="shared" si="14"/>
        <v>142550.8009701652</v>
      </c>
      <c r="F44" s="149">
        <f t="shared" si="26"/>
        <v>1.2537732955557554E-4</v>
      </c>
      <c r="G44" s="54">
        <v>5447</v>
      </c>
      <c r="H44" s="133">
        <f t="shared" si="27"/>
        <v>1.1705273798538634E-3</v>
      </c>
      <c r="I44" s="56">
        <f t="shared" si="15"/>
        <v>9.9494827287578387E-4</v>
      </c>
      <c r="J44" s="57">
        <v>3872.26</v>
      </c>
      <c r="K44" s="130">
        <f t="shared" si="28"/>
        <v>6.0296660829453175E-2</v>
      </c>
      <c r="L44" s="58">
        <f t="shared" si="16"/>
        <v>9.0444991244179752E-3</v>
      </c>
      <c r="M44" s="149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49">
        <f t="shared" si="10"/>
        <v>9.3940765183880247E-3</v>
      </c>
      <c r="AM44" s="68">
        <f t="shared" si="31"/>
        <v>355768.14522704034</v>
      </c>
      <c r="AN44" s="69">
        <f t="shared" si="32"/>
        <v>14243865.267749291</v>
      </c>
      <c r="AO44" s="69">
        <f t="shared" si="33"/>
        <v>13328219.666643778</v>
      </c>
      <c r="AP44" s="69">
        <f t="shared" si="23"/>
        <v>27927853.079620108</v>
      </c>
      <c r="AQ44" s="70">
        <f t="shared" si="24"/>
        <v>4.9210696436982337E-3</v>
      </c>
    </row>
    <row r="45" spans="1:43" ht="14.25" x14ac:dyDescent="0.2">
      <c r="A45" s="7" t="s">
        <v>38</v>
      </c>
      <c r="B45" s="57">
        <v>43800112</v>
      </c>
      <c r="C45" s="57">
        <v>12921249</v>
      </c>
      <c r="D45" s="66">
        <f t="shared" si="25"/>
        <v>0.29500493058099941</v>
      </c>
      <c r="E45" s="67">
        <f t="shared" si="14"/>
        <v>3811832.1642648079</v>
      </c>
      <c r="F45" s="149">
        <f t="shared" si="26"/>
        <v>3.352610677856493E-3</v>
      </c>
      <c r="G45" s="54">
        <v>59113</v>
      </c>
      <c r="H45" s="133">
        <f t="shared" si="27"/>
        <v>1.2703026437543865E-2</v>
      </c>
      <c r="I45" s="56">
        <f t="shared" si="15"/>
        <v>1.0797572471912285E-2</v>
      </c>
      <c r="J45" s="57">
        <v>1869.3</v>
      </c>
      <c r="K45" s="130">
        <f t="shared" si="28"/>
        <v>2.9107691138636562E-2</v>
      </c>
      <c r="L45" s="58">
        <f t="shared" si="16"/>
        <v>4.3661536707954845E-3</v>
      </c>
      <c r="M45" s="149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49">
        <f t="shared" si="10"/>
        <v>2.8645154357091869E-2</v>
      </c>
      <c r="AM45" s="68">
        <f t="shared" si="31"/>
        <v>9513299.4677532054</v>
      </c>
      <c r="AN45" s="69">
        <f t="shared" si="32"/>
        <v>21514139.532420836</v>
      </c>
      <c r="AO45" s="69">
        <f t="shared" si="33"/>
        <v>40641451.973370932</v>
      </c>
      <c r="AP45" s="69">
        <f t="shared" si="23"/>
        <v>71668890.97354497</v>
      </c>
      <c r="AQ45" s="70">
        <f t="shared" si="24"/>
        <v>1.2628525463878154E-2</v>
      </c>
    </row>
    <row r="46" spans="1:43" ht="14.25" x14ac:dyDescent="0.2">
      <c r="A46" s="7" t="s">
        <v>39</v>
      </c>
      <c r="B46" s="57">
        <v>1310039238</v>
      </c>
      <c r="C46" s="57">
        <v>699624594.67999995</v>
      </c>
      <c r="D46" s="66">
        <f t="shared" si="25"/>
        <v>0.53404857990978738</v>
      </c>
      <c r="E46" s="67">
        <f t="shared" si="14"/>
        <v>373633521.25881457</v>
      </c>
      <c r="F46" s="149">
        <f t="shared" si="26"/>
        <v>0.32862090433066649</v>
      </c>
      <c r="G46" s="54">
        <v>1135550</v>
      </c>
      <c r="H46" s="133">
        <f t="shared" si="27"/>
        <v>0.24402283205306677</v>
      </c>
      <c r="I46" s="56">
        <f t="shared" si="15"/>
        <v>0.20741940724510674</v>
      </c>
      <c r="J46" s="57">
        <v>323.60000000000002</v>
      </c>
      <c r="K46" s="130">
        <f t="shared" si="28"/>
        <v>5.0389176977814112E-3</v>
      </c>
      <c r="L46" s="58">
        <f t="shared" si="16"/>
        <v>7.558376546672117E-4</v>
      </c>
      <c r="M46" s="149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49">
        <f t="shared" si="10"/>
        <v>0.13808866567189929</v>
      </c>
      <c r="AM46" s="68">
        <f t="shared" si="31"/>
        <v>932487954.8078934</v>
      </c>
      <c r="AN46" s="69">
        <f t="shared" si="32"/>
        <v>295356907.91431409</v>
      </c>
      <c r="AO46" s="69">
        <f t="shared" si="33"/>
        <v>195918786.26347637</v>
      </c>
      <c r="AP46" s="69">
        <f t="shared" si="23"/>
        <v>1423763648.9856839</v>
      </c>
      <c r="AQ46" s="70">
        <f t="shared" si="24"/>
        <v>0.25087642980825159</v>
      </c>
    </row>
    <row r="47" spans="1:43" ht="14.25" x14ac:dyDescent="0.2">
      <c r="A47" s="7" t="s">
        <v>40</v>
      </c>
      <c r="B47" s="57">
        <v>1666646</v>
      </c>
      <c r="C47" s="57">
        <v>464524</v>
      </c>
      <c r="D47" s="66">
        <f t="shared" si="25"/>
        <v>0.27871785610141564</v>
      </c>
      <c r="E47" s="67">
        <f t="shared" si="14"/>
        <v>129471.133387654</v>
      </c>
      <c r="F47" s="149">
        <f t="shared" si="26"/>
        <v>1.1387340406508951E-4</v>
      </c>
      <c r="G47" s="54">
        <v>1034</v>
      </c>
      <c r="H47" s="133">
        <f t="shared" si="27"/>
        <v>2.2220035079289422E-4</v>
      </c>
      <c r="I47" s="56">
        <f t="shared" si="15"/>
        <v>1.8887029817396008E-4</v>
      </c>
      <c r="J47" s="57">
        <v>1172.6600000000001</v>
      </c>
      <c r="K47" s="130">
        <f t="shared" si="28"/>
        <v>1.8260003793202563E-2</v>
      </c>
      <c r="L47" s="58">
        <f t="shared" si="16"/>
        <v>2.7390005689803842E-3</v>
      </c>
      <c r="M47" s="149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49">
        <f t="shared" si="10"/>
        <v>1.0454268753916371E-3</v>
      </c>
      <c r="AM47" s="68">
        <f t="shared" si="31"/>
        <v>323124.84161634953</v>
      </c>
      <c r="AN47" s="69">
        <f t="shared" si="32"/>
        <v>4154033.2353707612</v>
      </c>
      <c r="AO47" s="69">
        <f t="shared" si="33"/>
        <v>1483240.9565068902</v>
      </c>
      <c r="AP47" s="69">
        <f t="shared" si="23"/>
        <v>5960399.0334940013</v>
      </c>
      <c r="AQ47" s="70">
        <f t="shared" si="24"/>
        <v>1.05026113766904E-3</v>
      </c>
    </row>
    <row r="48" spans="1:43" ht="14.25" x14ac:dyDescent="0.2">
      <c r="A48" s="7" t="s">
        <v>41</v>
      </c>
      <c r="B48" s="57">
        <v>43067472</v>
      </c>
      <c r="C48" s="57">
        <v>9362618</v>
      </c>
      <c r="D48" s="66">
        <f t="shared" si="25"/>
        <v>0.21739418557002835</v>
      </c>
      <c r="E48" s="67">
        <f t="shared" si="14"/>
        <v>2035378.7149132877</v>
      </c>
      <c r="F48" s="149">
        <f t="shared" si="26"/>
        <v>1.7901712664771102E-3</v>
      </c>
      <c r="G48" s="54">
        <v>20843</v>
      </c>
      <c r="H48" s="133">
        <f t="shared" si="27"/>
        <v>4.4790347307314257E-3</v>
      </c>
      <c r="I48" s="56">
        <f t="shared" si="15"/>
        <v>3.8071795211217117E-3</v>
      </c>
      <c r="J48" s="57">
        <v>308.89</v>
      </c>
      <c r="K48" s="130">
        <f t="shared" si="28"/>
        <v>4.8098618283921504E-3</v>
      </c>
      <c r="L48" s="58">
        <f t="shared" si="16"/>
        <v>7.2147927425882249E-4</v>
      </c>
      <c r="M48" s="149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49">
        <f t="shared" si="10"/>
        <v>7.2872223514353898E-3</v>
      </c>
      <c r="AM48" s="68">
        <f t="shared" si="31"/>
        <v>5079753.3602834735</v>
      </c>
      <c r="AN48" s="69">
        <f t="shared" si="32"/>
        <v>6425214.7725178897</v>
      </c>
      <c r="AO48" s="69">
        <f t="shared" si="33"/>
        <v>10339036.526846765</v>
      </c>
      <c r="AP48" s="69">
        <f t="shared" si="23"/>
        <v>21844004.659648128</v>
      </c>
      <c r="AQ48" s="70">
        <f t="shared" si="24"/>
        <v>3.8490559199425363E-3</v>
      </c>
    </row>
    <row r="49" spans="1:43" ht="14.25" x14ac:dyDescent="0.2">
      <c r="A49" s="7" t="s">
        <v>42</v>
      </c>
      <c r="B49" s="57">
        <v>2466234</v>
      </c>
      <c r="C49" s="57">
        <v>650988</v>
      </c>
      <c r="D49" s="66">
        <f t="shared" si="25"/>
        <v>0.26396035412698066</v>
      </c>
      <c r="E49" s="67">
        <f t="shared" si="14"/>
        <v>171835.02301241489</v>
      </c>
      <c r="F49" s="149">
        <f t="shared" si="26"/>
        <v>1.511336040400537E-4</v>
      </c>
      <c r="G49" s="54">
        <v>5359</v>
      </c>
      <c r="H49" s="133">
        <f t="shared" si="27"/>
        <v>1.1516167117012767E-3</v>
      </c>
      <c r="I49" s="56">
        <f t="shared" si="15"/>
        <v>9.788742049460853E-4</v>
      </c>
      <c r="J49" s="57">
        <v>1341.58</v>
      </c>
      <c r="K49" s="130">
        <f t="shared" si="28"/>
        <v>2.089033128859575E-2</v>
      </c>
      <c r="L49" s="58">
        <f t="shared" si="16"/>
        <v>3.1335496932893623E-3</v>
      </c>
      <c r="M49" s="149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49">
        <f t="shared" si="10"/>
        <v>3.5904404406326856E-3</v>
      </c>
      <c r="AM49" s="68">
        <f t="shared" si="31"/>
        <v>428853.62275142461</v>
      </c>
      <c r="AN49" s="69">
        <f t="shared" si="32"/>
        <v>5834664.958364944</v>
      </c>
      <c r="AO49" s="69">
        <f t="shared" si="33"/>
        <v>5094080.1684001228</v>
      </c>
      <c r="AP49" s="69">
        <f t="shared" si="23"/>
        <v>11357598.749516491</v>
      </c>
      <c r="AQ49" s="70">
        <f t="shared" si="24"/>
        <v>2.0012828867370601E-3</v>
      </c>
    </row>
    <row r="50" spans="1:43" ht="14.25" x14ac:dyDescent="0.2">
      <c r="A50" s="7" t="s">
        <v>43</v>
      </c>
      <c r="B50" s="57">
        <v>935481</v>
      </c>
      <c r="C50" s="57">
        <v>193913</v>
      </c>
      <c r="D50" s="66">
        <f t="shared" si="25"/>
        <v>0.20728694650131857</v>
      </c>
      <c r="E50" s="67">
        <f t="shared" si="14"/>
        <v>40195.633656910191</v>
      </c>
      <c r="F50" s="149">
        <f t="shared" si="26"/>
        <v>3.5353159529088634E-5</v>
      </c>
      <c r="G50" s="54">
        <v>2628</v>
      </c>
      <c r="H50" s="133">
        <f t="shared" si="27"/>
        <v>5.6474131710224952E-4</v>
      </c>
      <c r="I50" s="56">
        <f t="shared" si="15"/>
        <v>4.800301195369121E-4</v>
      </c>
      <c r="J50" s="57">
        <v>673.76</v>
      </c>
      <c r="K50" s="130">
        <f t="shared" si="28"/>
        <v>1.0491412818470961E-2</v>
      </c>
      <c r="L50" s="58">
        <f t="shared" si="16"/>
        <v>1.5737119227706442E-3</v>
      </c>
      <c r="M50" s="149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49">
        <f t="shared" si="10"/>
        <v>1.0697237425868811E-2</v>
      </c>
      <c r="AM50" s="68">
        <f t="shared" si="31"/>
        <v>100317.40218238048</v>
      </c>
      <c r="AN50" s="69">
        <f t="shared" si="32"/>
        <v>2913828.2006663647</v>
      </c>
      <c r="AO50" s="69">
        <f t="shared" si="33"/>
        <v>15177131.031362697</v>
      </c>
      <c r="AP50" s="69">
        <f t="shared" si="23"/>
        <v>18191276.634211443</v>
      </c>
      <c r="AQ50" s="70">
        <f t="shared" si="24"/>
        <v>3.2054214468086361E-3</v>
      </c>
    </row>
    <row r="51" spans="1:43" ht="14.25" x14ac:dyDescent="0.2">
      <c r="A51" s="7" t="s">
        <v>44</v>
      </c>
      <c r="B51" s="57">
        <v>16353525</v>
      </c>
      <c r="C51" s="57">
        <v>5800106</v>
      </c>
      <c r="D51" s="66">
        <f t="shared" si="25"/>
        <v>0.35467007877506529</v>
      </c>
      <c r="E51" s="67">
        <f t="shared" si="14"/>
        <v>2057124.0519237288</v>
      </c>
      <c r="F51" s="149">
        <f t="shared" si="26"/>
        <v>1.809296885316851E-3</v>
      </c>
      <c r="G51" s="54">
        <v>34671</v>
      </c>
      <c r="H51" s="133">
        <f t="shared" si="27"/>
        <v>7.4505883581628971E-3</v>
      </c>
      <c r="I51" s="56">
        <f t="shared" si="15"/>
        <v>6.3330001044384623E-3</v>
      </c>
      <c r="J51" s="57">
        <v>1542.15</v>
      </c>
      <c r="K51" s="130">
        <f t="shared" si="28"/>
        <v>2.4013494831995066E-2</v>
      </c>
      <c r="L51" s="58">
        <f t="shared" si="16"/>
        <v>3.6020242247992596E-3</v>
      </c>
      <c r="M51" s="149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49">
        <f t="shared" si="10"/>
        <v>1.0231743355373026E-2</v>
      </c>
      <c r="AM51" s="68">
        <f t="shared" si="31"/>
        <v>5134023.825008261</v>
      </c>
      <c r="AN51" s="69">
        <f t="shared" si="32"/>
        <v>14095710.886997601</v>
      </c>
      <c r="AO51" s="69">
        <f t="shared" si="33"/>
        <v>14516692.805961423</v>
      </c>
      <c r="AP51" s="69">
        <f t="shared" si="23"/>
        <v>33746427.517967284</v>
      </c>
      <c r="AQ51" s="70">
        <f t="shared" si="24"/>
        <v>5.9463403638111119E-3</v>
      </c>
    </row>
    <row r="52" spans="1:43" ht="14.25" x14ac:dyDescent="0.2">
      <c r="A52" s="7" t="s">
        <v>45</v>
      </c>
      <c r="B52" s="57">
        <v>92574446</v>
      </c>
      <c r="C52" s="57">
        <v>14354998.760000002</v>
      </c>
      <c r="D52" s="66">
        <f t="shared" si="25"/>
        <v>0.15506437662073616</v>
      </c>
      <c r="E52" s="67">
        <f t="shared" si="14"/>
        <v>2225948.9341108408</v>
      </c>
      <c r="F52" s="149">
        <f t="shared" si="26"/>
        <v>1.9577829881454478E-3</v>
      </c>
      <c r="G52" s="54">
        <v>32660</v>
      </c>
      <c r="H52" s="133">
        <f t="shared" si="27"/>
        <v>7.018436612085034E-3</v>
      </c>
      <c r="I52" s="56">
        <f t="shared" si="15"/>
        <v>5.9656711202722788E-3</v>
      </c>
      <c r="J52" s="57">
        <v>1658.08</v>
      </c>
      <c r="K52" s="130">
        <f t="shared" si="28"/>
        <v>2.5818691768656987E-2</v>
      </c>
      <c r="L52" s="58">
        <f t="shared" si="16"/>
        <v>3.8728037652985478E-3</v>
      </c>
      <c r="M52" s="149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49">
        <f t="shared" si="10"/>
        <v>1.782762420039443E-2</v>
      </c>
      <c r="AM52" s="68">
        <f t="shared" si="31"/>
        <v>5555364.9524878114</v>
      </c>
      <c r="AN52" s="69">
        <f t="shared" si="32"/>
        <v>13958727.5239852</v>
      </c>
      <c r="AO52" s="69">
        <f t="shared" si="33"/>
        <v>25293650.846055098</v>
      </c>
      <c r="AP52" s="69">
        <f t="shared" si="23"/>
        <v>44807743.322528109</v>
      </c>
      <c r="AQ52" s="70">
        <f t="shared" si="24"/>
        <v>7.8954162655640384E-3</v>
      </c>
    </row>
    <row r="53" spans="1:43" ht="14.25" x14ac:dyDescent="0.2">
      <c r="A53" s="7" t="s">
        <v>46</v>
      </c>
      <c r="B53" s="57">
        <v>498373044</v>
      </c>
      <c r="C53" s="57">
        <v>245555607.23999998</v>
      </c>
      <c r="D53" s="66">
        <f t="shared" si="25"/>
        <v>0.49271446398694063</v>
      </c>
      <c r="E53" s="67">
        <f t="shared" si="14"/>
        <v>120988799.40024431</v>
      </c>
      <c r="F53" s="149">
        <f t="shared" si="26"/>
        <v>0.10641295925171729</v>
      </c>
      <c r="G53" s="54">
        <v>443273</v>
      </c>
      <c r="H53" s="133">
        <f t="shared" si="27"/>
        <v>9.5256688681836177E-2</v>
      </c>
      <c r="I53" s="56">
        <f t="shared" si="15"/>
        <v>8.0968185379560742E-2</v>
      </c>
      <c r="J53" s="57">
        <v>60.1</v>
      </c>
      <c r="K53" s="130">
        <f t="shared" si="28"/>
        <v>9.3584349084259205E-4</v>
      </c>
      <c r="L53" s="58">
        <f t="shared" si="16"/>
        <v>1.403765236263888E-4</v>
      </c>
      <c r="M53" s="149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49">
        <f t="shared" si="10"/>
        <v>3.4836648133901124E-2</v>
      </c>
      <c r="AM53" s="68">
        <f t="shared" si="31"/>
        <v>301955236.04865706</v>
      </c>
      <c r="AN53" s="69">
        <f t="shared" si="32"/>
        <v>115075997.92009707</v>
      </c>
      <c r="AO53" s="69">
        <f t="shared" si="33"/>
        <v>49425880.007403165</v>
      </c>
      <c r="AP53" s="69">
        <f t="shared" si="23"/>
        <v>466457113.97615731</v>
      </c>
      <c r="AQ53" s="70">
        <f t="shared" si="24"/>
        <v>8.2192782135130704E-2</v>
      </c>
    </row>
    <row r="54" spans="1:43" ht="14.25" x14ac:dyDescent="0.2">
      <c r="A54" s="7" t="s">
        <v>47</v>
      </c>
      <c r="B54" s="57">
        <v>643811314</v>
      </c>
      <c r="C54" s="57">
        <v>463354390.29000002</v>
      </c>
      <c r="D54" s="66">
        <f t="shared" si="25"/>
        <v>0.71970526179662642</v>
      </c>
      <c r="E54" s="67">
        <f t="shared" si="14"/>
        <v>333478592.76828068</v>
      </c>
      <c r="F54" s="149">
        <f t="shared" si="26"/>
        <v>0.29330354610907411</v>
      </c>
      <c r="G54" s="54">
        <v>122659</v>
      </c>
      <c r="H54" s="133">
        <f t="shared" si="27"/>
        <v>2.6358677783274286E-2</v>
      </c>
      <c r="I54" s="56">
        <f t="shared" si="15"/>
        <v>2.2404876115783144E-2</v>
      </c>
      <c r="J54" s="57">
        <v>72.010000000000005</v>
      </c>
      <c r="K54" s="130">
        <f t="shared" si="28"/>
        <v>1.1212993307084037E-3</v>
      </c>
      <c r="L54" s="58">
        <f t="shared" si="16"/>
        <v>1.6819489960626053E-4</v>
      </c>
      <c r="M54" s="149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49">
        <f t="shared" si="10"/>
        <v>1.4535275481205024E-2</v>
      </c>
      <c r="AM54" s="68">
        <f t="shared" si="31"/>
        <v>832272141.68319821</v>
      </c>
      <c r="AN54" s="69">
        <f t="shared" si="32"/>
        <v>32026442.243147232</v>
      </c>
      <c r="AO54" s="69">
        <f t="shared" si="33"/>
        <v>20622500.162679628</v>
      </c>
      <c r="AP54" s="69">
        <f t="shared" si="23"/>
        <v>884921084.08902514</v>
      </c>
      <c r="AQ54" s="70">
        <f t="shared" si="24"/>
        <v>0.15592885967868567</v>
      </c>
    </row>
    <row r="55" spans="1:43" ht="14.25" x14ac:dyDescent="0.2">
      <c r="A55" s="7" t="s">
        <v>48</v>
      </c>
      <c r="B55" s="57">
        <v>196135752</v>
      </c>
      <c r="C55" s="57">
        <v>90712185.010000005</v>
      </c>
      <c r="D55" s="66">
        <f t="shared" si="25"/>
        <v>0.46249693941571657</v>
      </c>
      <c r="E55" s="67">
        <f t="shared" si="14"/>
        <v>41954107.934837244</v>
      </c>
      <c r="F55" s="149">
        <f t="shared" si="26"/>
        <v>3.6899785767301116E-2</v>
      </c>
      <c r="G55" s="54">
        <v>268955</v>
      </c>
      <c r="H55" s="133">
        <f t="shared" si="27"/>
        <v>5.7796804011124629E-2</v>
      </c>
      <c r="I55" s="56">
        <f t="shared" si="15"/>
        <v>4.9127283409455935E-2</v>
      </c>
      <c r="J55" s="57">
        <v>885.01</v>
      </c>
      <c r="K55" s="130">
        <f t="shared" si="28"/>
        <v>1.3780879331624E-2</v>
      </c>
      <c r="L55" s="58">
        <f t="shared" si="16"/>
        <v>2.0671318997435998E-3</v>
      </c>
      <c r="M55" s="149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49">
        <f t="shared" si="10"/>
        <v>3.6978618665828682E-2</v>
      </c>
      <c r="AM55" s="68">
        <f t="shared" si="31"/>
        <v>104706077.15319668</v>
      </c>
      <c r="AN55" s="69">
        <f t="shared" si="32"/>
        <v>72634112.742301464</v>
      </c>
      <c r="AO55" s="69">
        <f t="shared" si="33"/>
        <v>52464885.886600234</v>
      </c>
      <c r="AP55" s="69">
        <f t="shared" si="23"/>
        <v>229805075.78209838</v>
      </c>
      <c r="AQ55" s="70">
        <f t="shared" si="24"/>
        <v>4.049315137740761E-2</v>
      </c>
    </row>
    <row r="56" spans="1:43" ht="14.25" x14ac:dyDescent="0.2">
      <c r="A56" s="7" t="s">
        <v>49</v>
      </c>
      <c r="B56" s="57">
        <v>120711722</v>
      </c>
      <c r="C56" s="57">
        <v>39775418</v>
      </c>
      <c r="D56" s="66">
        <f t="shared" si="25"/>
        <v>0.32950750217944863</v>
      </c>
      <c r="E56" s="67">
        <f t="shared" si="14"/>
        <v>13106298.633323479</v>
      </c>
      <c r="F56" s="149">
        <f t="shared" si="26"/>
        <v>1.152734822828462E-2</v>
      </c>
      <c r="G56" s="54">
        <v>40469</v>
      </c>
      <c r="H56" s="133">
        <f t="shared" si="27"/>
        <v>8.6965435166708287E-3</v>
      </c>
      <c r="I56" s="56">
        <f t="shared" si="15"/>
        <v>7.3920619891702042E-3</v>
      </c>
      <c r="J56" s="57">
        <v>746.48</v>
      </c>
      <c r="K56" s="130">
        <f t="shared" si="28"/>
        <v>1.1623767870951384E-2</v>
      </c>
      <c r="L56" s="58">
        <f t="shared" si="16"/>
        <v>1.7435651806427075E-3</v>
      </c>
      <c r="M56" s="149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49">
        <f t="shared" si="10"/>
        <v>1.1014773725219315E-2</v>
      </c>
      <c r="AM56" s="68">
        <f t="shared" si="31"/>
        <v>32709767.492257569</v>
      </c>
      <c r="AN56" s="69">
        <f t="shared" si="32"/>
        <v>12961534.374718865</v>
      </c>
      <c r="AO56" s="69">
        <f t="shared" si="33"/>
        <v>15627648.284611866</v>
      </c>
      <c r="AP56" s="69">
        <f t="shared" si="23"/>
        <v>61298950.151588298</v>
      </c>
      <c r="AQ56" s="70">
        <f t="shared" si="24"/>
        <v>1.0801274337900367E-2</v>
      </c>
    </row>
    <row r="57" spans="1:43" ht="14.25" x14ac:dyDescent="0.2">
      <c r="A57" s="7" t="s">
        <v>50</v>
      </c>
      <c r="B57" s="57">
        <v>4478168</v>
      </c>
      <c r="C57" s="57">
        <v>1465753</v>
      </c>
      <c r="D57" s="66">
        <f t="shared" si="25"/>
        <v>0.32731085568920149</v>
      </c>
      <c r="E57" s="67">
        <f t="shared" si="14"/>
        <v>479756.86865901417</v>
      </c>
      <c r="F57" s="149">
        <f t="shared" si="26"/>
        <v>4.2195929183871272E-4</v>
      </c>
      <c r="G57" s="54">
        <v>1971</v>
      </c>
      <c r="H57" s="133">
        <f t="shared" si="27"/>
        <v>4.2355598782668714E-4</v>
      </c>
      <c r="I57" s="56">
        <f t="shared" si="15"/>
        <v>3.6002258965268404E-4</v>
      </c>
      <c r="J57" s="57">
        <v>1766.28</v>
      </c>
      <c r="K57" s="130">
        <f t="shared" si="28"/>
        <v>2.7503521480955966E-2</v>
      </c>
      <c r="L57" s="58">
        <f t="shared" si="16"/>
        <v>4.1255282221433947E-3</v>
      </c>
      <c r="M57" s="149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49">
        <f t="shared" si="10"/>
        <v>2.2429611655747409E-3</v>
      </c>
      <c r="AM57" s="68">
        <f t="shared" si="31"/>
        <v>1197343.0535719877</v>
      </c>
      <c r="AN57" s="69">
        <f t="shared" si="32"/>
        <v>6364053.606385693</v>
      </c>
      <c r="AO57" s="69">
        <f t="shared" si="33"/>
        <v>3182290.3571219034</v>
      </c>
      <c r="AP57" s="69">
        <f t="shared" si="23"/>
        <v>10743687.017079584</v>
      </c>
      <c r="AQ57" s="70">
        <f t="shared" si="24"/>
        <v>1.8931076402620615E-3</v>
      </c>
    </row>
    <row r="58" spans="1:43" ht="14.25" x14ac:dyDescent="0.2">
      <c r="A58" s="7" t="s">
        <v>51</v>
      </c>
      <c r="B58" s="57">
        <v>2641843</v>
      </c>
      <c r="C58" s="57">
        <v>586983</v>
      </c>
      <c r="D58" s="66">
        <f t="shared" si="25"/>
        <v>0.22218693540834941</v>
      </c>
      <c r="E58" s="67">
        <f t="shared" si="14"/>
        <v>130419.95390679916</v>
      </c>
      <c r="F58" s="149">
        <f t="shared" si="26"/>
        <v>1.1470791767082401E-4</v>
      </c>
      <c r="G58" s="54">
        <v>4113</v>
      </c>
      <c r="H58" s="133">
        <f t="shared" si="27"/>
        <v>8.8385884217715089E-4</v>
      </c>
      <c r="I58" s="56">
        <f t="shared" si="15"/>
        <v>7.5128001585057823E-4</v>
      </c>
      <c r="J58" s="57">
        <v>879.68</v>
      </c>
      <c r="K58" s="130">
        <f t="shared" si="28"/>
        <v>1.3697883561138291E-2</v>
      </c>
      <c r="L58" s="58">
        <f t="shared" si="16"/>
        <v>2.0546825341707436E-3</v>
      </c>
      <c r="M58" s="149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49">
        <f t="shared" si="10"/>
        <v>2.0987952321394206E-3</v>
      </c>
      <c r="AM58" s="68">
        <f t="shared" si="31"/>
        <v>325492.84035050101</v>
      </c>
      <c r="AN58" s="69">
        <f t="shared" si="32"/>
        <v>3981070.96209575</v>
      </c>
      <c r="AO58" s="69">
        <f t="shared" si="33"/>
        <v>2977749.2055237037</v>
      </c>
      <c r="AP58" s="69">
        <f t="shared" si="23"/>
        <v>7284313.007969955</v>
      </c>
      <c r="AQ58" s="70">
        <f t="shared" si="24"/>
        <v>1.2835434043755977E-3</v>
      </c>
    </row>
    <row r="59" spans="1:43" ht="15.75" thickBot="1" x14ac:dyDescent="0.3">
      <c r="A59" s="11" t="s">
        <v>52</v>
      </c>
      <c r="B59" s="153">
        <f>SUM(B8:B58)</f>
        <v>4498639132</v>
      </c>
      <c r="C59" s="74">
        <v>2178859840.21</v>
      </c>
      <c r="D59" s="85">
        <f>+C59/$J$59</f>
        <v>33927.983343075852</v>
      </c>
      <c r="E59" s="86">
        <f t="shared" ref="E59:J59" si="34">SUM(E8:E58)</f>
        <v>1136974295.7156959</v>
      </c>
      <c r="F59" s="150">
        <f t="shared" si="34"/>
        <v>0.99999999999999989</v>
      </c>
      <c r="G59" s="71">
        <f t="shared" si="34"/>
        <v>4653458</v>
      </c>
      <c r="H59" s="134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31">
        <f t="shared" si="28"/>
        <v>1</v>
      </c>
      <c r="L59" s="75">
        <f>SUM(L8:L58)</f>
        <v>0.15</v>
      </c>
      <c r="M59" s="150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50">
        <f>SUM(AK8:AK58)</f>
        <v>1.0000000000000002</v>
      </c>
      <c r="AM59" s="87">
        <f>SUM(AM8:AM58)</f>
        <v>2837579540.8000002</v>
      </c>
      <c r="AN59" s="88">
        <f>SUM(AN8:AN58)</f>
        <v>1418789770.4000003</v>
      </c>
      <c r="AO59" s="88">
        <f>SUM(AO8:AO58)</f>
        <v>1418789770.3999999</v>
      </c>
      <c r="AP59" s="88">
        <f>SUM(AP8:AP58)</f>
        <v>5675159081.6000004</v>
      </c>
      <c r="AQ59" s="89">
        <f>SUM(AQ8:AQ58)</f>
        <v>1</v>
      </c>
    </row>
    <row r="60" spans="1:43" ht="13.5" thickTop="1" x14ac:dyDescent="0.2">
      <c r="K60" s="91"/>
      <c r="V60" s="93"/>
    </row>
    <row r="61" spans="1:43" ht="67.5" customHeight="1" x14ac:dyDescent="0.2">
      <c r="B61" s="216" t="s">
        <v>187</v>
      </c>
      <c r="C61" s="216"/>
      <c r="D61" s="216"/>
      <c r="E61" s="216"/>
      <c r="F61" s="216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</row>
    <row r="62" spans="1:43" s="22" customFormat="1" x14ac:dyDescent="0.2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 x14ac:dyDescent="0.2">
      <c r="V63" s="93"/>
    </row>
    <row r="64" spans="1:43" x14ac:dyDescent="0.2">
      <c r="V64" s="93"/>
    </row>
    <row r="65" spans="9:38" x14ac:dyDescent="0.2">
      <c r="V65" s="93"/>
    </row>
    <row r="66" spans="9:38" x14ac:dyDescent="0.2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 x14ac:dyDescent="0.2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 x14ac:dyDescent="0.2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 x14ac:dyDescent="0.2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 x14ac:dyDescent="0.2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 x14ac:dyDescent="0.2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 x14ac:dyDescent="0.2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 x14ac:dyDescent="0.2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 x14ac:dyDescent="0.2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 x14ac:dyDescent="0.2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 x14ac:dyDescent="0.2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 x14ac:dyDescent="0.2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 x14ac:dyDescent="0.2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 x14ac:dyDescent="0.2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 x14ac:dyDescent="0.2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 x14ac:dyDescent="0.2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 x14ac:dyDescent="0.2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 x14ac:dyDescent="0.2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 x14ac:dyDescent="0.2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 x14ac:dyDescent="0.2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 x14ac:dyDescent="0.2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 x14ac:dyDescent="0.2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 x14ac:dyDescent="0.2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7">
    <mergeCell ref="AM3:AQ3"/>
    <mergeCell ref="B3:F3"/>
    <mergeCell ref="G3:M3"/>
    <mergeCell ref="B61:F61"/>
    <mergeCell ref="U3:AA3"/>
    <mergeCell ref="AB3:AH3"/>
    <mergeCell ref="N3:T3"/>
  </mergeCells>
  <phoneticPr fontId="0" type="noConversion"/>
  <printOptions horizontalCentered="1"/>
  <pageMargins left="0.27559055118110237" right="0.19685039370078741" top="0.35433070866141736" bottom="0.15748031496062992" header="0.15748031496062992" footer="0.15748031496062992"/>
  <pageSetup scale="78" orientation="portrait" r:id="rId1"/>
  <headerFooter alignWithMargins="0">
    <oddHeader>&amp;LANEXO I
Pag. &amp;P</oddHeader>
  </headerFooter>
  <colBreaks count="3" manualBreakCount="3">
    <brk id="6" min="2" max="60" man="1"/>
    <brk id="13" max="1048575" man="1"/>
    <brk id="3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1"/>
  <sheetViews>
    <sheetView zoomScale="89" zoomScaleNormal="89" workbookViewId="0">
      <selection activeCell="C7" sqref="C7"/>
    </sheetView>
  </sheetViews>
  <sheetFormatPr baseColWidth="10" defaultColWidth="9.7109375" defaultRowHeight="12.75" x14ac:dyDescent="0.2"/>
  <cols>
    <col min="1" max="1" width="28.7109375" style="25" customWidth="1"/>
    <col min="2" max="2" width="12.42578125" style="25" customWidth="1"/>
    <col min="3" max="3" width="14.140625" style="92" customWidth="1"/>
    <col min="4" max="4" width="14.7109375" style="25" customWidth="1"/>
    <col min="5" max="5" width="15.7109375" style="92" customWidth="1"/>
    <col min="6" max="6" width="16.140625" style="92" customWidth="1"/>
    <col min="7" max="9" width="18.42578125" style="25" customWidth="1"/>
    <col min="10" max="10" width="15.7109375" style="25" customWidth="1"/>
    <col min="11" max="11" width="15.7109375" style="92" customWidth="1"/>
    <col min="12" max="16384" width="9.7109375" style="25"/>
  </cols>
  <sheetData>
    <row r="1" spans="1:11" s="110" customFormat="1" ht="51" customHeight="1" x14ac:dyDescent="0.4">
      <c r="A1" s="217" t="s">
        <v>178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6.25" customHeight="1" x14ac:dyDescent="0.2"/>
    <row r="3" spans="1:11" ht="37.5" customHeight="1" thickBot="1" x14ac:dyDescent="0.25">
      <c r="B3" s="219" t="s">
        <v>128</v>
      </c>
      <c r="C3" s="220"/>
      <c r="D3" s="221" t="s">
        <v>130</v>
      </c>
      <c r="E3" s="221"/>
      <c r="F3" s="143" t="s">
        <v>129</v>
      </c>
      <c r="G3" s="222" t="s">
        <v>190</v>
      </c>
      <c r="H3" s="222"/>
      <c r="I3" s="222"/>
      <c r="J3" s="222"/>
      <c r="K3" s="222"/>
    </row>
    <row r="4" spans="1:11" ht="39" customHeight="1" thickBot="1" x14ac:dyDescent="0.25">
      <c r="A4" s="19" t="s">
        <v>0</v>
      </c>
      <c r="B4" s="19" t="s">
        <v>137</v>
      </c>
      <c r="C4" s="147" t="s">
        <v>116</v>
      </c>
      <c r="D4" s="97" t="s">
        <v>185</v>
      </c>
      <c r="E4" s="147" t="s">
        <v>117</v>
      </c>
      <c r="F4" s="147" t="s">
        <v>123</v>
      </c>
      <c r="G4" s="154" t="s">
        <v>120</v>
      </c>
      <c r="H4" s="154" t="s">
        <v>121</v>
      </c>
      <c r="I4" s="154" t="s">
        <v>122</v>
      </c>
      <c r="J4" s="154" t="s">
        <v>73</v>
      </c>
      <c r="K4" s="155" t="s">
        <v>115</v>
      </c>
    </row>
    <row r="5" spans="1:11" x14ac:dyDescent="0.2">
      <c r="A5" s="116"/>
      <c r="B5" s="113"/>
      <c r="C5" s="119"/>
      <c r="D5" s="135"/>
      <c r="E5" s="119"/>
      <c r="F5" s="119"/>
      <c r="G5" s="121" t="s">
        <v>131</v>
      </c>
      <c r="H5" s="121" t="s">
        <v>131</v>
      </c>
      <c r="I5" s="121" t="s">
        <v>131</v>
      </c>
      <c r="J5" s="121" t="s">
        <v>131</v>
      </c>
      <c r="K5" s="136"/>
    </row>
    <row r="6" spans="1:11" s="28" customFormat="1" ht="11.25" x14ac:dyDescent="0.2">
      <c r="A6" s="98"/>
      <c r="B6" s="122" t="s">
        <v>57</v>
      </c>
      <c r="C6" s="137" t="s">
        <v>76</v>
      </c>
      <c r="D6" s="99" t="s">
        <v>56</v>
      </c>
      <c r="E6" s="137" t="s">
        <v>77</v>
      </c>
      <c r="F6" s="125" t="s">
        <v>71</v>
      </c>
      <c r="G6" s="156">
        <f>+J6*0.35</f>
        <v>74762107.769999996</v>
      </c>
      <c r="H6" s="156">
        <f>+J6*0.35</f>
        <v>74762107.769999996</v>
      </c>
      <c r="I6" s="156">
        <f>+J6*0.3</f>
        <v>64081806.660000004</v>
      </c>
      <c r="J6" s="156">
        <f>+'ESTIMACIÓN 2016'!D11</f>
        <v>213606022.20000002</v>
      </c>
      <c r="K6" s="157"/>
    </row>
    <row r="7" spans="1:11" s="36" customFormat="1" ht="23.25" customHeight="1" thickBot="1" x14ac:dyDescent="0.25">
      <c r="A7" s="29"/>
      <c r="B7" s="29"/>
      <c r="C7" s="100"/>
      <c r="D7" s="101"/>
      <c r="E7" s="102"/>
      <c r="F7" s="32"/>
      <c r="G7" s="156" t="s">
        <v>118</v>
      </c>
      <c r="H7" s="156" t="s">
        <v>70</v>
      </c>
      <c r="I7" s="156" t="s">
        <v>119</v>
      </c>
      <c r="J7" s="158" t="s">
        <v>132</v>
      </c>
      <c r="K7" s="159" t="s">
        <v>72</v>
      </c>
    </row>
    <row r="8" spans="1:11" ht="13.5" thickTop="1" x14ac:dyDescent="0.2">
      <c r="A8" s="5" t="s">
        <v>1</v>
      </c>
      <c r="B8" s="160">
        <v>2791</v>
      </c>
      <c r="C8" s="148">
        <f t="shared" ref="C8:C58" si="0">+B8/$B$59</f>
        <v>5.9976903197579094E-4</v>
      </c>
      <c r="D8" s="103">
        <v>2904</v>
      </c>
      <c r="E8" s="148">
        <f t="shared" ref="E8:E59" si="1">(D8/D$59)</f>
        <v>5.7099633551697482E-4</v>
      </c>
      <c r="F8" s="161">
        <f>+'COEF Art 14 F I'!AQ8</f>
        <v>4.6330736670731289E-4</v>
      </c>
      <c r="G8" s="162">
        <f t="shared" ref="G8:G39" si="2">+C8*G$6</f>
        <v>44839.997005682657</v>
      </c>
      <c r="H8" s="163">
        <f t="shared" ref="H8:H39" si="3">+E8*H$6</f>
        <v>42688.889572195149</v>
      </c>
      <c r="I8" s="163">
        <f t="shared" ref="I8:I39" si="4">+F8*I$6</f>
        <v>29689.573097491746</v>
      </c>
      <c r="J8" s="163">
        <f>SUM(G8:I8)</f>
        <v>117218.45967536955</v>
      </c>
      <c r="K8" s="164">
        <f>+J8/J$59</f>
        <v>5.4876008863466181E-4</v>
      </c>
    </row>
    <row r="9" spans="1:11" x14ac:dyDescent="0.2">
      <c r="A9" s="7" t="s">
        <v>2</v>
      </c>
      <c r="B9" s="165">
        <v>3443</v>
      </c>
      <c r="C9" s="149">
        <f t="shared" si="0"/>
        <v>7.3987989146995627E-4</v>
      </c>
      <c r="D9" s="104">
        <v>3458</v>
      </c>
      <c r="E9" s="149">
        <f t="shared" si="1"/>
        <v>6.7992607720995151E-4</v>
      </c>
      <c r="F9" s="166">
        <f>+'COEF Art 14 F I'!AQ9</f>
        <v>2.5042755279094399E-3</v>
      </c>
      <c r="G9" s="167">
        <f t="shared" si="2"/>
        <v>55314.98018293277</v>
      </c>
      <c r="H9" s="168">
        <f t="shared" si="3"/>
        <v>50832.706660003736</v>
      </c>
      <c r="I9" s="168">
        <f t="shared" si="4"/>
        <v>160478.50020286217</v>
      </c>
      <c r="J9" s="168">
        <f t="shared" ref="J9:J58" si="5">SUM(G9:I9)</f>
        <v>266626.18704579864</v>
      </c>
      <c r="K9" s="169">
        <f t="shared" ref="K9:K58" si="6">+J9/J$59</f>
        <v>1.2482147474107994E-3</v>
      </c>
    </row>
    <row r="10" spans="1:11" x14ac:dyDescent="0.2">
      <c r="A10" s="7" t="s">
        <v>3</v>
      </c>
      <c r="B10" s="165">
        <v>1374</v>
      </c>
      <c r="C10" s="149">
        <f t="shared" si="0"/>
        <v>2.9526429592788847E-4</v>
      </c>
      <c r="D10" s="104">
        <v>1263</v>
      </c>
      <c r="E10" s="149">
        <f t="shared" si="1"/>
        <v>2.4833621617008925E-4</v>
      </c>
      <c r="F10" s="166">
        <f>+'COEF Art 14 F I'!AQ10</f>
        <v>2.6798825954837927E-3</v>
      </c>
      <c r="G10" s="167">
        <f t="shared" si="2"/>
        <v>22074.581112793971</v>
      </c>
      <c r="H10" s="168">
        <f t="shared" si="3"/>
        <v>18566.138956502229</v>
      </c>
      <c r="I10" s="168">
        <f t="shared" si="4"/>
        <v>171731.71835529141</v>
      </c>
      <c r="J10" s="168">
        <f t="shared" si="5"/>
        <v>212372.4384245876</v>
      </c>
      <c r="K10" s="169">
        <f t="shared" si="6"/>
        <v>9.9422495787943E-4</v>
      </c>
    </row>
    <row r="11" spans="1:11" ht="13.5" customHeight="1" x14ac:dyDescent="0.2">
      <c r="A11" s="7" t="s">
        <v>4</v>
      </c>
      <c r="B11" s="165">
        <v>32593</v>
      </c>
      <c r="C11" s="149">
        <f t="shared" si="0"/>
        <v>7.0040387170143149E-3</v>
      </c>
      <c r="D11" s="104">
        <v>35229</v>
      </c>
      <c r="E11" s="149">
        <f t="shared" si="1"/>
        <v>6.9268698016279294E-3</v>
      </c>
      <c r="F11" s="166">
        <f>+'COEF Art 14 F I'!AQ11</f>
        <v>6.9899201342349037E-3</v>
      </c>
      <c r="G11" s="167">
        <f t="shared" si="2"/>
        <v>523636.69738667674</v>
      </c>
      <c r="H11" s="168">
        <f t="shared" si="3"/>
        <v>517867.38661806576</v>
      </c>
      <c r="I11" s="168">
        <f t="shared" si="4"/>
        <v>447926.71061088238</v>
      </c>
      <c r="J11" s="168">
        <f t="shared" si="5"/>
        <v>1489430.7946156249</v>
      </c>
      <c r="K11" s="169">
        <f t="shared" si="6"/>
        <v>6.9727940217952566E-3</v>
      </c>
    </row>
    <row r="12" spans="1:11" x14ac:dyDescent="0.2">
      <c r="A12" s="7" t="s">
        <v>5</v>
      </c>
      <c r="B12" s="165">
        <v>18480</v>
      </c>
      <c r="C12" s="149">
        <f t="shared" si="0"/>
        <v>3.9712403120432159E-3</v>
      </c>
      <c r="D12" s="104">
        <v>19227</v>
      </c>
      <c r="E12" s="149">
        <f t="shared" si="1"/>
        <v>3.780491233810219E-3</v>
      </c>
      <c r="F12" s="166">
        <f>+'COEF Art 14 F I'!AQ12</f>
        <v>7.4550000732773241E-3</v>
      </c>
      <c r="G12" s="167">
        <f t="shared" si="2"/>
        <v>296898.29618954333</v>
      </c>
      <c r="H12" s="168">
        <f t="shared" si="3"/>
        <v>282637.49304565985</v>
      </c>
      <c r="I12" s="168">
        <f t="shared" si="4"/>
        <v>477729.87334604334</v>
      </c>
      <c r="J12" s="168">
        <f t="shared" si="5"/>
        <v>1057265.6625812466</v>
      </c>
      <c r="K12" s="169">
        <f t="shared" si="6"/>
        <v>4.9496060630318996E-3</v>
      </c>
    </row>
    <row r="13" spans="1:11" x14ac:dyDescent="0.2">
      <c r="A13" s="7" t="s">
        <v>6</v>
      </c>
      <c r="B13" s="165">
        <v>523370</v>
      </c>
      <c r="C13" s="149">
        <f t="shared" si="0"/>
        <v>0.11246904989794686</v>
      </c>
      <c r="D13" s="104">
        <v>601971</v>
      </c>
      <c r="E13" s="149">
        <f t="shared" si="1"/>
        <v>0.118361995553543</v>
      </c>
      <c r="F13" s="166">
        <f>+'COEF Art 14 F I'!AQ13</f>
        <v>6.1341477088666933E-2</v>
      </c>
      <c r="G13" s="167">
        <f t="shared" si="2"/>
        <v>8408423.2292598095</v>
      </c>
      <c r="H13" s="168">
        <f t="shared" si="3"/>
        <v>8848992.2674462423</v>
      </c>
      <c r="I13" s="168">
        <f t="shared" si="4"/>
        <v>3930872.6750347745</v>
      </c>
      <c r="J13" s="168">
        <f t="shared" si="5"/>
        <v>21188288.17174083</v>
      </c>
      <c r="K13" s="169">
        <f t="shared" si="6"/>
        <v>9.9193309034621535E-2</v>
      </c>
    </row>
    <row r="14" spans="1:11" x14ac:dyDescent="0.2">
      <c r="A14" s="7" t="s">
        <v>7</v>
      </c>
      <c r="B14" s="165">
        <v>15470</v>
      </c>
      <c r="C14" s="149">
        <f t="shared" si="0"/>
        <v>3.3244095036422377E-3</v>
      </c>
      <c r="D14" s="104">
        <v>16032</v>
      </c>
      <c r="E14" s="149">
        <f t="shared" si="1"/>
        <v>3.1522772902920597E-3</v>
      </c>
      <c r="F14" s="166">
        <f>+'COEF Art 14 F I'!AQ14</f>
        <v>1.0520331318638408E-2</v>
      </c>
      <c r="G14" s="167">
        <f t="shared" si="2"/>
        <v>248539.86158291317</v>
      </c>
      <c r="H14" s="168">
        <f t="shared" si="3"/>
        <v>235670.89449773854</v>
      </c>
      <c r="I14" s="168">
        <f t="shared" si="4"/>
        <v>674161.83756012935</v>
      </c>
      <c r="J14" s="168">
        <f t="shared" si="5"/>
        <v>1158372.593640781</v>
      </c>
      <c r="K14" s="169">
        <f t="shared" si="6"/>
        <v>5.4229397734685261E-3</v>
      </c>
    </row>
    <row r="15" spans="1:11" x14ac:dyDescent="0.2">
      <c r="A15" s="7" t="s">
        <v>8</v>
      </c>
      <c r="B15" s="165">
        <v>3773</v>
      </c>
      <c r="C15" s="149">
        <f t="shared" si="0"/>
        <v>8.1079489704215658E-4</v>
      </c>
      <c r="D15" s="104">
        <v>4082</v>
      </c>
      <c r="E15" s="149">
        <f t="shared" si="1"/>
        <v>8.0261950467640881E-4</v>
      </c>
      <c r="F15" s="166">
        <f>+'COEF Art 14 F I'!AQ15</f>
        <v>1.3736006357258676E-3</v>
      </c>
      <c r="G15" s="167">
        <f t="shared" si="2"/>
        <v>60616.73547203176</v>
      </c>
      <c r="H15" s="168">
        <f t="shared" si="3"/>
        <v>60005.525906921692</v>
      </c>
      <c r="I15" s="168">
        <f t="shared" si="4"/>
        <v>88022.810366638136</v>
      </c>
      <c r="J15" s="168">
        <f t="shared" si="5"/>
        <v>208645.07174559159</v>
      </c>
      <c r="K15" s="169">
        <f t="shared" si="6"/>
        <v>9.7677523131925806E-4</v>
      </c>
    </row>
    <row r="16" spans="1:11" x14ac:dyDescent="0.2">
      <c r="A16" s="7" t="s">
        <v>9</v>
      </c>
      <c r="B16" s="165">
        <v>86445</v>
      </c>
      <c r="C16" s="149">
        <f t="shared" si="0"/>
        <v>1.8576508050572284E-2</v>
      </c>
      <c r="D16" s="104">
        <v>96418</v>
      </c>
      <c r="E16" s="149">
        <f t="shared" si="1"/>
        <v>1.8958100784392452E-2</v>
      </c>
      <c r="F16" s="166">
        <f>+'COEF Art 14 F I'!AQ16</f>
        <v>1.381026605468366E-2</v>
      </c>
      <c r="G16" s="167">
        <f t="shared" si="2"/>
        <v>1388818.8968671577</v>
      </c>
      <c r="H16" s="168">
        <f t="shared" si="3"/>
        <v>1417347.57395727</v>
      </c>
      <c r="I16" s="168">
        <f t="shared" si="4"/>
        <v>884986.79923939938</v>
      </c>
      <c r="J16" s="168">
        <f t="shared" si="5"/>
        <v>3691153.2700638273</v>
      </c>
      <c r="K16" s="169">
        <f t="shared" si="6"/>
        <v>1.7280192908642755E-2</v>
      </c>
    </row>
    <row r="17" spans="1:11" x14ac:dyDescent="0.2">
      <c r="A17" s="7" t="s">
        <v>10</v>
      </c>
      <c r="B17" s="165">
        <v>16092</v>
      </c>
      <c r="C17" s="149">
        <f t="shared" si="0"/>
        <v>3.4580735444480213E-3</v>
      </c>
      <c r="D17" s="104">
        <v>21370</v>
      </c>
      <c r="E17" s="149">
        <f t="shared" si="1"/>
        <v>4.2018566425612094E-3</v>
      </c>
      <c r="F17" s="166">
        <f>+'COEF Art 14 F I'!AQ17</f>
        <v>2.3872935155782667E-3</v>
      </c>
      <c r="G17" s="167">
        <f t="shared" si="2"/>
        <v>258532.86700660884</v>
      </c>
      <c r="H17" s="168">
        <f t="shared" si="3"/>
        <v>314139.6591452515</v>
      </c>
      <c r="I17" s="168">
        <f t="shared" si="4"/>
        <v>152982.08150595819</v>
      </c>
      <c r="J17" s="168">
        <f t="shared" si="5"/>
        <v>725654.60765781859</v>
      </c>
      <c r="K17" s="169">
        <f t="shared" si="6"/>
        <v>3.3971636201267108E-3</v>
      </c>
    </row>
    <row r="18" spans="1:11" x14ac:dyDescent="0.2">
      <c r="A18" s="7" t="s">
        <v>11</v>
      </c>
      <c r="B18" s="165">
        <v>7855</v>
      </c>
      <c r="C18" s="149">
        <f t="shared" si="0"/>
        <v>1.6879920265746463E-3</v>
      </c>
      <c r="D18" s="104">
        <v>7983</v>
      </c>
      <c r="E18" s="149">
        <f t="shared" si="1"/>
        <v>1.5696500504242459E-3</v>
      </c>
      <c r="F18" s="166">
        <f>+'COEF Art 14 F I'!AQ18</f>
        <v>3.1688699632340229E-3</v>
      </c>
      <c r="G18" s="167">
        <f t="shared" si="2"/>
        <v>126197.8418056744</v>
      </c>
      <c r="H18" s="168">
        <f t="shared" si="3"/>
        <v>117350.34623100339</v>
      </c>
      <c r="I18" s="168">
        <f t="shared" si="4"/>
        <v>203066.91231464397</v>
      </c>
      <c r="J18" s="168">
        <f t="shared" si="5"/>
        <v>446615.10035132174</v>
      </c>
      <c r="K18" s="169">
        <f t="shared" si="6"/>
        <v>2.0908357159198187E-3</v>
      </c>
    </row>
    <row r="19" spans="1:11" x14ac:dyDescent="0.2">
      <c r="A19" s="7" t="s">
        <v>12</v>
      </c>
      <c r="B19" s="165">
        <v>10864</v>
      </c>
      <c r="C19" s="149">
        <f t="shared" si="0"/>
        <v>2.3346079410193452E-3</v>
      </c>
      <c r="D19" s="104">
        <v>11284</v>
      </c>
      <c r="E19" s="149">
        <f t="shared" si="1"/>
        <v>2.2187061466851046E-3</v>
      </c>
      <c r="F19" s="166">
        <f>+'COEF Art 14 F I'!AQ19</f>
        <v>7.0749408912189572E-3</v>
      </c>
      <c r="G19" s="167">
        <f t="shared" si="2"/>
        <v>174540.21048718606</v>
      </c>
      <c r="H19" s="168">
        <f t="shared" si="3"/>
        <v>165875.14804843321</v>
      </c>
      <c r="I19" s="168">
        <f t="shared" si="4"/>
        <v>453374.99432202132</v>
      </c>
      <c r="J19" s="168">
        <f t="shared" si="5"/>
        <v>793790.3528576406</v>
      </c>
      <c r="K19" s="169">
        <f t="shared" si="6"/>
        <v>3.7161421980622441E-3</v>
      </c>
    </row>
    <row r="20" spans="1:11" x14ac:dyDescent="0.2">
      <c r="A20" s="7" t="s">
        <v>13</v>
      </c>
      <c r="B20" s="165">
        <v>24526</v>
      </c>
      <c r="C20" s="149">
        <f t="shared" si="0"/>
        <v>5.2704891717084371E-3</v>
      </c>
      <c r="D20" s="104">
        <v>32292</v>
      </c>
      <c r="E20" s="149">
        <f t="shared" si="1"/>
        <v>6.3493848713891705E-3</v>
      </c>
      <c r="F20" s="166">
        <f>+'COEF Art 14 F I'!AQ20</f>
        <v>4.3821951403438877E-3</v>
      </c>
      <c r="G20" s="167">
        <f t="shared" si="2"/>
        <v>394032.87945588416</v>
      </c>
      <c r="H20" s="168">
        <f t="shared" si="3"/>
        <v>474693.3960280047</v>
      </c>
      <c r="I20" s="168">
        <f t="shared" si="4"/>
        <v>280818.98172990861</v>
      </c>
      <c r="J20" s="168">
        <f t="shared" si="5"/>
        <v>1149545.2572137974</v>
      </c>
      <c r="K20" s="169">
        <f t="shared" si="6"/>
        <v>5.3816144571873278E-3</v>
      </c>
    </row>
    <row r="21" spans="1:11" x14ac:dyDescent="0.2">
      <c r="A21" s="7" t="s">
        <v>14</v>
      </c>
      <c r="B21" s="165">
        <v>35445</v>
      </c>
      <c r="C21" s="149">
        <f t="shared" si="0"/>
        <v>7.6169162803231489E-3</v>
      </c>
      <c r="D21" s="104">
        <v>37015</v>
      </c>
      <c r="E21" s="149">
        <f t="shared" si="1"/>
        <v>7.2780404129341681E-3</v>
      </c>
      <c r="F21" s="166">
        <f>+'COEF Art 14 F I'!AQ21</f>
        <v>2.3795070714521253E-2</v>
      </c>
      <c r="G21" s="167">
        <f t="shared" si="2"/>
        <v>569456.7158245868</v>
      </c>
      <c r="H21" s="168">
        <f t="shared" si="3"/>
        <v>544121.6417061995</v>
      </c>
      <c r="I21" s="168">
        <f t="shared" si="4"/>
        <v>1524831.120988979</v>
      </c>
      <c r="J21" s="168">
        <f t="shared" si="5"/>
        <v>2638409.4785197652</v>
      </c>
      <c r="K21" s="169">
        <f t="shared" si="6"/>
        <v>1.2351756056996436E-2</v>
      </c>
    </row>
    <row r="22" spans="1:11" x14ac:dyDescent="0.2">
      <c r="A22" s="7" t="s">
        <v>15</v>
      </c>
      <c r="B22" s="165">
        <v>1716</v>
      </c>
      <c r="C22" s="149">
        <f t="shared" si="0"/>
        <v>3.6875802897544147E-4</v>
      </c>
      <c r="D22" s="104">
        <v>1792</v>
      </c>
      <c r="E22" s="149">
        <f t="shared" si="1"/>
        <v>3.5235035580110844E-4</v>
      </c>
      <c r="F22" s="166">
        <f>+'COEF Art 14 F I'!AQ22</f>
        <v>3.0381462241888422E-3</v>
      </c>
      <c r="G22" s="167">
        <f t="shared" si="2"/>
        <v>27569.127503314736</v>
      </c>
      <c r="H22" s="168">
        <f t="shared" si="3"/>
        <v>26342.455273200314</v>
      </c>
      <c r="I22" s="168">
        <f t="shared" si="4"/>
        <v>194689.89894327841</v>
      </c>
      <c r="J22" s="168">
        <f t="shared" si="5"/>
        <v>248601.48171979346</v>
      </c>
      <c r="K22" s="169">
        <f t="shared" si="6"/>
        <v>1.163831801928445E-3</v>
      </c>
    </row>
    <row r="23" spans="1:11" x14ac:dyDescent="0.2">
      <c r="A23" s="7" t="s">
        <v>16</v>
      </c>
      <c r="B23" s="165">
        <v>3345</v>
      </c>
      <c r="C23" s="149">
        <f t="shared" si="0"/>
        <v>7.1882028375457561E-4</v>
      </c>
      <c r="D23" s="104">
        <v>3549</v>
      </c>
      <c r="E23" s="149">
        <f t="shared" si="1"/>
        <v>6.9781886871547651E-4</v>
      </c>
      <c r="F23" s="166">
        <f>+'COEF Art 14 F I'!AQ23</f>
        <v>1.2034492749162615E-3</v>
      </c>
      <c r="G23" s="167">
        <f t="shared" si="2"/>
        <v>53740.519521321563</v>
      </c>
      <c r="H23" s="168">
        <f t="shared" si="3"/>
        <v>52170.409466845937</v>
      </c>
      <c r="I23" s="168">
        <f t="shared" si="4"/>
        <v>77119.203760301069</v>
      </c>
      <c r="J23" s="168">
        <f t="shared" si="5"/>
        <v>183030.13274846855</v>
      </c>
      <c r="K23" s="169">
        <f t="shared" si="6"/>
        <v>8.5685848583939655E-4</v>
      </c>
    </row>
    <row r="24" spans="1:11" x14ac:dyDescent="0.2">
      <c r="A24" s="7" t="s">
        <v>17</v>
      </c>
      <c r="B24" s="165">
        <v>39991</v>
      </c>
      <c r="C24" s="149">
        <f t="shared" si="0"/>
        <v>8.5938242055692785E-3</v>
      </c>
      <c r="D24" s="104">
        <v>41392</v>
      </c>
      <c r="E24" s="149">
        <f t="shared" si="1"/>
        <v>8.1386640219416745E-3</v>
      </c>
      <c r="F24" s="166">
        <f>+'COEF Art 14 F I'!AQ24</f>
        <v>1.7648301821646371E-2</v>
      </c>
      <c r="G24" s="167">
        <f t="shared" si="2"/>
        <v>642492.41141320497</v>
      </c>
      <c r="H24" s="168">
        <f t="shared" si="3"/>
        <v>608463.67671222507</v>
      </c>
      <c r="I24" s="168">
        <f t="shared" si="4"/>
        <v>1130935.0652120686</v>
      </c>
      <c r="J24" s="168">
        <f t="shared" si="5"/>
        <v>2381891.1533374987</v>
      </c>
      <c r="K24" s="169">
        <f t="shared" si="6"/>
        <v>1.1150861426122744E-2</v>
      </c>
    </row>
    <row r="25" spans="1:11" x14ac:dyDescent="0.2">
      <c r="A25" s="7" t="s">
        <v>18</v>
      </c>
      <c r="B25" s="165">
        <v>143668</v>
      </c>
      <c r="C25" s="149">
        <f t="shared" si="0"/>
        <v>3.0873384910748092E-2</v>
      </c>
      <c r="D25" s="104">
        <v>188580</v>
      </c>
      <c r="E25" s="149">
        <f t="shared" si="1"/>
        <v>3.707936947375727E-2</v>
      </c>
      <c r="F25" s="166">
        <f>+'COEF Art 14 F I'!AQ25</f>
        <v>2.5413582606423509E-2</v>
      </c>
      <c r="G25" s="167">
        <f t="shared" si="2"/>
        <v>2308159.3299220405</v>
      </c>
      <c r="H25" s="168">
        <f t="shared" si="3"/>
        <v>2772131.816640689</v>
      </c>
      <c r="I25" s="168">
        <f t="shared" si="4"/>
        <v>1628548.2871227702</v>
      </c>
      <c r="J25" s="168">
        <f t="shared" si="5"/>
        <v>6708839.4336854992</v>
      </c>
      <c r="K25" s="169">
        <f t="shared" si="6"/>
        <v>3.1407538816503926E-2</v>
      </c>
    </row>
    <row r="26" spans="1:11" x14ac:dyDescent="0.2">
      <c r="A26" s="7" t="s">
        <v>19</v>
      </c>
      <c r="B26" s="165">
        <v>5527</v>
      </c>
      <c r="C26" s="149">
        <f t="shared" si="0"/>
        <v>1.1877188963562151E-3</v>
      </c>
      <c r="D26" s="104">
        <v>5708</v>
      </c>
      <c r="E26" s="149">
        <f t="shared" si="1"/>
        <v>1.1223302627861201E-3</v>
      </c>
      <c r="F26" s="166">
        <f>+'COEF Art 14 F I'!AQ26</f>
        <v>2.7135361838604741E-3</v>
      </c>
      <c r="G26" s="167">
        <f t="shared" si="2"/>
        <v>88796.368129848808</v>
      </c>
      <c r="H26" s="168">
        <f t="shared" si="3"/>
        <v>83907.77605994833</v>
      </c>
      <c r="I26" s="168">
        <f t="shared" si="4"/>
        <v>173888.30109906112</v>
      </c>
      <c r="J26" s="168">
        <f t="shared" si="5"/>
        <v>346592.44528885826</v>
      </c>
      <c r="K26" s="169">
        <f t="shared" si="6"/>
        <v>1.6225780608579595E-3</v>
      </c>
    </row>
    <row r="27" spans="1:11" x14ac:dyDescent="0.2">
      <c r="A27" s="7" t="s">
        <v>20</v>
      </c>
      <c r="B27" s="165">
        <v>357937</v>
      </c>
      <c r="C27" s="149">
        <f t="shared" si="0"/>
        <v>7.6918498028777746E-2</v>
      </c>
      <c r="D27" s="104">
        <v>404169</v>
      </c>
      <c r="E27" s="149">
        <f t="shared" si="1"/>
        <v>7.9469358791170869E-2</v>
      </c>
      <c r="F27" s="166">
        <f>+'COEF Art 14 F I'!AQ27</f>
        <v>4.9201438958215028E-2</v>
      </c>
      <c r="G27" s="167">
        <f t="shared" si="2"/>
        <v>5750589.0391340144</v>
      </c>
      <c r="H27" s="168">
        <f t="shared" si="3"/>
        <v>5941296.7663583132</v>
      </c>
      <c r="I27" s="168">
        <f t="shared" si="4"/>
        <v>3152917.0987141277</v>
      </c>
      <c r="J27" s="168">
        <f t="shared" si="5"/>
        <v>14844802.904206455</v>
      </c>
      <c r="K27" s="169">
        <f t="shared" si="6"/>
        <v>6.9496181574446522E-2</v>
      </c>
    </row>
    <row r="28" spans="1:11" x14ac:dyDescent="0.2">
      <c r="A28" s="7" t="s">
        <v>21</v>
      </c>
      <c r="B28" s="165">
        <v>14437</v>
      </c>
      <c r="C28" s="149">
        <f t="shared" si="0"/>
        <v>3.1024240468056226E-3</v>
      </c>
      <c r="D28" s="104">
        <v>14904</v>
      </c>
      <c r="E28" s="149">
        <f t="shared" si="1"/>
        <v>2.9304853252565405E-3</v>
      </c>
      <c r="F28" s="166">
        <f>+'COEF Art 14 F I'!AQ28</f>
        <v>6.5732512860763722E-3</v>
      </c>
      <c r="G28" s="167">
        <f t="shared" si="2"/>
        <v>231943.76093552148</v>
      </c>
      <c r="H28" s="168">
        <f t="shared" si="3"/>
        <v>219089.25970523298</v>
      </c>
      <c r="I28" s="168">
        <f t="shared" si="4"/>
        <v>421225.81804194249</v>
      </c>
      <c r="J28" s="168">
        <f t="shared" si="5"/>
        <v>872258.83868269692</v>
      </c>
      <c r="K28" s="169">
        <f t="shared" si="6"/>
        <v>4.0834936660446687E-3</v>
      </c>
    </row>
    <row r="29" spans="1:11" x14ac:dyDescent="0.2">
      <c r="A29" s="7" t="s">
        <v>22</v>
      </c>
      <c r="B29" s="165">
        <v>1277</v>
      </c>
      <c r="C29" s="149">
        <f t="shared" si="0"/>
        <v>2.7441958216878717E-4</v>
      </c>
      <c r="D29" s="104">
        <v>1221</v>
      </c>
      <c r="E29" s="149">
        <f t="shared" si="1"/>
        <v>2.4007800470600079E-4</v>
      </c>
      <c r="F29" s="166">
        <f>+'COEF Art 14 F I'!AQ29</f>
        <v>5.4695656488585383E-4</v>
      </c>
      <c r="G29" s="167">
        <f t="shared" si="2"/>
        <v>20516.186376301237</v>
      </c>
      <c r="H29" s="168">
        <f t="shared" si="3"/>
        <v>17948.737661036597</v>
      </c>
      <c r="I29" s="168">
        <f t="shared" si="4"/>
        <v>35049.96484243303</v>
      </c>
      <c r="J29" s="168">
        <f t="shared" si="5"/>
        <v>73514.888879770864</v>
      </c>
      <c r="K29" s="169">
        <f t="shared" si="6"/>
        <v>3.4416112487193191E-4</v>
      </c>
    </row>
    <row r="30" spans="1:11" x14ac:dyDescent="0.2">
      <c r="A30" s="7" t="s">
        <v>23</v>
      </c>
      <c r="B30" s="165">
        <v>5942</v>
      </c>
      <c r="C30" s="149">
        <f t="shared" si="0"/>
        <v>1.2768998882121639E-3</v>
      </c>
      <c r="D30" s="104">
        <v>6180</v>
      </c>
      <c r="E30" s="149">
        <f t="shared" si="1"/>
        <v>1.2151368297158762E-3</v>
      </c>
      <c r="F30" s="166">
        <f>+'COEF Art 14 F I'!AQ30</f>
        <v>5.2308133631696853E-3</v>
      </c>
      <c r="G30" s="167">
        <f t="shared" si="2"/>
        <v>95463.727054018746</v>
      </c>
      <c r="H30" s="168">
        <f t="shared" si="3"/>
        <v>90846.190618514476</v>
      </c>
      <c r="I30" s="168">
        <f t="shared" si="4"/>
        <v>335199.97061318415</v>
      </c>
      <c r="J30" s="168">
        <f t="shared" si="5"/>
        <v>521509.88828571734</v>
      </c>
      <c r="K30" s="169">
        <f t="shared" si="6"/>
        <v>2.4414568602257195E-3</v>
      </c>
    </row>
    <row r="31" spans="1:11" x14ac:dyDescent="0.2">
      <c r="A31" s="7" t="s">
        <v>24</v>
      </c>
      <c r="B31" s="165">
        <v>55213</v>
      </c>
      <c r="C31" s="149">
        <f t="shared" si="0"/>
        <v>1.1864940008054225E-2</v>
      </c>
      <c r="D31" s="104">
        <v>75505</v>
      </c>
      <c r="E31" s="149">
        <f t="shared" si="1"/>
        <v>1.4846101347523824E-2</v>
      </c>
      <c r="F31" s="166">
        <f>+'COEF Art 14 F I'!AQ31</f>
        <v>4.2099350138458686E-3</v>
      </c>
      <c r="G31" s="167">
        <f t="shared" si="2"/>
        <v>887047.92356673453</v>
      </c>
      <c r="H31" s="168">
        <f t="shared" si="3"/>
        <v>1109925.8289079184</v>
      </c>
      <c r="I31" s="168">
        <f t="shared" si="4"/>
        <v>269780.2416084354</v>
      </c>
      <c r="J31" s="168">
        <f t="shared" si="5"/>
        <v>2266753.9940830884</v>
      </c>
      <c r="K31" s="169">
        <f t="shared" si="6"/>
        <v>1.0611844978606077E-2</v>
      </c>
    </row>
    <row r="32" spans="1:11" x14ac:dyDescent="0.2">
      <c r="A32" s="7" t="s">
        <v>25</v>
      </c>
      <c r="B32" s="165">
        <v>678006</v>
      </c>
      <c r="C32" s="149">
        <f t="shared" si="0"/>
        <v>0.14569939172116736</v>
      </c>
      <c r="D32" s="104">
        <v>700868</v>
      </c>
      <c r="E32" s="149">
        <f t="shared" si="1"/>
        <v>0.13780752743839916</v>
      </c>
      <c r="F32" s="166">
        <f>+'COEF Art 14 F I'!AQ32</f>
        <v>7.9397255202323755E-2</v>
      </c>
      <c r="G32" s="167">
        <f t="shared" si="2"/>
        <v>10892793.625881359</v>
      </c>
      <c r="H32" s="168">
        <f t="shared" si="3"/>
        <v>10302781.217866831</v>
      </c>
      <c r="I32" s="168">
        <f t="shared" si="4"/>
        <v>5087919.55720999</v>
      </c>
      <c r="J32" s="168">
        <f t="shared" si="5"/>
        <v>26283494.40095818</v>
      </c>
      <c r="K32" s="169">
        <f t="shared" si="6"/>
        <v>0.1230465982665454</v>
      </c>
    </row>
    <row r="33" spans="1:11" x14ac:dyDescent="0.2">
      <c r="A33" s="7" t="s">
        <v>26</v>
      </c>
      <c r="B33" s="165">
        <v>2030</v>
      </c>
      <c r="C33" s="149">
        <f t="shared" si="0"/>
        <v>4.3623473124717146E-4</v>
      </c>
      <c r="D33" s="104">
        <v>2105</v>
      </c>
      <c r="E33" s="149">
        <f t="shared" si="1"/>
        <v>4.1389369361681544E-4</v>
      </c>
      <c r="F33" s="166">
        <f>+'COEF Art 14 F I'!AQ33</f>
        <v>1.3980957293910118E-3</v>
      </c>
      <c r="G33" s="167">
        <f t="shared" si="2"/>
        <v>32613.827990518017</v>
      </c>
      <c r="H33" s="168">
        <f t="shared" si="3"/>
        <v>30943.564927503714</v>
      </c>
      <c r="I33" s="168">
        <f t="shared" si="4"/>
        <v>89592.5002230065</v>
      </c>
      <c r="J33" s="168">
        <f t="shared" si="5"/>
        <v>153149.89314102824</v>
      </c>
      <c r="K33" s="169">
        <f t="shared" si="6"/>
        <v>7.1697366751969889E-4</v>
      </c>
    </row>
    <row r="34" spans="1:11" x14ac:dyDescent="0.2">
      <c r="A34" s="7" t="s">
        <v>27</v>
      </c>
      <c r="B34" s="165">
        <v>16604</v>
      </c>
      <c r="C34" s="149">
        <f t="shared" si="0"/>
        <v>3.5680992500630713E-3</v>
      </c>
      <c r="D34" s="104">
        <v>17794</v>
      </c>
      <c r="E34" s="149">
        <f t="shared" si="1"/>
        <v>3.498728923618819E-3</v>
      </c>
      <c r="F34" s="166">
        <f>+'COEF Art 14 F I'!AQ34</f>
        <v>3.4240385990287601E-3</v>
      </c>
      <c r="G34" s="167">
        <f t="shared" si="2"/>
        <v>266758.62066727149</v>
      </c>
      <c r="H34" s="168">
        <f t="shared" si="3"/>
        <v>261572.34884560623</v>
      </c>
      <c r="I34" s="168">
        <f t="shared" si="4"/>
        <v>219418.57949933829</v>
      </c>
      <c r="J34" s="168">
        <f t="shared" si="5"/>
        <v>747749.54901221604</v>
      </c>
      <c r="K34" s="169">
        <f t="shared" si="6"/>
        <v>3.5006014404972896E-3</v>
      </c>
    </row>
    <row r="35" spans="1:11" x14ac:dyDescent="0.2">
      <c r="A35" s="7" t="s">
        <v>28</v>
      </c>
      <c r="B35" s="165">
        <v>1594</v>
      </c>
      <c r="C35" s="149">
        <f t="shared" si="0"/>
        <v>3.425409663093553E-4</v>
      </c>
      <c r="D35" s="104">
        <v>1726</v>
      </c>
      <c r="E35" s="149">
        <f t="shared" si="1"/>
        <v>3.3937316635754083E-4</v>
      </c>
      <c r="F35" s="166">
        <f>+'COEF Art 14 F I'!AQ35</f>
        <v>2.1337755701649982E-3</v>
      </c>
      <c r="G35" s="167">
        <f t="shared" si="2"/>
        <v>25609.084638859957</v>
      </c>
      <c r="H35" s="168">
        <f t="shared" si="3"/>
        <v>25372.253237468605</v>
      </c>
      <c r="I35" s="168">
        <f t="shared" si="4"/>
        <v>136736.19354314468</v>
      </c>
      <c r="J35" s="168">
        <f t="shared" si="5"/>
        <v>187717.53141947323</v>
      </c>
      <c r="K35" s="169">
        <f t="shared" si="6"/>
        <v>8.7880261748291303E-4</v>
      </c>
    </row>
    <row r="36" spans="1:11" x14ac:dyDescent="0.2">
      <c r="A36" s="7" t="s">
        <v>29</v>
      </c>
      <c r="B36" s="165">
        <v>6914</v>
      </c>
      <c r="C36" s="149">
        <f t="shared" si="0"/>
        <v>1.4857768137157357E-3</v>
      </c>
      <c r="D36" s="104">
        <v>7239</v>
      </c>
      <c r="E36" s="149">
        <f t="shared" si="1"/>
        <v>1.4233617330603929E-3</v>
      </c>
      <c r="F36" s="166">
        <f>+'COEF Art 14 F I'!AQ36</f>
        <v>2.3746673111244136E-3</v>
      </c>
      <c r="G36" s="167">
        <f t="shared" si="2"/>
        <v>111079.80626918304</v>
      </c>
      <c r="H36" s="168">
        <f t="shared" si="3"/>
        <v>106413.52328275506</v>
      </c>
      <c r="I36" s="168">
        <f t="shared" si="4"/>
        <v>152172.97151329674</v>
      </c>
      <c r="J36" s="168">
        <f t="shared" si="5"/>
        <v>369666.30106523482</v>
      </c>
      <c r="K36" s="169">
        <f t="shared" si="6"/>
        <v>1.7305986847089689E-3</v>
      </c>
    </row>
    <row r="37" spans="1:11" x14ac:dyDescent="0.2">
      <c r="A37" s="7" t="s">
        <v>30</v>
      </c>
      <c r="B37" s="165">
        <v>3558</v>
      </c>
      <c r="C37" s="149">
        <f t="shared" si="0"/>
        <v>7.6459269644208675E-4</v>
      </c>
      <c r="D37" s="104">
        <v>3641</v>
      </c>
      <c r="E37" s="149">
        <f t="shared" si="1"/>
        <v>7.1590828430347986E-4</v>
      </c>
      <c r="F37" s="166">
        <f>+'COEF Art 14 F I'!AQ37</f>
        <v>2.7405124560200451E-3</v>
      </c>
      <c r="G37" s="167">
        <f t="shared" si="2"/>
        <v>57162.561571558181</v>
      </c>
      <c r="H37" s="168">
        <f t="shared" si="3"/>
        <v>53522.812304532556</v>
      </c>
      <c r="I37" s="168">
        <f t="shared" si="4"/>
        <v>175616.98935599829</v>
      </c>
      <c r="J37" s="168">
        <f t="shared" si="5"/>
        <v>286302.36323208903</v>
      </c>
      <c r="K37" s="169">
        <f t="shared" si="6"/>
        <v>1.3403290800669617E-3</v>
      </c>
    </row>
    <row r="38" spans="1:11" x14ac:dyDescent="0.2">
      <c r="A38" s="7" t="s">
        <v>31</v>
      </c>
      <c r="B38" s="165">
        <v>256970</v>
      </c>
      <c r="C38" s="149">
        <f t="shared" si="0"/>
        <v>5.5221299945116084E-2</v>
      </c>
      <c r="D38" s="104">
        <v>335683</v>
      </c>
      <c r="E38" s="149">
        <f t="shared" si="1"/>
        <v>6.6003361878562219E-2</v>
      </c>
      <c r="F38" s="166">
        <f>+'COEF Art 14 F I'!AQ38</f>
        <v>2.6015741860437043E-2</v>
      </c>
      <c r="G38" s="167">
        <f t="shared" si="2"/>
        <v>4128460.7776962635</v>
      </c>
      <c r="H38" s="168">
        <f t="shared" si="3"/>
        <v>4934550.4539473783</v>
      </c>
      <c r="I38" s="168">
        <f t="shared" si="4"/>
        <v>1667135.7400169955</v>
      </c>
      <c r="J38" s="168">
        <f t="shared" si="5"/>
        <v>10730146.971660636</v>
      </c>
      <c r="K38" s="169">
        <f t="shared" si="6"/>
        <v>5.0233354196418507E-2</v>
      </c>
    </row>
    <row r="39" spans="1:11" x14ac:dyDescent="0.2">
      <c r="A39" s="7" t="s">
        <v>32</v>
      </c>
      <c r="B39" s="165">
        <v>5349</v>
      </c>
      <c r="C39" s="149">
        <f t="shared" si="0"/>
        <v>1.1494677721384829E-3</v>
      </c>
      <c r="D39" s="104">
        <v>6012</v>
      </c>
      <c r="E39" s="149">
        <f t="shared" si="1"/>
        <v>1.1821039838595224E-3</v>
      </c>
      <c r="F39" s="166">
        <f>+'COEF Art 14 F I'!AQ39</f>
        <v>4.4752175567293597E-3</v>
      </c>
      <c r="G39" s="167">
        <f t="shared" si="2"/>
        <v>85936.633458759054</v>
      </c>
      <c r="H39" s="168">
        <f t="shared" si="3"/>
        <v>88376.585436651949</v>
      </c>
      <c r="I39" s="168">
        <f t="shared" si="4"/>
        <v>286780.02623176842</v>
      </c>
      <c r="J39" s="168">
        <f t="shared" si="5"/>
        <v>461093.24512717943</v>
      </c>
      <c r="K39" s="169">
        <f t="shared" si="6"/>
        <v>2.1586153816181095E-3</v>
      </c>
    </row>
    <row r="40" spans="1:11" x14ac:dyDescent="0.2">
      <c r="A40" s="7" t="s">
        <v>33</v>
      </c>
      <c r="B40" s="165">
        <v>78669</v>
      </c>
      <c r="C40" s="149">
        <f t="shared" si="0"/>
        <v>1.6905492646543709E-2</v>
      </c>
      <c r="D40" s="104">
        <v>85297</v>
      </c>
      <c r="E40" s="149">
        <f t="shared" si="1"/>
        <v>1.6771444363151311E-2</v>
      </c>
      <c r="F40" s="166">
        <f>+'COEF Art 14 F I'!AQ40</f>
        <v>1.7683349685813751E-2</v>
      </c>
      <c r="G40" s="167">
        <f t="shared" ref="G40:G58" si="7">+C40*G$6</f>
        <v>1263890.2631458433</v>
      </c>
      <c r="H40" s="168">
        <f t="shared" ref="H40:H58" si="8">+E40*H$6</f>
        <v>1253868.5309364772</v>
      </c>
      <c r="I40" s="168">
        <f t="shared" ref="I40:I58" si="9">+F40*I$6</f>
        <v>1133180.9956674885</v>
      </c>
      <c r="J40" s="168">
        <f t="shared" si="5"/>
        <v>3650939.7897498086</v>
      </c>
      <c r="K40" s="169">
        <f t="shared" si="6"/>
        <v>1.709193285913738E-2</v>
      </c>
    </row>
    <row r="41" spans="1:11" x14ac:dyDescent="0.2">
      <c r="A41" s="7" t="s">
        <v>34</v>
      </c>
      <c r="B41" s="165">
        <v>5488</v>
      </c>
      <c r="C41" s="149">
        <f t="shared" si="0"/>
        <v>1.1793380320613187E-3</v>
      </c>
      <c r="D41" s="104">
        <v>5718</v>
      </c>
      <c r="E41" s="149">
        <f t="shared" si="1"/>
        <v>1.1242965036109029E-3</v>
      </c>
      <c r="F41" s="166">
        <f>+'COEF Art 14 F I'!AQ41</f>
        <v>3.9517734552386198E-3</v>
      </c>
      <c r="G41" s="167">
        <f t="shared" si="7"/>
        <v>88169.797050228022</v>
      </c>
      <c r="H41" s="168">
        <f t="shared" si="8"/>
        <v>84054.776368392515</v>
      </c>
      <c r="I41" s="168">
        <f t="shared" si="9"/>
        <v>253236.78252272142</v>
      </c>
      <c r="J41" s="168">
        <f t="shared" si="5"/>
        <v>425461.35594134196</v>
      </c>
      <c r="K41" s="169">
        <f t="shared" si="6"/>
        <v>1.9918041240568635E-3</v>
      </c>
    </row>
    <row r="42" spans="1:11" x14ac:dyDescent="0.2">
      <c r="A42" s="7" t="s">
        <v>35</v>
      </c>
      <c r="B42" s="165">
        <v>862</v>
      </c>
      <c r="C42" s="149">
        <f t="shared" si="0"/>
        <v>1.8523859031283833E-4</v>
      </c>
      <c r="D42" s="104">
        <v>808</v>
      </c>
      <c r="E42" s="149">
        <f t="shared" si="1"/>
        <v>1.5887225864246409E-4</v>
      </c>
      <c r="F42" s="166">
        <f>+'COEF Art 14 F I'!AQ42</f>
        <v>3.835557855020974E-3</v>
      </c>
      <c r="G42" s="167">
        <f t="shared" si="7"/>
        <v>13848.827452131296</v>
      </c>
      <c r="H42" s="168">
        <f t="shared" si="8"/>
        <v>11877.624922291214</v>
      </c>
      <c r="I42" s="168">
        <f t="shared" si="9"/>
        <v>245789.47689869837</v>
      </c>
      <c r="J42" s="168">
        <f t="shared" si="5"/>
        <v>271515.92927312088</v>
      </c>
      <c r="K42" s="169">
        <f t="shared" si="6"/>
        <v>1.2711061536406479E-3</v>
      </c>
    </row>
    <row r="43" spans="1:11" x14ac:dyDescent="0.2">
      <c r="A43" s="7" t="s">
        <v>36</v>
      </c>
      <c r="B43" s="165">
        <v>7095</v>
      </c>
      <c r="C43" s="149">
        <f t="shared" si="0"/>
        <v>1.5246726198023062E-3</v>
      </c>
      <c r="D43" s="104">
        <v>7251</v>
      </c>
      <c r="E43" s="149">
        <f t="shared" si="1"/>
        <v>1.4257212220501324E-3</v>
      </c>
      <c r="F43" s="166">
        <f>+'COEF Art 14 F I'!AQ43</f>
        <v>3.8776508911325413E-3</v>
      </c>
      <c r="G43" s="167">
        <f t="shared" si="7"/>
        <v>113987.73871562825</v>
      </c>
      <c r="H43" s="168">
        <f t="shared" si="8"/>
        <v>106589.9236528881</v>
      </c>
      <c r="I43" s="168">
        <f t="shared" si="9"/>
        <v>248486.87470053224</v>
      </c>
      <c r="J43" s="168">
        <f t="shared" si="5"/>
        <v>469064.53706904862</v>
      </c>
      <c r="K43" s="169">
        <f t="shared" si="6"/>
        <v>2.195933111988116E-3</v>
      </c>
    </row>
    <row r="44" spans="1:11" x14ac:dyDescent="0.2">
      <c r="A44" s="7" t="s">
        <v>37</v>
      </c>
      <c r="B44" s="165">
        <v>5447</v>
      </c>
      <c r="C44" s="149">
        <f t="shared" si="0"/>
        <v>1.1705273798538634E-3</v>
      </c>
      <c r="D44" s="104">
        <v>5649</v>
      </c>
      <c r="E44" s="149">
        <f t="shared" si="1"/>
        <v>1.1107294419199004E-3</v>
      </c>
      <c r="F44" s="166">
        <f>+'COEF Art 14 F I'!AQ44</f>
        <v>4.9210696436982337E-3</v>
      </c>
      <c r="G44" s="167">
        <f t="shared" si="7"/>
        <v>87511.094120370253</v>
      </c>
      <c r="H44" s="168">
        <f t="shared" si="8"/>
        <v>83040.474240127543</v>
      </c>
      <c r="I44" s="168">
        <f t="shared" si="9"/>
        <v>315351.03346786532</v>
      </c>
      <c r="J44" s="168">
        <f t="shared" si="5"/>
        <v>485902.60182836314</v>
      </c>
      <c r="K44" s="169">
        <f t="shared" si="6"/>
        <v>2.2747607807302875E-3</v>
      </c>
    </row>
    <row r="45" spans="1:11" x14ac:dyDescent="0.2">
      <c r="A45" s="7" t="s">
        <v>38</v>
      </c>
      <c r="B45" s="165">
        <v>59113</v>
      </c>
      <c r="C45" s="149">
        <f t="shared" si="0"/>
        <v>1.2703026437543865E-2</v>
      </c>
      <c r="D45" s="104">
        <v>63894</v>
      </c>
      <c r="E45" s="149">
        <f t="shared" si="1"/>
        <v>1.2563099125868317E-2</v>
      </c>
      <c r="F45" s="166">
        <f>+'COEF Art 14 F I'!AQ45</f>
        <v>1.2628525463878154E-2</v>
      </c>
      <c r="G45" s="167">
        <f t="shared" si="7"/>
        <v>949705.03152881353</v>
      </c>
      <c r="H45" s="168">
        <f t="shared" si="8"/>
        <v>939243.77077335981</v>
      </c>
      <c r="I45" s="168">
        <f t="shared" si="9"/>
        <v>809258.7271771268</v>
      </c>
      <c r="J45" s="168">
        <f t="shared" si="5"/>
        <v>2698207.5294793001</v>
      </c>
      <c r="K45" s="169">
        <f t="shared" si="6"/>
        <v>1.2631701586357709E-2</v>
      </c>
    </row>
    <row r="46" spans="1:11" x14ac:dyDescent="0.2">
      <c r="A46" s="7" t="s">
        <v>39</v>
      </c>
      <c r="B46" s="165">
        <v>1135550</v>
      </c>
      <c r="C46" s="149">
        <f t="shared" si="0"/>
        <v>0.24402283205306677</v>
      </c>
      <c r="D46" s="104">
        <v>1183171</v>
      </c>
      <c r="E46" s="149">
        <f t="shared" si="1"/>
        <v>0.23263991228992928</v>
      </c>
      <c r="F46" s="166">
        <f>+'COEF Art 14 F I'!AQ46</f>
        <v>0.25087642980825159</v>
      </c>
      <c r="G46" s="167">
        <f t="shared" si="7"/>
        <v>18243661.268291987</v>
      </c>
      <c r="H46" s="168">
        <f t="shared" si="8"/>
        <v>17392650.194223039</v>
      </c>
      <c r="I46" s="168">
        <f t="shared" si="9"/>
        <v>16076614.87052344</v>
      </c>
      <c r="J46" s="168">
        <f t="shared" si="5"/>
        <v>51712926.333038464</v>
      </c>
      <c r="K46" s="169">
        <f t="shared" si="6"/>
        <v>0.24209488946252405</v>
      </c>
    </row>
    <row r="47" spans="1:11" x14ac:dyDescent="0.2">
      <c r="A47" s="7" t="s">
        <v>40</v>
      </c>
      <c r="B47" s="165">
        <v>1034</v>
      </c>
      <c r="C47" s="149">
        <f t="shared" si="0"/>
        <v>2.2220035079289422E-4</v>
      </c>
      <c r="D47" s="104">
        <v>1110</v>
      </c>
      <c r="E47" s="149">
        <f t="shared" si="1"/>
        <v>2.182527315509098E-4</v>
      </c>
      <c r="F47" s="166">
        <f>+'COEF Art 14 F I'!AQ47</f>
        <v>1.05026113766904E-3</v>
      </c>
      <c r="G47" s="167">
        <f t="shared" si="7"/>
        <v>16612.166572510163</v>
      </c>
      <c r="H47" s="168">
        <f t="shared" si="8"/>
        <v>16317.034237305998</v>
      </c>
      <c r="I47" s="168">
        <f t="shared" si="9"/>
        <v>67302.631166619074</v>
      </c>
      <c r="J47" s="168">
        <f t="shared" si="5"/>
        <v>100231.83197643523</v>
      </c>
      <c r="K47" s="169">
        <f t="shared" si="6"/>
        <v>4.6923692012104342E-4</v>
      </c>
    </row>
    <row r="48" spans="1:11" x14ac:dyDescent="0.2">
      <c r="A48" s="7" t="s">
        <v>41</v>
      </c>
      <c r="B48" s="165">
        <v>20843</v>
      </c>
      <c r="C48" s="149">
        <f t="shared" si="0"/>
        <v>4.4790347307314257E-3</v>
      </c>
      <c r="D48" s="104">
        <v>27680</v>
      </c>
      <c r="E48" s="149">
        <f t="shared" si="1"/>
        <v>5.4425546029992647E-3</v>
      </c>
      <c r="F48" s="166">
        <f>+'COEF Art 14 F I'!AQ48</f>
        <v>3.8490559199425363E-3</v>
      </c>
      <c r="G48" s="167">
        <f t="shared" si="7"/>
        <v>334862.07724451576</v>
      </c>
      <c r="H48" s="168">
        <f t="shared" si="8"/>
        <v>406896.85377354058</v>
      </c>
      <c r="I48" s="168">
        <f t="shared" si="9"/>
        <v>246654.45728528607</v>
      </c>
      <c r="J48" s="168">
        <f t="shared" si="5"/>
        <v>988413.38830334239</v>
      </c>
      <c r="K48" s="169">
        <f t="shared" si="6"/>
        <v>4.6272730427885022E-3</v>
      </c>
    </row>
    <row r="49" spans="1:40" x14ac:dyDescent="0.2">
      <c r="A49" s="7" t="s">
        <v>42</v>
      </c>
      <c r="B49" s="165">
        <v>5359</v>
      </c>
      <c r="C49" s="149">
        <f t="shared" si="0"/>
        <v>1.1516167117012767E-3</v>
      </c>
      <c r="D49" s="104">
        <v>5086</v>
      </c>
      <c r="E49" s="149">
        <f t="shared" si="1"/>
        <v>1.0000300834846192E-3</v>
      </c>
      <c r="F49" s="166">
        <f>+'COEF Art 14 F I'!AQ49</f>
        <v>2.0012828867370601E-3</v>
      </c>
      <c r="G49" s="167">
        <f t="shared" si="7"/>
        <v>86097.292709943868</v>
      </c>
      <c r="H49" s="168">
        <f t="shared" si="8"/>
        <v>74764.356874719189</v>
      </c>
      <c r="I49" s="168">
        <f t="shared" si="9"/>
        <v>128245.82301985097</v>
      </c>
      <c r="J49" s="168">
        <f t="shared" si="5"/>
        <v>289107.47260451398</v>
      </c>
      <c r="K49" s="169">
        <f t="shared" si="6"/>
        <v>1.3534612443361813E-3</v>
      </c>
    </row>
    <row r="50" spans="1:40" x14ac:dyDescent="0.2">
      <c r="A50" s="7" t="s">
        <v>43</v>
      </c>
      <c r="B50" s="165">
        <v>2628</v>
      </c>
      <c r="C50" s="149">
        <f t="shared" si="0"/>
        <v>5.6474131710224952E-4</v>
      </c>
      <c r="D50" s="104">
        <v>2722</v>
      </c>
      <c r="E50" s="149">
        <f t="shared" si="1"/>
        <v>5.3521075250592481E-4</v>
      </c>
      <c r="F50" s="166">
        <f>+'COEF Art 14 F I'!AQ50</f>
        <v>3.2054214468086361E-3</v>
      </c>
      <c r="G50" s="167">
        <f t="shared" si="7"/>
        <v>42221.251211370123</v>
      </c>
      <c r="H50" s="168">
        <f t="shared" si="8"/>
        <v>40013.483958510747</v>
      </c>
      <c r="I50" s="168">
        <f t="shared" si="9"/>
        <v>205409.1974182085</v>
      </c>
      <c r="J50" s="168">
        <f t="shared" si="5"/>
        <v>287643.93258808937</v>
      </c>
      <c r="K50" s="169">
        <f t="shared" si="6"/>
        <v>1.3466096584054518E-3</v>
      </c>
    </row>
    <row r="51" spans="1:40" x14ac:dyDescent="0.2">
      <c r="A51" s="7" t="s">
        <v>44</v>
      </c>
      <c r="B51" s="165">
        <v>34671</v>
      </c>
      <c r="C51" s="149">
        <f t="shared" si="0"/>
        <v>7.4505883581628971E-3</v>
      </c>
      <c r="D51" s="104">
        <v>37212</v>
      </c>
      <c r="E51" s="149">
        <f t="shared" si="1"/>
        <v>7.3167753571823924E-3</v>
      </c>
      <c r="F51" s="166">
        <f>+'COEF Art 14 F I'!AQ51</f>
        <v>5.9463403638111119E-3</v>
      </c>
      <c r="G51" s="167">
        <f t="shared" si="7"/>
        <v>557021.68978288188</v>
      </c>
      <c r="H51" s="168">
        <f t="shared" si="8"/>
        <v>547017.54778255022</v>
      </c>
      <c r="I51" s="168">
        <f t="shared" si="9"/>
        <v>381052.23352829774</v>
      </c>
      <c r="J51" s="168">
        <f t="shared" si="5"/>
        <v>1485091.4710937301</v>
      </c>
      <c r="K51" s="169">
        <f t="shared" si="6"/>
        <v>6.9524794095141848E-3</v>
      </c>
    </row>
    <row r="52" spans="1:40" x14ac:dyDescent="0.2">
      <c r="A52" s="7" t="s">
        <v>45</v>
      </c>
      <c r="B52" s="165">
        <v>32660</v>
      </c>
      <c r="C52" s="149">
        <f t="shared" si="0"/>
        <v>7.018436612085034E-3</v>
      </c>
      <c r="D52" s="104">
        <v>36312</v>
      </c>
      <c r="E52" s="149">
        <f t="shared" si="1"/>
        <v>7.1398136829519251E-3</v>
      </c>
      <c r="F52" s="166">
        <f>+'COEF Art 14 F I'!AQ52</f>
        <v>7.8954162655640384E-3</v>
      </c>
      <c r="G52" s="167">
        <f t="shared" si="7"/>
        <v>524713.11436961498</v>
      </c>
      <c r="H52" s="168">
        <f t="shared" si="8"/>
        <v>533787.52002257237</v>
      </c>
      <c r="I52" s="168">
        <f t="shared" si="9"/>
        <v>505952.53863009397</v>
      </c>
      <c r="J52" s="168">
        <f t="shared" si="5"/>
        <v>1564453.1730222814</v>
      </c>
      <c r="K52" s="169">
        <f t="shared" si="6"/>
        <v>7.3240124829321469E-3</v>
      </c>
    </row>
    <row r="53" spans="1:40" x14ac:dyDescent="0.2">
      <c r="A53" s="7" t="s">
        <v>46</v>
      </c>
      <c r="B53" s="165">
        <v>443273</v>
      </c>
      <c r="C53" s="149">
        <f t="shared" si="0"/>
        <v>9.5256688681836177E-2</v>
      </c>
      <c r="D53" s="104">
        <v>449553</v>
      </c>
      <c r="E53" s="149">
        <f t="shared" si="1"/>
        <v>8.8392946150365914E-2</v>
      </c>
      <c r="F53" s="166">
        <f>+'COEF Art 14 F I'!AQ53</f>
        <v>8.2192782135130704E-2</v>
      </c>
      <c r="G53" s="167">
        <f t="shared" si="7"/>
        <v>7121590.8250447754</v>
      </c>
      <c r="H53" s="168">
        <f t="shared" si="8"/>
        <v>6608442.9662014628</v>
      </c>
      <c r="I53" s="168">
        <f t="shared" si="9"/>
        <v>5267061.973630948</v>
      </c>
      <c r="J53" s="168">
        <f t="shared" si="5"/>
        <v>18997095.764877185</v>
      </c>
      <c r="K53" s="169">
        <f t="shared" si="6"/>
        <v>8.8935206831809929E-2</v>
      </c>
    </row>
    <row r="54" spans="1:40" x14ac:dyDescent="0.2">
      <c r="A54" s="7" t="s">
        <v>47</v>
      </c>
      <c r="B54" s="165">
        <v>122659</v>
      </c>
      <c r="C54" s="149">
        <f t="shared" si="0"/>
        <v>2.6358677783274286E-2</v>
      </c>
      <c r="D54" s="104">
        <v>130799</v>
      </c>
      <c r="E54" s="149">
        <f t="shared" si="1"/>
        <v>2.5718233364078785E-2</v>
      </c>
      <c r="F54" s="166">
        <f>+'COEF Art 14 F I'!AQ54</f>
        <v>0.15592885967868567</v>
      </c>
      <c r="G54" s="167">
        <f t="shared" si="7"/>
        <v>1970630.3091078568</v>
      </c>
      <c r="H54" s="168">
        <f t="shared" si="8"/>
        <v>1922749.3344192677</v>
      </c>
      <c r="I54" s="168">
        <f t="shared" si="9"/>
        <v>9992203.0386438053</v>
      </c>
      <c r="J54" s="168">
        <f t="shared" si="5"/>
        <v>13885582.682170929</v>
      </c>
      <c r="K54" s="169">
        <f t="shared" si="6"/>
        <v>6.5005576805179266E-2</v>
      </c>
    </row>
    <row r="55" spans="1:40" x14ac:dyDescent="0.2">
      <c r="A55" s="7" t="s">
        <v>48</v>
      </c>
      <c r="B55" s="165">
        <v>268955</v>
      </c>
      <c r="C55" s="149">
        <f t="shared" si="0"/>
        <v>5.7796804011124629E-2</v>
      </c>
      <c r="D55" s="104">
        <v>285543</v>
      </c>
      <c r="E55" s="149">
        <f t="shared" si="1"/>
        <v>5.6144630383100393E-2</v>
      </c>
      <c r="F55" s="166">
        <f>+'COEF Art 14 F I'!AQ55</f>
        <v>4.049315137740761E-2</v>
      </c>
      <c r="G55" s="167">
        <f t="shared" si="7"/>
        <v>4321010.8902412672</v>
      </c>
      <c r="H55" s="168">
        <f t="shared" si="8"/>
        <v>4197490.9074081676</v>
      </c>
      <c r="I55" s="168">
        <f t="shared" si="9"/>
        <v>2594874.2976211472</v>
      </c>
      <c r="J55" s="168">
        <f t="shared" si="5"/>
        <v>11113376.095270583</v>
      </c>
      <c r="K55" s="169">
        <f t="shared" si="6"/>
        <v>5.2027447451201039E-2</v>
      </c>
    </row>
    <row r="56" spans="1:40" x14ac:dyDescent="0.2">
      <c r="A56" s="7" t="s">
        <v>49</v>
      </c>
      <c r="B56" s="165">
        <v>40469</v>
      </c>
      <c r="C56" s="149">
        <f t="shared" si="0"/>
        <v>8.6965435166708287E-3</v>
      </c>
      <c r="D56" s="104">
        <v>43176</v>
      </c>
      <c r="E56" s="149">
        <f t="shared" si="1"/>
        <v>8.4894413850829572E-3</v>
      </c>
      <c r="F56" s="166">
        <f>+'COEF Art 14 F I'!AQ56</f>
        <v>1.0801274337900367E-2</v>
      </c>
      <c r="G56" s="167">
        <f t="shared" si="7"/>
        <v>650171.92361983925</v>
      </c>
      <c r="H56" s="168">
        <f t="shared" si="8"/>
        <v>634688.53173867008</v>
      </c>
      <c r="I56" s="168">
        <f t="shared" si="9"/>
        <v>692165.17380295089</v>
      </c>
      <c r="J56" s="168">
        <f t="shared" si="5"/>
        <v>1977025.6291614603</v>
      </c>
      <c r="K56" s="169">
        <f t="shared" si="6"/>
        <v>9.2554770169839349E-3</v>
      </c>
    </row>
    <row r="57" spans="1:40" x14ac:dyDescent="0.2">
      <c r="A57" s="7" t="s">
        <v>50</v>
      </c>
      <c r="B57" s="165">
        <v>1971</v>
      </c>
      <c r="C57" s="149">
        <f t="shared" si="0"/>
        <v>4.2355598782668714E-4</v>
      </c>
      <c r="D57" s="104">
        <v>2066</v>
      </c>
      <c r="E57" s="149">
        <f t="shared" si="1"/>
        <v>4.0622535440016185E-4</v>
      </c>
      <c r="F57" s="166">
        <f>+'COEF Art 14 F I'!AQ57</f>
        <v>1.8931076402620615E-3</v>
      </c>
      <c r="G57" s="167">
        <f t="shared" si="7"/>
        <v>31665.938408527589</v>
      </c>
      <c r="H57" s="168">
        <f t="shared" si="8"/>
        <v>30370.263724571341</v>
      </c>
      <c r="I57" s="168">
        <f t="shared" si="9"/>
        <v>121313.75778984226</v>
      </c>
      <c r="J57" s="168">
        <f t="shared" si="5"/>
        <v>183349.9599229412</v>
      </c>
      <c r="K57" s="169">
        <f t="shared" si="6"/>
        <v>8.5835576185801558E-4</v>
      </c>
    </row>
    <row r="58" spans="1:40" x14ac:dyDescent="0.2">
      <c r="A58" s="7" t="s">
        <v>51</v>
      </c>
      <c r="B58" s="165">
        <v>4113</v>
      </c>
      <c r="C58" s="149">
        <f t="shared" si="0"/>
        <v>8.8385884217715089E-4</v>
      </c>
      <c r="D58" s="104">
        <v>4204</v>
      </c>
      <c r="E58" s="149">
        <f t="shared" si="1"/>
        <v>8.2660764273876112E-4</v>
      </c>
      <c r="F58" s="166">
        <f>+'COEF Art 14 F I'!AQ58</f>
        <v>1.2835434043755977E-3</v>
      </c>
      <c r="G58" s="167">
        <f t="shared" si="7"/>
        <v>66079.150012315571</v>
      </c>
      <c r="H58" s="168">
        <f t="shared" si="8"/>
        <v>61798.929669940917</v>
      </c>
      <c r="I58" s="168">
        <f t="shared" si="9"/>
        <v>82251.780278915263</v>
      </c>
      <c r="J58" s="168">
        <f t="shared" si="5"/>
        <v>210129.85996117175</v>
      </c>
      <c r="K58" s="169">
        <f t="shared" si="6"/>
        <v>9.8372629103324837E-4</v>
      </c>
    </row>
    <row r="59" spans="1:40" ht="13.5" thickBot="1" x14ac:dyDescent="0.25">
      <c r="A59" s="11" t="s">
        <v>52</v>
      </c>
      <c r="B59" s="170">
        <f>SUM(B8:B58)</f>
        <v>4653458</v>
      </c>
      <c r="C59" s="150">
        <f>SUM(C8:C58)</f>
        <v>0.99999999999999989</v>
      </c>
      <c r="D59" s="171">
        <f>SUM(D8:D58)</f>
        <v>5085847</v>
      </c>
      <c r="E59" s="150">
        <f t="shared" si="1"/>
        <v>1</v>
      </c>
      <c r="F59" s="172">
        <f t="shared" ref="F59:K59" si="10">SUM(F8:F58)</f>
        <v>1</v>
      </c>
      <c r="G59" s="173">
        <f t="shared" si="10"/>
        <v>74762107.769999981</v>
      </c>
      <c r="H59" s="174">
        <f t="shared" si="10"/>
        <v>74762107.769999996</v>
      </c>
      <c r="I59" s="174">
        <f t="shared" si="10"/>
        <v>64081806.660000011</v>
      </c>
      <c r="J59" s="174">
        <f t="shared" si="10"/>
        <v>213606022.20000002</v>
      </c>
      <c r="K59" s="175">
        <f t="shared" si="10"/>
        <v>0.99999999999999989</v>
      </c>
    </row>
    <row r="60" spans="1:40" ht="13.5" thickTop="1" x14ac:dyDescent="0.2"/>
    <row r="61" spans="1:40" ht="59.25" customHeight="1" x14ac:dyDescent="0.2">
      <c r="A61" s="216" t="s">
        <v>188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</row>
  </sheetData>
  <mergeCells count="5">
    <mergeCell ref="A1:K1"/>
    <mergeCell ref="B3:C3"/>
    <mergeCell ref="D3:E3"/>
    <mergeCell ref="A61:K61"/>
    <mergeCell ref="G3:K3"/>
  </mergeCells>
  <printOptions horizontalCentered="1"/>
  <pageMargins left="0.19685039370078741" right="0.19685039370078741" top="0.27559055118110237" bottom="0.15748031496062992" header="0.15748031496062992" footer="0.15748031496062992"/>
  <pageSetup scale="69" orientation="landscape" r:id="rId1"/>
  <headerFooter alignWithMargins="0">
    <oddHeader>&amp;LANEXO I
Pag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4"/>
  <sheetViews>
    <sheetView tabSelected="1" zoomScaleSheetLayoutView="100" workbookViewId="0">
      <selection activeCell="D9" sqref="D9"/>
    </sheetView>
  </sheetViews>
  <sheetFormatPr baseColWidth="10" defaultColWidth="9.7109375" defaultRowHeight="12.75" x14ac:dyDescent="0.2"/>
  <cols>
    <col min="1" max="1" width="27.28515625" style="1" customWidth="1"/>
    <col min="2" max="2" width="16.140625" style="1" customWidth="1"/>
    <col min="3" max="3" width="13.85546875" style="1" customWidth="1"/>
    <col min="4" max="4" width="15.85546875" style="1" customWidth="1"/>
    <col min="5" max="5" width="12.42578125" style="1" customWidth="1"/>
    <col min="6" max="6" width="8.85546875" style="1" customWidth="1"/>
    <col min="7" max="7" width="16.57031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6.140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 x14ac:dyDescent="0.35">
      <c r="A1" s="223" t="s">
        <v>194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8.25" customHeight="1" thickBot="1" x14ac:dyDescent="0.25">
      <c r="B2" s="111"/>
    </row>
    <row r="3" spans="1:14" ht="62.25" customHeight="1" thickBot="1" x14ac:dyDescent="0.25">
      <c r="A3" s="227" t="s">
        <v>0</v>
      </c>
      <c r="B3" s="225" t="s">
        <v>192</v>
      </c>
      <c r="C3" s="225" t="s">
        <v>160</v>
      </c>
      <c r="D3" s="225" t="s">
        <v>139</v>
      </c>
      <c r="E3" s="230" t="s">
        <v>161</v>
      </c>
      <c r="F3" s="231"/>
      <c r="G3" s="144" t="s">
        <v>162</v>
      </c>
      <c r="H3" s="225" t="s">
        <v>163</v>
      </c>
      <c r="I3" s="225" t="s">
        <v>164</v>
      </c>
      <c r="J3" s="225" t="s">
        <v>165</v>
      </c>
      <c r="K3" s="177" t="s">
        <v>140</v>
      </c>
      <c r="L3" s="225" t="s">
        <v>166</v>
      </c>
      <c r="M3" s="225" t="s">
        <v>167</v>
      </c>
      <c r="N3" s="225" t="s">
        <v>193</v>
      </c>
    </row>
    <row r="4" spans="1:14" ht="20.45" customHeight="1" thickBot="1" x14ac:dyDescent="0.25">
      <c r="A4" s="228"/>
      <c r="B4" s="226"/>
      <c r="C4" s="226"/>
      <c r="D4" s="229"/>
      <c r="E4" s="232"/>
      <c r="F4" s="233"/>
      <c r="G4" s="203">
        <v>2.1299999999999999E-2</v>
      </c>
      <c r="H4" s="226"/>
      <c r="I4" s="226"/>
      <c r="J4" s="226"/>
      <c r="K4" s="176">
        <f>+H57/J57</f>
        <v>0.81293928620875078</v>
      </c>
      <c r="L4" s="226"/>
      <c r="M4" s="226"/>
      <c r="N4" s="226"/>
    </row>
    <row r="5" spans="1:14" ht="16.5" thickBot="1" x14ac:dyDescent="0.25">
      <c r="A5" s="2"/>
      <c r="B5" s="3"/>
      <c r="C5" s="3"/>
      <c r="D5" s="4" t="s">
        <v>169</v>
      </c>
      <c r="E5" s="4"/>
      <c r="F5" s="141"/>
      <c r="G5" s="4" t="s">
        <v>170</v>
      </c>
      <c r="H5" s="4" t="s">
        <v>171</v>
      </c>
      <c r="I5" s="4" t="s">
        <v>172</v>
      </c>
      <c r="J5" s="4" t="s">
        <v>173</v>
      </c>
      <c r="K5" s="4" t="s">
        <v>174</v>
      </c>
      <c r="L5" s="4"/>
      <c r="M5" s="4"/>
      <c r="N5" s="4" t="s">
        <v>175</v>
      </c>
    </row>
    <row r="6" spans="1:14" ht="12.75" customHeight="1" thickTop="1" x14ac:dyDescent="0.2">
      <c r="A6" s="5" t="s">
        <v>1</v>
      </c>
      <c r="B6" s="6">
        <v>8534717.5811588224</v>
      </c>
      <c r="C6" s="6">
        <f t="shared" ref="C6:C56" si="0">(+B6*G$4)+B6</f>
        <v>8716507.0656375047</v>
      </c>
      <c r="D6" s="6">
        <f>+'COEF Art 14 F I'!AP8+'COEF Art 14 F II'!J8</f>
        <v>2746561.4694165578</v>
      </c>
      <c r="E6" s="6">
        <f>+D6-C6</f>
        <v>-5969945.5962209469</v>
      </c>
      <c r="F6" s="138">
        <f>+(D6-C6)/C6</f>
        <v>-0.68490113657520668</v>
      </c>
      <c r="G6" s="6">
        <f>IF(F6&lt;0,C6,0)</f>
        <v>8716507.0656375047</v>
      </c>
      <c r="H6" s="6">
        <f>IF(F6&lt;0,G6-D6,0)</f>
        <v>5969945.5962209469</v>
      </c>
      <c r="I6" s="6">
        <f>+IF(D6&gt;C6,D6,0)</f>
        <v>0</v>
      </c>
      <c r="J6" s="6">
        <f>IF(I6=0,0,D6-C6)</f>
        <v>0</v>
      </c>
      <c r="K6" s="6">
        <f>+J6*K$4</f>
        <v>0</v>
      </c>
      <c r="L6" s="6">
        <f t="shared" ref="L6:L37" si="1">IF(H6&lt;&gt;0,D6+H6,D6-K6)</f>
        <v>8716507.0656375047</v>
      </c>
      <c r="M6" s="138">
        <f t="shared" ref="M6:M37" si="2">+(L6-B6)/B6</f>
        <v>2.1299999999999927E-2</v>
      </c>
      <c r="N6" s="107">
        <f>+L6/L$57</f>
        <v>1.480192690996075E-3</v>
      </c>
    </row>
    <row r="7" spans="1:14" ht="12.75" customHeight="1" x14ac:dyDescent="0.2">
      <c r="A7" s="7" t="s">
        <v>2</v>
      </c>
      <c r="B7" s="8">
        <v>16905375.470376089</v>
      </c>
      <c r="C7" s="8">
        <f t="shared" si="0"/>
        <v>17265459.967895098</v>
      </c>
      <c r="D7" s="8">
        <f>+'COEF Art 14 F I'!AP9+'COEF Art 14 F II'!J9</f>
        <v>14478788.192089692</v>
      </c>
      <c r="E7" s="8">
        <f t="shared" ref="E7:E56" si="3">+D7-C7</f>
        <v>-2786671.7758054063</v>
      </c>
      <c r="F7" s="139">
        <f t="shared" ref="F7:F57" si="4">+(D7-C7)/C7</f>
        <v>-0.16140153699856169</v>
      </c>
      <c r="G7" s="8">
        <f t="shared" ref="G7:G56" si="5">IF(F7&lt;0,C7,0)</f>
        <v>17265459.967895098</v>
      </c>
      <c r="H7" s="8">
        <f t="shared" ref="H7:H56" si="6">IF(F7&lt;0,G7-D7,0)</f>
        <v>2786671.7758054063</v>
      </c>
      <c r="I7" s="8">
        <f t="shared" ref="I7:I56" si="7">+IF(D7&gt;C7,D7,0)</f>
        <v>0</v>
      </c>
      <c r="J7" s="8">
        <f>IF(I7=0,0,D7-C7)</f>
        <v>0</v>
      </c>
      <c r="K7" s="8">
        <f t="shared" ref="K7:K56" si="8">+J7*K$4</f>
        <v>0</v>
      </c>
      <c r="L7" s="8">
        <f t="shared" si="1"/>
        <v>17265459.967895098</v>
      </c>
      <c r="M7" s="139">
        <f t="shared" si="2"/>
        <v>2.1299999999999888E-2</v>
      </c>
      <c r="N7" s="106">
        <f t="shared" ref="N7:N56" si="9">+L7/L$57</f>
        <v>2.9319321901214489E-3</v>
      </c>
    </row>
    <row r="8" spans="1:14" ht="12.75" customHeight="1" x14ac:dyDescent="0.2">
      <c r="A8" s="7" t="s">
        <v>3</v>
      </c>
      <c r="B8" s="8">
        <v>16542385.83138844</v>
      </c>
      <c r="C8" s="8">
        <f t="shared" si="0"/>
        <v>16894738.649597015</v>
      </c>
      <c r="D8" s="8">
        <f>+'COEF Art 14 F I'!AP10+'COEF Art 14 F II'!J10</f>
        <v>15421132.487806212</v>
      </c>
      <c r="E8" s="8">
        <f t="shared" si="3"/>
        <v>-1473606.1617908031</v>
      </c>
      <c r="F8" s="139">
        <f t="shared" si="4"/>
        <v>-8.7222785291558955E-2</v>
      </c>
      <c r="G8" s="8">
        <f t="shared" si="5"/>
        <v>16894738.649597015</v>
      </c>
      <c r="H8" s="8">
        <f t="shared" si="6"/>
        <v>1473606.1617908031</v>
      </c>
      <c r="I8" s="8">
        <f t="shared" si="7"/>
        <v>0</v>
      </c>
      <c r="J8" s="8">
        <f t="shared" ref="J8:J56" si="10">IF(I8=0,0,D8-C8)</f>
        <v>0</v>
      </c>
      <c r="K8" s="8">
        <f t="shared" si="8"/>
        <v>0</v>
      </c>
      <c r="L8" s="8">
        <f t="shared" si="1"/>
        <v>16894738.649597015</v>
      </c>
      <c r="M8" s="139">
        <f t="shared" si="2"/>
        <v>2.130000000000009E-2</v>
      </c>
      <c r="N8" s="106">
        <f t="shared" si="9"/>
        <v>2.8689781901293523E-3</v>
      </c>
    </row>
    <row r="9" spans="1:14" ht="12.75" customHeight="1" x14ac:dyDescent="0.2">
      <c r="A9" s="7" t="s">
        <v>4</v>
      </c>
      <c r="B9" s="8">
        <v>44732518.805050574</v>
      </c>
      <c r="C9" s="8">
        <f t="shared" si="0"/>
        <v>45685321.455598153</v>
      </c>
      <c r="D9" s="8">
        <f>+'COEF Art 14 F I'!AP11+'COEF Art 14 F II'!J11</f>
        <v>41158339.524077535</v>
      </c>
      <c r="E9" s="8">
        <f t="shared" si="3"/>
        <v>-4526981.9315206185</v>
      </c>
      <c r="F9" s="139">
        <f t="shared" si="4"/>
        <v>-9.909051282303924E-2</v>
      </c>
      <c r="G9" s="8">
        <f t="shared" si="5"/>
        <v>45685321.455598153</v>
      </c>
      <c r="H9" s="8">
        <f t="shared" si="6"/>
        <v>4526981.9315206185</v>
      </c>
      <c r="I9" s="8">
        <f t="shared" si="7"/>
        <v>0</v>
      </c>
      <c r="J9" s="8">
        <f t="shared" si="10"/>
        <v>0</v>
      </c>
      <c r="K9" s="8">
        <f t="shared" si="8"/>
        <v>0</v>
      </c>
      <c r="L9" s="8">
        <f t="shared" si="1"/>
        <v>45685321.455598153</v>
      </c>
      <c r="M9" s="139">
        <f t="shared" si="2"/>
        <v>2.1300000000000038E-2</v>
      </c>
      <c r="N9" s="106">
        <f t="shared" si="9"/>
        <v>7.7580478504937411E-3</v>
      </c>
    </row>
    <row r="10" spans="1:14" ht="12.75" customHeight="1" x14ac:dyDescent="0.2">
      <c r="A10" s="7" t="s">
        <v>5</v>
      </c>
      <c r="B10" s="8">
        <v>61435357.312188894</v>
      </c>
      <c r="C10" s="8">
        <f t="shared" si="0"/>
        <v>62743930.422938518</v>
      </c>
      <c r="D10" s="8">
        <f>+'COEF Art 14 F I'!AP12+'COEF Art 14 F II'!J12</f>
        <v>43365577.031769723</v>
      </c>
      <c r="E10" s="8">
        <f t="shared" si="3"/>
        <v>-19378353.391168796</v>
      </c>
      <c r="F10" s="139">
        <f t="shared" si="4"/>
        <v>-0.30884825449322306</v>
      </c>
      <c r="G10" s="8">
        <f t="shared" si="5"/>
        <v>62743930.422938518</v>
      </c>
      <c r="H10" s="8">
        <f t="shared" si="6"/>
        <v>19378353.391168796</v>
      </c>
      <c r="I10" s="8">
        <f t="shared" si="7"/>
        <v>0</v>
      </c>
      <c r="J10" s="8">
        <f t="shared" si="10"/>
        <v>0</v>
      </c>
      <c r="K10" s="8">
        <f t="shared" si="8"/>
        <v>0</v>
      </c>
      <c r="L10" s="8">
        <f t="shared" si="1"/>
        <v>62743930.422938518</v>
      </c>
      <c r="M10" s="139">
        <f t="shared" si="2"/>
        <v>2.130000000000002E-2</v>
      </c>
      <c r="N10" s="106">
        <f t="shared" si="9"/>
        <v>1.0654853660651206E-2</v>
      </c>
    </row>
    <row r="11" spans="1:14" ht="12.75" customHeight="1" x14ac:dyDescent="0.2">
      <c r="A11" s="7" t="s">
        <v>6</v>
      </c>
      <c r="B11" s="8">
        <v>390331305.16634548</v>
      </c>
      <c r="C11" s="8">
        <f t="shared" si="0"/>
        <v>398645361.96638864</v>
      </c>
      <c r="D11" s="8">
        <f>+'COEF Art 14 F I'!AP13+'COEF Art 14 F II'!J13</f>
        <v>369310928.95024735</v>
      </c>
      <c r="E11" s="8">
        <f t="shared" si="3"/>
        <v>-29334433.016141295</v>
      </c>
      <c r="F11" s="139">
        <f t="shared" si="4"/>
        <v>-7.3585286108545256E-2</v>
      </c>
      <c r="G11" s="8">
        <f t="shared" si="5"/>
        <v>398645361.96638864</v>
      </c>
      <c r="H11" s="8">
        <f t="shared" si="6"/>
        <v>29334433.016141295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398645361.96638864</v>
      </c>
      <c r="M11" s="139">
        <f t="shared" si="2"/>
        <v>2.1300000000000017E-2</v>
      </c>
      <c r="N11" s="106">
        <f t="shared" si="9"/>
        <v>6.7695918403867739E-2</v>
      </c>
    </row>
    <row r="12" spans="1:14" ht="12.75" customHeight="1" x14ac:dyDescent="0.2">
      <c r="A12" s="7" t="s">
        <v>7</v>
      </c>
      <c r="B12" s="8">
        <v>68480778.389184549</v>
      </c>
      <c r="C12" s="8">
        <f t="shared" si="0"/>
        <v>69939418.968874186</v>
      </c>
      <c r="D12" s="8">
        <f>+'COEF Art 14 F I'!AP14+'COEF Art 14 F II'!J14</f>
        <v>60862926.41805245</v>
      </c>
      <c r="E12" s="8">
        <f t="shared" si="3"/>
        <v>-9076492.5508217365</v>
      </c>
      <c r="F12" s="139">
        <f t="shared" si="4"/>
        <v>-0.12977649349447892</v>
      </c>
      <c r="G12" s="8">
        <f t="shared" si="5"/>
        <v>69939418.968874186</v>
      </c>
      <c r="H12" s="8">
        <f t="shared" si="6"/>
        <v>9076492.5508217365</v>
      </c>
      <c r="I12" s="8">
        <f t="shared" si="7"/>
        <v>0</v>
      </c>
      <c r="J12" s="8">
        <f t="shared" si="10"/>
        <v>0</v>
      </c>
      <c r="K12" s="8">
        <f t="shared" si="8"/>
        <v>0</v>
      </c>
      <c r="L12" s="8">
        <f t="shared" si="1"/>
        <v>69939418.968874186</v>
      </c>
      <c r="M12" s="139">
        <f t="shared" si="2"/>
        <v>2.1300000000000086E-2</v>
      </c>
      <c r="N12" s="106">
        <f t="shared" si="9"/>
        <v>1.1876754758606776E-2</v>
      </c>
    </row>
    <row r="13" spans="1:14" ht="12.75" customHeight="1" x14ac:dyDescent="0.2">
      <c r="A13" s="7" t="s">
        <v>8</v>
      </c>
      <c r="B13" s="8">
        <v>11150859.948988235</v>
      </c>
      <c r="C13" s="8">
        <f t="shared" si="0"/>
        <v>11388373.265901685</v>
      </c>
      <c r="D13" s="8">
        <f>+'COEF Art 14 F I'!AP15+'COEF Art 14 F II'!J15</f>
        <v>8004047.1940767821</v>
      </c>
      <c r="E13" s="8">
        <f t="shared" si="3"/>
        <v>-3384326.0718249027</v>
      </c>
      <c r="F13" s="139">
        <f t="shared" si="4"/>
        <v>-0.29717379232361729</v>
      </c>
      <c r="G13" s="8">
        <f t="shared" si="5"/>
        <v>11388373.265901685</v>
      </c>
      <c r="H13" s="8">
        <f t="shared" si="6"/>
        <v>3384326.0718249027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11388373.265901685</v>
      </c>
      <c r="M13" s="139">
        <f t="shared" si="2"/>
        <v>2.1300000000000065E-2</v>
      </c>
      <c r="N13" s="106">
        <f t="shared" si="9"/>
        <v>1.9339153566429071E-3</v>
      </c>
    </row>
    <row r="14" spans="1:14" ht="12.75" customHeight="1" x14ac:dyDescent="0.2">
      <c r="A14" s="7" t="s">
        <v>9</v>
      </c>
      <c r="B14" s="8">
        <v>110841729.85806076</v>
      </c>
      <c r="C14" s="8">
        <f t="shared" si="0"/>
        <v>113202658.70403746</v>
      </c>
      <c r="D14" s="8">
        <f>+'COEF Art 14 F I'!AP16+'COEF Art 14 F II'!J16</f>
        <v>82066610.089614019</v>
      </c>
      <c r="E14" s="8">
        <f t="shared" si="3"/>
        <v>-31136048.614423439</v>
      </c>
      <c r="F14" s="139">
        <f t="shared" si="4"/>
        <v>-0.27504697302054576</v>
      </c>
      <c r="G14" s="8">
        <f t="shared" si="5"/>
        <v>113202658.70403746</v>
      </c>
      <c r="H14" s="8">
        <f t="shared" si="6"/>
        <v>31136048.614423439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113202658.70403746</v>
      </c>
      <c r="M14" s="139">
        <f t="shared" si="2"/>
        <v>2.130000000000001E-2</v>
      </c>
      <c r="N14" s="106">
        <f t="shared" si="9"/>
        <v>1.9223497067490117E-2</v>
      </c>
    </row>
    <row r="15" spans="1:14" ht="12.75" customHeight="1" x14ac:dyDescent="0.2">
      <c r="A15" s="7" t="s">
        <v>10</v>
      </c>
      <c r="B15" s="8">
        <v>15835320.345515708</v>
      </c>
      <c r="C15" s="8">
        <f t="shared" si="0"/>
        <v>16172612.668875191</v>
      </c>
      <c r="D15" s="8">
        <f>+'COEF Art 14 F I'!AP17+'COEF Art 14 F II'!J17</f>
        <v>14273925.083036611</v>
      </c>
      <c r="E15" s="8">
        <f t="shared" si="3"/>
        <v>-1898687.5858385805</v>
      </c>
      <c r="F15" s="139">
        <f t="shared" si="4"/>
        <v>-0.11740141340877328</v>
      </c>
      <c r="G15" s="8">
        <f t="shared" si="5"/>
        <v>16172612.668875191</v>
      </c>
      <c r="H15" s="8">
        <f t="shared" si="6"/>
        <v>1898687.5858385805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16172612.668875191</v>
      </c>
      <c r="M15" s="139">
        <f t="shared" si="2"/>
        <v>2.1299999999999954E-2</v>
      </c>
      <c r="N15" s="106">
        <f t="shared" si="9"/>
        <v>2.7463504459430818E-3</v>
      </c>
    </row>
    <row r="16" spans="1:14" s="9" customFormat="1" ht="12.75" customHeight="1" x14ac:dyDescent="0.2">
      <c r="A16" s="7" t="s">
        <v>11</v>
      </c>
      <c r="B16" s="8">
        <v>22314602.32351334</v>
      </c>
      <c r="C16" s="8">
        <f t="shared" si="0"/>
        <v>22789903.353004176</v>
      </c>
      <c r="D16" s="8">
        <f>+'COEF Art 14 F I'!AP18+'COEF Art 14 F II'!J18</f>
        <v>18430456.250608347</v>
      </c>
      <c r="E16" s="8">
        <f t="shared" si="3"/>
        <v>-4359447.1023958288</v>
      </c>
      <c r="F16" s="139">
        <f t="shared" si="4"/>
        <v>-0.19128852961200313</v>
      </c>
      <c r="G16" s="8">
        <f t="shared" si="5"/>
        <v>22789903.353004176</v>
      </c>
      <c r="H16" s="8">
        <f t="shared" si="6"/>
        <v>4359447.1023958288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22789903.353004176</v>
      </c>
      <c r="M16" s="139">
        <f t="shared" si="2"/>
        <v>2.1300000000000083E-2</v>
      </c>
      <c r="N16" s="106">
        <f t="shared" si="9"/>
        <v>3.8700649374344928E-3</v>
      </c>
    </row>
    <row r="17" spans="1:14" ht="12.75" customHeight="1" x14ac:dyDescent="0.2">
      <c r="A17" s="7" t="s">
        <v>12</v>
      </c>
      <c r="B17" s="8">
        <v>56271860.568283163</v>
      </c>
      <c r="C17" s="8">
        <f t="shared" si="0"/>
        <v>57470451.198387593</v>
      </c>
      <c r="D17" s="8">
        <f>+'COEF Art 14 F I'!AP19+'COEF Art 14 F II'!J19</f>
        <v>40945205.403442107</v>
      </c>
      <c r="E17" s="8">
        <f t="shared" si="3"/>
        <v>-16525245.794945486</v>
      </c>
      <c r="F17" s="139">
        <f t="shared" si="4"/>
        <v>-0.28754334532541692</v>
      </c>
      <c r="G17" s="8">
        <f t="shared" si="5"/>
        <v>57470451.198387593</v>
      </c>
      <c r="H17" s="8">
        <f t="shared" si="6"/>
        <v>16525245.794945486</v>
      </c>
      <c r="I17" s="8">
        <f t="shared" si="7"/>
        <v>0</v>
      </c>
      <c r="J17" s="8">
        <f t="shared" si="10"/>
        <v>0</v>
      </c>
      <c r="K17" s="8">
        <f t="shared" si="8"/>
        <v>0</v>
      </c>
      <c r="L17" s="8">
        <f t="shared" si="1"/>
        <v>57470451.198387593</v>
      </c>
      <c r="M17" s="139">
        <f t="shared" si="2"/>
        <v>2.1299999999999975E-2</v>
      </c>
      <c r="N17" s="106">
        <f t="shared" si="9"/>
        <v>9.7593383647281325E-3</v>
      </c>
    </row>
    <row r="18" spans="1:14" ht="12.75" customHeight="1" x14ac:dyDescent="0.2">
      <c r="A18" s="7" t="s">
        <v>13</v>
      </c>
      <c r="B18" s="8">
        <v>28631660.17332821</v>
      </c>
      <c r="C18" s="8">
        <f t="shared" si="0"/>
        <v>29241514.535020102</v>
      </c>
      <c r="D18" s="8">
        <f>+'COEF Art 14 F I'!AP20+'COEF Art 14 F II'!J20</f>
        <v>26019199.805279799</v>
      </c>
      <c r="E18" s="8">
        <f t="shared" si="3"/>
        <v>-3222314.729740303</v>
      </c>
      <c r="F18" s="139">
        <f t="shared" si="4"/>
        <v>-0.11019657432179882</v>
      </c>
      <c r="G18" s="8">
        <f t="shared" si="5"/>
        <v>29241514.535020102</v>
      </c>
      <c r="H18" s="8">
        <f t="shared" si="6"/>
        <v>3222314.729740303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29241514.535020102</v>
      </c>
      <c r="M18" s="139">
        <f t="shared" si="2"/>
        <v>2.1300000000000045E-2</v>
      </c>
      <c r="N18" s="106">
        <f t="shared" si="9"/>
        <v>4.9656445824525497E-3</v>
      </c>
    </row>
    <row r="19" spans="1:14" ht="12.75" customHeight="1" x14ac:dyDescent="0.2">
      <c r="A19" s="7" t="s">
        <v>14</v>
      </c>
      <c r="B19" s="8">
        <v>149408835.46242213</v>
      </c>
      <c r="C19" s="8">
        <f t="shared" si="0"/>
        <v>152591243.65777174</v>
      </c>
      <c r="D19" s="8">
        <f>+'COEF Art 14 F I'!AP21+'COEF Art 14 F II'!J21</f>
        <v>137679221.14134926</v>
      </c>
      <c r="E19" s="8">
        <f t="shared" si="3"/>
        <v>-14912022.51642248</v>
      </c>
      <c r="F19" s="139">
        <f t="shared" si="4"/>
        <v>-9.7725283305684529E-2</v>
      </c>
      <c r="G19" s="8">
        <f t="shared" si="5"/>
        <v>152591243.65777174</v>
      </c>
      <c r="H19" s="8">
        <f t="shared" si="6"/>
        <v>14912022.51642248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152591243.65777174</v>
      </c>
      <c r="M19" s="139">
        <f t="shared" si="2"/>
        <v>2.1300000000000083E-2</v>
      </c>
      <c r="N19" s="106">
        <f t="shared" si="9"/>
        <v>2.5912265299783327E-2</v>
      </c>
    </row>
    <row r="20" spans="1:14" ht="12.75" customHeight="1" x14ac:dyDescent="0.2">
      <c r="A20" s="7" t="s">
        <v>15</v>
      </c>
      <c r="B20" s="8">
        <v>18708409.55519338</v>
      </c>
      <c r="C20" s="8">
        <f t="shared" si="0"/>
        <v>19106898.678718999</v>
      </c>
      <c r="D20" s="8">
        <f>+'COEF Art 14 F I'!AP22+'COEF Art 14 F II'!J22</f>
        <v>17490564.617153849</v>
      </c>
      <c r="E20" s="8">
        <f t="shared" si="3"/>
        <v>-1616334.0615651496</v>
      </c>
      <c r="F20" s="139">
        <f t="shared" si="4"/>
        <v>-8.4594265597137452E-2</v>
      </c>
      <c r="G20" s="8">
        <f t="shared" si="5"/>
        <v>19106898.678718999</v>
      </c>
      <c r="H20" s="8">
        <f t="shared" si="6"/>
        <v>1616334.0615651496</v>
      </c>
      <c r="I20" s="8">
        <f t="shared" si="7"/>
        <v>0</v>
      </c>
      <c r="J20" s="8">
        <f t="shared" si="10"/>
        <v>0</v>
      </c>
      <c r="K20" s="8">
        <f t="shared" si="8"/>
        <v>0</v>
      </c>
      <c r="L20" s="8">
        <f t="shared" si="1"/>
        <v>19106898.678718999</v>
      </c>
      <c r="M20" s="139">
        <f t="shared" si="2"/>
        <v>2.1300000000000027E-2</v>
      </c>
      <c r="N20" s="106">
        <f t="shared" si="9"/>
        <v>3.2446359027615787E-3</v>
      </c>
    </row>
    <row r="21" spans="1:14" ht="12.75" customHeight="1" x14ac:dyDescent="0.2">
      <c r="A21" s="7" t="s">
        <v>16</v>
      </c>
      <c r="B21" s="8">
        <v>13941788.136940531</v>
      </c>
      <c r="C21" s="8">
        <f t="shared" si="0"/>
        <v>14238748.224257365</v>
      </c>
      <c r="D21" s="8">
        <f>+'COEF Art 14 F I'!AP23+'COEF Art 14 F II'!J23</f>
        <v>7012796.2145344261</v>
      </c>
      <c r="E21" s="8">
        <f t="shared" si="3"/>
        <v>-7225952.0097229388</v>
      </c>
      <c r="F21" s="139">
        <f t="shared" si="4"/>
        <v>-0.50748506089971368</v>
      </c>
      <c r="G21" s="8">
        <f t="shared" si="5"/>
        <v>14238748.224257365</v>
      </c>
      <c r="H21" s="8">
        <f t="shared" si="6"/>
        <v>7225952.0097229388</v>
      </c>
      <c r="I21" s="8">
        <f t="shared" si="7"/>
        <v>0</v>
      </c>
      <c r="J21" s="8">
        <f t="shared" si="10"/>
        <v>0</v>
      </c>
      <c r="K21" s="8">
        <f t="shared" si="8"/>
        <v>0</v>
      </c>
      <c r="L21" s="8">
        <f t="shared" si="1"/>
        <v>14238748.224257365</v>
      </c>
      <c r="M21" s="139">
        <f t="shared" si="2"/>
        <v>2.130000000000001E-2</v>
      </c>
      <c r="N21" s="106">
        <f t="shared" si="9"/>
        <v>2.4179514674594759E-3</v>
      </c>
    </row>
    <row r="22" spans="1:14" ht="12.75" customHeight="1" x14ac:dyDescent="0.2">
      <c r="A22" s="7" t="s">
        <v>17</v>
      </c>
      <c r="B22" s="8">
        <v>122271352.16352755</v>
      </c>
      <c r="C22" s="8">
        <f t="shared" si="0"/>
        <v>124875731.96461068</v>
      </c>
      <c r="D22" s="8">
        <f>+'COEF Art 14 F I'!AP24+'COEF Art 14 F II'!J24</f>
        <v>102538811.51127173</v>
      </c>
      <c r="E22" s="8">
        <f t="shared" si="3"/>
        <v>-22336920.453338951</v>
      </c>
      <c r="F22" s="139">
        <f t="shared" si="4"/>
        <v>-0.17887318938534152</v>
      </c>
      <c r="G22" s="8">
        <f t="shared" si="5"/>
        <v>124875731.96461068</v>
      </c>
      <c r="H22" s="8">
        <f t="shared" si="6"/>
        <v>22336920.453338951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124875731.96461068</v>
      </c>
      <c r="M22" s="139">
        <f t="shared" si="2"/>
        <v>2.1299999999999965E-2</v>
      </c>
      <c r="N22" s="106">
        <f t="shared" si="9"/>
        <v>2.120575872249154E-2</v>
      </c>
    </row>
    <row r="23" spans="1:14" ht="12.75" customHeight="1" x14ac:dyDescent="0.2">
      <c r="A23" s="7" t="s">
        <v>18</v>
      </c>
      <c r="B23" s="8">
        <v>125255488.39178734</v>
      </c>
      <c r="C23" s="8">
        <f t="shared" si="0"/>
        <v>127923430.2945324</v>
      </c>
      <c r="D23" s="8">
        <f>+'COEF Art 14 F I'!AP25+'COEF Art 14 F II'!J25</f>
        <v>150934963.55852169</v>
      </c>
      <c r="E23" s="8">
        <f t="shared" si="3"/>
        <v>23011533.263989285</v>
      </c>
      <c r="F23" s="139">
        <f t="shared" si="4"/>
        <v>0.17988521110641936</v>
      </c>
      <c r="G23" s="8">
        <f t="shared" si="5"/>
        <v>0</v>
      </c>
      <c r="H23" s="8">
        <f t="shared" si="6"/>
        <v>0</v>
      </c>
      <c r="I23" s="8">
        <f t="shared" si="7"/>
        <v>150934963.55852169</v>
      </c>
      <c r="J23" s="8">
        <f t="shared" si="10"/>
        <v>23011533.263989285</v>
      </c>
      <c r="K23" s="8">
        <f t="shared" si="8"/>
        <v>18706979.426196374</v>
      </c>
      <c r="L23" s="8">
        <f t="shared" si="1"/>
        <v>132227984.13232532</v>
      </c>
      <c r="M23" s="139">
        <f t="shared" si="2"/>
        <v>5.5666189402644603E-2</v>
      </c>
      <c r="N23" s="106">
        <f t="shared" si="9"/>
        <v>2.2454280617679762E-2</v>
      </c>
    </row>
    <row r="24" spans="1:14" ht="12.75" customHeight="1" x14ac:dyDescent="0.2">
      <c r="A24" s="7" t="s">
        <v>19</v>
      </c>
      <c r="B24" s="8">
        <v>23500596.336815316</v>
      </c>
      <c r="C24" s="8">
        <f t="shared" si="0"/>
        <v>24001159.038789481</v>
      </c>
      <c r="D24" s="8">
        <f>+'COEF Art 14 F I'!AP26+'COEF Art 14 F II'!J26</f>
        <v>15746341.962374834</v>
      </c>
      <c r="E24" s="8">
        <f t="shared" si="3"/>
        <v>-8254817.0764146466</v>
      </c>
      <c r="F24" s="139">
        <f t="shared" si="4"/>
        <v>-0.34393410181040096</v>
      </c>
      <c r="G24" s="8">
        <f t="shared" si="5"/>
        <v>24001159.038789481</v>
      </c>
      <c r="H24" s="8">
        <f t="shared" si="6"/>
        <v>8254817.0764146466</v>
      </c>
      <c r="I24" s="8">
        <f t="shared" si="7"/>
        <v>0</v>
      </c>
      <c r="J24" s="8">
        <f t="shared" si="10"/>
        <v>0</v>
      </c>
      <c r="K24" s="8">
        <f t="shared" si="8"/>
        <v>0</v>
      </c>
      <c r="L24" s="8">
        <f t="shared" si="1"/>
        <v>24001159.038789481</v>
      </c>
      <c r="M24" s="139">
        <f t="shared" si="2"/>
        <v>2.1299999999999934E-2</v>
      </c>
      <c r="N24" s="106">
        <f t="shared" si="9"/>
        <v>4.0757541888199293E-3</v>
      </c>
    </row>
    <row r="25" spans="1:14" ht="12.75" customHeight="1" x14ac:dyDescent="0.2">
      <c r="A25" s="7" t="s">
        <v>20</v>
      </c>
      <c r="B25" s="8">
        <v>319832585.60071099</v>
      </c>
      <c r="C25" s="8">
        <f t="shared" si="0"/>
        <v>326645019.6740061</v>
      </c>
      <c r="D25" s="8">
        <f>+'COEF Art 14 F I'!AP27+'COEF Art 14 F II'!J27</f>
        <v>294070796.03570855</v>
      </c>
      <c r="E25" s="8">
        <f t="shared" si="3"/>
        <v>-32574223.638297558</v>
      </c>
      <c r="F25" s="139">
        <f t="shared" si="4"/>
        <v>-9.9723619453334536E-2</v>
      </c>
      <c r="G25" s="8">
        <f t="shared" si="5"/>
        <v>326645019.6740061</v>
      </c>
      <c r="H25" s="8">
        <f t="shared" si="6"/>
        <v>32574223.638297558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326645019.6740061</v>
      </c>
      <c r="M25" s="139">
        <f t="shared" si="2"/>
        <v>2.1299999999999913E-2</v>
      </c>
      <c r="N25" s="106">
        <f t="shared" si="9"/>
        <v>5.5469188177199175E-2</v>
      </c>
    </row>
    <row r="26" spans="1:14" s="9" customFormat="1" ht="12.75" customHeight="1" x14ac:dyDescent="0.2">
      <c r="A26" s="7" t="s">
        <v>21</v>
      </c>
      <c r="B26" s="8">
        <v>47429760.11400269</v>
      </c>
      <c r="C26" s="8">
        <f t="shared" si="0"/>
        <v>48440014.00443095</v>
      </c>
      <c r="D26" s="8">
        <f>+'COEF Art 14 F I'!AP28+'COEF Art 14 F II'!J28</f>
        <v>38176505.5704979</v>
      </c>
      <c r="E26" s="8">
        <f t="shared" si="3"/>
        <v>-10263508.433933049</v>
      </c>
      <c r="F26" s="139">
        <f t="shared" si="4"/>
        <v>-0.21188078998065971</v>
      </c>
      <c r="G26" s="8">
        <f t="shared" si="5"/>
        <v>48440014.00443095</v>
      </c>
      <c r="H26" s="8">
        <f t="shared" si="6"/>
        <v>10263508.433933049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48440014.00443095</v>
      </c>
      <c r="M26" s="139">
        <f t="shared" si="2"/>
        <v>2.1300000000000055E-2</v>
      </c>
      <c r="N26" s="106">
        <f t="shared" si="9"/>
        <v>8.2258356634352364E-3</v>
      </c>
    </row>
    <row r="27" spans="1:14" ht="12.75" customHeight="1" x14ac:dyDescent="0.2">
      <c r="A27" s="7" t="s">
        <v>22</v>
      </c>
      <c r="B27" s="8">
        <v>7607753.7088561226</v>
      </c>
      <c r="C27" s="8">
        <f t="shared" si="0"/>
        <v>7769798.8628547583</v>
      </c>
      <c r="D27" s="8">
        <f>+'COEF Art 14 F I'!AP29+'COEF Art 14 F II'!J29</f>
        <v>3177580.4053324643</v>
      </c>
      <c r="E27" s="8">
        <f t="shared" si="3"/>
        <v>-4592218.4575222936</v>
      </c>
      <c r="F27" s="139">
        <f t="shared" si="4"/>
        <v>-0.59103440624137771</v>
      </c>
      <c r="G27" s="8">
        <f t="shared" si="5"/>
        <v>7769798.8628547583</v>
      </c>
      <c r="H27" s="8">
        <f t="shared" si="6"/>
        <v>4592218.4575222936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7769798.8628547583</v>
      </c>
      <c r="M27" s="139">
        <f t="shared" si="2"/>
        <v>2.1300000000000038E-2</v>
      </c>
      <c r="N27" s="106">
        <f t="shared" si="9"/>
        <v>1.319427541411175E-3</v>
      </c>
    </row>
    <row r="28" spans="1:14" ht="12.75" customHeight="1" x14ac:dyDescent="0.2">
      <c r="A28" s="7" t="s">
        <v>23</v>
      </c>
      <c r="B28" s="8">
        <v>34813380.610191517</v>
      </c>
      <c r="C28" s="8">
        <f t="shared" si="0"/>
        <v>35554905.617188595</v>
      </c>
      <c r="D28" s="8">
        <f>+'COEF Art 14 F I'!AP30+'COEF Art 14 F II'!J30</f>
        <v>30207207.850432798</v>
      </c>
      <c r="E28" s="8">
        <f t="shared" si="3"/>
        <v>-5347697.766755797</v>
      </c>
      <c r="F28" s="139">
        <f t="shared" si="4"/>
        <v>-0.15040674905266846</v>
      </c>
      <c r="G28" s="8">
        <f t="shared" si="5"/>
        <v>35554905.617188595</v>
      </c>
      <c r="H28" s="8">
        <f t="shared" si="6"/>
        <v>5347697.766755797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35554905.617188595</v>
      </c>
      <c r="M28" s="139">
        <f t="shared" si="2"/>
        <v>2.1299999999999982E-2</v>
      </c>
      <c r="N28" s="106">
        <f t="shared" si="9"/>
        <v>6.0377523963802068E-3</v>
      </c>
    </row>
    <row r="29" spans="1:14" ht="12.75" customHeight="1" x14ac:dyDescent="0.2">
      <c r="A29" s="7" t="s">
        <v>24</v>
      </c>
      <c r="B29" s="8">
        <v>33532462.25583373</v>
      </c>
      <c r="C29" s="8">
        <f t="shared" si="0"/>
        <v>34246703.701882988</v>
      </c>
      <c r="D29" s="8">
        <f>+'COEF Art 14 F I'!AP31+'COEF Art 14 F II'!J31</f>
        <v>26158804.920856293</v>
      </c>
      <c r="E29" s="8">
        <f t="shared" si="3"/>
        <v>-8087898.7810266949</v>
      </c>
      <c r="F29" s="139">
        <f t="shared" si="4"/>
        <v>-0.2361657592342821</v>
      </c>
      <c r="G29" s="8">
        <f t="shared" si="5"/>
        <v>34246703.701882988</v>
      </c>
      <c r="H29" s="8">
        <f t="shared" si="6"/>
        <v>8087898.7810266949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34246703.701882988</v>
      </c>
      <c r="M29" s="139">
        <f t="shared" si="2"/>
        <v>2.1299999999999989E-2</v>
      </c>
      <c r="N29" s="106">
        <f t="shared" si="9"/>
        <v>5.8156002316654982E-3</v>
      </c>
    </row>
    <row r="30" spans="1:14" ht="12.75" customHeight="1" x14ac:dyDescent="0.2">
      <c r="A30" s="7" t="s">
        <v>25</v>
      </c>
      <c r="B30" s="8">
        <v>540679925.01703691</v>
      </c>
      <c r="C30" s="8">
        <f t="shared" si="0"/>
        <v>552196407.41989982</v>
      </c>
      <c r="D30" s="8">
        <f>+'COEF Art 14 F I'!AP32+'COEF Art 14 F II'!J32</f>
        <v>476875548.31653869</v>
      </c>
      <c r="E30" s="8">
        <f t="shared" si="3"/>
        <v>-75320859.10336113</v>
      </c>
      <c r="F30" s="139">
        <f t="shared" si="4"/>
        <v>-0.13640229833311071</v>
      </c>
      <c r="G30" s="8">
        <f t="shared" si="5"/>
        <v>552196407.41989982</v>
      </c>
      <c r="H30" s="8">
        <f t="shared" si="6"/>
        <v>75320859.10336113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552196407.41989982</v>
      </c>
      <c r="M30" s="139">
        <f t="shared" si="2"/>
        <v>2.1300000000000038E-2</v>
      </c>
      <c r="N30" s="106">
        <f t="shared" si="9"/>
        <v>9.3771172340287312E-2</v>
      </c>
    </row>
    <row r="31" spans="1:14" ht="12.75" customHeight="1" x14ac:dyDescent="0.2">
      <c r="A31" s="7" t="s">
        <v>26</v>
      </c>
      <c r="B31" s="8">
        <v>14147343.927442599</v>
      </c>
      <c r="C31" s="8">
        <f t="shared" si="0"/>
        <v>14448682.353097126</v>
      </c>
      <c r="D31" s="8">
        <f>+'COEF Art 14 F I'!AP33+'COEF Art 14 F II'!J33</f>
        <v>8087565.5687406054</v>
      </c>
      <c r="E31" s="8">
        <f t="shared" si="3"/>
        <v>-6361116.7843565205</v>
      </c>
      <c r="F31" s="139">
        <f t="shared" si="4"/>
        <v>-0.4402558398685395</v>
      </c>
      <c r="G31" s="8">
        <f t="shared" si="5"/>
        <v>14448682.353097126</v>
      </c>
      <c r="H31" s="8">
        <f t="shared" si="6"/>
        <v>6361116.7843565205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14448682.353097126</v>
      </c>
      <c r="M31" s="139">
        <f t="shared" si="2"/>
        <v>2.1299999999999961E-2</v>
      </c>
      <c r="N31" s="106">
        <f t="shared" si="9"/>
        <v>2.4536014085149087E-3</v>
      </c>
    </row>
    <row r="32" spans="1:14" ht="12.75" customHeight="1" x14ac:dyDescent="0.2">
      <c r="A32" s="7" t="s">
        <v>27</v>
      </c>
      <c r="B32" s="8">
        <v>24352464.878900953</v>
      </c>
      <c r="C32" s="8">
        <f t="shared" si="0"/>
        <v>24871172.380821545</v>
      </c>
      <c r="D32" s="8">
        <f>+'COEF Art 14 F I'!AP34+'COEF Art 14 F II'!J34</f>
        <v>20179713.300039228</v>
      </c>
      <c r="E32" s="8">
        <f t="shared" si="3"/>
        <v>-4691459.0807823166</v>
      </c>
      <c r="F32" s="139">
        <f t="shared" si="4"/>
        <v>-0.18863039542116464</v>
      </c>
      <c r="G32" s="8">
        <f t="shared" si="5"/>
        <v>24871172.380821545</v>
      </c>
      <c r="H32" s="8">
        <f t="shared" si="6"/>
        <v>4691459.0807823166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24871172.380821545</v>
      </c>
      <c r="M32" s="139">
        <f t="shared" si="2"/>
        <v>2.1300000000000072E-2</v>
      </c>
      <c r="N32" s="106">
        <f t="shared" si="9"/>
        <v>4.2234954090412365E-3</v>
      </c>
    </row>
    <row r="33" spans="1:14" ht="12.75" customHeight="1" x14ac:dyDescent="0.2">
      <c r="A33" s="7" t="s">
        <v>28</v>
      </c>
      <c r="B33" s="8">
        <v>13152803.558522167</v>
      </c>
      <c r="C33" s="8">
        <f t="shared" si="0"/>
        <v>13432958.274318689</v>
      </c>
      <c r="D33" s="8">
        <f>+'COEF Art 14 F I'!AP35+'COEF Art 14 F II'!J35</f>
        <v>12297233.336537581</v>
      </c>
      <c r="E33" s="8">
        <f t="shared" si="3"/>
        <v>-1135724.9377811085</v>
      </c>
      <c r="F33" s="139">
        <f t="shared" si="4"/>
        <v>-8.4547641300457457E-2</v>
      </c>
      <c r="G33" s="8">
        <f t="shared" si="5"/>
        <v>13432958.274318689</v>
      </c>
      <c r="H33" s="8">
        <f t="shared" si="6"/>
        <v>1135724.9377811085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13432958.274318689</v>
      </c>
      <c r="M33" s="139">
        <f t="shared" si="2"/>
        <v>2.1300000000000048E-2</v>
      </c>
      <c r="N33" s="106">
        <f t="shared" si="9"/>
        <v>2.2811163355200641E-3</v>
      </c>
    </row>
    <row r="34" spans="1:14" ht="12.75" customHeight="1" x14ac:dyDescent="0.2">
      <c r="A34" s="7" t="s">
        <v>29</v>
      </c>
      <c r="B34" s="8">
        <v>19495619.812534947</v>
      </c>
      <c r="C34" s="8">
        <f t="shared" si="0"/>
        <v>19910876.514541943</v>
      </c>
      <c r="D34" s="8">
        <f>+'COEF Art 14 F I'!AP36+'COEF Art 14 F II'!J36</f>
        <v>13846281.057571605</v>
      </c>
      <c r="E34" s="8">
        <f t="shared" si="3"/>
        <v>-6064595.4569703378</v>
      </c>
      <c r="F34" s="139">
        <f t="shared" si="4"/>
        <v>-0.30458706589541901</v>
      </c>
      <c r="G34" s="8">
        <f t="shared" si="5"/>
        <v>19910876.514541943</v>
      </c>
      <c r="H34" s="8">
        <f t="shared" si="6"/>
        <v>6064595.4569703378</v>
      </c>
      <c r="I34" s="8">
        <f t="shared" si="7"/>
        <v>0</v>
      </c>
      <c r="J34" s="8">
        <f t="shared" si="10"/>
        <v>0</v>
      </c>
      <c r="K34" s="8">
        <f t="shared" si="8"/>
        <v>0</v>
      </c>
      <c r="L34" s="8">
        <f t="shared" si="1"/>
        <v>19910876.514541943</v>
      </c>
      <c r="M34" s="139">
        <f t="shared" si="2"/>
        <v>2.1300000000000065E-2</v>
      </c>
      <c r="N34" s="106">
        <f t="shared" si="9"/>
        <v>3.3811633107412482E-3</v>
      </c>
    </row>
    <row r="35" spans="1:14" ht="12.75" customHeight="1" x14ac:dyDescent="0.2">
      <c r="A35" s="7" t="s">
        <v>30</v>
      </c>
      <c r="B35" s="8">
        <v>17926781.724504802</v>
      </c>
      <c r="C35" s="8">
        <f t="shared" si="0"/>
        <v>18308622.175236754</v>
      </c>
      <c r="D35" s="8">
        <f>+'COEF Art 14 F I'!AP37+'COEF Art 14 F II'!J37</f>
        <v>15839146.516252169</v>
      </c>
      <c r="E35" s="8">
        <f t="shared" si="3"/>
        <v>-2469475.6589845847</v>
      </c>
      <c r="F35" s="139">
        <f t="shared" si="4"/>
        <v>-0.13488047518532897</v>
      </c>
      <c r="G35" s="8">
        <f t="shared" si="5"/>
        <v>18308622.175236754</v>
      </c>
      <c r="H35" s="8">
        <f t="shared" si="6"/>
        <v>2469475.6589845847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18308622.175236754</v>
      </c>
      <c r="M35" s="139">
        <f t="shared" si="2"/>
        <v>2.1299999999999968E-2</v>
      </c>
      <c r="N35" s="106">
        <f t="shared" si="9"/>
        <v>3.1090766659078077E-3</v>
      </c>
    </row>
    <row r="36" spans="1:14" ht="12.75" customHeight="1" x14ac:dyDescent="0.2">
      <c r="A36" s="7" t="s">
        <v>31</v>
      </c>
      <c r="B36" s="8">
        <v>170460700.09224397</v>
      </c>
      <c r="C36" s="8">
        <f t="shared" si="0"/>
        <v>174091513.00420877</v>
      </c>
      <c r="D36" s="8">
        <f>+'COEF Art 14 F I'!AP38+'COEF Art 14 F II'!J38</f>
        <v>158373620.65548122</v>
      </c>
      <c r="E36" s="8">
        <f t="shared" si="3"/>
        <v>-15717892.348727554</v>
      </c>
      <c r="F36" s="139">
        <f t="shared" si="4"/>
        <v>-9.0285230322213139E-2</v>
      </c>
      <c r="G36" s="8">
        <f t="shared" si="5"/>
        <v>174091513.00420877</v>
      </c>
      <c r="H36" s="8">
        <f t="shared" si="6"/>
        <v>15717892.348727554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174091513.00420877</v>
      </c>
      <c r="M36" s="139">
        <f t="shared" si="2"/>
        <v>2.1300000000000045E-2</v>
      </c>
      <c r="N36" s="106">
        <f t="shared" si="9"/>
        <v>2.9563331179888307E-2</v>
      </c>
    </row>
    <row r="37" spans="1:14" ht="12.75" customHeight="1" x14ac:dyDescent="0.2">
      <c r="A37" s="7" t="s">
        <v>32</v>
      </c>
      <c r="B37" s="8">
        <v>33218923.200304888</v>
      </c>
      <c r="C37" s="8">
        <f t="shared" si="0"/>
        <v>33926486.264471382</v>
      </c>
      <c r="D37" s="8">
        <f>+'COEF Art 14 F I'!AP39+'COEF Art 14 F II'!J39</f>
        <v>25858664.804335572</v>
      </c>
      <c r="E37" s="8">
        <f t="shared" si="3"/>
        <v>-8067821.4601358101</v>
      </c>
      <c r="F37" s="139">
        <f t="shared" si="4"/>
        <v>-0.23780303675552228</v>
      </c>
      <c r="G37" s="8">
        <f t="shared" si="5"/>
        <v>33926486.264471382</v>
      </c>
      <c r="H37" s="8">
        <f t="shared" si="6"/>
        <v>8067821.4601358101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33926486.264471382</v>
      </c>
      <c r="M37" s="139">
        <f t="shared" si="2"/>
        <v>2.1299999999999989E-2</v>
      </c>
      <c r="N37" s="106">
        <f t="shared" si="9"/>
        <v>5.7612225426649693E-3</v>
      </c>
    </row>
    <row r="38" spans="1:14" s="9" customFormat="1" ht="12.75" customHeight="1" x14ac:dyDescent="0.2">
      <c r="A38" s="7" t="s">
        <v>33</v>
      </c>
      <c r="B38" s="8">
        <v>121794103.69484355</v>
      </c>
      <c r="C38" s="8">
        <f t="shared" si="0"/>
        <v>124388318.10354371</v>
      </c>
      <c r="D38" s="8">
        <f>+'COEF Art 14 F I'!AP40+'COEF Art 14 F II'!J40</f>
        <v>104006762.35230422</v>
      </c>
      <c r="E38" s="8">
        <f t="shared" si="3"/>
        <v>-20381555.751239493</v>
      </c>
      <c r="F38" s="139">
        <f t="shared" si="4"/>
        <v>-0.16385425948338184</v>
      </c>
      <c r="G38" s="8">
        <f t="shared" si="5"/>
        <v>124388318.10354371</v>
      </c>
      <c r="H38" s="8">
        <f t="shared" si="6"/>
        <v>20381555.751239493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ref="L38:L56" si="11">IF(H38&lt;&gt;0,D38+H38,D38-K38)</f>
        <v>124388318.10354371</v>
      </c>
      <c r="M38" s="139">
        <f t="shared" ref="M38:M57" si="12">+(L38-B38)/B38</f>
        <v>2.1300000000000006E-2</v>
      </c>
      <c r="N38" s="106">
        <f t="shared" si="9"/>
        <v>2.1122988591152386E-2</v>
      </c>
    </row>
    <row r="39" spans="1:14" ht="12.75" customHeight="1" x14ac:dyDescent="0.2">
      <c r="A39" s="7" t="s">
        <v>34</v>
      </c>
      <c r="B39" s="8">
        <v>24271026.701176237</v>
      </c>
      <c r="C39" s="8">
        <f t="shared" si="0"/>
        <v>24787999.56991129</v>
      </c>
      <c r="D39" s="8">
        <f>+'COEF Art 14 F I'!AP41+'COEF Art 14 F II'!J41</f>
        <v>22852404.368864607</v>
      </c>
      <c r="E39" s="8">
        <f t="shared" si="3"/>
        <v>-1935595.2010466829</v>
      </c>
      <c r="F39" s="139">
        <f t="shared" si="4"/>
        <v>-7.8085978482757001E-2</v>
      </c>
      <c r="G39" s="8">
        <f t="shared" si="5"/>
        <v>24787999.56991129</v>
      </c>
      <c r="H39" s="8">
        <f t="shared" si="6"/>
        <v>1935595.2010466829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si="11"/>
        <v>24787999.56991129</v>
      </c>
      <c r="M39" s="139">
        <f t="shared" si="12"/>
        <v>2.1299999999999951E-2</v>
      </c>
      <c r="N39" s="106">
        <f t="shared" si="9"/>
        <v>4.2093714272820413E-3</v>
      </c>
    </row>
    <row r="40" spans="1:14" ht="12.75" customHeight="1" x14ac:dyDescent="0.2">
      <c r="A40" s="7" t="s">
        <v>35</v>
      </c>
      <c r="B40" s="8">
        <v>21272196.704864223</v>
      </c>
      <c r="C40" s="8">
        <f t="shared" si="0"/>
        <v>21725294.49467783</v>
      </c>
      <c r="D40" s="8">
        <f>+'COEF Art 14 F I'!AP42+'COEF Art 14 F II'!J42</f>
        <v>22038916.92319762</v>
      </c>
      <c r="E40" s="8">
        <f t="shared" si="3"/>
        <v>313622.42851978913</v>
      </c>
      <c r="F40" s="139">
        <f t="shared" si="4"/>
        <v>1.4435819436031996E-2</v>
      </c>
      <c r="G40" s="8">
        <f t="shared" si="5"/>
        <v>0</v>
      </c>
      <c r="H40" s="8">
        <f t="shared" si="6"/>
        <v>0</v>
      </c>
      <c r="I40" s="8">
        <f t="shared" si="7"/>
        <v>22038916.92319762</v>
      </c>
      <c r="J40" s="8">
        <f t="shared" si="10"/>
        <v>313622.42851978913</v>
      </c>
      <c r="K40" s="8">
        <f t="shared" si="8"/>
        <v>254955.99317993232</v>
      </c>
      <c r="L40" s="8">
        <f t="shared" si="11"/>
        <v>21783960.930017687</v>
      </c>
      <c r="M40" s="139">
        <f t="shared" si="12"/>
        <v>2.4057892668717277E-2</v>
      </c>
      <c r="N40" s="106">
        <f t="shared" si="9"/>
        <v>3.699240935244737E-3</v>
      </c>
    </row>
    <row r="41" spans="1:14" ht="12.75" customHeight="1" x14ac:dyDescent="0.2">
      <c r="A41" s="7" t="s">
        <v>36</v>
      </c>
      <c r="B41" s="8">
        <v>26227176.129624814</v>
      </c>
      <c r="C41" s="8">
        <f t="shared" si="0"/>
        <v>26785814.981185824</v>
      </c>
      <c r="D41" s="8">
        <f>+'COEF Art 14 F I'!AP43+'COEF Art 14 F II'!J43</f>
        <v>22475350.207154226</v>
      </c>
      <c r="E41" s="8">
        <f t="shared" si="3"/>
        <v>-4310464.7740315981</v>
      </c>
      <c r="F41" s="139">
        <f t="shared" si="4"/>
        <v>-0.16092341327151105</v>
      </c>
      <c r="G41" s="8">
        <f t="shared" si="5"/>
        <v>26785814.981185824</v>
      </c>
      <c r="H41" s="8">
        <f t="shared" si="6"/>
        <v>4310464.7740315981</v>
      </c>
      <c r="I41" s="8">
        <f t="shared" si="7"/>
        <v>0</v>
      </c>
      <c r="J41" s="8">
        <f t="shared" si="10"/>
        <v>0</v>
      </c>
      <c r="K41" s="8">
        <f t="shared" si="8"/>
        <v>0</v>
      </c>
      <c r="L41" s="8">
        <f t="shared" si="11"/>
        <v>26785814.981185824</v>
      </c>
      <c r="M41" s="139">
        <f t="shared" si="12"/>
        <v>2.1300000000000052E-2</v>
      </c>
      <c r="N41" s="106">
        <f t="shared" si="9"/>
        <v>4.5486302321519033E-3</v>
      </c>
    </row>
    <row r="42" spans="1:14" ht="12.75" customHeight="1" x14ac:dyDescent="0.2">
      <c r="A42" s="7" t="s">
        <v>37</v>
      </c>
      <c r="B42" s="8">
        <v>36942114.442961581</v>
      </c>
      <c r="C42" s="8">
        <f t="shared" si="0"/>
        <v>37728981.480596662</v>
      </c>
      <c r="D42" s="8">
        <f>+'COEF Art 14 F I'!AP44+'COEF Art 14 F II'!J44</f>
        <v>28413755.681448471</v>
      </c>
      <c r="E42" s="8">
        <f t="shared" si="3"/>
        <v>-9315225.7991481908</v>
      </c>
      <c r="F42" s="139">
        <f t="shared" si="4"/>
        <v>-0.24689841690899725</v>
      </c>
      <c r="G42" s="8">
        <f t="shared" si="5"/>
        <v>37728981.480596662</v>
      </c>
      <c r="H42" s="8">
        <f t="shared" si="6"/>
        <v>9315225.7991481908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37728981.480596662</v>
      </c>
      <c r="M42" s="139">
        <f t="shared" si="12"/>
        <v>2.1299999999999968E-2</v>
      </c>
      <c r="N42" s="106">
        <f t="shared" si="9"/>
        <v>6.4069428505902316E-3</v>
      </c>
    </row>
    <row r="43" spans="1:14" s="9" customFormat="1" ht="12.75" customHeight="1" x14ac:dyDescent="0.2">
      <c r="A43" s="7" t="s">
        <v>38</v>
      </c>
      <c r="B43" s="8">
        <v>86669611.896723509</v>
      </c>
      <c r="C43" s="8">
        <f t="shared" si="0"/>
        <v>88515674.63012372</v>
      </c>
      <c r="D43" s="8">
        <f>+'COEF Art 14 F I'!AP45+'COEF Art 14 F II'!J45</f>
        <v>74367098.503024265</v>
      </c>
      <c r="E43" s="8">
        <f t="shared" si="3"/>
        <v>-14148576.127099454</v>
      </c>
      <c r="F43" s="139">
        <f t="shared" si="4"/>
        <v>-0.15984260625275062</v>
      </c>
      <c r="G43" s="8">
        <f t="shared" si="5"/>
        <v>88515674.63012372</v>
      </c>
      <c r="H43" s="8">
        <f t="shared" si="6"/>
        <v>14148576.127099454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88515674.63012372</v>
      </c>
      <c r="M43" s="139">
        <f t="shared" si="12"/>
        <v>2.1299999999999999E-2</v>
      </c>
      <c r="N43" s="106">
        <f t="shared" si="9"/>
        <v>1.5031279575577712E-2</v>
      </c>
    </row>
    <row r="44" spans="1:14" ht="12.75" customHeight="1" x14ac:dyDescent="0.2">
      <c r="A44" s="7" t="s">
        <v>39</v>
      </c>
      <c r="B44" s="8">
        <v>1285278366.8103578</v>
      </c>
      <c r="C44" s="8">
        <f t="shared" si="0"/>
        <v>1312654796.0234184</v>
      </c>
      <c r="D44" s="8">
        <f>+'COEF Art 14 F I'!AP46+'COEF Art 14 F II'!J46</f>
        <v>1475476575.3187225</v>
      </c>
      <c r="E44" s="8">
        <f t="shared" si="3"/>
        <v>162821779.29530406</v>
      </c>
      <c r="F44" s="139">
        <f t="shared" si="4"/>
        <v>0.12404005972366799</v>
      </c>
      <c r="G44" s="8">
        <f t="shared" si="5"/>
        <v>0</v>
      </c>
      <c r="H44" s="8">
        <f t="shared" si="6"/>
        <v>0</v>
      </c>
      <c r="I44" s="8">
        <f t="shared" si="7"/>
        <v>1475476575.3187225</v>
      </c>
      <c r="J44" s="8">
        <f t="shared" si="10"/>
        <v>162821779.29530406</v>
      </c>
      <c r="K44" s="8">
        <f t="shared" si="8"/>
        <v>132364221.03956324</v>
      </c>
      <c r="L44" s="8">
        <f t="shared" si="11"/>
        <v>1343112354.2791593</v>
      </c>
      <c r="M44" s="139">
        <f t="shared" si="12"/>
        <v>4.4997246481574736E-2</v>
      </c>
      <c r="N44" s="106">
        <f t="shared" si="9"/>
        <v>0.22808047707870929</v>
      </c>
    </row>
    <row r="45" spans="1:14" ht="12.75" customHeight="1" x14ac:dyDescent="0.2">
      <c r="A45" s="7" t="s">
        <v>40</v>
      </c>
      <c r="B45" s="8">
        <v>9263467.5548567753</v>
      </c>
      <c r="C45" s="8">
        <f t="shared" si="0"/>
        <v>9460779.4137752242</v>
      </c>
      <c r="D45" s="8">
        <f>+'COEF Art 14 F I'!AP47+'COEF Art 14 F II'!J47</f>
        <v>6060630.8654704364</v>
      </c>
      <c r="E45" s="8">
        <f t="shared" si="3"/>
        <v>-3400148.5483047878</v>
      </c>
      <c r="F45" s="139">
        <f t="shared" si="4"/>
        <v>-0.35939412595901488</v>
      </c>
      <c r="G45" s="8">
        <f t="shared" si="5"/>
        <v>9460779.4137752242</v>
      </c>
      <c r="H45" s="8">
        <f t="shared" si="6"/>
        <v>3400148.5483047878</v>
      </c>
      <c r="I45" s="8">
        <f t="shared" si="7"/>
        <v>0</v>
      </c>
      <c r="J45" s="8">
        <f t="shared" si="10"/>
        <v>0</v>
      </c>
      <c r="K45" s="8">
        <f t="shared" si="8"/>
        <v>0</v>
      </c>
      <c r="L45" s="8">
        <f t="shared" si="11"/>
        <v>9460779.4137752242</v>
      </c>
      <c r="M45" s="139">
        <f t="shared" si="12"/>
        <v>2.1299999999999958E-2</v>
      </c>
      <c r="N45" s="106">
        <f t="shared" si="9"/>
        <v>1.6065812181352273E-3</v>
      </c>
    </row>
    <row r="46" spans="1:14" s="9" customFormat="1" ht="12.75" customHeight="1" x14ac:dyDescent="0.2">
      <c r="A46" s="7" t="s">
        <v>41</v>
      </c>
      <c r="B46" s="8">
        <v>24497459.23239116</v>
      </c>
      <c r="C46" s="8">
        <f t="shared" si="0"/>
        <v>25019255.11404109</v>
      </c>
      <c r="D46" s="8">
        <f>+'COEF Art 14 F I'!AP48+'COEF Art 14 F II'!J48</f>
        <v>22832418.047951471</v>
      </c>
      <c r="E46" s="8">
        <f t="shared" si="3"/>
        <v>-2186837.066089619</v>
      </c>
      <c r="F46" s="139">
        <f t="shared" si="4"/>
        <v>-8.7406162018882058E-2</v>
      </c>
      <c r="G46" s="8">
        <f t="shared" si="5"/>
        <v>25019255.11404109</v>
      </c>
      <c r="H46" s="8">
        <f t="shared" si="6"/>
        <v>2186837.066089619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25019255.11404109</v>
      </c>
      <c r="M46" s="139">
        <f t="shared" si="12"/>
        <v>2.129999999999993E-2</v>
      </c>
      <c r="N46" s="106">
        <f t="shared" si="9"/>
        <v>4.2486420621356156E-3</v>
      </c>
    </row>
    <row r="47" spans="1:14" ht="12.75" customHeight="1" x14ac:dyDescent="0.2">
      <c r="A47" s="7" t="s">
        <v>42</v>
      </c>
      <c r="B47" s="8">
        <v>19647533.118873667</v>
      </c>
      <c r="C47" s="8">
        <f t="shared" si="0"/>
        <v>20066025.574305676</v>
      </c>
      <c r="D47" s="8">
        <f>+'COEF Art 14 F I'!AP49+'COEF Art 14 F II'!J49</f>
        <v>11646706.222121004</v>
      </c>
      <c r="E47" s="8">
        <f t="shared" si="3"/>
        <v>-8419319.3521846719</v>
      </c>
      <c r="F47" s="139">
        <f t="shared" si="4"/>
        <v>-0.41958081439732225</v>
      </c>
      <c r="G47" s="8">
        <f t="shared" si="5"/>
        <v>20066025.574305676</v>
      </c>
      <c r="H47" s="8">
        <f t="shared" si="6"/>
        <v>8419319.3521846719</v>
      </c>
      <c r="I47" s="8">
        <f t="shared" si="7"/>
        <v>0</v>
      </c>
      <c r="J47" s="8">
        <f t="shared" si="10"/>
        <v>0</v>
      </c>
      <c r="K47" s="8">
        <f t="shared" si="8"/>
        <v>0</v>
      </c>
      <c r="L47" s="8">
        <f t="shared" si="11"/>
        <v>20066025.574305676</v>
      </c>
      <c r="M47" s="139">
        <f t="shared" si="12"/>
        <v>2.1299999999999993E-2</v>
      </c>
      <c r="N47" s="106">
        <f t="shared" si="9"/>
        <v>3.4075099313024279E-3</v>
      </c>
    </row>
    <row r="48" spans="1:14" ht="12.75" customHeight="1" x14ac:dyDescent="0.2">
      <c r="A48" s="7" t="s">
        <v>43</v>
      </c>
      <c r="B48" s="8">
        <v>21252138.550761569</v>
      </c>
      <c r="C48" s="8">
        <f t="shared" si="0"/>
        <v>21704809.101892792</v>
      </c>
      <c r="D48" s="8">
        <f>+'COEF Art 14 F I'!AP50+'COEF Art 14 F II'!J50</f>
        <v>18478920.566799533</v>
      </c>
      <c r="E48" s="8">
        <f t="shared" si="3"/>
        <v>-3225888.5350932591</v>
      </c>
      <c r="F48" s="139">
        <f t="shared" si="4"/>
        <v>-0.14862551980758687</v>
      </c>
      <c r="G48" s="8">
        <f t="shared" si="5"/>
        <v>21704809.101892792</v>
      </c>
      <c r="H48" s="8">
        <f t="shared" si="6"/>
        <v>3225888.5350932591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21704809.101892792</v>
      </c>
      <c r="M48" s="139">
        <f t="shared" si="12"/>
        <v>2.1300000000000045E-2</v>
      </c>
      <c r="N48" s="106">
        <f t="shared" si="9"/>
        <v>3.685799776236065E-3</v>
      </c>
    </row>
    <row r="49" spans="1:14" ht="12.75" customHeight="1" x14ac:dyDescent="0.2">
      <c r="A49" s="7" t="s">
        <v>44</v>
      </c>
      <c r="B49" s="8">
        <v>63344984.373385727</v>
      </c>
      <c r="C49" s="8">
        <f t="shared" si="0"/>
        <v>64694232.54053884</v>
      </c>
      <c r="D49" s="8">
        <f>+'COEF Art 14 F I'!AP51+'COEF Art 14 F II'!J51</f>
        <v>35231518.989061013</v>
      </c>
      <c r="E49" s="8">
        <f t="shared" si="3"/>
        <v>-29462713.551477827</v>
      </c>
      <c r="F49" s="139">
        <f t="shared" si="4"/>
        <v>-0.45541483984705805</v>
      </c>
      <c r="G49" s="8">
        <f t="shared" si="5"/>
        <v>64694232.54053884</v>
      </c>
      <c r="H49" s="8">
        <f t="shared" si="6"/>
        <v>29462713.551477827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64694232.54053884</v>
      </c>
      <c r="M49" s="139">
        <f t="shared" si="12"/>
        <v>2.1299999999999947E-2</v>
      </c>
      <c r="N49" s="106">
        <f t="shared" si="9"/>
        <v>1.098604400076883E-2</v>
      </c>
    </row>
    <row r="50" spans="1:14" ht="12.75" customHeight="1" x14ac:dyDescent="0.2">
      <c r="A50" s="7" t="s">
        <v>45</v>
      </c>
      <c r="B50" s="8">
        <v>54511680.014254287</v>
      </c>
      <c r="C50" s="8">
        <f t="shared" si="0"/>
        <v>55672778.7985579</v>
      </c>
      <c r="D50" s="8">
        <f>+'COEF Art 14 F I'!AP52+'COEF Art 14 F II'!J52</f>
        <v>46372196.495550394</v>
      </c>
      <c r="E50" s="8">
        <f t="shared" si="3"/>
        <v>-9300582.3030075058</v>
      </c>
      <c r="F50" s="139">
        <f t="shared" si="4"/>
        <v>-0.16705798603407274</v>
      </c>
      <c r="G50" s="8">
        <f t="shared" si="5"/>
        <v>55672778.7985579</v>
      </c>
      <c r="H50" s="8">
        <f t="shared" si="6"/>
        <v>9300582.3030075058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55672778.7985579</v>
      </c>
      <c r="M50" s="139">
        <f t="shared" si="12"/>
        <v>2.1299999999999941E-2</v>
      </c>
      <c r="N50" s="106">
        <f t="shared" si="9"/>
        <v>9.4540668233875445E-3</v>
      </c>
    </row>
    <row r="51" spans="1:14" ht="12.75" customHeight="1" x14ac:dyDescent="0.2">
      <c r="A51" s="7" t="s">
        <v>46</v>
      </c>
      <c r="B51" s="8">
        <v>453508524.84890777</v>
      </c>
      <c r="C51" s="8">
        <f t="shared" si="0"/>
        <v>463168256.42818952</v>
      </c>
      <c r="D51" s="8">
        <f>+'COEF Art 14 F I'!AP53+'COEF Art 14 F II'!J53</f>
        <v>485454209.74103451</v>
      </c>
      <c r="E51" s="8">
        <f t="shared" si="3"/>
        <v>22285953.312844992</v>
      </c>
      <c r="F51" s="139">
        <f t="shared" si="4"/>
        <v>4.8116322747822522E-2</v>
      </c>
      <c r="G51" s="8">
        <f t="shared" si="5"/>
        <v>0</v>
      </c>
      <c r="H51" s="8">
        <f t="shared" si="6"/>
        <v>0</v>
      </c>
      <c r="I51" s="8">
        <f t="shared" si="7"/>
        <v>485454209.74103451</v>
      </c>
      <c r="J51" s="8">
        <f t="shared" si="10"/>
        <v>22285953.312844992</v>
      </c>
      <c r="K51" s="8">
        <f t="shared" si="8"/>
        <v>18117126.978625752</v>
      </c>
      <c r="L51" s="8">
        <f t="shared" si="11"/>
        <v>467337082.76240873</v>
      </c>
      <c r="M51" s="139">
        <f t="shared" si="12"/>
        <v>3.0492388027563821E-2</v>
      </c>
      <c r="N51" s="106">
        <f t="shared" si="9"/>
        <v>7.9360795434145884E-2</v>
      </c>
    </row>
    <row r="52" spans="1:14" ht="12.75" customHeight="1" x14ac:dyDescent="0.2">
      <c r="A52" s="7" t="s">
        <v>47</v>
      </c>
      <c r="B52" s="8">
        <v>477987462.962556</v>
      </c>
      <c r="C52" s="8">
        <f t="shared" si="0"/>
        <v>488168595.92365843</v>
      </c>
      <c r="D52" s="8">
        <f>+'COEF Art 14 F I'!AP54+'COEF Art 14 F II'!J54</f>
        <v>898806666.77119613</v>
      </c>
      <c r="E52" s="8">
        <f t="shared" si="3"/>
        <v>410638070.8475377</v>
      </c>
      <c r="F52" s="139">
        <f t="shared" si="4"/>
        <v>0.84118084259511594</v>
      </c>
      <c r="G52" s="8">
        <f t="shared" si="5"/>
        <v>0</v>
      </c>
      <c r="H52" s="8">
        <f t="shared" si="6"/>
        <v>0</v>
      </c>
      <c r="I52" s="8">
        <f t="shared" si="7"/>
        <v>898806666.77119613</v>
      </c>
      <c r="J52" s="8">
        <f t="shared" si="10"/>
        <v>410638070.8475377</v>
      </c>
      <c r="K52" s="8">
        <f t="shared" si="8"/>
        <v>333823820.20493573</v>
      </c>
      <c r="L52" s="8">
        <f t="shared" si="11"/>
        <v>564982846.56626034</v>
      </c>
      <c r="M52" s="139">
        <f t="shared" si="12"/>
        <v>0.18200348407573039</v>
      </c>
      <c r="N52" s="106">
        <f t="shared" si="9"/>
        <v>9.5942500101027756E-2</v>
      </c>
    </row>
    <row r="53" spans="1:14" s="9" customFormat="1" ht="12.75" customHeight="1" x14ac:dyDescent="0.2">
      <c r="A53" s="7" t="s">
        <v>48</v>
      </c>
      <c r="B53" s="8">
        <v>247048717.74635583</v>
      </c>
      <c r="C53" s="8">
        <f t="shared" si="0"/>
        <v>252310855.4343532</v>
      </c>
      <c r="D53" s="8">
        <f>+'COEF Art 14 F I'!AP55+'COEF Art 14 F II'!J55</f>
        <v>240918451.87736896</v>
      </c>
      <c r="E53" s="8">
        <f t="shared" si="3"/>
        <v>-11392403.556984246</v>
      </c>
      <c r="F53" s="139">
        <f t="shared" si="4"/>
        <v>-4.5152252911878167E-2</v>
      </c>
      <c r="G53" s="8">
        <f t="shared" si="5"/>
        <v>252310855.4343532</v>
      </c>
      <c r="H53" s="8">
        <f t="shared" si="6"/>
        <v>11392403.556984246</v>
      </c>
      <c r="I53" s="8">
        <f t="shared" si="7"/>
        <v>0</v>
      </c>
      <c r="J53" s="8">
        <f t="shared" si="10"/>
        <v>0</v>
      </c>
      <c r="K53" s="8">
        <f t="shared" si="8"/>
        <v>0</v>
      </c>
      <c r="L53" s="8">
        <f t="shared" si="11"/>
        <v>252310855.4343532</v>
      </c>
      <c r="M53" s="139">
        <f t="shared" si="12"/>
        <v>2.1299999999999968E-2</v>
      </c>
      <c r="N53" s="106">
        <f t="shared" si="9"/>
        <v>4.2846140232616479E-2</v>
      </c>
    </row>
    <row r="54" spans="1:14" s="9" customFormat="1" ht="12.75" customHeight="1" x14ac:dyDescent="0.2">
      <c r="A54" s="7" t="s">
        <v>49</v>
      </c>
      <c r="B54" s="8">
        <v>57324255.466605216</v>
      </c>
      <c r="C54" s="8">
        <f t="shared" si="0"/>
        <v>58545262.108043909</v>
      </c>
      <c r="D54" s="8">
        <f>+'COEF Art 14 F I'!AP56+'COEF Art 14 F II'!J56</f>
        <v>63275975.780749761</v>
      </c>
      <c r="E54" s="8">
        <f t="shared" si="3"/>
        <v>4730713.6727058515</v>
      </c>
      <c r="F54" s="139">
        <f t="shared" si="4"/>
        <v>8.0804381129517031E-2</v>
      </c>
      <c r="G54" s="8">
        <f t="shared" si="5"/>
        <v>0</v>
      </c>
      <c r="H54" s="8">
        <f t="shared" si="6"/>
        <v>0</v>
      </c>
      <c r="I54" s="8">
        <f t="shared" si="7"/>
        <v>63275975.780749761</v>
      </c>
      <c r="J54" s="8">
        <f t="shared" si="10"/>
        <v>4730713.6727058515</v>
      </c>
      <c r="K54" s="8">
        <f t="shared" si="8"/>
        <v>3845782.9963474725</v>
      </c>
      <c r="L54" s="8">
        <f t="shared" si="11"/>
        <v>59430192.784402288</v>
      </c>
      <c r="M54" s="139">
        <f t="shared" si="12"/>
        <v>3.6737281638553609E-2</v>
      </c>
      <c r="N54" s="106">
        <f t="shared" si="9"/>
        <v>1.0092131667138867E-2</v>
      </c>
    </row>
    <row r="55" spans="1:14" ht="12.75" customHeight="1" x14ac:dyDescent="0.2">
      <c r="A55" s="7" t="s">
        <v>50</v>
      </c>
      <c r="B55" s="8">
        <v>16448147.717854409</v>
      </c>
      <c r="C55" s="8">
        <f t="shared" si="0"/>
        <v>16798493.264244709</v>
      </c>
      <c r="D55" s="8">
        <f>+'COEF Art 14 F I'!AP57+'COEF Art 14 F II'!J57</f>
        <v>10927036.977002526</v>
      </c>
      <c r="E55" s="8">
        <f t="shared" si="3"/>
        <v>-5871456.2872421835</v>
      </c>
      <c r="F55" s="139">
        <f t="shared" si="4"/>
        <v>-0.3495227931983324</v>
      </c>
      <c r="G55" s="8">
        <f t="shared" si="5"/>
        <v>16798493.264244709</v>
      </c>
      <c r="H55" s="8">
        <f t="shared" si="6"/>
        <v>5871456.2872421835</v>
      </c>
      <c r="I55" s="8">
        <f t="shared" si="7"/>
        <v>0</v>
      </c>
      <c r="J55" s="8">
        <f t="shared" si="10"/>
        <v>0</v>
      </c>
      <c r="K55" s="8">
        <f t="shared" si="8"/>
        <v>0</v>
      </c>
      <c r="L55" s="8">
        <f t="shared" si="11"/>
        <v>16798493.264244709</v>
      </c>
      <c r="M55" s="139">
        <f t="shared" si="12"/>
        <v>2.1300000000000104E-2</v>
      </c>
      <c r="N55" s="106">
        <f t="shared" si="9"/>
        <v>2.8526342905755733E-3</v>
      </c>
    </row>
    <row r="56" spans="1:14" ht="12.75" customHeight="1" x14ac:dyDescent="0.2">
      <c r="A56" s="7" t="s">
        <v>51</v>
      </c>
      <c r="B56" s="8">
        <v>22660795.363843191</v>
      </c>
      <c r="C56" s="8">
        <f t="shared" si="0"/>
        <v>23143470.30509305</v>
      </c>
      <c r="D56" s="8">
        <f>+'COEF Art 14 F I'!AP58+'COEF Art 14 F II'!J58</f>
        <v>7494442.8679311266</v>
      </c>
      <c r="E56" s="8">
        <f t="shared" si="3"/>
        <v>-15649027.437161922</v>
      </c>
      <c r="F56" s="139">
        <f t="shared" si="4"/>
        <v>-0.67617462856113375</v>
      </c>
      <c r="G56" s="8">
        <f t="shared" si="5"/>
        <v>23143470.30509305</v>
      </c>
      <c r="H56" s="8">
        <f t="shared" si="6"/>
        <v>15649027.437161922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23143470.30509305</v>
      </c>
      <c r="M56" s="139">
        <f t="shared" si="12"/>
        <v>2.1299999999999937E-2</v>
      </c>
      <c r="N56" s="106">
        <f t="shared" si="9"/>
        <v>3.9301058706109103E-3</v>
      </c>
    </row>
    <row r="57" spans="1:14" s="13" customFormat="1" ht="16.5" customHeight="1" thickBot="1" x14ac:dyDescent="0.25">
      <c r="A57" s="11" t="s">
        <v>52</v>
      </c>
      <c r="B57" s="12">
        <f>SUM(B6:B56)</f>
        <v>5651695209.6523523</v>
      </c>
      <c r="C57" s="12">
        <f>SUM(C6:C56)</f>
        <v>5772076317.6179476</v>
      </c>
      <c r="D57" s="12">
        <f>SUM(D6:D56)</f>
        <v>5888765103.8000011</v>
      </c>
      <c r="E57" s="12">
        <f>SUM(E6:E56)</f>
        <v>116688786.18205316</v>
      </c>
      <c r="F57" s="140">
        <f t="shared" si="4"/>
        <v>2.02160851244963E-2</v>
      </c>
      <c r="G57" s="12">
        <f t="shared" ref="G57:L57" si="13">SUM(G6:G56)</f>
        <v>3299890682.3454275</v>
      </c>
      <c r="H57" s="12">
        <f t="shared" si="13"/>
        <v>507112886.63884854</v>
      </c>
      <c r="I57" s="12">
        <f t="shared" si="13"/>
        <v>3095987308.0934224</v>
      </c>
      <c r="J57" s="12">
        <f t="shared" si="13"/>
        <v>623801672.82090175</v>
      </c>
      <c r="K57" s="12">
        <f t="shared" si="13"/>
        <v>507112886.63884848</v>
      </c>
      <c r="L57" s="12">
        <f t="shared" si="13"/>
        <v>5888765103.8000011</v>
      </c>
      <c r="M57" s="140">
        <f t="shared" si="12"/>
        <v>4.1946687737648099E-2</v>
      </c>
      <c r="N57" s="108">
        <f>SUM(N6:N56)</f>
        <v>0.99999999999999989</v>
      </c>
    </row>
    <row r="58" spans="1:14" ht="13.5" thickTop="1" x14ac:dyDescent="0.2">
      <c r="D58" s="179"/>
      <c r="F58" s="10"/>
      <c r="G58" s="10"/>
      <c r="H58" s="10"/>
      <c r="I58" s="14"/>
      <c r="J58" s="10"/>
      <c r="K58" s="10"/>
      <c r="L58" s="15"/>
      <c r="M58" s="10"/>
      <c r="N58" s="16"/>
    </row>
    <row r="59" spans="1:14" x14ac:dyDescent="0.2">
      <c r="A59" s="112" t="s">
        <v>179</v>
      </c>
      <c r="D59" s="146"/>
      <c r="F59" s="17"/>
    </row>
    <row r="60" spans="1:14" x14ac:dyDescent="0.2">
      <c r="A60" s="112" t="s">
        <v>168</v>
      </c>
      <c r="D60" s="145"/>
      <c r="E60" s="178"/>
    </row>
    <row r="64" spans="1:14" x14ac:dyDescent="0.2">
      <c r="K64" s="142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6:M56">
    <cfRule type="cellIs" dxfId="0" priority="1" operator="lessThan">
      <formula>$G$4-0.00001</formula>
    </cfRule>
  </conditionalFormatting>
  <printOptions horizontalCentered="1" verticalCentered="1"/>
  <pageMargins left="0.19685039370078741" right="0.19685039370078741" top="0.28000000000000003" bottom="0.17" header="0.25" footer="0.15748031496062992"/>
  <pageSetup scale="65" orientation="landscape" horizontalDpi="300" verticalDpi="300" r:id="rId1"/>
  <headerFooter alignWithMargins="0">
    <oddHeader>&amp;LANEXO I
Pag 10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ESTIMACIÓN 2016</vt:lpstr>
      <vt:lpstr>Dist Mpios 2016</vt:lpstr>
      <vt:lpstr>COEF Art 14 F I</vt:lpstr>
      <vt:lpstr>COEF Art 14 F II</vt:lpstr>
      <vt:lpstr>CALCULO GARANTIA</vt:lpstr>
      <vt:lpstr>'CALCULO GARANTIA'!Área_de_impresión</vt:lpstr>
      <vt:lpstr>'COEF Art 14 F I'!Área_de_impresión</vt:lpstr>
      <vt:lpstr>'COEF Art 14 F II'!Área_de_impresión</vt:lpstr>
      <vt:lpstr>'Dist Mpios 2016'!Área_de_impresión</vt:lpstr>
      <vt:lpstr>'ESTIMACIÓN 2016'!Área_de_impresión</vt:lpstr>
      <vt:lpstr>'COEF Art 14 F I'!Títulos_a_imprimir</vt:lpstr>
      <vt:lpstr>'COEF Art 14 F II'!Títulos_a_imprimir</vt:lpstr>
      <vt:lpstr>'Dist Mpios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César Gabriel Rivera Cantú</cp:lastModifiedBy>
  <cp:lastPrinted>2016-01-28T15:11:12Z</cp:lastPrinted>
  <dcterms:created xsi:type="dcterms:W3CDTF">2009-12-17T23:31:03Z</dcterms:created>
  <dcterms:modified xsi:type="dcterms:W3CDTF">2016-02-11T16:28:56Z</dcterms:modified>
</cp:coreProperties>
</file>