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rivera\Desktop\Participaciones 2016\Acuerdo 3 part federales\"/>
    </mc:Choice>
  </mc:AlternateContent>
  <bookViews>
    <workbookView xWindow="0" yWindow="30" windowWidth="11250" windowHeight="7680" activeTab="6"/>
  </bookViews>
  <sheets>
    <sheet name="COEF Art 14 F I" sheetId="1" r:id="rId1"/>
    <sheet name="COEF Art 14 F II" sheetId="36" r:id="rId2"/>
    <sheet name="observado 2016" sheetId="39" r:id="rId3"/>
    <sheet name="CALCULO GARANTIA" sheetId="28" r:id="rId4"/>
    <sheet name="coef definitivo 2016" sheetId="46" r:id="rId5"/>
    <sheet name="pagado 2016" sheetId="42" r:id="rId6"/>
    <sheet name="ajuste" sheetId="45" r:id="rId7"/>
  </sheets>
  <externalReferences>
    <externalReference r:id="rId8"/>
    <externalReference r:id="rId9"/>
  </externalReferences>
  <definedNames>
    <definedName name="_xlnm._FilterDatabase" localSheetId="6" hidden="1">ajuste!#REF!</definedName>
    <definedName name="_xlnm._FilterDatabase" localSheetId="4" hidden="1">'coef definitivo 2016'!#REF!</definedName>
    <definedName name="_xlnm._FilterDatabase" localSheetId="5" hidden="1">'pagado 2016'!#REF!</definedName>
    <definedName name="A_impresión_IM" localSheetId="6">#REF!</definedName>
    <definedName name="A_impresión_IM" localSheetId="3">#REF!</definedName>
    <definedName name="A_impresión_IM" localSheetId="1">#REF!</definedName>
    <definedName name="A_impresión_IM" localSheetId="4">#REF!</definedName>
    <definedName name="A_impresión_IM" localSheetId="2">#REF!</definedName>
    <definedName name="A_impresión_IM" localSheetId="5">#REF!</definedName>
    <definedName name="A_impresión_IM">#REF!</definedName>
    <definedName name="AJUSTES" localSheetId="6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2" hidden="1">{"'beneficiarios'!$A$1:$C$7"}</definedName>
    <definedName name="AJUSTES" localSheetId="5" hidden="1">{"'beneficiarios'!$A$1:$C$7"}</definedName>
    <definedName name="AJUSTES" hidden="1">{"'beneficiarios'!$A$1:$C$7"}</definedName>
    <definedName name="_xlnm.Print_Area" localSheetId="6">ajuste!$A$1:$I$60</definedName>
    <definedName name="_xlnm.Print_Area" localSheetId="3">'CALCULO GARANTIA'!$A$1:$N$61</definedName>
    <definedName name="_xlnm.Print_Area" localSheetId="0">'COEF Art 14 F I'!$A$3:$AQ$61</definedName>
    <definedName name="_xlnm.Print_Area" localSheetId="1">'COEF Art 14 F II'!$A$3:$N$63</definedName>
    <definedName name="_xlnm.Print_Area" localSheetId="4">'coef definitivo 2016'!$A$1:$I$60</definedName>
    <definedName name="_xlnm.Print_Area" localSheetId="2">'observado 2016'!$A$1:$R$12</definedName>
    <definedName name="_xlnm.Print_Area" localSheetId="5">'pagado 2016'!$A$1:$I$60</definedName>
    <definedName name="_xlnm.Database" localSheetId="6">#REF!</definedName>
    <definedName name="_xlnm.Database" localSheetId="3">#REF!</definedName>
    <definedName name="_xlnm.Database" localSheetId="1">#REF!</definedName>
    <definedName name="_xlnm.Database" localSheetId="4">#REF!</definedName>
    <definedName name="_xlnm.Database" localSheetId="2">#REF!</definedName>
    <definedName name="_xlnm.Database" localSheetId="5">#REF!</definedName>
    <definedName name="_xlnm.Database">#REF!</definedName>
    <definedName name="cierre_2001" localSheetId="6">'[1]deuda c sadm'!#REF!</definedName>
    <definedName name="cierre_2001" localSheetId="1">'[1]deuda c sadm'!#REF!</definedName>
    <definedName name="cierre_2001" localSheetId="4">'[1]deuda c sadm'!#REF!</definedName>
    <definedName name="cierre_2001" localSheetId="2">'[1]deuda c sadm'!#REF!</definedName>
    <definedName name="cierre_2001" localSheetId="5">'[1]deuda c sadm'!#REF!</definedName>
    <definedName name="cierre_2001">'[1]deuda c sadm'!#REF!</definedName>
    <definedName name="deuda" localSheetId="6">'[1]deuda c sadm'!#REF!</definedName>
    <definedName name="deuda" localSheetId="1">'[1]deuda c sadm'!#REF!</definedName>
    <definedName name="deuda" localSheetId="4">'[1]deuda c sadm'!#REF!</definedName>
    <definedName name="deuda" localSheetId="2">'[1]deuda c sadm'!#REF!</definedName>
    <definedName name="deuda" localSheetId="5">'[1]deuda c sadm'!#REF!</definedName>
    <definedName name="deuda">'[1]deuda c sadm'!#REF!</definedName>
    <definedName name="Deuda_ingTot" localSheetId="6">'[1]deuda c sadm'!#REF!</definedName>
    <definedName name="Deuda_ingTot" localSheetId="1">'[1]deuda c sadm'!#REF!</definedName>
    <definedName name="Deuda_ingTot" localSheetId="4">'[1]deuda c sadm'!#REF!</definedName>
    <definedName name="Deuda_ingTot" localSheetId="2">'[1]deuda c sadm'!#REF!</definedName>
    <definedName name="Deuda_ingTot" localSheetId="5">'[1]deuda c sadm'!#REF!</definedName>
    <definedName name="Deuda_ingTot">'[1]deuda c sadm'!#REF!</definedName>
    <definedName name="ENERO" localSheetId="6">#REF!</definedName>
    <definedName name="ENERO" localSheetId="3">#REF!</definedName>
    <definedName name="ENERO" localSheetId="1">#REF!</definedName>
    <definedName name="ENERO" localSheetId="4">#REF!</definedName>
    <definedName name="ENERO" localSheetId="2">#REF!</definedName>
    <definedName name="ENERO" localSheetId="5">#REF!</definedName>
    <definedName name="ENERO">#REF!</definedName>
    <definedName name="Fto_1" localSheetId="6">#REF!</definedName>
    <definedName name="Fto_1" localSheetId="3">#REF!</definedName>
    <definedName name="Fto_1" localSheetId="1">#REF!</definedName>
    <definedName name="Fto_1" localSheetId="4">#REF!</definedName>
    <definedName name="Fto_1" localSheetId="2">#REF!</definedName>
    <definedName name="Fto_1" localSheetId="5">#REF!</definedName>
    <definedName name="Fto_1">#REF!</definedName>
    <definedName name="HTML_CodePage" hidden="1">1252</definedName>
    <definedName name="HTML_Control" localSheetId="6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2" hidden="1">{"'beneficiarios'!$A$1:$C$7"}</definedName>
    <definedName name="HTML_Control" localSheetId="5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6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2" hidden="1">{"'beneficiarios'!$A$1:$C$7"}</definedName>
    <definedName name="INDICADORES" localSheetId="5" hidden="1">{"'beneficiarios'!$A$1:$C$7"}</definedName>
    <definedName name="INDICADORES" hidden="1">{"'beneficiarios'!$A$1:$C$7"}</definedName>
    <definedName name="ingresofederales" localSheetId="6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2" hidden="1">{"'beneficiarios'!$A$1:$C$7"}</definedName>
    <definedName name="ingresofederales" localSheetId="5" hidden="1">{"'beneficiarios'!$A$1:$C$7"}</definedName>
    <definedName name="ingresofederales" hidden="1">{"'beneficiarios'!$A$1:$C$7"}</definedName>
    <definedName name="Notas_Fto_1" localSheetId="6">#REF!</definedName>
    <definedName name="Notas_Fto_1" localSheetId="1">#REF!</definedName>
    <definedName name="Notas_Fto_1" localSheetId="4">#REF!</definedName>
    <definedName name="Notas_Fto_1" localSheetId="2">#REF!</definedName>
    <definedName name="Notas_Fto_1" localSheetId="5">#REF!</definedName>
    <definedName name="Notas_Fto_1">#REF!</definedName>
    <definedName name="Partidas">[2]TECHO!$B$1:$Q$2798</definedName>
    <definedName name="SINAJUSTE" localSheetId="6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2" hidden="1">{"'beneficiarios'!$A$1:$C$7"}</definedName>
    <definedName name="SINAJUSTE" localSheetId="5" hidden="1">{"'beneficiarios'!$A$1:$C$7"}</definedName>
    <definedName name="SINAJUSTE" hidden="1">{"'beneficiarios'!$A$1:$C$7"}</definedName>
    <definedName name="t" localSheetId="6">#REF!</definedName>
    <definedName name="t" localSheetId="4">#REF!</definedName>
    <definedName name="t" localSheetId="2">#REF!</definedName>
    <definedName name="t" localSheetId="5">#REF!</definedName>
    <definedName name="t">#REF!</definedName>
    <definedName name="_xlnm.Print_Titles" localSheetId="6">ajuste!$1:$4</definedName>
    <definedName name="_xlnm.Print_Titles" localSheetId="0">'COEF Art 14 F I'!$A:$A,'COEF Art 14 F I'!$3:$3</definedName>
    <definedName name="_xlnm.Print_Titles" localSheetId="4">'coef definitivo 2016'!$1:$4</definedName>
    <definedName name="_xlnm.Print_Titles" localSheetId="5">'pagado 2016'!$1:$4</definedName>
    <definedName name="TOT" localSheetId="6">#REF!</definedName>
    <definedName name="TOT" localSheetId="1">#REF!</definedName>
    <definedName name="TOT" localSheetId="4">#REF!</definedName>
    <definedName name="TOT" localSheetId="2">#REF!</definedName>
    <definedName name="TOT" localSheetId="5">#REF!</definedName>
    <definedName name="TOT">#REF!</definedName>
    <definedName name="TOTAL" localSheetId="6">#REF!</definedName>
    <definedName name="TOTAL" localSheetId="1">#REF!</definedName>
    <definedName name="TOTAL" localSheetId="4">#REF!</definedName>
    <definedName name="TOTAL" localSheetId="2">#REF!</definedName>
    <definedName name="TOTAL" localSheetId="5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B22" i="39" l="1"/>
  <c r="O5" i="39" l="1"/>
  <c r="O6" i="39"/>
  <c r="O7" i="39"/>
  <c r="O8" i="39"/>
  <c r="O9" i="39"/>
  <c r="O10" i="39"/>
  <c r="O4" i="39"/>
  <c r="C59" i="1" l="1"/>
  <c r="B7" i="39" l="1"/>
  <c r="I11" i="39" l="1"/>
  <c r="J11" i="39"/>
  <c r="K11" i="39"/>
  <c r="L11" i="39"/>
  <c r="M11" i="39"/>
  <c r="N11" i="39"/>
  <c r="H10" i="39"/>
  <c r="P10" i="39" s="1"/>
  <c r="H9" i="39"/>
  <c r="P9" i="39" s="1"/>
  <c r="H8" i="39"/>
  <c r="P8" i="39" s="1"/>
  <c r="H7" i="39"/>
  <c r="P7" i="39" s="1"/>
  <c r="H6" i="39"/>
  <c r="P6" i="39" s="1"/>
  <c r="H5" i="39"/>
  <c r="P5" i="39" s="1"/>
  <c r="H4" i="39"/>
  <c r="P4" i="39" s="1"/>
  <c r="O11" i="39" l="1"/>
  <c r="B11" i="39"/>
  <c r="C11" i="39"/>
  <c r="D11" i="39"/>
  <c r="E11" i="39"/>
  <c r="F11" i="39"/>
  <c r="G11" i="39"/>
  <c r="H11" i="39" l="1"/>
  <c r="P11" i="39" l="1"/>
  <c r="R10" i="39" l="1"/>
  <c r="R9" i="39"/>
  <c r="M6" i="36" l="1"/>
  <c r="R8" i="39" l="1"/>
  <c r="R7" i="39" l="1"/>
  <c r="R6" i="39"/>
  <c r="R5" i="39"/>
  <c r="R4" i="39"/>
  <c r="AP6" i="1" l="1"/>
  <c r="R11" i="39"/>
  <c r="C57" i="28"/>
  <c r="C55" i="28"/>
  <c r="C44" i="28"/>
  <c r="C38" i="28"/>
  <c r="C33" i="28"/>
  <c r="C32" i="28"/>
  <c r="C26" i="28"/>
  <c r="C17" i="28"/>
  <c r="C16" i="28"/>
  <c r="C15" i="28"/>
  <c r="C14" i="28"/>
  <c r="C12" i="28"/>
  <c r="C11" i="28"/>
  <c r="C8" i="28" l="1"/>
  <c r="C10" i="28"/>
  <c r="C18" i="28"/>
  <c r="C20" i="28"/>
  <c r="C22" i="28"/>
  <c r="C24" i="28"/>
  <c r="C28" i="28"/>
  <c r="C30" i="28"/>
  <c r="C34" i="28"/>
  <c r="C36" i="28"/>
  <c r="C40" i="28"/>
  <c r="C42" i="28"/>
  <c r="C46" i="28"/>
  <c r="C48" i="28"/>
  <c r="C50" i="28"/>
  <c r="C52" i="28"/>
  <c r="C54" i="28"/>
  <c r="C56" i="28"/>
  <c r="C9" i="28"/>
  <c r="C13" i="28"/>
  <c r="C19" i="28"/>
  <c r="C21" i="28"/>
  <c r="C23" i="28"/>
  <c r="C25" i="28"/>
  <c r="C27" i="28"/>
  <c r="C29" i="28"/>
  <c r="C31" i="28"/>
  <c r="C35" i="28"/>
  <c r="C37" i="28"/>
  <c r="C39" i="28"/>
  <c r="C41" i="28"/>
  <c r="C43" i="28"/>
  <c r="C45" i="28"/>
  <c r="C47" i="28"/>
  <c r="C49" i="28"/>
  <c r="C51" i="28"/>
  <c r="C53" i="28"/>
  <c r="B58" i="28" l="1"/>
  <c r="AD58" i="1" l="1"/>
  <c r="AC58" i="1"/>
  <c r="AB58" i="1"/>
  <c r="AA58" i="1"/>
  <c r="AD57" i="1"/>
  <c r="AC57" i="1"/>
  <c r="AB57" i="1"/>
  <c r="AA57" i="1"/>
  <c r="AE57" i="1" s="1"/>
  <c r="AD56" i="1"/>
  <c r="AC56" i="1"/>
  <c r="AB56" i="1"/>
  <c r="AA56" i="1"/>
  <c r="AE56" i="1" s="1"/>
  <c r="AD55" i="1"/>
  <c r="AC55" i="1"/>
  <c r="AB55" i="1"/>
  <c r="AA55" i="1"/>
  <c r="AE55" i="1" s="1"/>
  <c r="AD54" i="1"/>
  <c r="AC54" i="1"/>
  <c r="AB54" i="1"/>
  <c r="AA54" i="1"/>
  <c r="AE54" i="1" s="1"/>
  <c r="AD53" i="1"/>
  <c r="AC53" i="1"/>
  <c r="AB53" i="1"/>
  <c r="AA53" i="1"/>
  <c r="AE53" i="1" s="1"/>
  <c r="AD52" i="1"/>
  <c r="AC52" i="1"/>
  <c r="AB52" i="1"/>
  <c r="AA52" i="1"/>
  <c r="AE52" i="1" s="1"/>
  <c r="AD51" i="1"/>
  <c r="AC51" i="1"/>
  <c r="AB51" i="1"/>
  <c r="AA51" i="1"/>
  <c r="AE51" i="1" s="1"/>
  <c r="AD50" i="1"/>
  <c r="AC50" i="1"/>
  <c r="AB50" i="1"/>
  <c r="AA50" i="1"/>
  <c r="AE50" i="1" s="1"/>
  <c r="AD49" i="1"/>
  <c r="AC49" i="1"/>
  <c r="AB49" i="1"/>
  <c r="AA49" i="1"/>
  <c r="AE49" i="1" s="1"/>
  <c r="AD48" i="1"/>
  <c r="AC48" i="1"/>
  <c r="AB48" i="1"/>
  <c r="AA48" i="1"/>
  <c r="AE48" i="1" s="1"/>
  <c r="AD47" i="1"/>
  <c r="AC47" i="1"/>
  <c r="AB47" i="1"/>
  <c r="AA47" i="1"/>
  <c r="AE47" i="1" s="1"/>
  <c r="AD46" i="1"/>
  <c r="AC46" i="1"/>
  <c r="AB46" i="1"/>
  <c r="AA46" i="1"/>
  <c r="AE46" i="1" s="1"/>
  <c r="AD45" i="1"/>
  <c r="AC45" i="1"/>
  <c r="AB45" i="1"/>
  <c r="AA45" i="1"/>
  <c r="AE45" i="1" s="1"/>
  <c r="AD44" i="1"/>
  <c r="AC44" i="1"/>
  <c r="AB44" i="1"/>
  <c r="AA44" i="1"/>
  <c r="AE44" i="1" s="1"/>
  <c r="AD43" i="1"/>
  <c r="AC43" i="1"/>
  <c r="AB43" i="1"/>
  <c r="AA43" i="1"/>
  <c r="AE43" i="1" s="1"/>
  <c r="AD42" i="1"/>
  <c r="AC42" i="1"/>
  <c r="AB42" i="1"/>
  <c r="AA42" i="1"/>
  <c r="AE42" i="1" s="1"/>
  <c r="AD41" i="1"/>
  <c r="AC41" i="1"/>
  <c r="AB41" i="1"/>
  <c r="AA41" i="1"/>
  <c r="AE41" i="1" s="1"/>
  <c r="AD40" i="1"/>
  <c r="AC40" i="1"/>
  <c r="AB40" i="1"/>
  <c r="AA40" i="1"/>
  <c r="AE40" i="1" s="1"/>
  <c r="AD39" i="1"/>
  <c r="AC39" i="1"/>
  <c r="AB39" i="1"/>
  <c r="AA39" i="1"/>
  <c r="AE39" i="1" s="1"/>
  <c r="AD38" i="1"/>
  <c r="AC38" i="1"/>
  <c r="AB38" i="1"/>
  <c r="AA38" i="1"/>
  <c r="AE38" i="1" s="1"/>
  <c r="AD37" i="1"/>
  <c r="AC37" i="1"/>
  <c r="AB37" i="1"/>
  <c r="AA37" i="1"/>
  <c r="AE37" i="1" s="1"/>
  <c r="AD36" i="1"/>
  <c r="AC36" i="1"/>
  <c r="AB36" i="1"/>
  <c r="AA36" i="1"/>
  <c r="AE36" i="1" s="1"/>
  <c r="AD35" i="1"/>
  <c r="AC35" i="1"/>
  <c r="AB35" i="1"/>
  <c r="AA35" i="1"/>
  <c r="AE35" i="1" s="1"/>
  <c r="AD34" i="1"/>
  <c r="AC34" i="1"/>
  <c r="AB34" i="1"/>
  <c r="AA34" i="1"/>
  <c r="AE34" i="1" s="1"/>
  <c r="AD33" i="1"/>
  <c r="AC33" i="1"/>
  <c r="AB33" i="1"/>
  <c r="AA33" i="1"/>
  <c r="AE33" i="1" s="1"/>
  <c r="AD32" i="1"/>
  <c r="AC32" i="1"/>
  <c r="AB32" i="1"/>
  <c r="AA32" i="1"/>
  <c r="AE32" i="1" s="1"/>
  <c r="AD31" i="1"/>
  <c r="AC31" i="1"/>
  <c r="AB31" i="1"/>
  <c r="AA31" i="1"/>
  <c r="AE31" i="1" s="1"/>
  <c r="AD30" i="1"/>
  <c r="AC30" i="1"/>
  <c r="AB30" i="1"/>
  <c r="AA30" i="1"/>
  <c r="AE30" i="1" s="1"/>
  <c r="AD29" i="1"/>
  <c r="AC29" i="1"/>
  <c r="AB29" i="1"/>
  <c r="AA29" i="1"/>
  <c r="AE29" i="1" s="1"/>
  <c r="AD28" i="1"/>
  <c r="AC28" i="1"/>
  <c r="AB28" i="1"/>
  <c r="AA28" i="1"/>
  <c r="AE28" i="1" s="1"/>
  <c r="AD27" i="1"/>
  <c r="AC27" i="1"/>
  <c r="AB27" i="1"/>
  <c r="AA27" i="1"/>
  <c r="AE27" i="1" s="1"/>
  <c r="AD26" i="1"/>
  <c r="AC26" i="1"/>
  <c r="AB26" i="1"/>
  <c r="AA26" i="1"/>
  <c r="AE26" i="1" s="1"/>
  <c r="AD25" i="1"/>
  <c r="AC25" i="1"/>
  <c r="AB25" i="1"/>
  <c r="AA25" i="1"/>
  <c r="AE25" i="1" s="1"/>
  <c r="AD24" i="1"/>
  <c r="AC24" i="1"/>
  <c r="AB24" i="1"/>
  <c r="AA24" i="1"/>
  <c r="AE24" i="1" s="1"/>
  <c r="AD23" i="1"/>
  <c r="AC23" i="1"/>
  <c r="AB23" i="1"/>
  <c r="AA23" i="1"/>
  <c r="AE23" i="1" s="1"/>
  <c r="AD22" i="1"/>
  <c r="AC22" i="1"/>
  <c r="AB22" i="1"/>
  <c r="AA22" i="1"/>
  <c r="AE22" i="1" s="1"/>
  <c r="AD21" i="1"/>
  <c r="AC21" i="1"/>
  <c r="AB21" i="1"/>
  <c r="AA21" i="1"/>
  <c r="AD20" i="1"/>
  <c r="AC20" i="1"/>
  <c r="AB20" i="1"/>
  <c r="AA20" i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D10" i="1"/>
  <c r="AC10" i="1"/>
  <c r="AB10" i="1"/>
  <c r="AA10" i="1"/>
  <c r="AD9" i="1"/>
  <c r="AC9" i="1"/>
  <c r="AB9" i="1"/>
  <c r="AA9" i="1"/>
  <c r="AD8" i="1"/>
  <c r="AD59" i="1" s="1"/>
  <c r="AC8" i="1"/>
  <c r="AC59" i="1" s="1"/>
  <c r="AB8" i="1"/>
  <c r="AB59" i="1" s="1"/>
  <c r="AA8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V37" i="1" s="1"/>
  <c r="U36" i="1"/>
  <c r="T36" i="1"/>
  <c r="S36" i="1"/>
  <c r="R36" i="1"/>
  <c r="V36" i="1" s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V33" i="1" s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V30" i="1" s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V27" i="1" s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V24" i="1" s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V18" i="1" s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V15" i="1" s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V12" i="1" s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V9" i="1" s="1"/>
  <c r="U8" i="1"/>
  <c r="U59" i="1" s="1"/>
  <c r="T8" i="1"/>
  <c r="T59" i="1" s="1"/>
  <c r="S8" i="1"/>
  <c r="S59" i="1" s="1"/>
  <c r="R8" i="1"/>
  <c r="R59" i="1" s="1"/>
  <c r="V39" i="1" l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5" i="1"/>
  <c r="V56" i="1"/>
  <c r="V57" i="1"/>
  <c r="V5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58" i="1"/>
  <c r="V21" i="1"/>
  <c r="V38" i="1"/>
  <c r="V54" i="1"/>
  <c r="AG54" i="1" s="1"/>
  <c r="AH54" i="1" s="1"/>
  <c r="AA59" i="1"/>
  <c r="V20" i="1"/>
  <c r="AE8" i="1"/>
  <c r="AF8" i="1" s="1"/>
  <c r="V8" i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B59" i="1"/>
  <c r="AE59" i="1"/>
  <c r="AG58" i="1"/>
  <c r="AH58" i="1" s="1"/>
  <c r="AF58" i="1"/>
  <c r="AG57" i="1"/>
  <c r="AH57" i="1" s="1"/>
  <c r="AF57" i="1"/>
  <c r="AG56" i="1"/>
  <c r="AH56" i="1" s="1"/>
  <c r="AF56" i="1"/>
  <c r="AG55" i="1"/>
  <c r="AH55" i="1" s="1"/>
  <c r="AF55" i="1"/>
  <c r="AF54" i="1"/>
  <c r="AG53" i="1"/>
  <c r="AH53" i="1" s="1"/>
  <c r="AF53" i="1"/>
  <c r="AG52" i="1"/>
  <c r="AH52" i="1" s="1"/>
  <c r="AF52" i="1"/>
  <c r="AG51" i="1"/>
  <c r="AH51" i="1" s="1"/>
  <c r="AF51" i="1"/>
  <c r="AG50" i="1"/>
  <c r="AH50" i="1" s="1"/>
  <c r="AF50" i="1"/>
  <c r="AG49" i="1"/>
  <c r="AH49" i="1" s="1"/>
  <c r="AF49" i="1"/>
  <c r="AG48" i="1"/>
  <c r="AH48" i="1" s="1"/>
  <c r="AF48" i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2" i="1"/>
  <c r="AH42" i="1" s="1"/>
  <c r="AF42" i="1"/>
  <c r="AG41" i="1"/>
  <c r="AH41" i="1" s="1"/>
  <c r="AF41" i="1"/>
  <c r="AG40" i="1"/>
  <c r="AH40" i="1" s="1"/>
  <c r="AF40" i="1"/>
  <c r="AG39" i="1"/>
  <c r="AH39" i="1" s="1"/>
  <c r="AF39" i="1"/>
  <c r="AG38" i="1"/>
  <c r="AH38" i="1" s="1"/>
  <c r="AF38" i="1"/>
  <c r="AG37" i="1"/>
  <c r="AH37" i="1" s="1"/>
  <c r="AF37" i="1"/>
  <c r="AG36" i="1"/>
  <c r="AH36" i="1" s="1"/>
  <c r="AF36" i="1"/>
  <c r="AG35" i="1"/>
  <c r="AH35" i="1" s="1"/>
  <c r="AF35" i="1"/>
  <c r="AG34" i="1"/>
  <c r="AH34" i="1" s="1"/>
  <c r="AF34" i="1"/>
  <c r="AG33" i="1"/>
  <c r="AH33" i="1" s="1"/>
  <c r="AF33" i="1"/>
  <c r="AG32" i="1"/>
  <c r="AH32" i="1" s="1"/>
  <c r="AF32" i="1"/>
  <c r="AG31" i="1"/>
  <c r="AH31" i="1" s="1"/>
  <c r="AF31" i="1"/>
  <c r="AG30" i="1"/>
  <c r="AH30" i="1" s="1"/>
  <c r="AF30" i="1"/>
  <c r="AG29" i="1"/>
  <c r="AH29" i="1" s="1"/>
  <c r="AF29" i="1"/>
  <c r="AG28" i="1"/>
  <c r="AH28" i="1" s="1"/>
  <c r="AF28" i="1"/>
  <c r="AG27" i="1"/>
  <c r="AH27" i="1" s="1"/>
  <c r="AF27" i="1"/>
  <c r="AG26" i="1"/>
  <c r="AH26" i="1" s="1"/>
  <c r="AF26" i="1"/>
  <c r="AG25" i="1"/>
  <c r="AH25" i="1" s="1"/>
  <c r="AF25" i="1"/>
  <c r="AG24" i="1"/>
  <c r="AH24" i="1" s="1"/>
  <c r="AF24" i="1"/>
  <c r="AG23" i="1"/>
  <c r="AH23" i="1" s="1"/>
  <c r="AF23" i="1"/>
  <c r="AG22" i="1"/>
  <c r="AH22" i="1" s="1"/>
  <c r="AF22" i="1"/>
  <c r="AG21" i="1"/>
  <c r="AH21" i="1" s="1"/>
  <c r="AF21" i="1"/>
  <c r="AG20" i="1"/>
  <c r="AH20" i="1" s="1"/>
  <c r="AF20" i="1"/>
  <c r="AG19" i="1"/>
  <c r="AH19" i="1" s="1"/>
  <c r="AF19" i="1"/>
  <c r="AG18" i="1"/>
  <c r="AH18" i="1" s="1"/>
  <c r="AF18" i="1"/>
  <c r="AG17" i="1"/>
  <c r="AH17" i="1" s="1"/>
  <c r="AF17" i="1"/>
  <c r="AG16" i="1"/>
  <c r="AH16" i="1" s="1"/>
  <c r="AF16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G9" i="1"/>
  <c r="AH9" i="1" s="1"/>
  <c r="AF9" i="1"/>
  <c r="AG8" i="1"/>
  <c r="AH8" i="1" s="1"/>
  <c r="V59" i="1" l="1"/>
  <c r="F17" i="36"/>
  <c r="K17" i="36" s="1"/>
  <c r="C12" i="36"/>
  <c r="F8" i="36"/>
  <c r="F33" i="36"/>
  <c r="F12" i="36"/>
  <c r="F25" i="36"/>
  <c r="F41" i="36"/>
  <c r="K41" i="36" s="1"/>
  <c r="F10" i="36"/>
  <c r="F14" i="36"/>
  <c r="K14" i="36" s="1"/>
  <c r="F21" i="36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 s="1"/>
  <c r="AJ9" i="1" s="1"/>
  <c r="AK9" i="1" s="1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I11" i="1"/>
  <c r="AJ11" i="1" s="1"/>
  <c r="AK11" i="1" s="1"/>
  <c r="AF59" i="1"/>
  <c r="D8" i="1"/>
  <c r="E8" i="1" s="1"/>
  <c r="E59" i="1" s="1"/>
  <c r="K8" i="36"/>
  <c r="K10" i="36"/>
  <c r="K12" i="36"/>
  <c r="K9" i="36"/>
  <c r="K11" i="36"/>
  <c r="K13" i="36"/>
  <c r="K15" i="36"/>
  <c r="K21" i="36"/>
  <c r="K25" i="36"/>
  <c r="K33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AI30" i="1" l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AO6" i="1" l="1"/>
  <c r="AM6" i="1"/>
  <c r="AN6" i="1"/>
  <c r="F59" i="1"/>
  <c r="AI59" i="1"/>
  <c r="J59" i="36"/>
  <c r="AJ59" i="1"/>
  <c r="AK8" i="1"/>
  <c r="AM57" i="1" l="1"/>
  <c r="AM55" i="1"/>
  <c r="AM53" i="1"/>
  <c r="AM51" i="1"/>
  <c r="AM49" i="1"/>
  <c r="AM47" i="1"/>
  <c r="AM45" i="1"/>
  <c r="AM43" i="1"/>
  <c r="AM41" i="1"/>
  <c r="AM39" i="1"/>
  <c r="AM37" i="1"/>
  <c r="AM35" i="1"/>
  <c r="AM33" i="1"/>
  <c r="AM31" i="1"/>
  <c r="AM29" i="1"/>
  <c r="AM27" i="1"/>
  <c r="AM25" i="1"/>
  <c r="AM23" i="1"/>
  <c r="AM21" i="1"/>
  <c r="AM19" i="1"/>
  <c r="AM17" i="1"/>
  <c r="AM15" i="1"/>
  <c r="AM13" i="1"/>
  <c r="AM11" i="1"/>
  <c r="AM9" i="1"/>
  <c r="AM58" i="1"/>
  <c r="AM56" i="1"/>
  <c r="AM54" i="1"/>
  <c r="AM52" i="1"/>
  <c r="AM50" i="1"/>
  <c r="AM48" i="1"/>
  <c r="AM46" i="1"/>
  <c r="AM44" i="1"/>
  <c r="AM42" i="1"/>
  <c r="AM40" i="1"/>
  <c r="AM38" i="1"/>
  <c r="AM36" i="1"/>
  <c r="AM34" i="1"/>
  <c r="AM32" i="1"/>
  <c r="AM30" i="1"/>
  <c r="AM28" i="1"/>
  <c r="AM26" i="1"/>
  <c r="AM24" i="1"/>
  <c r="AM22" i="1"/>
  <c r="AM20" i="1"/>
  <c r="AM18" i="1"/>
  <c r="AM16" i="1"/>
  <c r="AM14" i="1"/>
  <c r="AM12" i="1"/>
  <c r="AM10" i="1"/>
  <c r="AM8" i="1"/>
  <c r="AO58" i="1"/>
  <c r="AO56" i="1"/>
  <c r="AO54" i="1"/>
  <c r="AO52" i="1"/>
  <c r="AO50" i="1"/>
  <c r="AO48" i="1"/>
  <c r="AO46" i="1"/>
  <c r="AO44" i="1"/>
  <c r="AO42" i="1"/>
  <c r="AO40" i="1"/>
  <c r="AO38" i="1"/>
  <c r="AO36" i="1"/>
  <c r="AO34" i="1"/>
  <c r="AO32" i="1"/>
  <c r="AO30" i="1"/>
  <c r="AO28" i="1"/>
  <c r="AO26" i="1"/>
  <c r="AO24" i="1"/>
  <c r="AO22" i="1"/>
  <c r="AO20" i="1"/>
  <c r="AO18" i="1"/>
  <c r="AO16" i="1"/>
  <c r="AO14" i="1"/>
  <c r="AO12" i="1"/>
  <c r="AO10" i="1"/>
  <c r="AO13" i="1"/>
  <c r="AO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5" i="1"/>
  <c r="AO23" i="1"/>
  <c r="AO21" i="1"/>
  <c r="AO19" i="1"/>
  <c r="AO17" i="1"/>
  <c r="AO15" i="1"/>
  <c r="AO11" i="1"/>
  <c r="AK59" i="1"/>
  <c r="AO8" i="1"/>
  <c r="AO59" i="1" l="1"/>
  <c r="AM59" i="1"/>
  <c r="K59" i="36"/>
  <c r="C7" i="28" l="1"/>
  <c r="C58" i="28" l="1"/>
  <c r="J59" i="1" l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D59" i="1"/>
  <c r="K55" i="1"/>
  <c r="L55" i="1" s="1"/>
  <c r="M55" i="1" s="1"/>
  <c r="AN55" i="1" s="1"/>
  <c r="AP55" i="1" s="1"/>
  <c r="K47" i="1"/>
  <c r="L47" i="1" s="1"/>
  <c r="M47" i="1" s="1"/>
  <c r="AN47" i="1" s="1"/>
  <c r="AP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M49" i="1" s="1"/>
  <c r="AN49" i="1" s="1"/>
  <c r="AP49" i="1" s="1"/>
  <c r="K45" i="1"/>
  <c r="L45" i="1" s="1"/>
  <c r="M45" i="1" s="1"/>
  <c r="AN45" i="1" s="1"/>
  <c r="AP45" i="1" s="1"/>
  <c r="K41" i="1"/>
  <c r="L41" i="1" s="1"/>
  <c r="M41" i="1" s="1"/>
  <c r="AN41" i="1" s="1"/>
  <c r="AP41" i="1" s="1"/>
  <c r="K37" i="1"/>
  <c r="L37" i="1" s="1"/>
  <c r="M37" i="1" s="1"/>
  <c r="AN37" i="1" s="1"/>
  <c r="AP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AN53" i="1" s="1"/>
  <c r="AP53" i="1" s="1"/>
  <c r="I10" i="1"/>
  <c r="I11" i="1"/>
  <c r="I19" i="1"/>
  <c r="M19" i="1" s="1"/>
  <c r="AN19" i="1" s="1"/>
  <c r="AP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35" i="1" l="1"/>
  <c r="AN35" i="1" s="1"/>
  <c r="AP35" i="1" s="1"/>
  <c r="M43" i="1"/>
  <c r="AN43" i="1" s="1"/>
  <c r="AP43" i="1" s="1"/>
  <c r="M15" i="1"/>
  <c r="AN15" i="1" s="1"/>
  <c r="AP15" i="1" s="1"/>
  <c r="M8" i="1"/>
  <c r="AN8" i="1" s="1"/>
  <c r="AP8" i="1" s="1"/>
  <c r="M28" i="1"/>
  <c r="AN28" i="1" s="1"/>
  <c r="AP28" i="1" s="1"/>
  <c r="M44" i="1"/>
  <c r="AN44" i="1" s="1"/>
  <c r="AP44" i="1" s="1"/>
  <c r="M31" i="1"/>
  <c r="AN31" i="1" s="1"/>
  <c r="AP31" i="1" s="1"/>
  <c r="M14" i="1"/>
  <c r="AN14" i="1" s="1"/>
  <c r="AP14" i="1" s="1"/>
  <c r="M46" i="1"/>
  <c r="AN46" i="1" s="1"/>
  <c r="AP46" i="1" s="1"/>
  <c r="M12" i="1"/>
  <c r="AN12" i="1" s="1"/>
  <c r="AP12" i="1" s="1"/>
  <c r="M22" i="1"/>
  <c r="AN22" i="1" s="1"/>
  <c r="AP22" i="1" s="1"/>
  <c r="M38" i="1"/>
  <c r="AN38" i="1" s="1"/>
  <c r="AP38" i="1" s="1"/>
  <c r="M54" i="1"/>
  <c r="AN54" i="1" s="1"/>
  <c r="AP54" i="1" s="1"/>
  <c r="M23" i="1"/>
  <c r="AN23" i="1" s="1"/>
  <c r="AP23" i="1" s="1"/>
  <c r="M18" i="1"/>
  <c r="AN18" i="1" s="1"/>
  <c r="AP18" i="1" s="1"/>
  <c r="M20" i="1"/>
  <c r="AN20" i="1" s="1"/>
  <c r="AP20" i="1" s="1"/>
  <c r="M36" i="1"/>
  <c r="AN36" i="1" s="1"/>
  <c r="AP36" i="1" s="1"/>
  <c r="M52" i="1"/>
  <c r="AN52" i="1" s="1"/>
  <c r="AP52" i="1" s="1"/>
  <c r="M30" i="1"/>
  <c r="AN30" i="1" s="1"/>
  <c r="AP30" i="1" s="1"/>
  <c r="M39" i="1"/>
  <c r="AN39" i="1" s="1"/>
  <c r="AP39" i="1" s="1"/>
  <c r="M51" i="1"/>
  <c r="AN51" i="1" s="1"/>
  <c r="AP51" i="1" s="1"/>
  <c r="M13" i="1"/>
  <c r="AN13" i="1" s="1"/>
  <c r="AP13" i="1" s="1"/>
  <c r="M27" i="1"/>
  <c r="AN27" i="1" s="1"/>
  <c r="AP27" i="1" s="1"/>
  <c r="M11" i="1"/>
  <c r="AN11" i="1" s="1"/>
  <c r="AP11" i="1" s="1"/>
  <c r="M33" i="1"/>
  <c r="AN33" i="1" s="1"/>
  <c r="AP33" i="1" s="1"/>
  <c r="M57" i="1"/>
  <c r="AN57" i="1" s="1"/>
  <c r="AP57" i="1" s="1"/>
  <c r="H59" i="1"/>
  <c r="M21" i="1"/>
  <c r="AN21" i="1" s="1"/>
  <c r="AP21" i="1" s="1"/>
  <c r="M29" i="1"/>
  <c r="AN29" i="1" s="1"/>
  <c r="AP29" i="1" s="1"/>
  <c r="M26" i="1"/>
  <c r="AN26" i="1" s="1"/>
  <c r="AP26" i="1" s="1"/>
  <c r="M34" i="1"/>
  <c r="AN34" i="1" s="1"/>
  <c r="AP34" i="1" s="1"/>
  <c r="M42" i="1"/>
  <c r="AN42" i="1" s="1"/>
  <c r="AP42" i="1" s="1"/>
  <c r="M50" i="1"/>
  <c r="AN50" i="1" s="1"/>
  <c r="AP50" i="1" s="1"/>
  <c r="M58" i="1"/>
  <c r="AN58" i="1" s="1"/>
  <c r="AP58" i="1" s="1"/>
  <c r="M25" i="1"/>
  <c r="AN25" i="1" s="1"/>
  <c r="AP25" i="1" s="1"/>
  <c r="M16" i="1"/>
  <c r="AN16" i="1" s="1"/>
  <c r="AP16" i="1" s="1"/>
  <c r="M24" i="1"/>
  <c r="AN24" i="1" s="1"/>
  <c r="AP24" i="1" s="1"/>
  <c r="M32" i="1"/>
  <c r="AN32" i="1" s="1"/>
  <c r="AP32" i="1" s="1"/>
  <c r="M40" i="1"/>
  <c r="AN40" i="1" s="1"/>
  <c r="AP40" i="1" s="1"/>
  <c r="M48" i="1"/>
  <c r="AN48" i="1" s="1"/>
  <c r="AP48" i="1" s="1"/>
  <c r="M56" i="1"/>
  <c r="AN56" i="1" s="1"/>
  <c r="AP56" i="1" s="1"/>
  <c r="M9" i="1"/>
  <c r="AN9" i="1" s="1"/>
  <c r="AP9" i="1" s="1"/>
  <c r="M17" i="1"/>
  <c r="AN17" i="1" s="1"/>
  <c r="AP17" i="1" s="1"/>
  <c r="L59" i="1"/>
  <c r="M10" i="1"/>
  <c r="AN10" i="1" s="1"/>
  <c r="AP10" i="1" s="1"/>
  <c r="I59" i="1"/>
  <c r="AP59" i="1" l="1"/>
  <c r="AN59" i="1"/>
  <c r="M59" i="1"/>
  <c r="AQ8" i="1" l="1"/>
  <c r="H8" i="36" s="1"/>
  <c r="AQ48" i="1"/>
  <c r="H48" i="36" s="1"/>
  <c r="L48" i="36" s="1"/>
  <c r="M48" i="36" s="1"/>
  <c r="AQ24" i="1"/>
  <c r="H24" i="36" s="1"/>
  <c r="L24" i="36" s="1"/>
  <c r="M24" i="36" s="1"/>
  <c r="AQ16" i="1"/>
  <c r="H16" i="36" s="1"/>
  <c r="L16" i="36" s="1"/>
  <c r="M16" i="36" s="1"/>
  <c r="AQ9" i="1"/>
  <c r="H9" i="36" s="1"/>
  <c r="L9" i="36" s="1"/>
  <c r="M9" i="36" s="1"/>
  <c r="AQ56" i="1"/>
  <c r="H56" i="36" s="1"/>
  <c r="L56" i="36" s="1"/>
  <c r="M56" i="36" s="1"/>
  <c r="AQ32" i="1"/>
  <c r="H32" i="36" s="1"/>
  <c r="L32" i="36" s="1"/>
  <c r="M32" i="36" s="1"/>
  <c r="AQ17" i="1"/>
  <c r="H17" i="36" s="1"/>
  <c r="L17" i="36" s="1"/>
  <c r="M17" i="36" s="1"/>
  <c r="AQ10" i="1"/>
  <c r="H10" i="36" s="1"/>
  <c r="L10" i="36" s="1"/>
  <c r="M10" i="36" s="1"/>
  <c r="AQ40" i="1"/>
  <c r="H40" i="36" s="1"/>
  <c r="L40" i="36" s="1"/>
  <c r="M40" i="36" s="1"/>
  <c r="AQ14" i="1"/>
  <c r="H14" i="36" s="1"/>
  <c r="L14" i="36" s="1"/>
  <c r="M14" i="36" s="1"/>
  <c r="AQ26" i="1"/>
  <c r="H26" i="36" s="1"/>
  <c r="L26" i="36" s="1"/>
  <c r="M26" i="36" s="1"/>
  <c r="AQ42" i="1"/>
  <c r="H42" i="36" s="1"/>
  <c r="L42" i="36" s="1"/>
  <c r="M42" i="36" s="1"/>
  <c r="AQ58" i="1"/>
  <c r="H58" i="36" s="1"/>
  <c r="L58" i="36" s="1"/>
  <c r="M58" i="36" s="1"/>
  <c r="AQ15" i="1"/>
  <c r="H15" i="36" s="1"/>
  <c r="L15" i="36" s="1"/>
  <c r="M15" i="36" s="1"/>
  <c r="AQ43" i="1"/>
  <c r="H43" i="36" s="1"/>
  <c r="L43" i="36" s="1"/>
  <c r="M43" i="36" s="1"/>
  <c r="AQ45" i="1"/>
  <c r="H45" i="36" s="1"/>
  <c r="L45" i="36" s="1"/>
  <c r="M45" i="36" s="1"/>
  <c r="AQ41" i="1"/>
  <c r="H41" i="36" s="1"/>
  <c r="L41" i="36" s="1"/>
  <c r="M41" i="36" s="1"/>
  <c r="AQ57" i="1"/>
  <c r="H57" i="36" s="1"/>
  <c r="L57" i="36" s="1"/>
  <c r="M57" i="36" s="1"/>
  <c r="AQ51" i="1"/>
  <c r="H51" i="36" s="1"/>
  <c r="L51" i="36" s="1"/>
  <c r="M51" i="36" s="1"/>
  <c r="AQ37" i="1"/>
  <c r="H37" i="36" s="1"/>
  <c r="L37" i="36" s="1"/>
  <c r="M37" i="36" s="1"/>
  <c r="AQ54" i="1"/>
  <c r="H54" i="36" s="1"/>
  <c r="L54" i="36" s="1"/>
  <c r="M54" i="36" s="1"/>
  <c r="AQ47" i="1"/>
  <c r="H47" i="36" s="1"/>
  <c r="L47" i="36" s="1"/>
  <c r="M47" i="36" s="1"/>
  <c r="AQ22" i="1"/>
  <c r="H22" i="36" s="1"/>
  <c r="L22" i="36" s="1"/>
  <c r="M22" i="36" s="1"/>
  <c r="AQ34" i="1"/>
  <c r="H34" i="36" s="1"/>
  <c r="L34" i="36" s="1"/>
  <c r="M34" i="36" s="1"/>
  <c r="AQ50" i="1"/>
  <c r="H50" i="36" s="1"/>
  <c r="L50" i="36" s="1"/>
  <c r="M50" i="36" s="1"/>
  <c r="AQ23" i="1"/>
  <c r="H23" i="36" s="1"/>
  <c r="L23" i="36" s="1"/>
  <c r="M23" i="36" s="1"/>
  <c r="AQ35" i="1"/>
  <c r="H35" i="36" s="1"/>
  <c r="L35" i="36" s="1"/>
  <c r="M35" i="36" s="1"/>
  <c r="AQ55" i="1"/>
  <c r="H55" i="36" s="1"/>
  <c r="L55" i="36" s="1"/>
  <c r="M55" i="36" s="1"/>
  <c r="AQ33" i="1"/>
  <c r="H33" i="36" s="1"/>
  <c r="L33" i="36" s="1"/>
  <c r="M33" i="36" s="1"/>
  <c r="AQ49" i="1"/>
  <c r="H49" i="36" s="1"/>
  <c r="L49" i="36" s="1"/>
  <c r="M49" i="36" s="1"/>
  <c r="AQ12" i="1"/>
  <c r="H12" i="36" s="1"/>
  <c r="L12" i="36" s="1"/>
  <c r="M12" i="36" s="1"/>
  <c r="AQ20" i="1"/>
  <c r="H20" i="36" s="1"/>
  <c r="L20" i="36" s="1"/>
  <c r="M20" i="36" s="1"/>
  <c r="AQ28" i="1"/>
  <c r="H28" i="36" s="1"/>
  <c r="L28" i="36" s="1"/>
  <c r="M28" i="36" s="1"/>
  <c r="AQ36" i="1"/>
  <c r="H36" i="36" s="1"/>
  <c r="L36" i="36" s="1"/>
  <c r="M36" i="36" s="1"/>
  <c r="AQ44" i="1"/>
  <c r="H44" i="36" s="1"/>
  <c r="L44" i="36" s="1"/>
  <c r="M44" i="36" s="1"/>
  <c r="AQ52" i="1"/>
  <c r="H52" i="36" s="1"/>
  <c r="L52" i="36" s="1"/>
  <c r="M52" i="36" s="1"/>
  <c r="AQ19" i="1"/>
  <c r="H19" i="36" s="1"/>
  <c r="L19" i="36" s="1"/>
  <c r="M19" i="36" s="1"/>
  <c r="AQ11" i="1"/>
  <c r="H11" i="36" s="1"/>
  <c r="L11" i="36" s="1"/>
  <c r="M11" i="36" s="1"/>
  <c r="AQ21" i="1"/>
  <c r="H21" i="36" s="1"/>
  <c r="L21" i="36" s="1"/>
  <c r="M21" i="36" s="1"/>
  <c r="D20" i="28" s="1"/>
  <c r="AQ39" i="1"/>
  <c r="H39" i="36" s="1"/>
  <c r="L39" i="36" s="1"/>
  <c r="M39" i="36" s="1"/>
  <c r="AQ53" i="1"/>
  <c r="H53" i="36" s="1"/>
  <c r="L53" i="36" s="1"/>
  <c r="M53" i="36" s="1"/>
  <c r="AQ30" i="1"/>
  <c r="H30" i="36" s="1"/>
  <c r="L30" i="36" s="1"/>
  <c r="M30" i="36" s="1"/>
  <c r="AQ46" i="1"/>
  <c r="H46" i="36" s="1"/>
  <c r="L46" i="36" s="1"/>
  <c r="M46" i="36" s="1"/>
  <c r="AQ13" i="1"/>
  <c r="H13" i="36" s="1"/>
  <c r="L13" i="36" s="1"/>
  <c r="M13" i="36" s="1"/>
  <c r="AQ25" i="1"/>
  <c r="H25" i="36" s="1"/>
  <c r="L25" i="36" s="1"/>
  <c r="M25" i="36" s="1"/>
  <c r="AQ27" i="1"/>
  <c r="H27" i="36" s="1"/>
  <c r="L27" i="36" s="1"/>
  <c r="M27" i="36" s="1"/>
  <c r="AQ29" i="1"/>
  <c r="H29" i="36" s="1"/>
  <c r="L29" i="36" s="1"/>
  <c r="M29" i="36" s="1"/>
  <c r="AQ18" i="1"/>
  <c r="H18" i="36" s="1"/>
  <c r="L18" i="36" s="1"/>
  <c r="M18" i="36" s="1"/>
  <c r="AQ38" i="1"/>
  <c r="H38" i="36" s="1"/>
  <c r="L38" i="36" s="1"/>
  <c r="M38" i="36" s="1"/>
  <c r="AQ31" i="1"/>
  <c r="H31" i="36" s="1"/>
  <c r="L31" i="36" s="1"/>
  <c r="M31" i="36" s="1"/>
  <c r="D30" i="28" l="1"/>
  <c r="I30" i="28" s="1"/>
  <c r="D17" i="28"/>
  <c r="I17" i="28" s="1"/>
  <c r="D26" i="28"/>
  <c r="I26" i="28" s="1"/>
  <c r="D12" i="28"/>
  <c r="I12" i="28" s="1"/>
  <c r="D29" i="28"/>
  <c r="I29" i="28" s="1"/>
  <c r="D38" i="28"/>
  <c r="I38" i="28" s="1"/>
  <c r="D10" i="28"/>
  <c r="I10" i="28" s="1"/>
  <c r="D51" i="28"/>
  <c r="I51" i="28" s="1"/>
  <c r="D35" i="28"/>
  <c r="I35" i="28" s="1"/>
  <c r="D19" i="28"/>
  <c r="I19" i="28" s="1"/>
  <c r="D48" i="28"/>
  <c r="I48" i="28" s="1"/>
  <c r="D54" i="28"/>
  <c r="I54" i="28" s="1"/>
  <c r="D22" i="28"/>
  <c r="I22" i="28" s="1"/>
  <c r="D33" i="28"/>
  <c r="I33" i="28" s="1"/>
  <c r="D46" i="28"/>
  <c r="I46" i="28" s="1"/>
  <c r="D36" i="28"/>
  <c r="I36" i="28" s="1"/>
  <c r="D56" i="28"/>
  <c r="I56" i="28" s="1"/>
  <c r="D44" i="28"/>
  <c r="I44" i="28" s="1"/>
  <c r="D14" i="28"/>
  <c r="I14" i="28" s="1"/>
  <c r="D41" i="28"/>
  <c r="I41" i="28" s="1"/>
  <c r="D13" i="28"/>
  <c r="I13" i="28" s="1"/>
  <c r="D9" i="28"/>
  <c r="I9" i="28" s="1"/>
  <c r="D31" i="28"/>
  <c r="I31" i="28" s="1"/>
  <c r="D8" i="28"/>
  <c r="I8" i="28" s="1"/>
  <c r="D23" i="28"/>
  <c r="I23" i="28" s="1"/>
  <c r="D37" i="28"/>
  <c r="I37" i="28" s="1"/>
  <c r="D28" i="28"/>
  <c r="I28" i="28" s="1"/>
  <c r="D24" i="28"/>
  <c r="I24" i="28" s="1"/>
  <c r="D45" i="28"/>
  <c r="I45" i="28" s="1"/>
  <c r="D52" i="28"/>
  <c r="I52" i="28" s="1"/>
  <c r="D18" i="28"/>
  <c r="I18" i="28" s="1"/>
  <c r="D43" i="28"/>
  <c r="I43" i="28" s="1"/>
  <c r="D27" i="28"/>
  <c r="I27" i="28" s="1"/>
  <c r="D11" i="28"/>
  <c r="I11" i="28" s="1"/>
  <c r="D32" i="28"/>
  <c r="I32" i="28" s="1"/>
  <c r="D34" i="28"/>
  <c r="I34" i="28" s="1"/>
  <c r="D49" i="28"/>
  <c r="I49" i="28" s="1"/>
  <c r="D21" i="28"/>
  <c r="I21" i="28" s="1"/>
  <c r="D53" i="28"/>
  <c r="I53" i="28" s="1"/>
  <c r="D50" i="28"/>
  <c r="I50" i="28" s="1"/>
  <c r="D40" i="28"/>
  <c r="I40" i="28" s="1"/>
  <c r="D42" i="28"/>
  <c r="I42" i="28" s="1"/>
  <c r="D57" i="28"/>
  <c r="I57" i="28" s="1"/>
  <c r="D25" i="28"/>
  <c r="I25" i="28" s="1"/>
  <c r="D39" i="28"/>
  <c r="I39" i="28" s="1"/>
  <c r="D16" i="28"/>
  <c r="I16" i="28" s="1"/>
  <c r="D55" i="28"/>
  <c r="I55" i="28" s="1"/>
  <c r="D15" i="28"/>
  <c r="I15" i="28" s="1"/>
  <c r="D47" i="28"/>
  <c r="I47" i="28" s="1"/>
  <c r="AQ59" i="1"/>
  <c r="L8" i="36"/>
  <c r="H59" i="36"/>
  <c r="E32" i="28" l="1"/>
  <c r="E46" i="28"/>
  <c r="E28" i="28"/>
  <c r="E10" i="28"/>
  <c r="E57" i="28"/>
  <c r="E8" i="28"/>
  <c r="E14" i="28"/>
  <c r="E48" i="28"/>
  <c r="E55" i="28"/>
  <c r="E53" i="28"/>
  <c r="E18" i="28"/>
  <c r="E26" i="28"/>
  <c r="E9" i="28"/>
  <c r="E23" i="28"/>
  <c r="E31" i="28"/>
  <c r="E13" i="28"/>
  <c r="E56" i="28"/>
  <c r="E22" i="28"/>
  <c r="E35" i="28"/>
  <c r="E47" i="28"/>
  <c r="E39" i="28"/>
  <c r="E40" i="28"/>
  <c r="E49" i="28"/>
  <c r="E27" i="28"/>
  <c r="E45" i="28"/>
  <c r="E29" i="28"/>
  <c r="E30" i="28"/>
  <c r="E44" i="28"/>
  <c r="E36" i="28"/>
  <c r="E33" i="28"/>
  <c r="E54" i="28"/>
  <c r="E19" i="28"/>
  <c r="E51" i="28"/>
  <c r="E12" i="28"/>
  <c r="E17" i="28"/>
  <c r="E41" i="28"/>
  <c r="E38" i="28"/>
  <c r="E15" i="28"/>
  <c r="E42" i="28"/>
  <c r="E50" i="28"/>
  <c r="E21" i="28"/>
  <c r="E34" i="28"/>
  <c r="E11" i="28"/>
  <c r="E43" i="28"/>
  <c r="E52" i="28"/>
  <c r="E24" i="28"/>
  <c r="E37" i="28"/>
  <c r="E25" i="28"/>
  <c r="E16" i="28"/>
  <c r="F23" i="28"/>
  <c r="F8" i="28"/>
  <c r="G8" i="28" s="1"/>
  <c r="H8" i="28" s="1"/>
  <c r="F31" i="28"/>
  <c r="G31" i="28" s="1"/>
  <c r="H31" i="28" s="1"/>
  <c r="F9" i="28"/>
  <c r="G9" i="28" s="1"/>
  <c r="H9" i="28" s="1"/>
  <c r="F13" i="28"/>
  <c r="G13" i="28" s="1"/>
  <c r="H13" i="28" s="1"/>
  <c r="F41" i="28"/>
  <c r="G41" i="28" s="1"/>
  <c r="H41" i="28" s="1"/>
  <c r="F14" i="28"/>
  <c r="G14" i="28" s="1"/>
  <c r="H14" i="28" s="1"/>
  <c r="F44" i="28"/>
  <c r="G44" i="28" s="1"/>
  <c r="H44" i="28" s="1"/>
  <c r="F56" i="28"/>
  <c r="G56" i="28" s="1"/>
  <c r="H56" i="28" s="1"/>
  <c r="F36" i="28"/>
  <c r="G36" i="28" s="1"/>
  <c r="H36" i="28" s="1"/>
  <c r="F46" i="28"/>
  <c r="G46" i="28" s="1"/>
  <c r="H46" i="28" s="1"/>
  <c r="F33" i="28"/>
  <c r="G33" i="28" s="1"/>
  <c r="H33" i="28" s="1"/>
  <c r="F22" i="28"/>
  <c r="G22" i="28" s="1"/>
  <c r="H22" i="28" s="1"/>
  <c r="F54" i="28"/>
  <c r="G54" i="28" s="1"/>
  <c r="H54" i="28" s="1"/>
  <c r="F48" i="28"/>
  <c r="G48" i="28" s="1"/>
  <c r="H48" i="28" s="1"/>
  <c r="F19" i="28"/>
  <c r="G19" i="28" s="1"/>
  <c r="H19" i="28" s="1"/>
  <c r="F35" i="28"/>
  <c r="G35" i="28" s="1"/>
  <c r="H35" i="28" s="1"/>
  <c r="F51" i="28"/>
  <c r="G51" i="28" s="1"/>
  <c r="H51" i="28" s="1"/>
  <c r="F10" i="28"/>
  <c r="G10" i="28" s="1"/>
  <c r="H10" i="28" s="1"/>
  <c r="F38" i="28"/>
  <c r="G38" i="28" s="1"/>
  <c r="H38" i="28" s="1"/>
  <c r="F12" i="28"/>
  <c r="G12" i="28" s="1"/>
  <c r="H12" i="28" s="1"/>
  <c r="F17" i="28"/>
  <c r="G17" i="28" s="1"/>
  <c r="H17" i="28" s="1"/>
  <c r="F47" i="28"/>
  <c r="G47" i="28" s="1"/>
  <c r="H47" i="28" s="1"/>
  <c r="F15" i="28"/>
  <c r="G15" i="28" s="1"/>
  <c r="H15" i="28" s="1"/>
  <c r="F55" i="28"/>
  <c r="G55" i="28" s="1"/>
  <c r="H55" i="28" s="1"/>
  <c r="F16" i="28"/>
  <c r="G16" i="28" s="1"/>
  <c r="H16" i="28" s="1"/>
  <c r="F39" i="28"/>
  <c r="G39" i="28" s="1"/>
  <c r="H39" i="28" s="1"/>
  <c r="F25" i="28"/>
  <c r="G25" i="28" s="1"/>
  <c r="H25" i="28" s="1"/>
  <c r="F57" i="28"/>
  <c r="G57" i="28" s="1"/>
  <c r="H57" i="28" s="1"/>
  <c r="F42" i="28"/>
  <c r="G42" i="28" s="1"/>
  <c r="H42" i="28" s="1"/>
  <c r="F40" i="28"/>
  <c r="G40" i="28" s="1"/>
  <c r="H40" i="28" s="1"/>
  <c r="F50" i="28"/>
  <c r="G50" i="28" s="1"/>
  <c r="H50" i="28" s="1"/>
  <c r="F53" i="28"/>
  <c r="G53" i="28" s="1"/>
  <c r="H53" i="28" s="1"/>
  <c r="F21" i="28"/>
  <c r="G21" i="28" s="1"/>
  <c r="H21" i="28" s="1"/>
  <c r="F49" i="28"/>
  <c r="G49" i="28" s="1"/>
  <c r="H49" i="28" s="1"/>
  <c r="F34" i="28"/>
  <c r="G34" i="28" s="1"/>
  <c r="H34" i="28" s="1"/>
  <c r="F32" i="28"/>
  <c r="G32" i="28" s="1"/>
  <c r="H32" i="28" s="1"/>
  <c r="F11" i="28"/>
  <c r="G11" i="28" s="1"/>
  <c r="H11" i="28" s="1"/>
  <c r="F27" i="28"/>
  <c r="G27" i="28" s="1"/>
  <c r="H27" i="28" s="1"/>
  <c r="F43" i="28"/>
  <c r="G43" i="28" s="1"/>
  <c r="H43" i="28" s="1"/>
  <c r="F18" i="28"/>
  <c r="G18" i="28" s="1"/>
  <c r="H18" i="28" s="1"/>
  <c r="F52" i="28"/>
  <c r="G52" i="28" s="1"/>
  <c r="H52" i="28" s="1"/>
  <c r="F45" i="28"/>
  <c r="G45" i="28" s="1"/>
  <c r="H45" i="28" s="1"/>
  <c r="F24" i="28"/>
  <c r="G24" i="28" s="1"/>
  <c r="H24" i="28" s="1"/>
  <c r="F28" i="28"/>
  <c r="G28" i="28" s="1"/>
  <c r="H28" i="28" s="1"/>
  <c r="F37" i="28"/>
  <c r="G37" i="28" s="1"/>
  <c r="H37" i="28" s="1"/>
  <c r="F29" i="28"/>
  <c r="G29" i="28" s="1"/>
  <c r="H29" i="28" s="1"/>
  <c r="F26" i="28"/>
  <c r="G26" i="28" s="1"/>
  <c r="H26" i="28" s="1"/>
  <c r="F30" i="28"/>
  <c r="G30" i="28" s="1"/>
  <c r="H30" i="28" s="1"/>
  <c r="E20" i="28"/>
  <c r="I20" i="28"/>
  <c r="J23" i="28"/>
  <c r="G23" i="28"/>
  <c r="H23" i="28" s="1"/>
  <c r="J8" i="28"/>
  <c r="J31" i="28"/>
  <c r="J9" i="28"/>
  <c r="J13" i="28"/>
  <c r="J41" i="28"/>
  <c r="J14" i="28"/>
  <c r="J44" i="28"/>
  <c r="J56" i="28"/>
  <c r="J36" i="28"/>
  <c r="J46" i="28"/>
  <c r="J33" i="28"/>
  <c r="J22" i="28"/>
  <c r="J54" i="28"/>
  <c r="J48" i="28"/>
  <c r="J19" i="28"/>
  <c r="J35" i="28"/>
  <c r="J51" i="28"/>
  <c r="J10" i="28"/>
  <c r="J38" i="28"/>
  <c r="J12" i="28"/>
  <c r="J17" i="28"/>
  <c r="J47" i="28"/>
  <c r="J15" i="28"/>
  <c r="J55" i="28"/>
  <c r="J16" i="28"/>
  <c r="J39" i="28"/>
  <c r="J25" i="28"/>
  <c r="J57" i="28"/>
  <c r="J42" i="28"/>
  <c r="J40" i="28"/>
  <c r="J50" i="28"/>
  <c r="J53" i="28"/>
  <c r="J21" i="28"/>
  <c r="J49" i="28"/>
  <c r="J34" i="28"/>
  <c r="J32" i="28"/>
  <c r="J11" i="28"/>
  <c r="J27" i="28"/>
  <c r="J43" i="28"/>
  <c r="J18" i="28"/>
  <c r="J52" i="28"/>
  <c r="J45" i="28"/>
  <c r="J24" i="28"/>
  <c r="J28" i="28"/>
  <c r="J37" i="28"/>
  <c r="J29" i="28"/>
  <c r="J26" i="28"/>
  <c r="J30" i="28"/>
  <c r="F20" i="28"/>
  <c r="L59" i="36"/>
  <c r="M8" i="36"/>
  <c r="D7" i="28" s="1"/>
  <c r="E7" i="28" l="1"/>
  <c r="E58" i="28" s="1"/>
  <c r="I7" i="28"/>
  <c r="J20" i="28"/>
  <c r="G20" i="28"/>
  <c r="H20" i="28" s="1"/>
  <c r="D58" i="28"/>
  <c r="D59" i="28" s="1"/>
  <c r="F7" i="28"/>
  <c r="M59" i="36"/>
  <c r="N8" i="36" s="1"/>
  <c r="F58" i="28" l="1"/>
  <c r="J7" i="28"/>
  <c r="G7" i="28"/>
  <c r="H7" i="28" s="1"/>
  <c r="N16" i="36"/>
  <c r="N9" i="36"/>
  <c r="N40" i="36"/>
  <c r="N48" i="36"/>
  <c r="N24" i="36"/>
  <c r="N32" i="36"/>
  <c r="N10" i="36"/>
  <c r="N56" i="36"/>
  <c r="N17" i="36"/>
  <c r="N31" i="36"/>
  <c r="N27" i="36"/>
  <c r="N30" i="36"/>
  <c r="N11" i="36"/>
  <c r="N36" i="36"/>
  <c r="N49" i="36"/>
  <c r="N23" i="36"/>
  <c r="N47" i="36"/>
  <c r="N57" i="36"/>
  <c r="N15" i="36"/>
  <c r="N14" i="36"/>
  <c r="N29" i="36"/>
  <c r="N46" i="36"/>
  <c r="N21" i="36"/>
  <c r="N44" i="36"/>
  <c r="N12" i="36"/>
  <c r="N35" i="36"/>
  <c r="N22" i="36"/>
  <c r="N51" i="36"/>
  <c r="N43" i="36"/>
  <c r="N26" i="36"/>
  <c r="N18" i="36"/>
  <c r="N13" i="36"/>
  <c r="N39" i="36"/>
  <c r="N52" i="36"/>
  <c r="N20" i="36"/>
  <c r="N55" i="36"/>
  <c r="N34" i="36"/>
  <c r="N37" i="36"/>
  <c r="N45" i="36"/>
  <c r="N42" i="36"/>
  <c r="N38" i="36"/>
  <c r="N25" i="36"/>
  <c r="N53" i="36"/>
  <c r="N19" i="36"/>
  <c r="N28" i="36"/>
  <c r="N33" i="36"/>
  <c r="N50" i="36"/>
  <c r="N54" i="36"/>
  <c r="N41" i="36"/>
  <c r="N58" i="36"/>
  <c r="J58" i="28" l="1"/>
  <c r="G58" i="28"/>
  <c r="N59" i="36"/>
  <c r="H58" i="28"/>
  <c r="I58" i="28"/>
  <c r="K4" i="28" l="1"/>
  <c r="K28" i="28" s="1"/>
  <c r="K25" i="28" l="1"/>
  <c r="K29" i="28"/>
  <c r="K20" i="28"/>
  <c r="L20" i="28" s="1"/>
  <c r="K54" i="28"/>
  <c r="K39" i="28"/>
  <c r="L39" i="28" s="1"/>
  <c r="K22" i="28"/>
  <c r="K38" i="28"/>
  <c r="K30" i="28"/>
  <c r="L30" i="28" s="1"/>
  <c r="K32" i="28"/>
  <c r="L32" i="28" s="1"/>
  <c r="K36" i="28"/>
  <c r="L36" i="28" s="1"/>
  <c r="K37" i="28"/>
  <c r="L37" i="28" s="1"/>
  <c r="K21" i="28"/>
  <c r="L21" i="28" s="1"/>
  <c r="K14" i="28"/>
  <c r="K15" i="28"/>
  <c r="K53" i="28"/>
  <c r="L53" i="28" s="1"/>
  <c r="K41" i="28"/>
  <c r="L41" i="28" s="1"/>
  <c r="K51" i="28"/>
  <c r="L51" i="28" s="1"/>
  <c r="K18" i="28"/>
  <c r="K13" i="28"/>
  <c r="L13" i="28" s="1"/>
  <c r="K47" i="28"/>
  <c r="L47" i="28" s="1"/>
  <c r="K50" i="28"/>
  <c r="K9" i="28"/>
  <c r="L9" i="28" s="1"/>
  <c r="K35" i="28"/>
  <c r="K43" i="28"/>
  <c r="L43" i="28" s="1"/>
  <c r="K7" i="28"/>
  <c r="K8" i="28"/>
  <c r="L8" i="28" s="1"/>
  <c r="K56" i="28"/>
  <c r="K17" i="28"/>
  <c r="L17" i="28" s="1"/>
  <c r="K16" i="28"/>
  <c r="L16" i="28" s="1"/>
  <c r="K42" i="28"/>
  <c r="L42" i="28" s="1"/>
  <c r="K34" i="28"/>
  <c r="L34" i="28" s="1"/>
  <c r="K31" i="28"/>
  <c r="L31" i="28" s="1"/>
  <c r="K33" i="28"/>
  <c r="K19" i="28"/>
  <c r="K40" i="28"/>
  <c r="L40" i="28" s="1"/>
  <c r="K27" i="28"/>
  <c r="L27" i="28" s="1"/>
  <c r="K45" i="28"/>
  <c r="L45" i="28" s="1"/>
  <c r="K26" i="28"/>
  <c r="L26" i="28" s="1"/>
  <c r="K44" i="28"/>
  <c r="L44" i="28" s="1"/>
  <c r="K12" i="28"/>
  <c r="L12" i="28" s="1"/>
  <c r="K55" i="28"/>
  <c r="L55" i="28" s="1"/>
  <c r="K57" i="28"/>
  <c r="L57" i="28" s="1"/>
  <c r="K49" i="28"/>
  <c r="L49" i="28" s="1"/>
  <c r="K23" i="28"/>
  <c r="L23" i="28" s="1"/>
  <c r="K46" i="28"/>
  <c r="K48" i="28"/>
  <c r="K10" i="28"/>
  <c r="L10" i="28" s="1"/>
  <c r="K11" i="28"/>
  <c r="K24" i="28"/>
  <c r="L24" i="28" s="1"/>
  <c r="K52" i="28"/>
  <c r="L52" i="28" s="1"/>
  <c r="L22" i="28"/>
  <c r="L54" i="28"/>
  <c r="L38" i="28"/>
  <c r="L19" i="28"/>
  <c r="L35" i="28"/>
  <c r="L14" i="28"/>
  <c r="L46" i="28"/>
  <c r="L11" i="28"/>
  <c r="L18" i="28"/>
  <c r="L50" i="28"/>
  <c r="L7" i="28"/>
  <c r="L15" i="28"/>
  <c r="L28" i="28"/>
  <c r="L48" i="28"/>
  <c r="L56" i="28"/>
  <c r="L25" i="28"/>
  <c r="L29" i="28"/>
  <c r="L33" i="28"/>
  <c r="M29" i="28" l="1"/>
  <c r="M48" i="28"/>
  <c r="M7" i="28"/>
  <c r="M11" i="28"/>
  <c r="M19" i="28"/>
  <c r="M52" i="28"/>
  <c r="M33" i="28"/>
  <c r="M25" i="28"/>
  <c r="M56" i="28"/>
  <c r="M28" i="28"/>
  <c r="M15" i="28"/>
  <c r="M50" i="28"/>
  <c r="M18" i="28"/>
  <c r="M46" i="28"/>
  <c r="M35" i="28"/>
  <c r="M38" i="28"/>
  <c r="M22" i="28"/>
  <c r="M24" i="28"/>
  <c r="M10" i="28"/>
  <c r="M49" i="28"/>
  <c r="M55" i="28"/>
  <c r="M44" i="28"/>
  <c r="M45" i="28"/>
  <c r="M40" i="28"/>
  <c r="M34" i="28"/>
  <c r="M16" i="28"/>
  <c r="M13" i="28"/>
  <c r="M51" i="28"/>
  <c r="M53" i="28"/>
  <c r="M37" i="28"/>
  <c r="M32" i="28"/>
  <c r="M39" i="28"/>
  <c r="M20" i="28"/>
  <c r="M9" i="28"/>
  <c r="M12" i="28"/>
  <c r="M26" i="28"/>
  <c r="M14" i="28"/>
  <c r="M54" i="28"/>
  <c r="M23" i="28"/>
  <c r="M57" i="28"/>
  <c r="M27" i="28"/>
  <c r="M31" i="28"/>
  <c r="M42" i="28"/>
  <c r="M17" i="28"/>
  <c r="M8" i="28"/>
  <c r="M43" i="28"/>
  <c r="M47" i="28"/>
  <c r="M41" i="28"/>
  <c r="M21" i="28"/>
  <c r="M36" i="28"/>
  <c r="M30" i="28"/>
  <c r="L58" i="28"/>
  <c r="N20" i="28" s="1"/>
  <c r="K58" i="28"/>
  <c r="H20" i="46" l="1"/>
  <c r="H20" i="45" s="1"/>
  <c r="G20" i="46"/>
  <c r="G20" i="45" s="1"/>
  <c r="F20" i="46"/>
  <c r="F20" i="45" s="1"/>
  <c r="C20" i="46"/>
  <c r="C20" i="45" s="1"/>
  <c r="E20" i="46"/>
  <c r="E20" i="45" s="1"/>
  <c r="B20" i="46"/>
  <c r="D20" i="46"/>
  <c r="D20" i="45" s="1"/>
  <c r="N11" i="28"/>
  <c r="N15" i="28"/>
  <c r="N12" i="28"/>
  <c r="N29" i="28"/>
  <c r="N21" i="28"/>
  <c r="N19" i="28"/>
  <c r="N10" i="28"/>
  <c r="N49" i="28"/>
  <c r="N44" i="28"/>
  <c r="N16" i="28"/>
  <c r="N51" i="28"/>
  <c r="N17" i="28"/>
  <c r="N33" i="28"/>
  <c r="N32" i="28"/>
  <c r="N42" i="28"/>
  <c r="N39" i="28"/>
  <c r="N31" i="28"/>
  <c r="N46" i="28"/>
  <c r="N23" i="28"/>
  <c r="N50" i="28"/>
  <c r="N54" i="28"/>
  <c r="N27" i="28"/>
  <c r="N25" i="28"/>
  <c r="N37" i="28"/>
  <c r="N38" i="28"/>
  <c r="N14" i="28"/>
  <c r="N43" i="28"/>
  <c r="N48" i="28"/>
  <c r="N36" i="28"/>
  <c r="N52" i="28"/>
  <c r="N55" i="28"/>
  <c r="N35" i="28"/>
  <c r="N18" i="28"/>
  <c r="N41" i="28"/>
  <c r="N7" i="28"/>
  <c r="M58" i="28"/>
  <c r="N40" i="28"/>
  <c r="N45" i="28"/>
  <c r="N28" i="28"/>
  <c r="N24" i="28"/>
  <c r="N53" i="28"/>
  <c r="N56" i="28"/>
  <c r="N22" i="28"/>
  <c r="N34" i="28"/>
  <c r="N47" i="28"/>
  <c r="N9" i="28"/>
  <c r="N26" i="28"/>
  <c r="N8" i="28"/>
  <c r="N57" i="28"/>
  <c r="N30" i="28"/>
  <c r="N13" i="28"/>
  <c r="I20" i="46" l="1"/>
  <c r="B20" i="45"/>
  <c r="H13" i="46"/>
  <c r="H13" i="45" s="1"/>
  <c r="G13" i="46"/>
  <c r="G13" i="45" s="1"/>
  <c r="F13" i="46"/>
  <c r="F13" i="45" s="1"/>
  <c r="B13" i="46"/>
  <c r="B13" i="45" s="1"/>
  <c r="D13" i="46"/>
  <c r="D13" i="45" s="1"/>
  <c r="C13" i="46"/>
  <c r="C13" i="45" s="1"/>
  <c r="E13" i="46"/>
  <c r="E13" i="45" s="1"/>
  <c r="H57" i="46"/>
  <c r="H57" i="45" s="1"/>
  <c r="G57" i="46"/>
  <c r="G57" i="45" s="1"/>
  <c r="F57" i="46"/>
  <c r="F57" i="45" s="1"/>
  <c r="B57" i="46"/>
  <c r="B57" i="45" s="1"/>
  <c r="D57" i="46"/>
  <c r="D57" i="45" s="1"/>
  <c r="C57" i="46"/>
  <c r="C57" i="45" s="1"/>
  <c r="E57" i="46"/>
  <c r="E57" i="45" s="1"/>
  <c r="G26" i="46"/>
  <c r="G26" i="45" s="1"/>
  <c r="H26" i="46"/>
  <c r="H26" i="45" s="1"/>
  <c r="F26" i="46"/>
  <c r="F26" i="45" s="1"/>
  <c r="B26" i="46"/>
  <c r="B26" i="45" s="1"/>
  <c r="D26" i="46"/>
  <c r="D26" i="45" s="1"/>
  <c r="C26" i="46"/>
  <c r="C26" i="45" s="1"/>
  <c r="E26" i="46"/>
  <c r="E26" i="45" s="1"/>
  <c r="G47" i="46"/>
  <c r="G47" i="45" s="1"/>
  <c r="H47" i="46"/>
  <c r="H47" i="45" s="1"/>
  <c r="F47" i="46"/>
  <c r="F47" i="45" s="1"/>
  <c r="D47" i="46"/>
  <c r="D47" i="45" s="1"/>
  <c r="C47" i="46"/>
  <c r="C47" i="45" s="1"/>
  <c r="E47" i="46"/>
  <c r="E47" i="45" s="1"/>
  <c r="B47" i="46"/>
  <c r="B47" i="45" s="1"/>
  <c r="H22" i="46"/>
  <c r="H22" i="45" s="1"/>
  <c r="G22" i="46"/>
  <c r="G22" i="45" s="1"/>
  <c r="F22" i="46"/>
  <c r="F22" i="45" s="1"/>
  <c r="B22" i="46"/>
  <c r="B22" i="45" s="1"/>
  <c r="D22" i="46"/>
  <c r="D22" i="45" s="1"/>
  <c r="C22" i="46"/>
  <c r="C22" i="45" s="1"/>
  <c r="E22" i="46"/>
  <c r="E22" i="45" s="1"/>
  <c r="H53" i="46"/>
  <c r="H53" i="45" s="1"/>
  <c r="G53" i="46"/>
  <c r="G53" i="45" s="1"/>
  <c r="F53" i="46"/>
  <c r="F53" i="45" s="1"/>
  <c r="B53" i="46"/>
  <c r="B53" i="45" s="1"/>
  <c r="D53" i="46"/>
  <c r="D53" i="45" s="1"/>
  <c r="C53" i="46"/>
  <c r="C53" i="45" s="1"/>
  <c r="E53" i="46"/>
  <c r="E53" i="45" s="1"/>
  <c r="H28" i="46"/>
  <c r="H28" i="45" s="1"/>
  <c r="G28" i="46"/>
  <c r="G28" i="45" s="1"/>
  <c r="F28" i="46"/>
  <c r="F28" i="45" s="1"/>
  <c r="B28" i="46"/>
  <c r="B28" i="45" s="1"/>
  <c r="D28" i="46"/>
  <c r="D28" i="45" s="1"/>
  <c r="C28" i="46"/>
  <c r="C28" i="45" s="1"/>
  <c r="E28" i="46"/>
  <c r="E28" i="45" s="1"/>
  <c r="G40" i="46"/>
  <c r="G40" i="45" s="1"/>
  <c r="H40" i="46"/>
  <c r="H40" i="45" s="1"/>
  <c r="F40" i="46"/>
  <c r="F40" i="45" s="1"/>
  <c r="E40" i="46"/>
  <c r="E40" i="45" s="1"/>
  <c r="B40" i="46"/>
  <c r="B40" i="45" s="1"/>
  <c r="D40" i="46"/>
  <c r="D40" i="45" s="1"/>
  <c r="C40" i="46"/>
  <c r="C40" i="45" s="1"/>
  <c r="H7" i="46"/>
  <c r="H7" i="45" s="1"/>
  <c r="G7" i="46"/>
  <c r="G7" i="45" s="1"/>
  <c r="F7" i="46"/>
  <c r="F7" i="45" s="1"/>
  <c r="C7" i="46"/>
  <c r="C7" i="45" s="1"/>
  <c r="E7" i="46"/>
  <c r="E7" i="45" s="1"/>
  <c r="B7" i="46"/>
  <c r="B7" i="45" s="1"/>
  <c r="D7" i="46"/>
  <c r="D7" i="45" s="1"/>
  <c r="G18" i="46"/>
  <c r="G18" i="45" s="1"/>
  <c r="H18" i="46"/>
  <c r="H18" i="45" s="1"/>
  <c r="F18" i="46"/>
  <c r="F18" i="45" s="1"/>
  <c r="B18" i="46"/>
  <c r="B18" i="45" s="1"/>
  <c r="D18" i="46"/>
  <c r="D18" i="45" s="1"/>
  <c r="C18" i="46"/>
  <c r="C18" i="45" s="1"/>
  <c r="E18" i="46"/>
  <c r="E18" i="45" s="1"/>
  <c r="H55" i="46"/>
  <c r="H55" i="45" s="1"/>
  <c r="G55" i="46"/>
  <c r="G55" i="45" s="1"/>
  <c r="F55" i="46"/>
  <c r="F55" i="45" s="1"/>
  <c r="C55" i="46"/>
  <c r="C55" i="45" s="1"/>
  <c r="E55" i="46"/>
  <c r="E55" i="45" s="1"/>
  <c r="B55" i="46"/>
  <c r="B55" i="45" s="1"/>
  <c r="D55" i="46"/>
  <c r="D55" i="45" s="1"/>
  <c r="H36" i="46"/>
  <c r="H36" i="45" s="1"/>
  <c r="G36" i="46"/>
  <c r="G36" i="45" s="1"/>
  <c r="F36" i="46"/>
  <c r="F36" i="45" s="1"/>
  <c r="C36" i="46"/>
  <c r="C36" i="45" s="1"/>
  <c r="B36" i="46"/>
  <c r="B36" i="45" s="1"/>
  <c r="D36" i="46"/>
  <c r="D36" i="45" s="1"/>
  <c r="E36" i="46"/>
  <c r="E36" i="45" s="1"/>
  <c r="H43" i="46"/>
  <c r="H43" i="45" s="1"/>
  <c r="G43" i="46"/>
  <c r="G43" i="45" s="1"/>
  <c r="F43" i="46"/>
  <c r="F43" i="45" s="1"/>
  <c r="B43" i="46"/>
  <c r="B43" i="45" s="1"/>
  <c r="D43" i="46"/>
  <c r="D43" i="45" s="1"/>
  <c r="C43" i="46"/>
  <c r="C43" i="45" s="1"/>
  <c r="E43" i="46"/>
  <c r="E43" i="45" s="1"/>
  <c r="H38" i="46"/>
  <c r="H38" i="45" s="1"/>
  <c r="G38" i="46"/>
  <c r="G38" i="45" s="1"/>
  <c r="F38" i="46"/>
  <c r="F38" i="45" s="1"/>
  <c r="B38" i="46"/>
  <c r="B38" i="45" s="1"/>
  <c r="D38" i="46"/>
  <c r="D38" i="45" s="1"/>
  <c r="C38" i="46"/>
  <c r="C38" i="45" s="1"/>
  <c r="E38" i="46"/>
  <c r="E38" i="45" s="1"/>
  <c r="H25" i="46"/>
  <c r="H25" i="45" s="1"/>
  <c r="G25" i="46"/>
  <c r="G25" i="45" s="1"/>
  <c r="F25" i="46"/>
  <c r="F25" i="45" s="1"/>
  <c r="D25" i="46"/>
  <c r="D25" i="45" s="1"/>
  <c r="B25" i="46"/>
  <c r="B25" i="45" s="1"/>
  <c r="C25" i="46"/>
  <c r="C25" i="45" s="1"/>
  <c r="E25" i="46"/>
  <c r="E25" i="45" s="1"/>
  <c r="H54" i="46"/>
  <c r="H54" i="45" s="1"/>
  <c r="G54" i="46"/>
  <c r="G54" i="45" s="1"/>
  <c r="F54" i="46"/>
  <c r="F54" i="45" s="1"/>
  <c r="B54" i="46"/>
  <c r="B54" i="45" s="1"/>
  <c r="D54" i="46"/>
  <c r="D54" i="45" s="1"/>
  <c r="C54" i="46"/>
  <c r="C54" i="45" s="1"/>
  <c r="E54" i="46"/>
  <c r="E54" i="45" s="1"/>
  <c r="H23" i="46"/>
  <c r="H23" i="45" s="1"/>
  <c r="G23" i="46"/>
  <c r="G23" i="45" s="1"/>
  <c r="F23" i="46"/>
  <c r="F23" i="45" s="1"/>
  <c r="B23" i="46"/>
  <c r="B23" i="45" s="1"/>
  <c r="C23" i="46"/>
  <c r="C23" i="45" s="1"/>
  <c r="E23" i="46"/>
  <c r="E23" i="45" s="1"/>
  <c r="D23" i="46"/>
  <c r="D23" i="45" s="1"/>
  <c r="G31" i="46"/>
  <c r="G31" i="45" s="1"/>
  <c r="H31" i="46"/>
  <c r="H31" i="45" s="1"/>
  <c r="F31" i="46"/>
  <c r="F31" i="45" s="1"/>
  <c r="B31" i="46"/>
  <c r="B31" i="45" s="1"/>
  <c r="C31" i="46"/>
  <c r="C31" i="45" s="1"/>
  <c r="E31" i="46"/>
  <c r="E31" i="45" s="1"/>
  <c r="D31" i="46"/>
  <c r="D31" i="45" s="1"/>
  <c r="H42" i="46"/>
  <c r="H42" i="45" s="1"/>
  <c r="G42" i="46"/>
  <c r="G42" i="45" s="1"/>
  <c r="F42" i="46"/>
  <c r="F42" i="45" s="1"/>
  <c r="B42" i="46"/>
  <c r="B42" i="45" s="1"/>
  <c r="D42" i="46"/>
  <c r="D42" i="45" s="1"/>
  <c r="C42" i="46"/>
  <c r="C42" i="45" s="1"/>
  <c r="E42" i="46"/>
  <c r="E42" i="45" s="1"/>
  <c r="H33" i="46"/>
  <c r="H33" i="45" s="1"/>
  <c r="G33" i="46"/>
  <c r="G33" i="45" s="1"/>
  <c r="F33" i="46"/>
  <c r="F33" i="45" s="1"/>
  <c r="B33" i="46"/>
  <c r="B33" i="45" s="1"/>
  <c r="D33" i="46"/>
  <c r="D33" i="45" s="1"/>
  <c r="C33" i="46"/>
  <c r="C33" i="45" s="1"/>
  <c r="E33" i="46"/>
  <c r="E33" i="45" s="1"/>
  <c r="H51" i="46"/>
  <c r="H51" i="45" s="1"/>
  <c r="G51" i="46"/>
  <c r="G51" i="45" s="1"/>
  <c r="F51" i="46"/>
  <c r="F51" i="45" s="1"/>
  <c r="B51" i="46"/>
  <c r="B51" i="45" s="1"/>
  <c r="C51" i="46"/>
  <c r="C51" i="45" s="1"/>
  <c r="E51" i="46"/>
  <c r="E51" i="45" s="1"/>
  <c r="D51" i="46"/>
  <c r="D51" i="45" s="1"/>
  <c r="H44" i="46"/>
  <c r="H44" i="45" s="1"/>
  <c r="G44" i="46"/>
  <c r="G44" i="45" s="1"/>
  <c r="F44" i="46"/>
  <c r="F44" i="45" s="1"/>
  <c r="C44" i="46"/>
  <c r="C44" i="45" s="1"/>
  <c r="E44" i="46"/>
  <c r="E44" i="45" s="1"/>
  <c r="B44" i="46"/>
  <c r="B44" i="45" s="1"/>
  <c r="D44" i="46"/>
  <c r="D44" i="45" s="1"/>
  <c r="G10" i="46"/>
  <c r="G10" i="45" s="1"/>
  <c r="H10" i="46"/>
  <c r="H10" i="45" s="1"/>
  <c r="F10" i="46"/>
  <c r="F10" i="45" s="1"/>
  <c r="B10" i="46"/>
  <c r="B10" i="45" s="1"/>
  <c r="D10" i="46"/>
  <c r="D10" i="45" s="1"/>
  <c r="C10" i="46"/>
  <c r="C10" i="45" s="1"/>
  <c r="E10" i="46"/>
  <c r="E10" i="45" s="1"/>
  <c r="H21" i="46"/>
  <c r="H21" i="45" s="1"/>
  <c r="G21" i="46"/>
  <c r="G21" i="45" s="1"/>
  <c r="F21" i="46"/>
  <c r="F21" i="45" s="1"/>
  <c r="B21" i="46"/>
  <c r="B21" i="45" s="1"/>
  <c r="D21" i="46"/>
  <c r="D21" i="45" s="1"/>
  <c r="C21" i="46"/>
  <c r="C21" i="45" s="1"/>
  <c r="E21" i="46"/>
  <c r="E21" i="45" s="1"/>
  <c r="H12" i="46"/>
  <c r="H12" i="45" s="1"/>
  <c r="G12" i="46"/>
  <c r="G12" i="45" s="1"/>
  <c r="F12" i="46"/>
  <c r="F12" i="45" s="1"/>
  <c r="E12" i="46"/>
  <c r="E12" i="45" s="1"/>
  <c r="B12" i="46"/>
  <c r="B12" i="45" s="1"/>
  <c r="D12" i="46"/>
  <c r="D12" i="45" s="1"/>
  <c r="C12" i="46"/>
  <c r="C12" i="45" s="1"/>
  <c r="G11" i="46"/>
  <c r="G11" i="45" s="1"/>
  <c r="H11" i="46"/>
  <c r="H11" i="45" s="1"/>
  <c r="F11" i="46"/>
  <c r="F11" i="45" s="1"/>
  <c r="B11" i="46"/>
  <c r="B11" i="45" s="1"/>
  <c r="D11" i="46"/>
  <c r="D11" i="45" s="1"/>
  <c r="C11" i="46"/>
  <c r="C11" i="45" s="1"/>
  <c r="E11" i="46"/>
  <c r="E11" i="45" s="1"/>
  <c r="G30" i="46"/>
  <c r="G30" i="45" s="1"/>
  <c r="H30" i="46"/>
  <c r="H30" i="45" s="1"/>
  <c r="F30" i="46"/>
  <c r="F30" i="45" s="1"/>
  <c r="B30" i="46"/>
  <c r="B30" i="45" s="1"/>
  <c r="D30" i="46"/>
  <c r="D30" i="45" s="1"/>
  <c r="E30" i="46"/>
  <c r="E30" i="45" s="1"/>
  <c r="C30" i="46"/>
  <c r="C30" i="45" s="1"/>
  <c r="H8" i="46"/>
  <c r="H8" i="45" s="1"/>
  <c r="G8" i="46"/>
  <c r="G8" i="45" s="1"/>
  <c r="F8" i="46"/>
  <c r="F8" i="45" s="1"/>
  <c r="C8" i="46"/>
  <c r="C8" i="45" s="1"/>
  <c r="B8" i="46"/>
  <c r="B8" i="45" s="1"/>
  <c r="D8" i="46"/>
  <c r="D8" i="45" s="1"/>
  <c r="E8" i="46"/>
  <c r="E8" i="45" s="1"/>
  <c r="H9" i="46"/>
  <c r="H9" i="45" s="1"/>
  <c r="G9" i="46"/>
  <c r="G9" i="45" s="1"/>
  <c r="F9" i="46"/>
  <c r="F9" i="45" s="1"/>
  <c r="B9" i="46"/>
  <c r="B9" i="45" s="1"/>
  <c r="D9" i="46"/>
  <c r="D9" i="45" s="1"/>
  <c r="C9" i="46"/>
  <c r="C9" i="45" s="1"/>
  <c r="E9" i="46"/>
  <c r="E9" i="45" s="1"/>
  <c r="H34" i="46"/>
  <c r="H34" i="45" s="1"/>
  <c r="G34" i="46"/>
  <c r="G34" i="45" s="1"/>
  <c r="F34" i="46"/>
  <c r="F34" i="45" s="1"/>
  <c r="B34" i="46"/>
  <c r="B34" i="45" s="1"/>
  <c r="D34" i="46"/>
  <c r="D34" i="45" s="1"/>
  <c r="E34" i="46"/>
  <c r="E34" i="45" s="1"/>
  <c r="C34" i="46"/>
  <c r="C34" i="45" s="1"/>
  <c r="G56" i="46"/>
  <c r="G56" i="45" s="1"/>
  <c r="H56" i="46"/>
  <c r="H56" i="45" s="1"/>
  <c r="F56" i="46"/>
  <c r="F56" i="45" s="1"/>
  <c r="E56" i="46"/>
  <c r="E56" i="45" s="1"/>
  <c r="B56" i="46"/>
  <c r="B56" i="45" s="1"/>
  <c r="D56" i="46"/>
  <c r="D56" i="45" s="1"/>
  <c r="C56" i="46"/>
  <c r="C56" i="45" s="1"/>
  <c r="H24" i="46"/>
  <c r="H24" i="45" s="1"/>
  <c r="G24" i="46"/>
  <c r="G24" i="45" s="1"/>
  <c r="F24" i="46"/>
  <c r="F24" i="45" s="1"/>
  <c r="C24" i="46"/>
  <c r="C24" i="45" s="1"/>
  <c r="B24" i="46"/>
  <c r="B24" i="45" s="1"/>
  <c r="D24" i="46"/>
  <c r="D24" i="45" s="1"/>
  <c r="E24" i="46"/>
  <c r="E24" i="45" s="1"/>
  <c r="H45" i="46"/>
  <c r="H45" i="45" s="1"/>
  <c r="G45" i="46"/>
  <c r="G45" i="45" s="1"/>
  <c r="F45" i="46"/>
  <c r="F45" i="45" s="1"/>
  <c r="B45" i="46"/>
  <c r="B45" i="45" s="1"/>
  <c r="D45" i="46"/>
  <c r="D45" i="45" s="1"/>
  <c r="C45" i="46"/>
  <c r="C45" i="45" s="1"/>
  <c r="E45" i="46"/>
  <c r="E45" i="45" s="1"/>
  <c r="H41" i="46"/>
  <c r="H41" i="45" s="1"/>
  <c r="G41" i="46"/>
  <c r="G41" i="45" s="1"/>
  <c r="F41" i="46"/>
  <c r="F41" i="45" s="1"/>
  <c r="B41" i="46"/>
  <c r="B41" i="45" s="1"/>
  <c r="D41" i="46"/>
  <c r="D41" i="45" s="1"/>
  <c r="C41" i="46"/>
  <c r="C41" i="45" s="1"/>
  <c r="E41" i="46"/>
  <c r="E41" i="45" s="1"/>
  <c r="H35" i="46"/>
  <c r="H35" i="45" s="1"/>
  <c r="G35" i="46"/>
  <c r="G35" i="45" s="1"/>
  <c r="F35" i="46"/>
  <c r="F35" i="45" s="1"/>
  <c r="B35" i="46"/>
  <c r="B35" i="45" s="1"/>
  <c r="C35" i="46"/>
  <c r="C35" i="45" s="1"/>
  <c r="E35" i="46"/>
  <c r="E35" i="45" s="1"/>
  <c r="D35" i="46"/>
  <c r="D35" i="45" s="1"/>
  <c r="H52" i="46"/>
  <c r="H52" i="45" s="1"/>
  <c r="G52" i="46"/>
  <c r="G52" i="45" s="1"/>
  <c r="F52" i="46"/>
  <c r="F52" i="45" s="1"/>
  <c r="C52" i="46"/>
  <c r="C52" i="45" s="1"/>
  <c r="B52" i="46"/>
  <c r="B52" i="45" s="1"/>
  <c r="D52" i="46"/>
  <c r="D52" i="45" s="1"/>
  <c r="E52" i="46"/>
  <c r="E52" i="45" s="1"/>
  <c r="G48" i="46"/>
  <c r="G48" i="45" s="1"/>
  <c r="H48" i="46"/>
  <c r="H48" i="45" s="1"/>
  <c r="F48" i="46"/>
  <c r="F48" i="45" s="1"/>
  <c r="E48" i="46"/>
  <c r="E48" i="45" s="1"/>
  <c r="B48" i="46"/>
  <c r="B48" i="45" s="1"/>
  <c r="D48" i="46"/>
  <c r="D48" i="45" s="1"/>
  <c r="C48" i="46"/>
  <c r="C48" i="45" s="1"/>
  <c r="H14" i="46"/>
  <c r="H14" i="45" s="1"/>
  <c r="G14" i="46"/>
  <c r="G14" i="45" s="1"/>
  <c r="F14" i="46"/>
  <c r="F14" i="45" s="1"/>
  <c r="B14" i="46"/>
  <c r="B14" i="45" s="1"/>
  <c r="D14" i="46"/>
  <c r="D14" i="45" s="1"/>
  <c r="E14" i="46"/>
  <c r="E14" i="45" s="1"/>
  <c r="C14" i="46"/>
  <c r="C14" i="45" s="1"/>
  <c r="H37" i="46"/>
  <c r="H37" i="45" s="1"/>
  <c r="G37" i="46"/>
  <c r="G37" i="45" s="1"/>
  <c r="F37" i="46"/>
  <c r="F37" i="45" s="1"/>
  <c r="D37" i="46"/>
  <c r="D37" i="45" s="1"/>
  <c r="B37" i="46"/>
  <c r="B37" i="45" s="1"/>
  <c r="C37" i="46"/>
  <c r="C37" i="45" s="1"/>
  <c r="E37" i="46"/>
  <c r="E37" i="45" s="1"/>
  <c r="G27" i="46"/>
  <c r="G27" i="45" s="1"/>
  <c r="H27" i="46"/>
  <c r="H27" i="45" s="1"/>
  <c r="F27" i="46"/>
  <c r="F27" i="45" s="1"/>
  <c r="C27" i="46"/>
  <c r="C27" i="45" s="1"/>
  <c r="E27" i="46"/>
  <c r="E27" i="45" s="1"/>
  <c r="B27" i="46"/>
  <c r="B27" i="45" s="1"/>
  <c r="D27" i="46"/>
  <c r="D27" i="45" s="1"/>
  <c r="H50" i="46"/>
  <c r="H50" i="45" s="1"/>
  <c r="G50" i="46"/>
  <c r="G50" i="45" s="1"/>
  <c r="F50" i="46"/>
  <c r="F50" i="45" s="1"/>
  <c r="B50" i="46"/>
  <c r="B50" i="45" s="1"/>
  <c r="D50" i="46"/>
  <c r="D50" i="45" s="1"/>
  <c r="E50" i="46"/>
  <c r="E50" i="45" s="1"/>
  <c r="C50" i="46"/>
  <c r="C50" i="45" s="1"/>
  <c r="H46" i="46"/>
  <c r="H46" i="45" s="1"/>
  <c r="G46" i="46"/>
  <c r="G46" i="45" s="1"/>
  <c r="F46" i="46"/>
  <c r="F46" i="45" s="1"/>
  <c r="B46" i="46"/>
  <c r="B46" i="45" s="1"/>
  <c r="D46" i="46"/>
  <c r="D46" i="45" s="1"/>
  <c r="C46" i="46"/>
  <c r="C46" i="45" s="1"/>
  <c r="E46" i="46"/>
  <c r="E46" i="45" s="1"/>
  <c r="H39" i="46"/>
  <c r="H39" i="45" s="1"/>
  <c r="G39" i="46"/>
  <c r="G39" i="45" s="1"/>
  <c r="F39" i="46"/>
  <c r="F39" i="45" s="1"/>
  <c r="D39" i="46"/>
  <c r="D39" i="45" s="1"/>
  <c r="C39" i="46"/>
  <c r="C39" i="45" s="1"/>
  <c r="E39" i="46"/>
  <c r="E39" i="45" s="1"/>
  <c r="B39" i="46"/>
  <c r="B39" i="45" s="1"/>
  <c r="H32" i="46"/>
  <c r="H32" i="45" s="1"/>
  <c r="G32" i="46"/>
  <c r="G32" i="45" s="1"/>
  <c r="F32" i="46"/>
  <c r="F32" i="45" s="1"/>
  <c r="C32" i="46"/>
  <c r="C32" i="45" s="1"/>
  <c r="B32" i="46"/>
  <c r="B32" i="45" s="1"/>
  <c r="D32" i="46"/>
  <c r="D32" i="45" s="1"/>
  <c r="E32" i="46"/>
  <c r="E32" i="45" s="1"/>
  <c r="H17" i="46"/>
  <c r="H17" i="45" s="1"/>
  <c r="G17" i="46"/>
  <c r="G17" i="45" s="1"/>
  <c r="F17" i="46"/>
  <c r="F17" i="45" s="1"/>
  <c r="D17" i="46"/>
  <c r="D17" i="45" s="1"/>
  <c r="B17" i="46"/>
  <c r="B17" i="45" s="1"/>
  <c r="C17" i="46"/>
  <c r="C17" i="45" s="1"/>
  <c r="E17" i="46"/>
  <c r="E17" i="45" s="1"/>
  <c r="H16" i="46"/>
  <c r="H16" i="45" s="1"/>
  <c r="G16" i="46"/>
  <c r="G16" i="45" s="1"/>
  <c r="F16" i="46"/>
  <c r="F16" i="45" s="1"/>
  <c r="B16" i="46"/>
  <c r="B16" i="45" s="1"/>
  <c r="D16" i="46"/>
  <c r="D16" i="45" s="1"/>
  <c r="C16" i="46"/>
  <c r="C16" i="45" s="1"/>
  <c r="E16" i="46"/>
  <c r="E16" i="45" s="1"/>
  <c r="H49" i="46"/>
  <c r="H49" i="45" s="1"/>
  <c r="G49" i="46"/>
  <c r="G49" i="45" s="1"/>
  <c r="F49" i="46"/>
  <c r="F49" i="45" s="1"/>
  <c r="B49" i="46"/>
  <c r="B49" i="45" s="1"/>
  <c r="D49" i="46"/>
  <c r="D49" i="45" s="1"/>
  <c r="C49" i="46"/>
  <c r="C49" i="45" s="1"/>
  <c r="E49" i="46"/>
  <c r="E49" i="45" s="1"/>
  <c r="G19" i="46"/>
  <c r="G19" i="45" s="1"/>
  <c r="H19" i="46"/>
  <c r="H19" i="45" s="1"/>
  <c r="F19" i="46"/>
  <c r="F19" i="45" s="1"/>
  <c r="D19" i="46"/>
  <c r="D19" i="45" s="1"/>
  <c r="C19" i="46"/>
  <c r="C19" i="45" s="1"/>
  <c r="E19" i="46"/>
  <c r="E19" i="45" s="1"/>
  <c r="B19" i="46"/>
  <c r="B19" i="45" s="1"/>
  <c r="H29" i="46"/>
  <c r="H29" i="45" s="1"/>
  <c r="G29" i="46"/>
  <c r="G29" i="45" s="1"/>
  <c r="F29" i="46"/>
  <c r="F29" i="45" s="1"/>
  <c r="B29" i="46"/>
  <c r="B29" i="45" s="1"/>
  <c r="D29" i="46"/>
  <c r="D29" i="45" s="1"/>
  <c r="C29" i="46"/>
  <c r="C29" i="45" s="1"/>
  <c r="E29" i="46"/>
  <c r="E29" i="45" s="1"/>
  <c r="H15" i="46"/>
  <c r="H15" i="45" s="1"/>
  <c r="G15" i="46"/>
  <c r="G15" i="45" s="1"/>
  <c r="F15" i="46"/>
  <c r="F15" i="45" s="1"/>
  <c r="B15" i="46"/>
  <c r="B15" i="45" s="1"/>
  <c r="C15" i="46"/>
  <c r="C15" i="45" s="1"/>
  <c r="E15" i="46"/>
  <c r="E15" i="45" s="1"/>
  <c r="D15" i="46"/>
  <c r="D15" i="45" s="1"/>
  <c r="N58" i="28"/>
  <c r="I11" i="46" l="1"/>
  <c r="I44" i="46"/>
  <c r="I16" i="46"/>
  <c r="I17" i="46"/>
  <c r="I39" i="46"/>
  <c r="I46" i="46"/>
  <c r="I27" i="46"/>
  <c r="I37" i="46"/>
  <c r="I14" i="46"/>
  <c r="I48" i="46"/>
  <c r="I35" i="46"/>
  <c r="I41" i="46"/>
  <c r="I56" i="46"/>
  <c r="I34" i="46"/>
  <c r="I12" i="46"/>
  <c r="I21" i="46"/>
  <c r="I51" i="46"/>
  <c r="I33" i="46"/>
  <c r="I23" i="46"/>
  <c r="I54" i="46"/>
  <c r="I25" i="46"/>
  <c r="I38" i="46"/>
  <c r="I18" i="46"/>
  <c r="D58" i="46"/>
  <c r="E58" i="46"/>
  <c r="H58" i="46"/>
  <c r="I53" i="46"/>
  <c r="I57" i="46"/>
  <c r="I15" i="46"/>
  <c r="I29" i="46"/>
  <c r="I19" i="46"/>
  <c r="I49" i="46"/>
  <c r="I32" i="46"/>
  <c r="I50" i="46"/>
  <c r="I52" i="46"/>
  <c r="I45" i="46"/>
  <c r="I24" i="46"/>
  <c r="I9" i="46"/>
  <c r="G58" i="46"/>
  <c r="I8" i="46"/>
  <c r="F58" i="46"/>
  <c r="I30" i="46"/>
  <c r="I10" i="46"/>
  <c r="I42" i="46"/>
  <c r="I31" i="46"/>
  <c r="I43" i="46"/>
  <c r="I36" i="46"/>
  <c r="I55" i="46"/>
  <c r="I7" i="46"/>
  <c r="B58" i="46"/>
  <c r="C58" i="46"/>
  <c r="I40" i="46"/>
  <c r="I28" i="46"/>
  <c r="I22" i="46"/>
  <c r="I47" i="46"/>
  <c r="I26" i="46"/>
  <c r="I13" i="46"/>
  <c r="I58" i="46" l="1"/>
  <c r="E58" i="42"/>
  <c r="I8" i="42"/>
  <c r="I12" i="42"/>
  <c r="I16" i="42"/>
  <c r="I20" i="42"/>
  <c r="I24" i="42"/>
  <c r="I28" i="42"/>
  <c r="I32" i="42"/>
  <c r="I36" i="42"/>
  <c r="I40" i="42"/>
  <c r="I44" i="42"/>
  <c r="I48" i="42"/>
  <c r="I52" i="42"/>
  <c r="I56" i="42"/>
  <c r="C58" i="42"/>
  <c r="G58" i="42"/>
  <c r="I10" i="42"/>
  <c r="I14" i="42"/>
  <c r="I18" i="42"/>
  <c r="I22" i="42"/>
  <c r="I26" i="42"/>
  <c r="I30" i="42"/>
  <c r="I34" i="42"/>
  <c r="I38" i="42"/>
  <c r="I42" i="42"/>
  <c r="I46" i="42"/>
  <c r="I50" i="42"/>
  <c r="I54" i="42"/>
  <c r="I57" i="42"/>
  <c r="I53" i="42" l="1"/>
  <c r="I49" i="42"/>
  <c r="I45" i="42"/>
  <c r="I41" i="42"/>
  <c r="I37" i="42"/>
  <c r="I33" i="42"/>
  <c r="I29" i="42"/>
  <c r="I25" i="42"/>
  <c r="I21" i="42"/>
  <c r="I17" i="42"/>
  <c r="I13" i="42"/>
  <c r="I11" i="42"/>
  <c r="H58" i="42"/>
  <c r="F58" i="42"/>
  <c r="D58" i="42"/>
  <c r="I7" i="42"/>
  <c r="B58" i="42"/>
  <c r="I30" i="45"/>
  <c r="I22" i="45"/>
  <c r="I18" i="45"/>
  <c r="I28" i="45"/>
  <c r="I24" i="45"/>
  <c r="I20" i="45"/>
  <c r="I16" i="45"/>
  <c r="I55" i="42"/>
  <c r="I51" i="42"/>
  <c r="I47" i="42"/>
  <c r="I43" i="42"/>
  <c r="I39" i="42"/>
  <c r="I35" i="42"/>
  <c r="I31" i="42"/>
  <c r="I27" i="42"/>
  <c r="I23" i="42"/>
  <c r="I19" i="42"/>
  <c r="I15" i="42"/>
  <c r="I9" i="42"/>
  <c r="I57" i="45"/>
  <c r="I54" i="45"/>
  <c r="I50" i="45"/>
  <c r="I46" i="45"/>
  <c r="I42" i="45"/>
  <c r="I38" i="45"/>
  <c r="I34" i="45"/>
  <c r="I26" i="45"/>
  <c r="I14" i="45"/>
  <c r="I10" i="45"/>
  <c r="G58" i="45"/>
  <c r="C58" i="45"/>
  <c r="I56" i="45"/>
  <c r="I52" i="45"/>
  <c r="I48" i="45"/>
  <c r="I44" i="45"/>
  <c r="I40" i="45"/>
  <c r="I36" i="45"/>
  <c r="I32" i="45"/>
  <c r="I12" i="45"/>
  <c r="I8" i="45"/>
  <c r="E58" i="45"/>
  <c r="I58" i="42" l="1"/>
  <c r="D58" i="45"/>
  <c r="F58" i="45"/>
  <c r="H58" i="45"/>
  <c r="I11" i="45"/>
  <c r="I13" i="45"/>
  <c r="I17" i="45"/>
  <c r="I21" i="45"/>
  <c r="I25" i="45"/>
  <c r="I29" i="45"/>
  <c r="I33" i="45"/>
  <c r="I37" i="45"/>
  <c r="I41" i="45"/>
  <c r="I45" i="45"/>
  <c r="I49" i="45"/>
  <c r="I53" i="45"/>
  <c r="I9" i="45"/>
  <c r="I15" i="45"/>
  <c r="I19" i="45"/>
  <c r="I23" i="45"/>
  <c r="I27" i="45"/>
  <c r="I31" i="45"/>
  <c r="I35" i="45"/>
  <c r="I39" i="45"/>
  <c r="I43" i="45"/>
  <c r="I47" i="45"/>
  <c r="I51" i="45"/>
  <c r="I55" i="45"/>
  <c r="B58" i="45"/>
  <c r="I7" i="45"/>
  <c r="I58" i="45" l="1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<sst xmlns="http://schemas.openxmlformats.org/spreadsheetml/2006/main" count="539" uniqueCount="217">
  <si>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</si>
  <si>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</si>
  <si>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</si>
  <si>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</si>
  <si>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</si>
  <si>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</si>
  <si>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</si>
  <si>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</si>
  <si>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</si>
  <si>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</si>
  <si>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</si>
  <si>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</si>
  <si>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</si>
  <si>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</si>
  <si>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</si>
  <si>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</si>
  <si>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</si>
  <si>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</si>
  <si>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</si>
  <si>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</si>
  <si>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</si>
  <si>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</si>
  <si>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</si>
  <si>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</si>
  <si>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</si>
  <si>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</si>
  <si>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</si>
  <si>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</si>
  <si>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</si>
  <si>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</si>
  <si>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</si>
  <si>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</si>
  <si>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</si>
  <si>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</si>
  <si>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</si>
  <si>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</si>
  <si>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</si>
  <si>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</si>
  <si>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</si>
  <si>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</si>
  <si>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</si>
  <si>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</si>
  <si>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</si>
  <si>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</si>
  <si>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</si>
  <si>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</si>
  <si>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</si>
  <si>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</si>
  <si>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</si>
  <si>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</si>
  <si>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</si>
  <si>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</si>
  <si>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</si>
  <si>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</si>
  <si>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</si>
  <si>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</si>
  <si>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</si>
  <si>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</si>
  <si>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</si>
  <si>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</si>
  <si>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</si>
  <si>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</si>
  <si>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</si>
  <si>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</si>
  <si>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</si>
  <si>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</si>
  <si>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</si>
  <si>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</si>
  <si>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</si>
  <si>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</si>
  <si>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</si>
  <si>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</si>
  <si>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</si>
  <si>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</si>
  <si>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</si>
  <si>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</si>
  <si>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</si>
  <si>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</si>
  <si>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</si>
  <si>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</si>
  <si>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</si>
  <si>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</si>
  <si>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</si>
  <si>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</si>
  <si>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</si>
  <si>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</si>
  <si>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</si>
  <si>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</si>
  <si>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</si>
  <si>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</si>
  <si>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</si>
  <si>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</si>
  <si>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</si>
  <si>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</si>
  <si>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</si>
  <si>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</si>
  <si>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</si>
  <si>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</si>
  <si>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</si>
  <si>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</si>
  <si>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</si>
  <si>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</si>
  <si>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</si>
  <si>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</si>
  <si>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</si>
  <si>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</si>
  <si>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</si>
  <si>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</si>
  <si>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</si>
  <si>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</si>
  <si>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</si>
  <si>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</si>
  <si>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</si>
  <si>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</si>
  <si>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</si>
  <si>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</si>
  <si>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</si>
  <si>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</si>
  <si>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</si>
  <si>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</si>
  <si>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</si>
  <si>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</si>
  <si>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</si>
  <si>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</si>
  <si>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</si>
  <si>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</si>
  <si>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</si>
  <si>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</si>
  <si>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</si>
  <si>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</si>
  <si>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</si>
  <si>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</si>
  <si>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</si>
  <si>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</si>
  <si>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</si>
  <si>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</si>
  <si>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</si>
  <si>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</si>
  <si>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</si>
  <si>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</si>
  <si>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MONTO A DISMINUIR EN MUNICIPIOS CON CRECIMIENTO SUPERIOR A 2015 MÁS INFLACIÓN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</si>
  <si>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</si>
  <si>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</si>
  <si>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</si>
  <si>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</si>
  <si>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</si>
  <si>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</si>
  <si>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</si>
  <si>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</si>
  <si>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</si>
  <si>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</si>
  <si>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</si>
  <si>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DIRECCIÓN DE COORDINACIÓN Y PLANEACIÓN HACENDARIA</t>
  </si>
  <si>
    <t>Fondo de Fiscalización y Recaudación (FOFIR) *</t>
  </si>
  <si>
    <t>Impuesto sobre Adquisición de Vehículos Nuevos (ISAN) y su Compensación</t>
  </si>
  <si>
    <t>Fondo sobre Extracción de Hidrocarburos</t>
  </si>
  <si>
    <t>FEXHI</t>
  </si>
  <si>
    <t>Estimación de Participaciones para 2016</t>
  </si>
  <si>
    <t>COEFICIENTE DEFINITIVO 2016</t>
  </si>
  <si>
    <t>PARTICIPACIONES PAGADAS 2015 MÁS INFLACIÓN</t>
  </si>
  <si>
    <t xml:space="preserve"> DIFERENCIA ENTRE PARTICIPACIONES ESTIMADAS 2016 MENOS PARTICIPACIONES 2015 MÁS INFLACIÓN</t>
  </si>
  <si>
    <t>MONTOS 2015 MÁS INFLACIÓN DE MUNICIPIOS CON PARTICIPACIÓN  INFERIOR EN 2016</t>
  </si>
  <si>
    <t>MONTO NECESARIO PARA ALCANZAR 2015 MÁS INFLACIÓN
"COMPENSACIÓN"</t>
  </si>
  <si>
    <t>MONTOS 2016 DE MUNICIPIOS CON PARTICIPACIÓN SUPERIOR A 2015 MÁS INFLACIÓN</t>
  </si>
  <si>
    <t>MONTO 2016 POR ENCIMA DE 2015 MÁS INFLACIÓN</t>
  </si>
  <si>
    <t>MONTO A DISTRIBUIR EN 2016 PARA GARANTIZAR AL MENOS EL PAGO DE 2015 MÁS INFLACIÓN</t>
  </si>
  <si>
    <t>DETERMINACIÓN INCREMENTO 2016 vs PAGO 2015 MÁS INFLACIÓN</t>
  </si>
  <si>
    <t>* 4.19%DE CRECIMIENTO DE ESTIMACIÓN 2016 RESPECTO 2015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</si>
  <si>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</si>
  <si>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</si>
  <si>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</si>
  <si>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</si>
  <si>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</si>
  <si>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</si>
  <si>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</si>
  <si>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</si>
  <si>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</si>
  <si>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DETERMINACIÓN PRELIMINAR DE LOS COEFICIENTES DE PARTICIPACIÓN DE RECURSOS A MUNICIPIOS POR VARIABLE (ARTÍCULO14 FRACC II LCH 2016)</t>
  </si>
  <si>
    <t>*2.13% INFLACIÓN ANUAL 2016 ESPERADA</t>
  </si>
  <si>
    <t>DETERMINACIÓN  DEL  COEFICIENTE DEFINITIVO DE PARTICIPACIÓN DE RECURSOS A MUNICIPIOS PARA 2016
 (ARTÍCULO 19 LCHNL 2016)</t>
  </si>
  <si>
    <t>PARTICIPACIONES PAGADAS 2015
FGP, FFM, FOFIR, IEPS, ISAN, FEXHI</t>
  </si>
  <si>
    <t>FOFIR</t>
  </si>
  <si>
    <r>
      <t xml:space="preserve">Impuesto sobre la Venta Final de Gasolinas y Diesel (IEPSGD)
 </t>
    </r>
    <r>
      <rPr>
        <sz val="8"/>
        <rFont val="Arial"/>
        <family val="2"/>
      </rPr>
      <t>(Distribución Art 14 Fracc II)</t>
    </r>
  </si>
  <si>
    <t>PROPORCION DE RECAUDACIÓN</t>
  </si>
  <si>
    <t>RECAUDACIÓN PONDERADO POR EFICIENCIA</t>
  </si>
  <si>
    <t>PROYECCIÓN DE POBLACIÓN 2015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</si>
  <si>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</si>
  <si>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</si>
  <si>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IEPSGYD</t>
  </si>
  <si>
    <t>FACTURACIÓN  2014
(2010-2014)</t>
  </si>
  <si>
    <t>RECAUDACIÓN 2015</t>
  </si>
  <si>
    <t>Enero</t>
  </si>
  <si>
    <t>Febrero</t>
  </si>
  <si>
    <t>Marzo</t>
  </si>
  <si>
    <t>Abril</t>
  </si>
  <si>
    <t>Mayo</t>
  </si>
  <si>
    <t>Junio</t>
  </si>
  <si>
    <t>Observado 1er Semestre</t>
  </si>
  <si>
    <t>Julio</t>
  </si>
  <si>
    <t>Agosto</t>
  </si>
  <si>
    <t>Septiembre</t>
  </si>
  <si>
    <t>Octubre</t>
  </si>
  <si>
    <t>Noviembre</t>
  </si>
  <si>
    <t>Diciembre</t>
  </si>
  <si>
    <t>POBLACIÓN  2015</t>
  </si>
  <si>
    <t xml:space="preserve">  Población 2015, Encuesta Intercensal, INEGI</t>
  </si>
  <si>
    <t>COORDINACIÓN Y PLANEACIÓN HACENDARIA</t>
  </si>
  <si>
    <t>Observado 2do Semestre</t>
  </si>
  <si>
    <t>Observado 2016</t>
  </si>
  <si>
    <t>CÁLCULO DE PARTICIPACIONES EN 2016</t>
  </si>
  <si>
    <t>CÁLCULO DE DIFERENCIAS DE PARTICIPACIONES EN EL 2016</t>
  </si>
  <si>
    <t>POR PARTICIPACIONES OBSERVADAS EN 2016</t>
  </si>
  <si>
    <t>PARTICIPACIONES CALCULADAS CON EL COEFICIENTE DEFINITIVO MENOS PARTICIPACIONES PAGADAS</t>
  </si>
  <si>
    <t>CÁLCULO  DE PARTICIPACIONES DE 2016 CON EL COEFICIENTE DEFINITIVO</t>
  </si>
  <si>
    <t>PARTICIPACIONES OBSERVADAS 2016</t>
  </si>
  <si>
    <t>MONTO OBSERVADO DE PARTICIPACIONES</t>
  </si>
  <si>
    <t>MONTO OBSERVADO DE GASOLINAS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</si>
</sst>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" fillId="0" borderId="0" applyFont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4" fillId="0" borderId="0"/>
    <xf numFmtId="37" fontId="3" fillId="0" borderId="0"/>
    <xf numFmtId="0" fontId="12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2" fillId="0" borderId="0" applyFont="0" applyFill="0" applyBorder="0" applyAlignment="0" applyProtection="0"/>
    <xf numFmtId="0" fontId="2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</cellStyleXfs>
  <cellXfs count="239">
    <xf numFmtId="0" fontId="0" fillId="0" borderId="0" xfId="0"/>
    <xf numFmtId="37" fontId="3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3" fillId="0" borderId="0" xfId="37" applyFont="1" applyFill="1" applyProtection="1">
      <protection hidden="1"/>
    </xf>
    <xf numFmtId="37" fontId="3" fillId="0" borderId="0" xfId="37" applyFont="1" applyBorder="1" applyProtection="1"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6" fillId="0" borderId="0" xfId="37" applyFont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3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176" fontId="11" fillId="0" borderId="19" xfId="33" applyNumberFormat="1" applyFont="1" applyFill="1" applyBorder="1" applyProtection="1">
      <protection hidden="1"/>
    </xf>
    <xf numFmtId="176" fontId="11" fillId="0" borderId="21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37" fontId="46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3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37" applyNumberFormat="1" applyFont="1" applyProtection="1">
      <protection hidden="1"/>
    </xf>
    <xf numFmtId="185" fontId="3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NumberFormat="1" applyFont="1" applyProtection="1">
      <protection hidden="1"/>
    </xf>
    <xf numFmtId="175" fontId="3" fillId="0" borderId="0" xfId="40" applyNumberFormat="1" applyFont="1" applyProtection="1">
      <protection hidden="1"/>
    </xf>
    <xf numFmtId="0" fontId="2" fillId="0" borderId="0" xfId="53"/>
    <xf numFmtId="0" fontId="7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14" fontId="0" fillId="0" borderId="0" xfId="51" applyNumberFormat="1" applyFont="1" applyAlignment="1">
      <alignment horizontal="left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38" xfId="53" applyFont="1" applyBorder="1" applyAlignment="1">
      <alignment horizontal="left" vertical="center"/>
    </xf>
    <xf numFmtId="3" fontId="2" fillId="0" borderId="38" xfId="53" applyNumberFormat="1" applyFont="1" applyBorder="1" applyAlignment="1">
      <alignment vertical="center" wrapText="1"/>
    </xf>
    <xf numFmtId="3" fontId="7" fillId="0" borderId="38" xfId="53" applyNumberFormat="1" applyFont="1" applyBorder="1" applyAlignment="1">
      <alignment vertical="center"/>
    </xf>
    <xf numFmtId="165" fontId="2" fillId="0" borderId="38" xfId="33" applyNumberFormat="1" applyFont="1" applyBorder="1" applyAlignment="1">
      <alignment vertical="center" wrapText="1"/>
    </xf>
    <xf numFmtId="3" fontId="7" fillId="0" borderId="38" xfId="53" applyNumberFormat="1" applyFont="1" applyBorder="1" applyAlignment="1">
      <alignment vertical="center" wrapText="1"/>
    </xf>
    <xf numFmtId="3" fontId="2" fillId="0" borderId="0" xfId="53" applyNumberFormat="1"/>
    <xf numFmtId="165" fontId="2" fillId="0" borderId="0" xfId="33" applyNumberFormat="1"/>
    <xf numFmtId="38" fontId="0" fillId="0" borderId="0" xfId="51" applyNumberFormat="1" applyFont="1" applyFill="1" applyBorder="1"/>
    <xf numFmtId="38" fontId="7" fillId="0" borderId="43" xfId="51" applyNumberFormat="1" applyFont="1" applyFill="1" applyBorder="1"/>
    <xf numFmtId="38" fontId="7" fillId="0" borderId="40" xfId="51" applyNumberFormat="1" applyFont="1" applyFill="1" applyBorder="1"/>
    <xf numFmtId="38" fontId="7" fillId="0" borderId="41" xfId="51" applyNumberFormat="1" applyFont="1" applyFill="1" applyBorder="1"/>
    <xf numFmtId="37" fontId="2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>
      <alignment horizontal="center" vertical="center"/>
    </xf>
    <xf numFmtId="37" fontId="49" fillId="0" borderId="0" xfId="37" applyFont="1" applyAlignment="1" applyProtection="1">
      <alignment horizontal="center" wrapText="1"/>
      <protection hidden="1"/>
    </xf>
    <xf numFmtId="37" fontId="3" fillId="0" borderId="0" xfId="37" applyFont="1" applyAlignment="1" applyProtection="1">
      <alignment horizont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  <xf numFmtId="188" fontId="7" fillId="0" borderId="0" xfId="51" applyNumberFormat="1" applyFont="1" applyAlignment="1">
      <alignment horizontal="center"/>
    </xf>
    <xf numFmtId="188" fontId="2" fillId="0" borderId="44" xfId="51" applyNumberFormat="1" applyFont="1" applyBorder="1" applyAlignment="1">
      <alignment horizontal="center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workbookViewId="0">
      <pane xSplit="1" ySplit="2" topLeftCell="AC6" activePane="bottomRight" state="frozen"/>
      <selection activeCell="A4" sqref="A4"/>
      <selection pane="topRight" activeCell="B4" sqref="B4"/>
      <selection pane="bottomLeft" activeCell="A6" sqref="A6"/>
      <selection pane="bottomRight" activeCell="AP5" sqref="AP5"/>
    </sheetView>
  </sheetViews>
  <sheetFormatPr baseColWidth="10" defaultColWidth="9.7109375" defaultRowHeight="12.75" x14ac:dyDescent="0.2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2.5703125" style="90" customWidth="1"/>
    <col min="10" max="10" width="12.28515625" style="25" customWidth="1"/>
    <col min="11" max="11" width="15.5703125" style="25" customWidth="1"/>
    <col min="12" max="12" width="12" style="90" customWidth="1"/>
    <col min="13" max="13" width="17.7109375" style="92" customWidth="1"/>
    <col min="14" max="14" width="18" style="25" customWidth="1"/>
    <col min="15" max="15" width="16.140625" style="25" customWidth="1"/>
    <col min="16" max="16" width="14.140625" style="25" customWidth="1"/>
    <col min="17" max="17" width="15.5703125" style="25" customWidth="1"/>
    <col min="18" max="18" width="14.5703125" style="25" customWidth="1"/>
    <col min="19" max="19" width="17.42578125" style="25" customWidth="1"/>
    <col min="20" max="20" width="14.28515625" style="25" customWidth="1"/>
    <col min="21" max="21" width="15" style="25" customWidth="1"/>
    <col min="22" max="22" width="16.140625" style="25" customWidth="1"/>
    <col min="23" max="23" width="13.140625" style="25" customWidth="1"/>
    <col min="24" max="24" width="14" style="25" customWidth="1"/>
    <col min="25" max="25" width="12.85546875" style="25" customWidth="1"/>
    <col min="26" max="26" width="14.42578125" style="25" customWidth="1"/>
    <col min="27" max="27" width="14.285156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8.42578125" style="25" bestFit="1" customWidth="1"/>
    <col min="34" max="34" width="16.85546875" style="25" bestFit="1" customWidth="1"/>
    <col min="35" max="35" width="13.85546875" style="90" customWidth="1"/>
    <col min="36" max="36" width="15.140625" style="90" customWidth="1"/>
    <col min="37" max="37" width="17.5703125" style="92" customWidth="1"/>
    <col min="38" max="38" width="3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26.25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.75" thickBot="1" x14ac:dyDescent="0.3">
      <c r="B3" s="218" t="s">
        <v>139</v>
      </c>
      <c r="C3" s="218"/>
      <c r="D3" s="218"/>
      <c r="E3" s="218"/>
      <c r="F3" s="218"/>
      <c r="G3" s="219" t="s">
        <v>69</v>
      </c>
      <c r="H3" s="219"/>
      <c r="I3" s="219"/>
      <c r="J3" s="219"/>
      <c r="K3" s="219"/>
      <c r="L3" s="219"/>
      <c r="M3" s="219"/>
      <c r="N3" s="219" t="s">
        <v>124</v>
      </c>
      <c r="O3" s="219"/>
      <c r="P3" s="219"/>
      <c r="Q3" s="219"/>
      <c r="R3" s="219"/>
      <c r="S3" s="219"/>
      <c r="T3" s="219" t="s">
        <v>124</v>
      </c>
      <c r="U3" s="219"/>
      <c r="V3" s="219"/>
      <c r="W3" s="219"/>
      <c r="X3" s="219"/>
      <c r="Y3" s="219"/>
      <c r="Z3" s="158"/>
      <c r="AA3" s="219" t="s">
        <v>124</v>
      </c>
      <c r="AB3" s="219"/>
      <c r="AC3" s="219"/>
      <c r="AD3" s="219"/>
      <c r="AE3" s="219"/>
      <c r="AF3" s="219"/>
      <c r="AG3" s="218" t="s">
        <v>124</v>
      </c>
      <c r="AH3" s="218"/>
      <c r="AI3" s="218"/>
      <c r="AJ3" s="218"/>
      <c r="AK3" s="218"/>
      <c r="AM3" s="218" t="s">
        <v>187</v>
      </c>
      <c r="AN3" s="218"/>
      <c r="AO3" s="218"/>
      <c r="AP3" s="218"/>
      <c r="AQ3" s="218"/>
    </row>
    <row r="4" spans="1:43" ht="64.5" thickBot="1" x14ac:dyDescent="0.25">
      <c r="A4" s="19" t="s">
        <v>0</v>
      </c>
      <c r="B4" s="20" t="s">
        <v>189</v>
      </c>
      <c r="C4" s="19" t="s">
        <v>190</v>
      </c>
      <c r="D4" s="20" t="s">
        <v>183</v>
      </c>
      <c r="E4" s="23" t="s">
        <v>184</v>
      </c>
      <c r="F4" s="155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50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50" t="s">
        <v>104</v>
      </c>
      <c r="AM4" s="157" t="s">
        <v>127</v>
      </c>
      <c r="AN4" s="157" t="s">
        <v>125</v>
      </c>
      <c r="AO4" s="157" t="s">
        <v>126</v>
      </c>
      <c r="AP4" s="157" t="s">
        <v>215</v>
      </c>
      <c r="AQ4" s="157" t="s">
        <v>115</v>
      </c>
    </row>
    <row r="5" spans="1:43" x14ac:dyDescent="0.2">
      <c r="A5" s="113"/>
      <c r="B5" s="114" t="s">
        <v>131</v>
      </c>
      <c r="C5" s="113" t="s">
        <v>131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131</v>
      </c>
      <c r="AN5" s="121" t="s">
        <v>131</v>
      </c>
      <c r="AO5" s="121" t="s">
        <v>131</v>
      </c>
      <c r="AP5" s="121" t="s">
        <v>131</v>
      </c>
      <c r="AQ5" s="121"/>
    </row>
    <row r="6" spans="1:43" s="28" customFormat="1" ht="22.5" x14ac:dyDescent="0.2">
      <c r="A6" s="122"/>
      <c r="B6" s="126" t="s">
        <v>175</v>
      </c>
      <c r="C6" s="105" t="s">
        <v>176</v>
      </c>
      <c r="D6" s="105" t="s">
        <v>54</v>
      </c>
      <c r="E6" s="105" t="s">
        <v>55</v>
      </c>
      <c r="F6" s="127" t="s">
        <v>77</v>
      </c>
      <c r="G6" s="122" t="s">
        <v>57</v>
      </c>
      <c r="H6" s="105" t="s">
        <v>75</v>
      </c>
      <c r="I6" s="123" t="s">
        <v>78</v>
      </c>
      <c r="J6" s="26" t="s">
        <v>68</v>
      </c>
      <c r="K6" s="105" t="s">
        <v>79</v>
      </c>
      <c r="L6" s="123" t="s">
        <v>80</v>
      </c>
      <c r="M6" s="124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22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3" t="s">
        <v>81</v>
      </c>
      <c r="AG6" s="105" t="s">
        <v>65</v>
      </c>
      <c r="AH6" s="105" t="s">
        <v>61</v>
      </c>
      <c r="AI6" s="123" t="s">
        <v>82</v>
      </c>
      <c r="AJ6" s="123" t="s">
        <v>83</v>
      </c>
      <c r="AK6" s="125" t="s">
        <v>67</v>
      </c>
      <c r="AL6" s="27"/>
      <c r="AM6" s="26">
        <f>+AP6*0.5</f>
        <v>3060034359.5096636</v>
      </c>
      <c r="AN6" s="26">
        <f>+AP6*0.25</f>
        <v>1530017179.7548318</v>
      </c>
      <c r="AO6" s="26">
        <f>+AP6*0.25</f>
        <v>1530017179.7548318</v>
      </c>
      <c r="AP6" s="26">
        <f>SUM('observado 2016'!R4:R9)</f>
        <v>6120068719.0193272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141</v>
      </c>
      <c r="AN7" s="26" t="s">
        <v>142</v>
      </c>
      <c r="AO7" s="26" t="s">
        <v>74</v>
      </c>
      <c r="AP7" s="35" t="s">
        <v>143</v>
      </c>
      <c r="AQ7" s="35" t="s">
        <v>72</v>
      </c>
    </row>
    <row r="8" spans="1:43" ht="15" thickTop="1" x14ac:dyDescent="0.2">
      <c r="A8" s="5" t="s">
        <v>1</v>
      </c>
      <c r="B8" s="40">
        <v>444639</v>
      </c>
      <c r="C8" s="40">
        <v>89336</v>
      </c>
      <c r="D8" s="49">
        <f t="shared" ref="D8:D39" si="0">+C8/B8</f>
        <v>0.20091804812443353</v>
      </c>
      <c r="E8" s="50">
        <f>+D8*C8</f>
        <v>17949.214747244394</v>
      </c>
      <c r="F8" s="151">
        <f t="shared" ref="F8:F39" si="1">+E8/E$59</f>
        <v>1.5737167545733938E-5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51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51">
        <f t="shared" ref="AK8:AK58" si="10">+AJ8+AF8</f>
        <v>1.2024615204675394E-3</v>
      </c>
      <c r="AM8" s="51">
        <f t="shared" ref="AM8:AM39" si="11">+F8*AM$6</f>
        <v>48156.273411306218</v>
      </c>
      <c r="AN8" s="52">
        <f t="shared" ref="AN8:AN39" si="12">+M8*AN$6</f>
        <v>949579.75680826697</v>
      </c>
      <c r="AO8" s="52">
        <f t="shared" ref="AO8:AO39" si="13">+AK8*AO$6</f>
        <v>1839786.7843094517</v>
      </c>
      <c r="AP8" s="52">
        <f>SUM(AM8:AO8)</f>
        <v>2837522.814529025</v>
      </c>
      <c r="AQ8" s="53">
        <f>+AP8/AP$59</f>
        <v>4.6364231266078106E-4</v>
      </c>
    </row>
    <row r="9" spans="1:43" ht="14.25" x14ac:dyDescent="0.2">
      <c r="A9" s="7" t="s">
        <v>2</v>
      </c>
      <c r="B9" s="57">
        <v>2486351</v>
      </c>
      <c r="C9" s="57">
        <v>820553</v>
      </c>
      <c r="D9" s="66">
        <f t="shared" si="0"/>
        <v>0.33002299353550646</v>
      </c>
      <c r="E9" s="67">
        <f t="shared" ref="E9:E58" si="14">+D9*C9</f>
        <v>270801.35741454043</v>
      </c>
      <c r="F9" s="152">
        <f t="shared" si="1"/>
        <v>2.3742800970716897E-4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52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52">
        <f t="shared" si="10"/>
        <v>6.7003841024929206E-3</v>
      </c>
      <c r="AM9" s="68">
        <f t="shared" si="11"/>
        <v>726537.86761393095</v>
      </c>
      <c r="AN9" s="69">
        <f t="shared" si="12"/>
        <v>4460826.8768669125</v>
      </c>
      <c r="AO9" s="69">
        <f t="shared" si="13"/>
        <v>10251702.787770329</v>
      </c>
      <c r="AP9" s="69">
        <f t="shared" ref="AP9:AP58" si="23">SUM(AM9:AO9)</f>
        <v>15439067.532251172</v>
      </c>
      <c r="AQ9" s="70">
        <f t="shared" ref="AQ9:AQ58" si="24">+AP9/AP$59</f>
        <v>2.5226951266529418E-3</v>
      </c>
    </row>
    <row r="10" spans="1:43" ht="14.25" x14ac:dyDescent="0.2">
      <c r="A10" s="7" t="s">
        <v>3</v>
      </c>
      <c r="B10" s="57">
        <v>926161</v>
      </c>
      <c r="C10" s="57">
        <v>238922</v>
      </c>
      <c r="D10" s="66">
        <f t="shared" si="0"/>
        <v>0.25797026650873878</v>
      </c>
      <c r="E10" s="67">
        <f t="shared" si="14"/>
        <v>61634.772014800888</v>
      </c>
      <c r="F10" s="152">
        <f t="shared" si="1"/>
        <v>5.4038950867694363E-5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52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52">
        <f t="shared" si="10"/>
        <v>8.7056695028393145E-3</v>
      </c>
      <c r="AM10" s="68">
        <f t="shared" si="11"/>
        <v>165361.04640699929</v>
      </c>
      <c r="AN10" s="69">
        <f t="shared" si="12"/>
        <v>2873960.8338001105</v>
      </c>
      <c r="AO10" s="69">
        <f t="shared" si="13"/>
        <v>13319823.900611857</v>
      </c>
      <c r="AP10" s="69">
        <f t="shared" si="23"/>
        <v>16359145.780818967</v>
      </c>
      <c r="AQ10" s="70">
        <f t="shared" si="24"/>
        <v>2.6730330216684782E-3</v>
      </c>
    </row>
    <row r="11" spans="1:43" ht="13.5" customHeight="1" x14ac:dyDescent="0.2">
      <c r="A11" s="7" t="s">
        <v>4</v>
      </c>
      <c r="B11" s="57">
        <v>31501914</v>
      </c>
      <c r="C11" s="57">
        <v>11924794</v>
      </c>
      <c r="D11" s="66">
        <f t="shared" si="0"/>
        <v>0.37854188796274413</v>
      </c>
      <c r="E11" s="67">
        <f t="shared" si="14"/>
        <v>4514034.0343268029</v>
      </c>
      <c r="F11" s="152">
        <f t="shared" si="1"/>
        <v>3.9577280068060997E-3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52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52">
        <f t="shared" si="10"/>
        <v>1.5189599064161979E-2</v>
      </c>
      <c r="AM11" s="68">
        <f t="shared" si="11"/>
        <v>12110783.686420361</v>
      </c>
      <c r="AN11" s="69">
        <f t="shared" si="12"/>
        <v>9789713.1731720734</v>
      </c>
      <c r="AO11" s="69">
        <f t="shared" si="13"/>
        <v>23240347.521755744</v>
      </c>
      <c r="AP11" s="69">
        <f t="shared" si="23"/>
        <v>45140844.381348178</v>
      </c>
      <c r="AQ11" s="70">
        <f t="shared" si="24"/>
        <v>7.3758721435698994E-3</v>
      </c>
    </row>
    <row r="12" spans="1:43" ht="14.25" x14ac:dyDescent="0.2">
      <c r="A12" s="7" t="s">
        <v>5</v>
      </c>
      <c r="B12" s="57">
        <v>10681380</v>
      </c>
      <c r="C12" s="57">
        <v>1595842</v>
      </c>
      <c r="D12" s="66">
        <f t="shared" si="0"/>
        <v>0.14940410321512762</v>
      </c>
      <c r="E12" s="67">
        <f t="shared" si="14"/>
        <v>238425.34288303569</v>
      </c>
      <c r="F12" s="152">
        <f t="shared" si="1"/>
        <v>2.0904198991075266E-4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52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52">
        <f t="shared" si="10"/>
        <v>1.4897846468279709E-2</v>
      </c>
      <c r="AM12" s="68">
        <f t="shared" si="11"/>
        <v>639675.67170717556</v>
      </c>
      <c r="AN12" s="69">
        <f t="shared" si="12"/>
        <v>21506654.790566429</v>
      </c>
      <c r="AO12" s="69">
        <f t="shared" si="13"/>
        <v>22793961.037817802</v>
      </c>
      <c r="AP12" s="69">
        <f t="shared" si="23"/>
        <v>44940291.500091404</v>
      </c>
      <c r="AQ12" s="70">
        <f t="shared" si="24"/>
        <v>7.3431024328910769E-3</v>
      </c>
    </row>
    <row r="13" spans="1:43" ht="14.25" x14ac:dyDescent="0.2">
      <c r="A13" s="7" t="s">
        <v>6</v>
      </c>
      <c r="B13" s="57">
        <v>349565615</v>
      </c>
      <c r="C13" s="57">
        <v>149730140</v>
      </c>
      <c r="D13" s="66">
        <f t="shared" si="0"/>
        <v>0.42833200284873557</v>
      </c>
      <c r="E13" s="67">
        <f t="shared" si="14"/>
        <v>64134210.753021576</v>
      </c>
      <c r="F13" s="152">
        <f t="shared" si="1"/>
        <v>5.623036072865864E-2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52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52">
        <f t="shared" si="10"/>
        <v>3.9971285953087153E-2</v>
      </c>
      <c r="AM13" s="68">
        <f t="shared" si="11"/>
        <v>172066835.87731829</v>
      </c>
      <c r="AN13" s="69">
        <f t="shared" si="12"/>
        <v>147118286.09110075</v>
      </c>
      <c r="AO13" s="69">
        <f t="shared" si="13"/>
        <v>61156754.205116332</v>
      </c>
      <c r="AP13" s="69">
        <f t="shared" si="23"/>
        <v>380341876.17353541</v>
      </c>
      <c r="AQ13" s="70">
        <f t="shared" si="24"/>
        <v>6.2146667567889807E-2</v>
      </c>
    </row>
    <row r="14" spans="1:43" ht="14.25" x14ac:dyDescent="0.2">
      <c r="A14" s="7" t="s">
        <v>7</v>
      </c>
      <c r="B14" s="57">
        <v>1225085</v>
      </c>
      <c r="C14" s="57">
        <v>612497</v>
      </c>
      <c r="D14" s="66">
        <f t="shared" si="0"/>
        <v>0.49996285971993781</v>
      </c>
      <c r="E14" s="67">
        <f t="shared" si="14"/>
        <v>306225.75168988277</v>
      </c>
      <c r="F14" s="152">
        <f t="shared" si="1"/>
        <v>2.6848672930952853E-4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52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52">
        <f t="shared" si="10"/>
        <v>3.2711552009463477E-2</v>
      </c>
      <c r="AM14" s="68">
        <f t="shared" si="11"/>
        <v>821578.61675952759</v>
      </c>
      <c r="AN14" s="69">
        <f t="shared" si="12"/>
        <v>13846599.969824223</v>
      </c>
      <c r="AO14" s="69">
        <f t="shared" si="13"/>
        <v>50049236.550922811</v>
      </c>
      <c r="AP14" s="69">
        <f t="shared" si="23"/>
        <v>64717415.137506559</v>
      </c>
      <c r="AQ14" s="70">
        <f t="shared" si="24"/>
        <v>1.0574622297358255E-2</v>
      </c>
    </row>
    <row r="15" spans="1:43" ht="14.25" x14ac:dyDescent="0.2">
      <c r="A15" s="7" t="s">
        <v>8</v>
      </c>
      <c r="B15" s="57">
        <v>4977441</v>
      </c>
      <c r="C15" s="57">
        <v>733808</v>
      </c>
      <c r="D15" s="66">
        <f t="shared" si="0"/>
        <v>0.14742676005602076</v>
      </c>
      <c r="E15" s="67">
        <f t="shared" si="14"/>
        <v>108182.93594318848</v>
      </c>
      <c r="F15" s="152">
        <f t="shared" si="1"/>
        <v>9.4850555442194492E-5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52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52">
        <f t="shared" si="10"/>
        <v>3.4441749558831313E-3</v>
      </c>
      <c r="AM15" s="68">
        <f t="shared" si="11"/>
        <v>290245.95867169148</v>
      </c>
      <c r="AN15" s="69">
        <f t="shared" si="12"/>
        <v>2718430.0013000374</v>
      </c>
      <c r="AO15" s="69">
        <f t="shared" si="13"/>
        <v>5269646.852582531</v>
      </c>
      <c r="AP15" s="69">
        <f t="shared" si="23"/>
        <v>8278322.8125542598</v>
      </c>
      <c r="AQ15" s="70">
        <f t="shared" si="24"/>
        <v>1.3526519378496075E-3</v>
      </c>
    </row>
    <row r="16" spans="1:43" ht="14.25" x14ac:dyDescent="0.2">
      <c r="A16" s="7" t="s">
        <v>9</v>
      </c>
      <c r="B16" s="57">
        <v>57941949</v>
      </c>
      <c r="C16" s="57">
        <v>21406376.080000002</v>
      </c>
      <c r="D16" s="66">
        <f t="shared" si="0"/>
        <v>0.36944521973190791</v>
      </c>
      <c r="E16" s="67">
        <f t="shared" si="14"/>
        <v>7908483.3145394586</v>
      </c>
      <c r="F16" s="152">
        <f t="shared" si="1"/>
        <v>6.9338480098498842E-3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52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52">
        <f t="shared" si="10"/>
        <v>2.1274556130539607E-2</v>
      </c>
      <c r="AM16" s="68">
        <f t="shared" si="11"/>
        <v>21217813.153758347</v>
      </c>
      <c r="AN16" s="69">
        <f t="shared" si="12"/>
        <v>28236487.824089408</v>
      </c>
      <c r="AO16" s="69">
        <f t="shared" si="13"/>
        <v>32550436.371384077</v>
      </c>
      <c r="AP16" s="69">
        <f t="shared" si="23"/>
        <v>82004737.349231839</v>
      </c>
      <c r="AQ16" s="70">
        <f t="shared" si="24"/>
        <v>1.3399316431592647E-2</v>
      </c>
    </row>
    <row r="17" spans="1:43" ht="14.25" x14ac:dyDescent="0.2">
      <c r="A17" s="7" t="s">
        <v>10</v>
      </c>
      <c r="B17" s="57">
        <v>14024645</v>
      </c>
      <c r="C17" s="57">
        <v>4202600</v>
      </c>
      <c r="D17" s="66">
        <f t="shared" si="0"/>
        <v>0.29965820881740679</v>
      </c>
      <c r="E17" s="67">
        <f t="shared" si="14"/>
        <v>1259343.5883760338</v>
      </c>
      <c r="F17" s="152">
        <f t="shared" si="1"/>
        <v>1.1041430684850446E-3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52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52">
        <f t="shared" si="10"/>
        <v>4.0532322911484417E-3</v>
      </c>
      <c r="AM17" s="68">
        <f t="shared" si="11"/>
        <v>3378715.7273786683</v>
      </c>
      <c r="AN17" s="69">
        <f t="shared" si="12"/>
        <v>4863149.0537473103</v>
      </c>
      <c r="AO17" s="69">
        <f t="shared" si="13"/>
        <v>6201515.038994154</v>
      </c>
      <c r="AP17" s="69">
        <f t="shared" si="23"/>
        <v>14443379.820120133</v>
      </c>
      <c r="AQ17" s="70">
        <f t="shared" si="24"/>
        <v>2.3600028828490872E-3</v>
      </c>
    </row>
    <row r="18" spans="1:43" ht="14.25" x14ac:dyDescent="0.2">
      <c r="A18" s="7" t="s">
        <v>11</v>
      </c>
      <c r="B18" s="57">
        <v>4273820</v>
      </c>
      <c r="C18" s="57">
        <v>1134183</v>
      </c>
      <c r="D18" s="66">
        <f t="shared" si="0"/>
        <v>0.2653792157835379</v>
      </c>
      <c r="E18" s="67">
        <f t="shared" si="14"/>
        <v>300988.59509502037</v>
      </c>
      <c r="F18" s="152">
        <f t="shared" si="1"/>
        <v>2.6389499580156277E-4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52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52">
        <f t="shared" si="10"/>
        <v>8.4664590097587207E-3</v>
      </c>
      <c r="AM18" s="68">
        <f t="shared" si="11"/>
        <v>807527.75445544044</v>
      </c>
      <c r="AN18" s="69">
        <f t="shared" si="12"/>
        <v>5793566.3764271298</v>
      </c>
      <c r="AO18" s="69">
        <f t="shared" si="13"/>
        <v>12953827.736620924</v>
      </c>
      <c r="AP18" s="69">
        <f t="shared" si="23"/>
        <v>19554921.867503494</v>
      </c>
      <c r="AQ18" s="70">
        <f t="shared" si="24"/>
        <v>3.1952127934009454E-3</v>
      </c>
    </row>
    <row r="19" spans="1:43" ht="14.25" x14ac:dyDescent="0.2">
      <c r="A19" s="7" t="s">
        <v>12</v>
      </c>
      <c r="B19" s="57">
        <v>3631316</v>
      </c>
      <c r="C19" s="57">
        <v>1005385</v>
      </c>
      <c r="D19" s="66">
        <f t="shared" si="0"/>
        <v>0.27686519157242168</v>
      </c>
      <c r="E19" s="67">
        <f t="shared" si="14"/>
        <v>278356.11062903918</v>
      </c>
      <c r="F19" s="152">
        <f t="shared" si="1"/>
        <v>2.4405172103813351E-4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52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52">
        <f t="shared" si="10"/>
        <v>1.5865661602731191E-2</v>
      </c>
      <c r="AM19" s="68">
        <f t="shared" si="11"/>
        <v>746806.65187415597</v>
      </c>
      <c r="AN19" s="69">
        <f t="shared" si="12"/>
        <v>18374628.157486714</v>
      </c>
      <c r="AO19" s="69">
        <f t="shared" si="13"/>
        <v>24274734.8203553</v>
      </c>
      <c r="AP19" s="69">
        <f t="shared" si="23"/>
        <v>43396169.629716173</v>
      </c>
      <c r="AQ19" s="70">
        <f t="shared" si="24"/>
        <v>7.0907977707593325E-3</v>
      </c>
    </row>
    <row r="20" spans="1:43" ht="14.25" x14ac:dyDescent="0.2">
      <c r="A20" s="7" t="s">
        <v>13</v>
      </c>
      <c r="B20" s="57">
        <v>31275695</v>
      </c>
      <c r="C20" s="57">
        <v>10824074</v>
      </c>
      <c r="D20" s="66">
        <f t="shared" si="0"/>
        <v>0.34608580240982656</v>
      </c>
      <c r="E20" s="67">
        <f t="shared" si="14"/>
        <v>3746058.3356333412</v>
      </c>
      <c r="F20" s="152">
        <f t="shared" si="1"/>
        <v>3.2843970331908594E-3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52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52">
        <f t="shared" si="10"/>
        <v>3.1037677644834673E-3</v>
      </c>
      <c r="AM20" s="68">
        <f t="shared" si="11"/>
        <v>10050367.771835631</v>
      </c>
      <c r="AN20" s="69">
        <f t="shared" si="12"/>
        <v>7378107.464477554</v>
      </c>
      <c r="AO20" s="69">
        <f t="shared" si="13"/>
        <v>4748818.001628954</v>
      </c>
      <c r="AP20" s="69">
        <f t="shared" si="23"/>
        <v>22177293.237942141</v>
      </c>
      <c r="AQ20" s="70">
        <f t="shared" si="24"/>
        <v>3.6237000360832224E-3</v>
      </c>
    </row>
    <row r="21" spans="1:43" ht="14.25" x14ac:dyDescent="0.2">
      <c r="A21" s="7" t="s">
        <v>14</v>
      </c>
      <c r="B21" s="57">
        <v>5180132</v>
      </c>
      <c r="C21" s="57">
        <v>550772</v>
      </c>
      <c r="D21" s="66">
        <f t="shared" si="0"/>
        <v>0.10632393151371432</v>
      </c>
      <c r="E21" s="67">
        <f t="shared" si="14"/>
        <v>58560.24440767146</v>
      </c>
      <c r="F21" s="152">
        <f t="shared" si="1"/>
        <v>5.1343325640701727E-5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52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52">
        <f t="shared" si="10"/>
        <v>7.6653090462183035E-2</v>
      </c>
      <c r="AM21" s="68">
        <f t="shared" si="11"/>
        <v>157112.3405920408</v>
      </c>
      <c r="AN21" s="69">
        <f t="shared" si="12"/>
        <v>28100186.506127428</v>
      </c>
      <c r="AO21" s="69">
        <f t="shared" si="13"/>
        <v>117280545.28844129</v>
      </c>
      <c r="AP21" s="69">
        <f t="shared" si="23"/>
        <v>145537844.13516074</v>
      </c>
      <c r="AQ21" s="70">
        <f t="shared" si="24"/>
        <v>2.3780426465290008E-2</v>
      </c>
    </row>
    <row r="22" spans="1:43" ht="14.25" x14ac:dyDescent="0.2">
      <c r="A22" s="7" t="s">
        <v>15</v>
      </c>
      <c r="B22" s="57">
        <v>1217466</v>
      </c>
      <c r="C22" s="57">
        <v>296189</v>
      </c>
      <c r="D22" s="66">
        <f t="shared" si="0"/>
        <v>0.24328317998202825</v>
      </c>
      <c r="E22" s="67">
        <f t="shared" si="14"/>
        <v>72057.801795696971</v>
      </c>
      <c r="F22" s="152">
        <f t="shared" si="1"/>
        <v>6.3177454602032838E-5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52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52">
        <f t="shared" si="10"/>
        <v>1.0033256295573299E-2</v>
      </c>
      <c r="AM22" s="68">
        <f t="shared" si="11"/>
        <v>193325.1818285824</v>
      </c>
      <c r="AN22" s="69">
        <f t="shared" si="12"/>
        <v>3055273.2196849738</v>
      </c>
      <c r="AO22" s="69">
        <f t="shared" si="13"/>
        <v>15351054.50111047</v>
      </c>
      <c r="AP22" s="69">
        <f t="shared" si="23"/>
        <v>18599652.902624026</v>
      </c>
      <c r="AQ22" s="70">
        <f t="shared" si="24"/>
        <v>3.0391248459060455E-3</v>
      </c>
    </row>
    <row r="23" spans="1:43" ht="14.25" x14ac:dyDescent="0.2">
      <c r="A23" s="7" t="s">
        <v>16</v>
      </c>
      <c r="B23" s="57">
        <v>1622662</v>
      </c>
      <c r="C23" s="57">
        <v>482900</v>
      </c>
      <c r="D23" s="66">
        <f t="shared" si="0"/>
        <v>0.29759740475835389</v>
      </c>
      <c r="E23" s="67">
        <f t="shared" si="14"/>
        <v>143709.78675780908</v>
      </c>
      <c r="F23" s="152">
        <f t="shared" si="1"/>
        <v>1.2599910491998219E-4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52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52">
        <f t="shared" si="10"/>
        <v>2.4273538769986279E-3</v>
      </c>
      <c r="AM23" s="68">
        <f t="shared" si="11"/>
        <v>385561.59032260859</v>
      </c>
      <c r="AN23" s="69">
        <f t="shared" si="12"/>
        <v>3135440.2739036507</v>
      </c>
      <c r="AO23" s="69">
        <f t="shared" si="13"/>
        <v>3713893.1331523978</v>
      </c>
      <c r="AP23" s="69">
        <f t="shared" si="23"/>
        <v>7234894.9973786566</v>
      </c>
      <c r="AQ23" s="70">
        <f t="shared" si="24"/>
        <v>1.1821591112032427E-3</v>
      </c>
    </row>
    <row r="24" spans="1:43" ht="14.25" x14ac:dyDescent="0.2">
      <c r="A24" s="7" t="s">
        <v>17</v>
      </c>
      <c r="B24" s="57">
        <v>8786595</v>
      </c>
      <c r="C24" s="57">
        <v>967500</v>
      </c>
      <c r="D24" s="66">
        <f t="shared" si="0"/>
        <v>0.1101109132718647</v>
      </c>
      <c r="E24" s="67">
        <f t="shared" si="14"/>
        <v>106532.30859052909</v>
      </c>
      <c r="F24" s="152">
        <f t="shared" si="1"/>
        <v>9.3403350114821602E-5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52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52">
        <f t="shared" si="10"/>
        <v>4.6780203077559736E-2</v>
      </c>
      <c r="AM24" s="68">
        <f t="shared" si="11"/>
        <v>285817.460644665</v>
      </c>
      <c r="AN24" s="69">
        <f t="shared" si="12"/>
        <v>36230751.766936697</v>
      </c>
      <c r="AO24" s="69">
        <f t="shared" si="13"/>
        <v>71574514.381086245</v>
      </c>
      <c r="AP24" s="69">
        <f t="shared" si="23"/>
        <v>108091083.60866761</v>
      </c>
      <c r="AQ24" s="70">
        <f t="shared" si="24"/>
        <v>1.7661743449506231E-2</v>
      </c>
    </row>
    <row r="25" spans="1:43" ht="14.25" x14ac:dyDescent="0.2">
      <c r="A25" s="7" t="s">
        <v>18</v>
      </c>
      <c r="B25" s="57">
        <v>229242090</v>
      </c>
      <c r="C25" s="57">
        <v>61051716</v>
      </c>
      <c r="D25" s="66">
        <f t="shared" si="0"/>
        <v>0.26631983681530735</v>
      </c>
      <c r="E25" s="67">
        <f t="shared" si="14"/>
        <v>16259283.042414488</v>
      </c>
      <c r="F25" s="152">
        <f t="shared" si="1"/>
        <v>1.4255501703843061E-2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52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52">
        <f t="shared" si="10"/>
        <v>2.7268078429431852E-2</v>
      </c>
      <c r="AM25" s="68">
        <f t="shared" si="11"/>
        <v>43622325.025808319</v>
      </c>
      <c r="AN25" s="69">
        <f t="shared" si="12"/>
        <v>43867956.471086659</v>
      </c>
      <c r="AO25" s="69">
        <f t="shared" si="13"/>
        <v>41720628.455932885</v>
      </c>
      <c r="AP25" s="69">
        <f t="shared" si="23"/>
        <v>129210909.95282787</v>
      </c>
      <c r="AQ25" s="70">
        <f t="shared" si="24"/>
        <v>2.1112656717608303E-2</v>
      </c>
    </row>
    <row r="26" spans="1:43" ht="14.25" x14ac:dyDescent="0.2">
      <c r="A26" s="7" t="s">
        <v>19</v>
      </c>
      <c r="B26" s="57">
        <v>4284299</v>
      </c>
      <c r="C26" s="57">
        <v>3074683</v>
      </c>
      <c r="D26" s="66">
        <f t="shared" si="0"/>
        <v>0.71766302958780426</v>
      </c>
      <c r="E26" s="67">
        <f t="shared" si="14"/>
        <v>2206586.3168021189</v>
      </c>
      <c r="F26" s="152">
        <f t="shared" si="1"/>
        <v>1.9346483431521716E-3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52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52">
        <f t="shared" si="10"/>
        <v>5.0795958724273293E-3</v>
      </c>
      <c r="AM26" s="68">
        <f t="shared" si="11"/>
        <v>5920090.403614087</v>
      </c>
      <c r="AN26" s="69">
        <f t="shared" si="12"/>
        <v>8316064.8722924497</v>
      </c>
      <c r="AO26" s="69">
        <f t="shared" si="13"/>
        <v>7771868.9510255465</v>
      </c>
      <c r="AP26" s="69">
        <f t="shared" si="23"/>
        <v>22008024.226932082</v>
      </c>
      <c r="AQ26" s="70">
        <f t="shared" si="24"/>
        <v>3.5960420115116977E-3</v>
      </c>
    </row>
    <row r="27" spans="1:43" ht="14.25" x14ac:dyDescent="0.2">
      <c r="A27" s="7" t="s">
        <v>20</v>
      </c>
      <c r="B27" s="57">
        <v>264462530</v>
      </c>
      <c r="C27" s="57">
        <v>103985486</v>
      </c>
      <c r="D27" s="66">
        <f t="shared" si="0"/>
        <v>0.39319553511039917</v>
      </c>
      <c r="E27" s="67">
        <f t="shared" si="14"/>
        <v>40886628.811484925</v>
      </c>
      <c r="F27" s="152">
        <f t="shared" si="1"/>
        <v>3.584779262197825E-2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52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52">
        <f t="shared" si="10"/>
        <v>5.9814059808863618E-2</v>
      </c>
      <c r="AM27" s="68">
        <f t="shared" si="11"/>
        <v>109695477.13583046</v>
      </c>
      <c r="AN27" s="69">
        <f t="shared" si="12"/>
        <v>100574221.3022916</v>
      </c>
      <c r="AO27" s="69">
        <f t="shared" si="13"/>
        <v>91516539.098444343</v>
      </c>
      <c r="AP27" s="69">
        <f t="shared" si="23"/>
        <v>301786237.53656638</v>
      </c>
      <c r="AQ27" s="70">
        <f t="shared" si="24"/>
        <v>4.9310923029132953E-2</v>
      </c>
    </row>
    <row r="28" spans="1:43" ht="14.25" x14ac:dyDescent="0.2">
      <c r="A28" s="7" t="s">
        <v>21</v>
      </c>
      <c r="B28" s="57">
        <v>11471540</v>
      </c>
      <c r="C28" s="57">
        <v>3603611</v>
      </c>
      <c r="D28" s="66">
        <f t="shared" si="0"/>
        <v>0.31413489383291171</v>
      </c>
      <c r="E28" s="67">
        <f t="shared" si="14"/>
        <v>1132019.9589001129</v>
      </c>
      <c r="F28" s="152">
        <f t="shared" si="1"/>
        <v>9.925107036262348E-4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52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52">
        <f t="shared" si="10"/>
        <v>1.5897883330101534E-2</v>
      </c>
      <c r="AM28" s="68">
        <f t="shared" si="11"/>
        <v>3037116.8552773912</v>
      </c>
      <c r="AN28" s="69">
        <f t="shared" si="12"/>
        <v>12894485.683195375</v>
      </c>
      <c r="AO28" s="69">
        <f t="shared" si="13"/>
        <v>24324034.616793305</v>
      </c>
      <c r="AP28" s="69">
        <f t="shared" si="23"/>
        <v>40255637.155266069</v>
      </c>
      <c r="AQ28" s="70">
        <f t="shared" si="24"/>
        <v>6.5776446316956685E-3</v>
      </c>
    </row>
    <row r="29" spans="1:43" ht="14.25" x14ac:dyDescent="0.2">
      <c r="A29" s="7" t="s">
        <v>22</v>
      </c>
      <c r="B29" s="57">
        <v>927926</v>
      </c>
      <c r="C29" s="57">
        <v>211142</v>
      </c>
      <c r="D29" s="66">
        <f t="shared" si="0"/>
        <v>0.227541851397633</v>
      </c>
      <c r="E29" s="67">
        <f t="shared" si="14"/>
        <v>48043.641587799029</v>
      </c>
      <c r="F29" s="152">
        <f t="shared" si="1"/>
        <v>4.2122780735600594E-5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52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52">
        <f t="shared" si="10"/>
        <v>9.7205213352830283E-4</v>
      </c>
      <c r="AM29" s="68">
        <f t="shared" si="11"/>
        <v>128897.15636902956</v>
      </c>
      <c r="AN29" s="69">
        <f t="shared" si="12"/>
        <v>1743655.2949391091</v>
      </c>
      <c r="AO29" s="69">
        <f t="shared" si="13"/>
        <v>1487256.463915641</v>
      </c>
      <c r="AP29" s="69">
        <f t="shared" si="23"/>
        <v>3359808.9152237796</v>
      </c>
      <c r="AQ29" s="70">
        <f t="shared" si="24"/>
        <v>5.4898222053986203E-4</v>
      </c>
    </row>
    <row r="30" spans="1:43" ht="14.25" x14ac:dyDescent="0.2">
      <c r="A30" s="7" t="s">
        <v>23</v>
      </c>
      <c r="B30" s="57">
        <v>900863</v>
      </c>
      <c r="C30" s="57">
        <v>170454</v>
      </c>
      <c r="D30" s="66">
        <f t="shared" si="0"/>
        <v>0.18921190014463909</v>
      </c>
      <c r="E30" s="67">
        <f t="shared" si="14"/>
        <v>32251.925227254313</v>
      </c>
      <c r="F30" s="152">
        <f t="shared" si="1"/>
        <v>2.8277223161069211E-5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52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52">
        <f t="shared" si="10"/>
        <v>1.6702901369743402E-2</v>
      </c>
      <c r="AM30" s="68">
        <f t="shared" si="11"/>
        <v>86529.274464394242</v>
      </c>
      <c r="AN30" s="69">
        <f t="shared" si="12"/>
        <v>6358307.8882378526</v>
      </c>
      <c r="AO30" s="69">
        <f t="shared" si="13"/>
        <v>25555726.047457915</v>
      </c>
      <c r="AP30" s="69">
        <f t="shared" si="23"/>
        <v>32000563.210160162</v>
      </c>
      <c r="AQ30" s="70">
        <f t="shared" si="24"/>
        <v>5.2287914857413386E-3</v>
      </c>
    </row>
    <row r="31" spans="1:43" ht="14.25" x14ac:dyDescent="0.2">
      <c r="A31" s="7" t="s">
        <v>24</v>
      </c>
      <c r="B31" s="57">
        <v>54110961</v>
      </c>
      <c r="C31" s="57">
        <v>6299795</v>
      </c>
      <c r="D31" s="66">
        <f t="shared" si="0"/>
        <v>0.11642363919576294</v>
      </c>
      <c r="E31" s="67">
        <f t="shared" si="14"/>
        <v>733445.06008727138</v>
      </c>
      <c r="F31" s="152">
        <f t="shared" si="1"/>
        <v>6.430558639316683E-4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52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52">
        <f t="shared" si="10"/>
        <v>5.7548687858912165E-3</v>
      </c>
      <c r="AM31" s="68">
        <f t="shared" si="11"/>
        <v>1967773.0387150759</v>
      </c>
      <c r="AN31" s="69">
        <f t="shared" si="12"/>
        <v>16091194.962365242</v>
      </c>
      <c r="AO31" s="69">
        <f t="shared" si="13"/>
        <v>8805048.1096483916</v>
      </c>
      <c r="AP31" s="69">
        <f t="shared" si="23"/>
        <v>26864016.110728711</v>
      </c>
      <c r="AQ31" s="70">
        <f t="shared" si="24"/>
        <v>4.3894958282483737E-3</v>
      </c>
    </row>
    <row r="32" spans="1:43" ht="14.25" x14ac:dyDescent="0.2">
      <c r="A32" s="7" t="s">
        <v>25</v>
      </c>
      <c r="B32" s="57">
        <v>397751929</v>
      </c>
      <c r="C32" s="57">
        <v>173857063.25999999</v>
      </c>
      <c r="D32" s="66">
        <f t="shared" si="0"/>
        <v>0.43709923342697349</v>
      </c>
      <c r="E32" s="67">
        <f t="shared" si="14"/>
        <v>75992789.076810837</v>
      </c>
      <c r="F32" s="152">
        <f t="shared" si="1"/>
        <v>6.6627497125075694E-2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52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52">
        <f t="shared" si="10"/>
        <v>6.7906130548090318E-2</v>
      </c>
      <c r="AM32" s="68">
        <f t="shared" si="11"/>
        <v>203882430.49086297</v>
      </c>
      <c r="AN32" s="69">
        <f t="shared" si="12"/>
        <v>189905130.95497423</v>
      </c>
      <c r="AO32" s="69">
        <f t="shared" si="13"/>
        <v>103897546.34925258</v>
      </c>
      <c r="AP32" s="69">
        <f t="shared" si="23"/>
        <v>497685107.79508978</v>
      </c>
      <c r="AQ32" s="70">
        <f t="shared" si="24"/>
        <v>8.1320182933311599E-2</v>
      </c>
    </row>
    <row r="33" spans="1:43" ht="14.25" x14ac:dyDescent="0.2">
      <c r="A33" s="7" t="s">
        <v>26</v>
      </c>
      <c r="B33" s="57">
        <v>739202</v>
      </c>
      <c r="C33" s="57">
        <v>186618</v>
      </c>
      <c r="D33" s="66">
        <f t="shared" si="0"/>
        <v>0.25245873252507434</v>
      </c>
      <c r="E33" s="67">
        <f t="shared" si="14"/>
        <v>47113.34374636432</v>
      </c>
      <c r="F33" s="152">
        <f t="shared" si="1"/>
        <v>4.1307132073291271E-5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52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52">
        <f t="shared" si="10"/>
        <v>3.9785184367690171E-3</v>
      </c>
      <c r="AM33" s="68">
        <f t="shared" si="11"/>
        <v>126401.24343707494</v>
      </c>
      <c r="AN33" s="69">
        <f t="shared" si="12"/>
        <v>2344416.1790973903</v>
      </c>
      <c r="AO33" s="69">
        <f t="shared" si="13"/>
        <v>6087201.5582279339</v>
      </c>
      <c r="AP33" s="69">
        <f t="shared" si="23"/>
        <v>8558018.9807623997</v>
      </c>
      <c r="AQ33" s="70">
        <f t="shared" si="24"/>
        <v>1.3983534129554229E-3</v>
      </c>
    </row>
    <row r="34" spans="1:43" ht="14.25" x14ac:dyDescent="0.2">
      <c r="A34" s="7" t="s">
        <v>27</v>
      </c>
      <c r="B34" s="57">
        <v>1957239</v>
      </c>
      <c r="C34" s="57">
        <v>509597</v>
      </c>
      <c r="D34" s="66">
        <f t="shared" si="0"/>
        <v>0.26036523899227432</v>
      </c>
      <c r="E34" s="67">
        <f t="shared" si="14"/>
        <v>132681.34469474602</v>
      </c>
      <c r="F34" s="152">
        <f t="shared" si="1"/>
        <v>1.1632979944011501E-4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52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52">
        <f t="shared" si="10"/>
        <v>1.0009227049937402E-2</v>
      </c>
      <c r="AM34" s="68">
        <f t="shared" si="11"/>
        <v>355973.18332161993</v>
      </c>
      <c r="AN34" s="69">
        <f t="shared" si="12"/>
        <v>5248320.5398516124</v>
      </c>
      <c r="AO34" s="69">
        <f t="shared" si="13"/>
        <v>15314289.342471</v>
      </c>
      <c r="AP34" s="69">
        <f t="shared" si="23"/>
        <v>20918583.065644234</v>
      </c>
      <c r="AQ34" s="70">
        <f t="shared" si="24"/>
        <v>3.4180307486802535E-3</v>
      </c>
    </row>
    <row r="35" spans="1:43" ht="14.25" x14ac:dyDescent="0.2">
      <c r="A35" s="7" t="s">
        <v>28</v>
      </c>
      <c r="B35" s="57">
        <v>655017</v>
      </c>
      <c r="C35" s="57">
        <v>328634</v>
      </c>
      <c r="D35" s="66">
        <f t="shared" si="0"/>
        <v>0.50171827601421037</v>
      </c>
      <c r="E35" s="67">
        <f t="shared" si="14"/>
        <v>164881.68391965402</v>
      </c>
      <c r="F35" s="152">
        <f t="shared" si="1"/>
        <v>1.4456179401746229E-4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52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52">
        <f t="shared" si="10"/>
        <v>7.0010598604681555E-3</v>
      </c>
      <c r="AM35" s="68">
        <f t="shared" si="11"/>
        <v>442364.05676579312</v>
      </c>
      <c r="AN35" s="69">
        <f t="shared" si="12"/>
        <v>2032588.9535266194</v>
      </c>
      <c r="AO35" s="69">
        <f t="shared" si="13"/>
        <v>10711741.863008244</v>
      </c>
      <c r="AP35" s="69">
        <f t="shared" si="23"/>
        <v>13186694.873300657</v>
      </c>
      <c r="AQ35" s="70">
        <f t="shared" si="24"/>
        <v>2.1546645109262229E-3</v>
      </c>
    </row>
    <row r="36" spans="1:43" ht="14.25" x14ac:dyDescent="0.2">
      <c r="A36" s="7" t="s">
        <v>29</v>
      </c>
      <c r="B36" s="57">
        <v>1549097</v>
      </c>
      <c r="C36" s="57">
        <v>469297</v>
      </c>
      <c r="D36" s="66">
        <f t="shared" si="0"/>
        <v>0.30294875014282513</v>
      </c>
      <c r="E36" s="67">
        <f t="shared" si="14"/>
        <v>142172.9395957774</v>
      </c>
      <c r="F36" s="152">
        <f t="shared" si="1"/>
        <v>1.246516576014419E-4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52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52">
        <f t="shared" si="10"/>
        <v>7.7164556114936193E-3</v>
      </c>
      <c r="AM36" s="68">
        <f t="shared" si="11"/>
        <v>381438.35523024615</v>
      </c>
      <c r="AN36" s="69">
        <f t="shared" si="12"/>
        <v>2388991.4373624516</v>
      </c>
      <c r="AO36" s="69">
        <f t="shared" si="13"/>
        <v>11806309.652400814</v>
      </c>
      <c r="AP36" s="69">
        <f t="shared" si="23"/>
        <v>14576739.444993511</v>
      </c>
      <c r="AQ36" s="70">
        <f t="shared" si="24"/>
        <v>2.3817934265498359E-3</v>
      </c>
    </row>
    <row r="37" spans="1:43" ht="14.25" x14ac:dyDescent="0.2">
      <c r="A37" s="7" t="s">
        <v>30</v>
      </c>
      <c r="B37" s="57">
        <v>430027</v>
      </c>
      <c r="C37" s="57">
        <v>78659</v>
      </c>
      <c r="D37" s="66">
        <f t="shared" si="0"/>
        <v>0.1829164215270204</v>
      </c>
      <c r="E37" s="67">
        <f t="shared" si="14"/>
        <v>14388.022800893898</v>
      </c>
      <c r="F37" s="152">
        <f t="shared" si="1"/>
        <v>1.2614854112449066E-5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52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52">
        <f t="shared" si="10"/>
        <v>8.9709204139591381E-3</v>
      </c>
      <c r="AM37" s="68">
        <f t="shared" si="11"/>
        <v>38601.887024295924</v>
      </c>
      <c r="AN37" s="69">
        <f t="shared" si="12"/>
        <v>3002346.3217311585</v>
      </c>
      <c r="AO37" s="69">
        <f t="shared" si="13"/>
        <v>13725662.351570809</v>
      </c>
      <c r="AP37" s="69">
        <f t="shared" si="23"/>
        <v>16766610.560326263</v>
      </c>
      <c r="AQ37" s="70">
        <f t="shared" si="24"/>
        <v>2.73961148642346E-3</v>
      </c>
    </row>
    <row r="38" spans="1:43" ht="14.25" x14ac:dyDescent="0.2">
      <c r="A38" s="7" t="s">
        <v>31</v>
      </c>
      <c r="B38" s="57">
        <v>162865275</v>
      </c>
      <c r="C38" s="57">
        <v>41768774.539999999</v>
      </c>
      <c r="D38" s="66">
        <f t="shared" si="0"/>
        <v>0.2564621251522155</v>
      </c>
      <c r="E38" s="67">
        <f t="shared" si="14"/>
        <v>10712108.683532152</v>
      </c>
      <c r="F38" s="152">
        <f t="shared" si="1"/>
        <v>9.3919567788745429E-3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52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52">
        <f t="shared" si="10"/>
        <v>2.8754909790974444E-2</v>
      </c>
      <c r="AM38" s="68">
        <f t="shared" si="11"/>
        <v>28739710.446385805</v>
      </c>
      <c r="AN38" s="69">
        <f t="shared" si="12"/>
        <v>72698807.258556023</v>
      </c>
      <c r="AO38" s="69">
        <f t="shared" si="13"/>
        <v>43995505.982491322</v>
      </c>
      <c r="AP38" s="69">
        <f t="shared" si="23"/>
        <v>145434023.68743315</v>
      </c>
      <c r="AQ38" s="70">
        <f t="shared" si="24"/>
        <v>2.3763462530325529E-2</v>
      </c>
    </row>
    <row r="39" spans="1:43" ht="14.25" x14ac:dyDescent="0.2">
      <c r="A39" s="7" t="s">
        <v>32</v>
      </c>
      <c r="B39" s="57">
        <v>3048413</v>
      </c>
      <c r="C39" s="57">
        <v>933376</v>
      </c>
      <c r="D39" s="66">
        <f t="shared" si="0"/>
        <v>0.30618423422285629</v>
      </c>
      <c r="E39" s="67">
        <f t="shared" si="14"/>
        <v>285785.01580199273</v>
      </c>
      <c r="F39" s="152">
        <f t="shared" si="1"/>
        <v>2.5056509374186633E-4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52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52">
        <f t="shared" si="10"/>
        <v>8.3837715003909005E-3</v>
      </c>
      <c r="AM39" s="68">
        <f t="shared" si="11"/>
        <v>766737.7961438708</v>
      </c>
      <c r="AN39" s="69">
        <f t="shared" si="12"/>
        <v>13747923.29421865</v>
      </c>
      <c r="AO39" s="69">
        <f t="shared" si="13"/>
        <v>12827314.42673702</v>
      </c>
      <c r="AP39" s="69">
        <f t="shared" si="23"/>
        <v>27341975.517099541</v>
      </c>
      <c r="AQ39" s="70">
        <f t="shared" si="24"/>
        <v>4.467592893545284E-3</v>
      </c>
    </row>
    <row r="40" spans="1:43" ht="14.25" x14ac:dyDescent="0.2">
      <c r="A40" s="7" t="s">
        <v>33</v>
      </c>
      <c r="B40" s="57">
        <v>30844776</v>
      </c>
      <c r="C40" s="57">
        <v>9728027</v>
      </c>
      <c r="D40" s="66">
        <f t="shared" ref="D40:D58" si="25">+C40/B40</f>
        <v>0.31538653417356638</v>
      </c>
      <c r="E40" s="67">
        <f t="shared" si="14"/>
        <v>3068088.7198768766</v>
      </c>
      <c r="F40" s="152">
        <f t="shared" ref="F40:F58" si="26">+E40/E$59</f>
        <v>2.6899798631743093E-3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52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52">
        <f t="shared" si="10"/>
        <v>4.5537887298726175E-2</v>
      </c>
      <c r="AM40" s="68">
        <f t="shared" ref="AM40:AM58" si="31">+F40*AM$6</f>
        <v>8231430.8077024901</v>
      </c>
      <c r="AN40" s="69">
        <f t="shared" ref="AN40:AN58" si="32">+M40*AN$6</f>
        <v>31061821.664287347</v>
      </c>
      <c r="AO40" s="69">
        <f t="shared" ref="AO40:AO58" si="33">+AK40*AO$6</f>
        <v>69673749.8967904</v>
      </c>
      <c r="AP40" s="69">
        <f t="shared" si="23"/>
        <v>108967002.36878024</v>
      </c>
      <c r="AQ40" s="70">
        <f t="shared" si="24"/>
        <v>1.7804865822853205E-2</v>
      </c>
    </row>
    <row r="41" spans="1:43" ht="14.25" x14ac:dyDescent="0.2">
      <c r="A41" s="7" t="s">
        <v>34</v>
      </c>
      <c r="B41" s="57">
        <v>1487800</v>
      </c>
      <c r="C41" s="57">
        <v>503118</v>
      </c>
      <c r="D41" s="66">
        <f t="shared" si="25"/>
        <v>0.33816238741766369</v>
      </c>
      <c r="E41" s="67">
        <f t="shared" si="14"/>
        <v>170135.58403280011</v>
      </c>
      <c r="F41" s="152">
        <f t="shared" si="26"/>
        <v>1.4916820758560035E-4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52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52">
        <f t="shared" si="10"/>
        <v>1.3964163617687278E-2</v>
      </c>
      <c r="AM41" s="68">
        <f t="shared" si="31"/>
        <v>456459.84055840713</v>
      </c>
      <c r="AN41" s="69">
        <f t="shared" si="32"/>
        <v>2478021.2266320074</v>
      </c>
      <c r="AO41" s="69">
        <f t="shared" si="33"/>
        <v>21365410.235968918</v>
      </c>
      <c r="AP41" s="69">
        <f t="shared" si="23"/>
        <v>24299891.303159334</v>
      </c>
      <c r="AQ41" s="70">
        <f t="shared" si="24"/>
        <v>3.9705258909336428E-3</v>
      </c>
    </row>
    <row r="42" spans="1:43" ht="14.25" x14ac:dyDescent="0.2">
      <c r="A42" s="7" t="s">
        <v>35</v>
      </c>
      <c r="B42" s="57">
        <v>677663</v>
      </c>
      <c r="C42" s="57">
        <v>250058</v>
      </c>
      <c r="D42" s="66">
        <f t="shared" si="25"/>
        <v>0.36900052090788488</v>
      </c>
      <c r="E42" s="67">
        <f t="shared" si="14"/>
        <v>92271.532257183877</v>
      </c>
      <c r="F42" s="152">
        <f t="shared" si="26"/>
        <v>8.0900060714679732E-5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52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52">
        <f t="shared" si="10"/>
        <v>1.4448528707631827E-2</v>
      </c>
      <c r="AM42" s="68">
        <f t="shared" si="31"/>
        <v>247556.96547333788</v>
      </c>
      <c r="AN42" s="69">
        <f t="shared" si="32"/>
        <v>983946.16090978985</v>
      </c>
      <c r="AO42" s="69">
        <f t="shared" si="33"/>
        <v>22106497.144857571</v>
      </c>
      <c r="AP42" s="69">
        <f t="shared" si="23"/>
        <v>23338000.271240696</v>
      </c>
      <c r="AQ42" s="70">
        <f t="shared" si="24"/>
        <v>3.8133559184904621E-3</v>
      </c>
    </row>
    <row r="43" spans="1:43" ht="14.25" x14ac:dyDescent="0.2">
      <c r="A43" s="7" t="s">
        <v>36</v>
      </c>
      <c r="B43" s="57">
        <v>606526</v>
      </c>
      <c r="C43" s="57">
        <v>85886</v>
      </c>
      <c r="D43" s="66">
        <f t="shared" si="25"/>
        <v>0.14160316293118513</v>
      </c>
      <c r="E43" s="67">
        <f t="shared" si="14"/>
        <v>12161.729251507766</v>
      </c>
      <c r="F43" s="152">
        <f t="shared" si="26"/>
        <v>1.0662927240659035E-5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52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52">
        <f t="shared" si="10"/>
        <v>1.1843769745889727E-2</v>
      </c>
      <c r="AM43" s="68">
        <f t="shared" si="31"/>
        <v>32628.923729368213</v>
      </c>
      <c r="AN43" s="69">
        <f t="shared" si="32"/>
        <v>5580773.9976059943</v>
      </c>
      <c r="AO43" s="69">
        <f t="shared" si="33"/>
        <v>18121171.184271801</v>
      </c>
      <c r="AP43" s="69">
        <f t="shared" si="23"/>
        <v>23734574.105607163</v>
      </c>
      <c r="AQ43" s="70">
        <f t="shared" si="24"/>
        <v>3.8781548370277713E-3</v>
      </c>
    </row>
    <row r="44" spans="1:43" ht="14.25" x14ac:dyDescent="0.2">
      <c r="A44" s="7" t="s">
        <v>37</v>
      </c>
      <c r="B44" s="57">
        <v>3795753</v>
      </c>
      <c r="C44" s="57">
        <v>660757</v>
      </c>
      <c r="D44" s="66">
        <f t="shared" si="25"/>
        <v>0.17407797609591563</v>
      </c>
      <c r="E44" s="67">
        <f t="shared" si="14"/>
        <v>115023.24125120892</v>
      </c>
      <c r="F44" s="152">
        <f t="shared" si="26"/>
        <v>1.0084786686846828E-4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52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52">
        <f t="shared" si="10"/>
        <v>9.3940765183880247E-3</v>
      </c>
      <c r="AM44" s="68">
        <f t="shared" si="31"/>
        <v>308597.93770076917</v>
      </c>
      <c r="AN44" s="69">
        <f t="shared" si="32"/>
        <v>15360526.993104383</v>
      </c>
      <c r="AO44" s="69">
        <f t="shared" si="33"/>
        <v>14373098.461065134</v>
      </c>
      <c r="AP44" s="69">
        <f t="shared" si="23"/>
        <v>30042223.391870286</v>
      </c>
      <c r="AQ44" s="70">
        <f t="shared" si="24"/>
        <v>4.9088049123546789E-3</v>
      </c>
    </row>
    <row r="45" spans="1:43" ht="14.25" x14ac:dyDescent="0.2">
      <c r="A45" s="7" t="s">
        <v>38</v>
      </c>
      <c r="B45" s="57">
        <v>47161228</v>
      </c>
      <c r="C45" s="57">
        <v>15067491</v>
      </c>
      <c r="D45" s="66">
        <f t="shared" si="25"/>
        <v>0.31948894545324391</v>
      </c>
      <c r="E45" s="67">
        <f t="shared" si="14"/>
        <v>4813896.8102162434</v>
      </c>
      <c r="F45" s="152">
        <f t="shared" si="26"/>
        <v>4.2206359284813616E-3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52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52">
        <f t="shared" si="10"/>
        <v>2.8645154357091869E-2</v>
      </c>
      <c r="AM45" s="68">
        <f t="shared" si="31"/>
        <v>12915290.960133938</v>
      </c>
      <c r="AN45" s="69">
        <f t="shared" si="32"/>
        <v>23200761.507440355</v>
      </c>
      <c r="AO45" s="69">
        <f t="shared" si="33"/>
        <v>43827578.283079535</v>
      </c>
      <c r="AP45" s="69">
        <f t="shared" si="23"/>
        <v>79943630.750653833</v>
      </c>
      <c r="AQ45" s="70">
        <f t="shared" si="24"/>
        <v>1.3062538089190589E-2</v>
      </c>
    </row>
    <row r="46" spans="1:43" ht="14.25" x14ac:dyDescent="0.2">
      <c r="A46" s="7" t="s">
        <v>39</v>
      </c>
      <c r="B46" s="57">
        <v>1334465690</v>
      </c>
      <c r="C46" s="57">
        <v>747581960.90999997</v>
      </c>
      <c r="D46" s="66">
        <f t="shared" si="25"/>
        <v>0.56021070194018996</v>
      </c>
      <c r="E46" s="67">
        <f t="shared" si="14"/>
        <v>418803415.07921475</v>
      </c>
      <c r="F46" s="152">
        <f t="shared" si="26"/>
        <v>0.3671904094210578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52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52">
        <f t="shared" si="10"/>
        <v>0.13808866567189929</v>
      </c>
      <c r="AM46" s="68">
        <f t="shared" si="31"/>
        <v>1123615269.3108578</v>
      </c>
      <c r="AN46" s="69">
        <f t="shared" si="32"/>
        <v>318511701.09632361</v>
      </c>
      <c r="AO46" s="69">
        <f t="shared" si="33"/>
        <v>211278030.8074272</v>
      </c>
      <c r="AP46" s="69">
        <f t="shared" si="23"/>
        <v>1653405001.2146084</v>
      </c>
      <c r="AQ46" s="70">
        <f t="shared" si="24"/>
        <v>0.27016118235344716</v>
      </c>
    </row>
    <row r="47" spans="1:43" ht="14.25" x14ac:dyDescent="0.2">
      <c r="A47" s="7" t="s">
        <v>40</v>
      </c>
      <c r="B47" s="57">
        <v>1741263</v>
      </c>
      <c r="C47" s="57">
        <v>424914</v>
      </c>
      <c r="D47" s="66">
        <f t="shared" si="25"/>
        <v>0.24402631882719611</v>
      </c>
      <c r="E47" s="67">
        <f t="shared" si="14"/>
        <v>103690.1992381392</v>
      </c>
      <c r="F47" s="152">
        <f t="shared" si="26"/>
        <v>9.0911500098445617E-5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52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52">
        <f t="shared" si="10"/>
        <v>1.0454268753916371E-3</v>
      </c>
      <c r="AM47" s="68">
        <f t="shared" si="31"/>
        <v>278192.31397580972</v>
      </c>
      <c r="AN47" s="69">
        <f t="shared" si="32"/>
        <v>4479692.7268498242</v>
      </c>
      <c r="AO47" s="69">
        <f t="shared" si="33"/>
        <v>1599521.0795266186</v>
      </c>
      <c r="AP47" s="69">
        <f t="shared" si="23"/>
        <v>6357406.1203522533</v>
      </c>
      <c r="AQ47" s="70">
        <f t="shared" si="24"/>
        <v>1.0387801856857183E-3</v>
      </c>
    </row>
    <row r="48" spans="1:43" ht="14.25" x14ac:dyDescent="0.2">
      <c r="A48" s="7" t="s">
        <v>41</v>
      </c>
      <c r="B48" s="57">
        <v>49692400</v>
      </c>
      <c r="C48" s="57">
        <v>10504178</v>
      </c>
      <c r="D48" s="66">
        <f t="shared" si="25"/>
        <v>0.21138399433313745</v>
      </c>
      <c r="E48" s="67">
        <f t="shared" si="14"/>
        <v>2220415.102826267</v>
      </c>
      <c r="F48" s="152">
        <f t="shared" si="26"/>
        <v>1.9467728803913027E-3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52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52">
        <f t="shared" si="10"/>
        <v>7.2872223514353898E-3</v>
      </c>
      <c r="AM48" s="68">
        <f t="shared" si="31"/>
        <v>5957191.9041589824</v>
      </c>
      <c r="AN48" s="69">
        <f t="shared" si="32"/>
        <v>6928925.758180039</v>
      </c>
      <c r="AO48" s="69">
        <f t="shared" si="33"/>
        <v>11149575.390389549</v>
      </c>
      <c r="AP48" s="69">
        <f t="shared" si="23"/>
        <v>24035693.052728571</v>
      </c>
      <c r="AQ48" s="70">
        <f t="shared" si="24"/>
        <v>3.9273567268996315E-3</v>
      </c>
    </row>
    <row r="49" spans="1:43" ht="14.25" x14ac:dyDescent="0.2">
      <c r="A49" s="7" t="s">
        <v>42</v>
      </c>
      <c r="B49" s="57">
        <v>2618348</v>
      </c>
      <c r="C49" s="57">
        <v>654730</v>
      </c>
      <c r="D49" s="66">
        <f t="shared" si="25"/>
        <v>0.25005461458904621</v>
      </c>
      <c r="E49" s="67">
        <f t="shared" si="14"/>
        <v>163718.25780988621</v>
      </c>
      <c r="F49" s="152">
        <f t="shared" si="26"/>
        <v>1.435417476324633E-4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52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52">
        <f t="shared" si="10"/>
        <v>3.5904404406326856E-3</v>
      </c>
      <c r="AM49" s="68">
        <f t="shared" si="31"/>
        <v>439242.67977940262</v>
      </c>
      <c r="AN49" s="69">
        <f t="shared" si="32"/>
        <v>6292079.2147345711</v>
      </c>
      <c r="AO49" s="69">
        <f t="shared" si="33"/>
        <v>5493435.5570545169</v>
      </c>
      <c r="AP49" s="69">
        <f t="shared" si="23"/>
        <v>12224757.451568492</v>
      </c>
      <c r="AQ49" s="70">
        <f t="shared" si="24"/>
        <v>1.9974869585332646E-3</v>
      </c>
    </row>
    <row r="50" spans="1:43" ht="14.25" x14ac:dyDescent="0.2">
      <c r="A50" s="7" t="s">
        <v>43</v>
      </c>
      <c r="B50" s="57">
        <v>981068</v>
      </c>
      <c r="C50" s="57">
        <v>178152</v>
      </c>
      <c r="D50" s="66">
        <f t="shared" si="25"/>
        <v>0.18158985921465179</v>
      </c>
      <c r="E50" s="67">
        <f t="shared" si="14"/>
        <v>32350.596598808646</v>
      </c>
      <c r="F50" s="152">
        <f t="shared" si="26"/>
        <v>2.8363734349886333E-5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52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52">
        <f t="shared" si="10"/>
        <v>1.0697237425868811E-2</v>
      </c>
      <c r="AM50" s="68">
        <f t="shared" si="31"/>
        <v>86794.001674656669</v>
      </c>
      <c r="AN50" s="69">
        <f t="shared" si="32"/>
        <v>3142260.6075153355</v>
      </c>
      <c r="AO50" s="69">
        <f t="shared" si="33"/>
        <v>16366957.037495634</v>
      </c>
      <c r="AP50" s="69">
        <f t="shared" si="23"/>
        <v>19596011.646685626</v>
      </c>
      <c r="AQ50" s="70">
        <f t="shared" si="24"/>
        <v>3.2019267342190344E-3</v>
      </c>
    </row>
    <row r="51" spans="1:43" ht="14.25" x14ac:dyDescent="0.2">
      <c r="A51" s="7" t="s">
        <v>44</v>
      </c>
      <c r="B51" s="57">
        <v>16749276</v>
      </c>
      <c r="C51" s="57">
        <v>6309101</v>
      </c>
      <c r="D51" s="66">
        <f t="shared" si="25"/>
        <v>0.37667902779797768</v>
      </c>
      <c r="E51" s="67">
        <f t="shared" si="14"/>
        <v>2376506.030959249</v>
      </c>
      <c r="F51" s="152">
        <f t="shared" si="26"/>
        <v>2.083627284496918E-3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52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52">
        <f t="shared" si="10"/>
        <v>1.0231743355373026E-2</v>
      </c>
      <c r="AM51" s="68">
        <f t="shared" si="31"/>
        <v>6375971.0829723859</v>
      </c>
      <c r="AN51" s="69">
        <f t="shared" si="32"/>
        <v>15200757.905015938</v>
      </c>
      <c r="AO51" s="69">
        <f t="shared" si="33"/>
        <v>15654743.112563077</v>
      </c>
      <c r="AP51" s="69">
        <f t="shared" si="23"/>
        <v>37231472.100551397</v>
      </c>
      <c r="AQ51" s="70">
        <f t="shared" si="24"/>
        <v>6.0835055634011438E-3</v>
      </c>
    </row>
    <row r="52" spans="1:43" ht="14.25" x14ac:dyDescent="0.2">
      <c r="A52" s="7" t="s">
        <v>45</v>
      </c>
      <c r="B52" s="57">
        <v>108243871</v>
      </c>
      <c r="C52" s="57">
        <v>12883369.639999999</v>
      </c>
      <c r="D52" s="66">
        <f t="shared" si="25"/>
        <v>0.11902170091459496</v>
      </c>
      <c r="E52" s="67">
        <f t="shared" si="14"/>
        <v>1533400.5680642528</v>
      </c>
      <c r="F52" s="152">
        <f t="shared" si="26"/>
        <v>1.3444254801205412E-3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52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52">
        <f t="shared" si="10"/>
        <v>1.782762420039443E-2</v>
      </c>
      <c r="AM52" s="68">
        <f t="shared" si="31"/>
        <v>4113988.1629691324</v>
      </c>
      <c r="AN52" s="69">
        <f t="shared" si="32"/>
        <v>15053035.597509818</v>
      </c>
      <c r="AO52" s="69">
        <f t="shared" si="33"/>
        <v>27276571.300816476</v>
      </c>
      <c r="AP52" s="69">
        <f t="shared" si="23"/>
        <v>46443595.061295427</v>
      </c>
      <c r="AQ52" s="70">
        <f t="shared" si="24"/>
        <v>7.588737511551584E-3</v>
      </c>
    </row>
    <row r="53" spans="1:43" ht="14.25" x14ac:dyDescent="0.2">
      <c r="A53" s="7" t="s">
        <v>46</v>
      </c>
      <c r="B53" s="57">
        <v>492137958</v>
      </c>
      <c r="C53" s="57">
        <v>247180255.84</v>
      </c>
      <c r="D53" s="66">
        <f t="shared" si="25"/>
        <v>0.50225805959880865</v>
      </c>
      <c r="E53" s="67">
        <f t="shared" si="14"/>
        <v>124148275.66933548</v>
      </c>
      <c r="F53" s="152">
        <f t="shared" si="26"/>
        <v>0.10884833917440538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52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52">
        <f t="shared" si="10"/>
        <v>3.4836648133901124E-2</v>
      </c>
      <c r="AM53" s="68">
        <f t="shared" si="31"/>
        <v>333079657.84924221</v>
      </c>
      <c r="AN53" s="69">
        <f t="shared" si="32"/>
        <v>124097493.13708457</v>
      </c>
      <c r="AO53" s="69">
        <f t="shared" si="33"/>
        <v>53300670.129942819</v>
      </c>
      <c r="AP53" s="69">
        <f t="shared" si="23"/>
        <v>510477821.11626965</v>
      </c>
      <c r="AQ53" s="70">
        <f t="shared" si="24"/>
        <v>8.3410472096474758E-2</v>
      </c>
    </row>
    <row r="54" spans="1:43" ht="14.25" x14ac:dyDescent="0.2">
      <c r="A54" s="7" t="s">
        <v>47</v>
      </c>
      <c r="B54" s="57">
        <v>676597875</v>
      </c>
      <c r="C54" s="57">
        <v>445758126.52000004</v>
      </c>
      <c r="D54" s="66">
        <f t="shared" si="25"/>
        <v>0.65882282961648386</v>
      </c>
      <c r="E54" s="67">
        <f t="shared" si="14"/>
        <v>293675630.23844904</v>
      </c>
      <c r="F54" s="152">
        <f t="shared" si="26"/>
        <v>0.25748327502020685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52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52">
        <f t="shared" si="10"/>
        <v>1.4535275481205024E-2</v>
      </c>
      <c r="AM54" s="68">
        <f t="shared" si="31"/>
        <v>787907668.56090927</v>
      </c>
      <c r="AN54" s="69">
        <f t="shared" si="32"/>
        <v>34537186.453371637</v>
      </c>
      <c r="AO54" s="69">
        <f t="shared" si="33"/>
        <v>22239221.198712867</v>
      </c>
      <c r="AP54" s="69">
        <f t="shared" si="23"/>
        <v>844684076.21299374</v>
      </c>
      <c r="AQ54" s="70">
        <f t="shared" si="24"/>
        <v>0.13801872413425201</v>
      </c>
    </row>
    <row r="55" spans="1:43" ht="14.25" x14ac:dyDescent="0.2">
      <c r="A55" s="7" t="s">
        <v>48</v>
      </c>
      <c r="B55" s="57">
        <v>205448481</v>
      </c>
      <c r="C55" s="57">
        <v>92647511</v>
      </c>
      <c r="D55" s="66">
        <f t="shared" si="25"/>
        <v>0.45095252371323202</v>
      </c>
      <c r="E55" s="67">
        <f t="shared" si="14"/>
        <v>41779628.901199423</v>
      </c>
      <c r="F55" s="152">
        <f t="shared" si="26"/>
        <v>3.663074007834817E-2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52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52">
        <f t="shared" si="10"/>
        <v>3.6978618665828682E-2</v>
      </c>
      <c r="AM55" s="68">
        <f t="shared" si="31"/>
        <v>112091323.25401311</v>
      </c>
      <c r="AN55" s="69">
        <f t="shared" si="32"/>
        <v>78328334.930579051</v>
      </c>
      <c r="AO55" s="69">
        <f t="shared" si="33"/>
        <v>56577921.842320584</v>
      </c>
      <c r="AP55" s="69">
        <f t="shared" si="23"/>
        <v>246997580.02691275</v>
      </c>
      <c r="AQ55" s="70">
        <f t="shared" si="24"/>
        <v>4.035862853293113E-2</v>
      </c>
    </row>
    <row r="56" spans="1:43" ht="14.25" x14ac:dyDescent="0.2">
      <c r="A56" s="7" t="s">
        <v>49</v>
      </c>
      <c r="B56" s="57">
        <v>119365605</v>
      </c>
      <c r="C56" s="57">
        <v>41929088</v>
      </c>
      <c r="D56" s="66">
        <f t="shared" si="25"/>
        <v>0.35126607869997389</v>
      </c>
      <c r="E56" s="67">
        <f t="shared" si="14"/>
        <v>14728266.325226132</v>
      </c>
      <c r="F56" s="152">
        <f t="shared" si="26"/>
        <v>1.2913166290679002E-2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52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52">
        <f t="shared" si="10"/>
        <v>1.1014773725219315E-2</v>
      </c>
      <c r="AM56" s="68">
        <f t="shared" si="31"/>
        <v>39514732.539539695</v>
      </c>
      <c r="AN56" s="69">
        <f t="shared" si="32"/>
        <v>13977666.517648768</v>
      </c>
      <c r="AO56" s="69">
        <f t="shared" si="33"/>
        <v>16852793.030697681</v>
      </c>
      <c r="AP56" s="69">
        <f t="shared" si="23"/>
        <v>70345192.087886155</v>
      </c>
      <c r="AQ56" s="70">
        <f t="shared" si="24"/>
        <v>1.1494183369097558E-2</v>
      </c>
    </row>
    <row r="57" spans="1:43" ht="14.25" x14ac:dyDescent="0.2">
      <c r="A57" s="7" t="s">
        <v>50</v>
      </c>
      <c r="B57" s="57">
        <v>4537153</v>
      </c>
      <c r="C57" s="57">
        <v>1171487</v>
      </c>
      <c r="D57" s="66">
        <f t="shared" si="25"/>
        <v>0.25819869861122163</v>
      </c>
      <c r="E57" s="67">
        <f t="shared" si="14"/>
        <v>302476.4188399642</v>
      </c>
      <c r="F57" s="152">
        <f t="shared" si="26"/>
        <v>2.6519946131063453E-4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52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52">
        <f t="shared" si="10"/>
        <v>2.2429611655747409E-3</v>
      </c>
      <c r="AM57" s="68">
        <f t="shared" si="31"/>
        <v>811519.46373399533</v>
      </c>
      <c r="AN57" s="69">
        <f t="shared" si="32"/>
        <v>6862969.8027112326</v>
      </c>
      <c r="AO57" s="69">
        <f t="shared" si="33"/>
        <v>3431769.1168522756</v>
      </c>
      <c r="AP57" s="69">
        <f t="shared" si="23"/>
        <v>11106258.383297503</v>
      </c>
      <c r="AQ57" s="70">
        <f t="shared" si="24"/>
        <v>1.8147277249980218E-3</v>
      </c>
    </row>
    <row r="58" spans="1:43" ht="14.25" x14ac:dyDescent="0.2">
      <c r="A58" s="7" t="s">
        <v>51</v>
      </c>
      <c r="B58" s="57">
        <v>2806578</v>
      </c>
      <c r="C58" s="57">
        <v>547696</v>
      </c>
      <c r="D58" s="66">
        <f t="shared" si="25"/>
        <v>0.19514725762120275</v>
      </c>
      <c r="E58" s="67">
        <f t="shared" si="14"/>
        <v>106881.37241010225</v>
      </c>
      <c r="F58" s="152">
        <f t="shared" si="26"/>
        <v>9.3709395581998372E-5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52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52">
        <f t="shared" si="10"/>
        <v>2.0987952321394206E-3</v>
      </c>
      <c r="AM58" s="68">
        <f t="shared" si="31"/>
        <v>286753.9702897981</v>
      </c>
      <c r="AN58" s="69">
        <f t="shared" si="32"/>
        <v>4293170.9072812991</v>
      </c>
      <c r="AO58" s="69">
        <f t="shared" si="33"/>
        <v>3211192.761960844</v>
      </c>
      <c r="AP58" s="69">
        <f t="shared" si="23"/>
        <v>7791117.6395319421</v>
      </c>
      <c r="AQ58" s="70">
        <f t="shared" si="24"/>
        <v>1.2730441433311849E-3</v>
      </c>
    </row>
    <row r="59" spans="1:43" ht="15.75" thickBot="1" x14ac:dyDescent="0.3">
      <c r="A59" s="11" t="s">
        <v>52</v>
      </c>
      <c r="B59" s="156">
        <f>SUM(B8:B58)</f>
        <v>4764118586</v>
      </c>
      <c r="C59" s="74">
        <f>SUM(C8:C58)</f>
        <v>2237210683.79</v>
      </c>
      <c r="D59" s="85">
        <f>+C59/$J$59</f>
        <v>34836.5899512209</v>
      </c>
      <c r="E59" s="86">
        <f t="shared" ref="E59:J59" si="34">SUM(E8:E58)</f>
        <v>1140561965.4923291</v>
      </c>
      <c r="F59" s="153">
        <f t="shared" si="34"/>
        <v>1.0000000000000004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3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3">
        <f>SUM(AK8:AK58)</f>
        <v>1.0000000000000002</v>
      </c>
      <c r="AM59" s="87">
        <f>SUM(AM8:AM58)</f>
        <v>3060034359.5096645</v>
      </c>
      <c r="AN59" s="88">
        <f>SUM(AN8:AN58)</f>
        <v>1530017179.7548316</v>
      </c>
      <c r="AO59" s="88">
        <f>SUM(AO8:AO58)</f>
        <v>1530017179.754832</v>
      </c>
      <c r="AP59" s="88">
        <f>SUM(AP8:AP58)</f>
        <v>6120068719.0193281</v>
      </c>
      <c r="AQ59" s="89">
        <f>SUM(AQ8:AQ58)</f>
        <v>0.99999999999999978</v>
      </c>
    </row>
    <row r="60" spans="1:43" ht="13.5" thickTop="1" x14ac:dyDescent="0.2">
      <c r="K60" s="91"/>
      <c r="V60" s="93"/>
    </row>
    <row r="61" spans="1:43" ht="65.25" customHeight="1" x14ac:dyDescent="0.2">
      <c r="B61" s="217" t="s">
        <v>186</v>
      </c>
      <c r="C61" s="217"/>
      <c r="D61" s="217"/>
      <c r="E61" s="217"/>
      <c r="F61" s="217"/>
      <c r="K61" s="91"/>
      <c r="V61" s="93"/>
    </row>
    <row r="62" spans="1:43" s="22" customFormat="1" x14ac:dyDescent="0.2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">
      <c r="V63" s="93"/>
    </row>
    <row r="64" spans="1:43" x14ac:dyDescent="0.2">
      <c r="V64" s="93"/>
    </row>
    <row r="65" spans="9:38" x14ac:dyDescent="0.2">
      <c r="V65" s="93"/>
    </row>
    <row r="66" spans="9:38" x14ac:dyDescent="0.2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4" zoomScale="89" zoomScaleNormal="89" workbookViewId="0">
      <pane xSplit="1" ySplit="1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M5" sqref="M5"/>
    </sheetView>
  </sheetViews>
  <sheetFormatPr baseColWidth="10" defaultColWidth="9.7109375" defaultRowHeight="12.75" x14ac:dyDescent="0.2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10" customFormat="1" ht="51" customHeight="1" x14ac:dyDescent="0.4">
      <c r="A1" s="220" t="s">
        <v>177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26.25" customHeight="1" x14ac:dyDescent="0.2"/>
    <row r="3" spans="1:14" ht="37.5" customHeight="1" thickBot="1" x14ac:dyDescent="0.25">
      <c r="B3" s="222" t="s">
        <v>128</v>
      </c>
      <c r="C3" s="223"/>
      <c r="E3" s="224" t="s">
        <v>130</v>
      </c>
      <c r="F3" s="224"/>
      <c r="H3" s="146" t="s">
        <v>129</v>
      </c>
    </row>
    <row r="4" spans="1:14" ht="39" customHeight="1" thickBot="1" x14ac:dyDescent="0.25">
      <c r="A4" s="19" t="s">
        <v>0</v>
      </c>
      <c r="B4" s="19" t="s">
        <v>204</v>
      </c>
      <c r="C4" s="150" t="s">
        <v>116</v>
      </c>
      <c r="E4" s="97" t="s">
        <v>185</v>
      </c>
      <c r="F4" s="150" t="s">
        <v>117</v>
      </c>
      <c r="H4" s="150" t="s">
        <v>123</v>
      </c>
      <c r="J4" s="157" t="s">
        <v>120</v>
      </c>
      <c r="K4" s="157" t="s">
        <v>121</v>
      </c>
      <c r="L4" s="157" t="s">
        <v>122</v>
      </c>
      <c r="M4" s="157" t="s">
        <v>216</v>
      </c>
      <c r="N4" s="159" t="s">
        <v>115</v>
      </c>
    </row>
    <row r="5" spans="1:14" x14ac:dyDescent="0.2">
      <c r="A5" s="116"/>
      <c r="B5" s="113"/>
      <c r="C5" s="119"/>
      <c r="D5" s="128"/>
      <c r="E5" s="135"/>
      <c r="F5" s="119"/>
      <c r="G5" s="128"/>
      <c r="H5" s="119"/>
      <c r="I5" s="128"/>
      <c r="J5" s="121" t="s">
        <v>131</v>
      </c>
      <c r="K5" s="121" t="s">
        <v>131</v>
      </c>
      <c r="L5" s="121" t="s">
        <v>131</v>
      </c>
      <c r="M5" s="121" t="s">
        <v>131</v>
      </c>
      <c r="N5" s="136"/>
    </row>
    <row r="6" spans="1:14" s="28" customFormat="1" ht="11.25" x14ac:dyDescent="0.2">
      <c r="A6" s="98"/>
      <c r="B6" s="122" t="s">
        <v>57</v>
      </c>
      <c r="C6" s="137" t="s">
        <v>75</v>
      </c>
      <c r="D6" s="27"/>
      <c r="E6" s="99" t="s">
        <v>56</v>
      </c>
      <c r="F6" s="137" t="s">
        <v>76</v>
      </c>
      <c r="G6" s="27"/>
      <c r="H6" s="125" t="s">
        <v>72</v>
      </c>
      <c r="I6" s="27"/>
      <c r="J6" s="160">
        <f>+M6*0.35</f>
        <v>87672643.615454555</v>
      </c>
      <c r="K6" s="160">
        <f>+M6*0.35</f>
        <v>87672643.615454555</v>
      </c>
      <c r="L6" s="160">
        <f>+M6*0.3</f>
        <v>75147980.24181819</v>
      </c>
      <c r="M6" s="160">
        <f>+'observado 2016'!R10</f>
        <v>250493267.4727273</v>
      </c>
      <c r="N6" s="161"/>
    </row>
    <row r="7" spans="1:14" s="36" customFormat="1" ht="23.25" customHeight="1" thickBot="1" x14ac:dyDescent="0.25">
      <c r="A7" s="29"/>
      <c r="B7" s="29"/>
      <c r="C7" s="100"/>
      <c r="D7" s="30"/>
      <c r="E7" s="101"/>
      <c r="F7" s="102"/>
      <c r="G7" s="30"/>
      <c r="H7" s="32"/>
      <c r="I7" s="30"/>
      <c r="J7" s="160" t="s">
        <v>118</v>
      </c>
      <c r="K7" s="160" t="s">
        <v>71</v>
      </c>
      <c r="L7" s="160" t="s">
        <v>119</v>
      </c>
      <c r="M7" s="162" t="s">
        <v>133</v>
      </c>
      <c r="N7" s="163" t="s">
        <v>73</v>
      </c>
    </row>
    <row r="8" spans="1:14" ht="13.5" thickTop="1" x14ac:dyDescent="0.2">
      <c r="A8" s="5" t="s">
        <v>1</v>
      </c>
      <c r="B8" s="164">
        <v>2639</v>
      </c>
      <c r="C8" s="151">
        <f t="shared" ref="C8:C58" si="0">+B8/$B$59</f>
        <v>5.1547962458863201E-4</v>
      </c>
      <c r="E8" s="103">
        <v>2904</v>
      </c>
      <c r="F8" s="151">
        <f t="shared" ref="F8:F59" si="1">(E8/E$59)</f>
        <v>5.7099633551697482E-4</v>
      </c>
      <c r="H8" s="165">
        <f>+'COEF Art 14 F I'!AQ8</f>
        <v>4.6364231266078106E-4</v>
      </c>
      <c r="J8" s="166">
        <f t="shared" ref="J8:J39" si="2">+C8*J$6</f>
        <v>45193.461417587438</v>
      </c>
      <c r="K8" s="167">
        <f t="shared" ref="K8:K39" si="3">+F8*K$6</f>
        <v>50060.758229510247</v>
      </c>
      <c r="L8" s="167">
        <f t="shared" ref="L8:L39" si="4">+H8*L$6</f>
        <v>34841.783351103266</v>
      </c>
      <c r="M8" s="167">
        <f>SUM(J8:L8)</f>
        <v>130096.00299820096</v>
      </c>
      <c r="N8" s="168">
        <f>+M8/M$59</f>
        <v>5.1935927983519663E-4</v>
      </c>
    </row>
    <row r="9" spans="1:14" x14ac:dyDescent="0.2">
      <c r="A9" s="7" t="s">
        <v>2</v>
      </c>
      <c r="B9" s="169">
        <v>2439</v>
      </c>
      <c r="C9" s="152">
        <f t="shared" si="0"/>
        <v>4.7641334004231659E-4</v>
      </c>
      <c r="E9" s="104">
        <v>3458</v>
      </c>
      <c r="F9" s="152">
        <f t="shared" si="1"/>
        <v>6.7992607720995151E-4</v>
      </c>
      <c r="H9" s="170">
        <f>+'COEF Art 14 F I'!AQ9</f>
        <v>2.5226951266529418E-3</v>
      </c>
      <c r="J9" s="171">
        <f t="shared" si="2"/>
        <v>41768.416975178385</v>
      </c>
      <c r="K9" s="172">
        <f t="shared" si="3"/>
        <v>59610.916652082116</v>
      </c>
      <c r="L9" s="172">
        <f t="shared" si="4"/>
        <v>189575.44353384629</v>
      </c>
      <c r="M9" s="172">
        <f t="shared" ref="M9:M58" si="5">SUM(J9:L9)</f>
        <v>290954.77716110682</v>
      </c>
      <c r="N9" s="173">
        <f t="shared" ref="N9:N58" si="6">+M9/M$59</f>
        <v>1.1615273340341763E-3</v>
      </c>
    </row>
    <row r="10" spans="1:14" x14ac:dyDescent="0.2">
      <c r="A10" s="7" t="s">
        <v>3</v>
      </c>
      <c r="B10" s="169">
        <v>1292</v>
      </c>
      <c r="C10" s="152">
        <f t="shared" si="0"/>
        <v>2.5236819816919762E-4</v>
      </c>
      <c r="E10" s="104">
        <v>1263</v>
      </c>
      <c r="F10" s="152">
        <f t="shared" si="1"/>
        <v>2.4833621617008925E-4</v>
      </c>
      <c r="H10" s="170">
        <f>+'COEF Art 14 F I'!AQ10</f>
        <v>2.6730330216684782E-3</v>
      </c>
      <c r="J10" s="171">
        <f t="shared" si="2"/>
        <v>22125.787097962475</v>
      </c>
      <c r="K10" s="172">
        <f t="shared" si="3"/>
        <v>21772.292577090717</v>
      </c>
      <c r="L10" s="172">
        <f t="shared" si="4"/>
        <v>200873.03269807037</v>
      </c>
      <c r="M10" s="172">
        <f t="shared" si="5"/>
        <v>244771.11237312356</v>
      </c>
      <c r="N10" s="173">
        <f t="shared" si="6"/>
        <v>9.7715645151929382E-4</v>
      </c>
    </row>
    <row r="11" spans="1:14" ht="13.5" customHeight="1" x14ac:dyDescent="0.2">
      <c r="A11" s="7" t="s">
        <v>4</v>
      </c>
      <c r="B11" s="169">
        <v>34353</v>
      </c>
      <c r="C11" s="152">
        <f t="shared" si="0"/>
        <v>6.7102203650978689E-3</v>
      </c>
      <c r="E11" s="104">
        <v>35229</v>
      </c>
      <c r="F11" s="152">
        <f t="shared" si="1"/>
        <v>6.9268698016279294E-3</v>
      </c>
      <c r="H11" s="170">
        <f>+'COEF Art 14 F I'!AQ11</f>
        <v>7.3758721435698994E-3</v>
      </c>
      <c r="J11" s="171">
        <f t="shared" si="2"/>
        <v>588302.75865039078</v>
      </c>
      <c r="K11" s="172">
        <f t="shared" si="3"/>
        <v>607296.98748877982</v>
      </c>
      <c r="L11" s="172">
        <f t="shared" si="4"/>
        <v>554281.89411116799</v>
      </c>
      <c r="M11" s="172">
        <f t="shared" si="5"/>
        <v>1749881.6402503387</v>
      </c>
      <c r="N11" s="173">
        <f t="shared" si="6"/>
        <v>6.9857432014249991E-3</v>
      </c>
    </row>
    <row r="12" spans="1:14" x14ac:dyDescent="0.2">
      <c r="A12" s="7" t="s">
        <v>5</v>
      </c>
      <c r="B12" s="169">
        <v>18194</v>
      </c>
      <c r="C12" s="152">
        <f t="shared" si="0"/>
        <v>3.5538599051783142E-3</v>
      </c>
      <c r="E12" s="104">
        <v>19227</v>
      </c>
      <c r="F12" s="152">
        <f t="shared" si="1"/>
        <v>3.780491233810219E-3</v>
      </c>
      <c r="H12" s="170">
        <f>+'COEF Art 14 F I'!AQ12</f>
        <v>7.3431024328910769E-3</v>
      </c>
      <c r="J12" s="171">
        <f t="shared" si="2"/>
        <v>311576.29292595148</v>
      </c>
      <c r="K12" s="172">
        <f t="shared" si="3"/>
        <v>331445.66063319339</v>
      </c>
      <c r="L12" s="172">
        <f t="shared" si="4"/>
        <v>551819.31654054578</v>
      </c>
      <c r="M12" s="172">
        <f t="shared" si="5"/>
        <v>1194841.2700996906</v>
      </c>
      <c r="N12" s="173">
        <f t="shared" si="6"/>
        <v>4.7699536285133095E-3</v>
      </c>
    </row>
    <row r="13" spans="1:14" x14ac:dyDescent="0.2">
      <c r="A13" s="7" t="s">
        <v>6</v>
      </c>
      <c r="B13" s="169">
        <v>597207</v>
      </c>
      <c r="C13" s="152">
        <f t="shared" si="0"/>
        <v>0.11665329297525698</v>
      </c>
      <c r="E13" s="104">
        <v>601971</v>
      </c>
      <c r="F13" s="152">
        <f t="shared" si="1"/>
        <v>0.118361995553543</v>
      </c>
      <c r="H13" s="170">
        <f>+'COEF Art 14 F I'!AQ13</f>
        <v>6.2146667567889807E-2</v>
      </c>
      <c r="J13" s="171">
        <f t="shared" si="2"/>
        <v>10227302.581588913</v>
      </c>
      <c r="K13" s="172">
        <f t="shared" si="3"/>
        <v>10377109.053779792</v>
      </c>
      <c r="L13" s="172">
        <f t="shared" si="4"/>
        <v>4670196.5464866264</v>
      </c>
      <c r="M13" s="172">
        <f t="shared" si="5"/>
        <v>25274608.181855332</v>
      </c>
      <c r="N13" s="173">
        <f t="shared" si="6"/>
        <v>0.10089935125544693</v>
      </c>
    </row>
    <row r="14" spans="1:14" x14ac:dyDescent="0.2">
      <c r="A14" s="7" t="s">
        <v>7</v>
      </c>
      <c r="B14" s="169">
        <v>16152</v>
      </c>
      <c r="C14" s="152">
        <f t="shared" si="0"/>
        <v>3.1549931399604335E-3</v>
      </c>
      <c r="E14" s="104">
        <v>16032</v>
      </c>
      <c r="F14" s="152">
        <f t="shared" si="1"/>
        <v>3.1522772902920597E-3</v>
      </c>
      <c r="H14" s="170">
        <f>+'COEF Art 14 F I'!AQ14</f>
        <v>1.0574622297358255E-2</v>
      </c>
      <c r="J14" s="171">
        <f t="shared" si="2"/>
        <v>276606.58916895499</v>
      </c>
      <c r="K14" s="172">
        <f t="shared" si="3"/>
        <v>276368.48344886652</v>
      </c>
      <c r="L14" s="172">
        <f t="shared" si="4"/>
        <v>794661.50746656826</v>
      </c>
      <c r="M14" s="172">
        <f t="shared" si="5"/>
        <v>1347636.5800843898</v>
      </c>
      <c r="N14" s="173">
        <f t="shared" si="6"/>
        <v>5.3799313397958487E-3</v>
      </c>
    </row>
    <row r="15" spans="1:14" x14ac:dyDescent="0.2">
      <c r="A15" s="7" t="s">
        <v>8</v>
      </c>
      <c r="B15" s="169">
        <v>3977</v>
      </c>
      <c r="C15" s="152">
        <f t="shared" si="0"/>
        <v>7.7683306820348224E-4</v>
      </c>
      <c r="E15" s="104">
        <v>4082</v>
      </c>
      <c r="F15" s="152">
        <f t="shared" si="1"/>
        <v>8.0261950467640881E-4</v>
      </c>
      <c r="H15" s="170">
        <f>+'COEF Art 14 F I'!AQ15</f>
        <v>1.3526519378496075E-3</v>
      </c>
      <c r="J15" s="171">
        <f t="shared" si="2"/>
        <v>68107.008737304001</v>
      </c>
      <c r="K15" s="172">
        <f t="shared" si="3"/>
        <v>70367.773792307446</v>
      </c>
      <c r="L15" s="172">
        <f t="shared" si="4"/>
        <v>101649.0610995794</v>
      </c>
      <c r="M15" s="172">
        <f t="shared" si="5"/>
        <v>240123.84362919081</v>
      </c>
      <c r="N15" s="173">
        <f t="shared" si="6"/>
        <v>9.5860398186284389E-4</v>
      </c>
    </row>
    <row r="16" spans="1:14" x14ac:dyDescent="0.2">
      <c r="A16" s="7" t="s">
        <v>9</v>
      </c>
      <c r="B16" s="169">
        <v>95534</v>
      </c>
      <c r="C16" s="152">
        <f t="shared" si="0"/>
        <v>1.8660792139238488E-2</v>
      </c>
      <c r="E16" s="104">
        <v>96418</v>
      </c>
      <c r="F16" s="152">
        <f t="shared" si="1"/>
        <v>1.8958100784392452E-2</v>
      </c>
      <c r="H16" s="170">
        <f>+'COEF Art 14 F I'!AQ16</f>
        <v>1.3399316431592647E-2</v>
      </c>
      <c r="J16" s="171">
        <f t="shared" si="2"/>
        <v>1636040.9788055317</v>
      </c>
      <c r="K16" s="172">
        <f t="shared" si="3"/>
        <v>1662106.813695909</v>
      </c>
      <c r="L16" s="172">
        <f t="shared" si="4"/>
        <v>1006931.566455194</v>
      </c>
      <c r="M16" s="172">
        <f t="shared" si="5"/>
        <v>4305079.358956635</v>
      </c>
      <c r="N16" s="173">
        <f t="shared" si="6"/>
        <v>1.7186407452748621E-2</v>
      </c>
    </row>
    <row r="17" spans="1:14" x14ac:dyDescent="0.2">
      <c r="A17" s="7" t="s">
        <v>10</v>
      </c>
      <c r="B17" s="169">
        <v>38306</v>
      </c>
      <c r="C17" s="152">
        <f t="shared" si="0"/>
        <v>7.4823654791557935E-3</v>
      </c>
      <c r="E17" s="104">
        <v>21370</v>
      </c>
      <c r="F17" s="152">
        <f t="shared" si="1"/>
        <v>4.2018566425612094E-3</v>
      </c>
      <c r="H17" s="170">
        <f>+'COEF Art 14 F I'!AQ17</f>
        <v>2.3600028828490872E-3</v>
      </c>
      <c r="J17" s="171">
        <f t="shared" si="2"/>
        <v>655998.76205460576</v>
      </c>
      <c r="K17" s="172">
        <f t="shared" si="3"/>
        <v>368387.87994649931</v>
      </c>
      <c r="L17" s="172">
        <f t="shared" si="4"/>
        <v>177349.45001097716</v>
      </c>
      <c r="M17" s="172">
        <f t="shared" si="5"/>
        <v>1201736.0920120822</v>
      </c>
      <c r="N17" s="173">
        <f t="shared" si="6"/>
        <v>4.7974786074556769E-3</v>
      </c>
    </row>
    <row r="18" spans="1:14" x14ac:dyDescent="0.2">
      <c r="A18" s="7" t="s">
        <v>11</v>
      </c>
      <c r="B18" s="169">
        <v>7757</v>
      </c>
      <c r="C18" s="152">
        <f t="shared" si="0"/>
        <v>1.5151858461288437E-3</v>
      </c>
      <c r="E18" s="104">
        <v>7983</v>
      </c>
      <c r="F18" s="152">
        <f t="shared" si="1"/>
        <v>1.5696500504242459E-3</v>
      </c>
      <c r="H18" s="170">
        <f>+'COEF Art 14 F I'!AQ18</f>
        <v>3.1952127934009454E-3</v>
      </c>
      <c r="J18" s="171">
        <f t="shared" si="2"/>
        <v>132840.34869883506</v>
      </c>
      <c r="K18" s="172">
        <f t="shared" si="3"/>
        <v>137615.36947182516</v>
      </c>
      <c r="L18" s="172">
        <f t="shared" si="4"/>
        <v>240113.78786689896</v>
      </c>
      <c r="M18" s="172">
        <f t="shared" si="5"/>
        <v>510569.50603755913</v>
      </c>
      <c r="N18" s="173">
        <f t="shared" si="6"/>
        <v>2.0382564018138643E-3</v>
      </c>
    </row>
    <row r="19" spans="1:14" x14ac:dyDescent="0.2">
      <c r="A19" s="7" t="s">
        <v>12</v>
      </c>
      <c r="B19" s="169">
        <v>10835</v>
      </c>
      <c r="C19" s="152">
        <f t="shared" si="0"/>
        <v>2.1164159652966382E-3</v>
      </c>
      <c r="E19" s="104">
        <v>11284</v>
      </c>
      <c r="F19" s="152">
        <f t="shared" si="1"/>
        <v>2.2187061466851046E-3</v>
      </c>
      <c r="H19" s="170">
        <f>+'COEF Art 14 F I'!AQ19</f>
        <v>7.0907977707593325E-3</v>
      </c>
      <c r="J19" s="171">
        <f t="shared" si="2"/>
        <v>185551.78266751039</v>
      </c>
      <c r="K19" s="172">
        <f t="shared" si="3"/>
        <v>194519.83328574162</v>
      </c>
      <c r="L19" s="172">
        <f t="shared" si="4"/>
        <v>532859.13077575073</v>
      </c>
      <c r="M19" s="172">
        <f t="shared" si="5"/>
        <v>912930.7467290028</v>
      </c>
      <c r="N19" s="173">
        <f t="shared" si="6"/>
        <v>3.6445320704214094E-3</v>
      </c>
    </row>
    <row r="20" spans="1:14" x14ac:dyDescent="0.2">
      <c r="A20" s="7" t="s">
        <v>13</v>
      </c>
      <c r="B20" s="169">
        <v>42715</v>
      </c>
      <c r="C20" s="152">
        <f t="shared" si="0"/>
        <v>8.3435817219793176E-3</v>
      </c>
      <c r="E20" s="104">
        <v>32292</v>
      </c>
      <c r="F20" s="152">
        <f t="shared" si="1"/>
        <v>6.3493848713891705E-3</v>
      </c>
      <c r="H20" s="170">
        <f>+'COEF Art 14 F I'!AQ20</f>
        <v>3.6237000360832224E-3</v>
      </c>
      <c r="J20" s="171">
        <f t="shared" si="2"/>
        <v>731503.86678751337</v>
      </c>
      <c r="K20" s="172">
        <f t="shared" si="3"/>
        <v>556667.35700666148</v>
      </c>
      <c r="L20" s="172">
        <f t="shared" si="4"/>
        <v>272313.73871385783</v>
      </c>
      <c r="M20" s="172">
        <f t="shared" si="5"/>
        <v>1560484.9625080326</v>
      </c>
      <c r="N20" s="173">
        <f t="shared" si="6"/>
        <v>6.2296483185039367E-3</v>
      </c>
    </row>
    <row r="21" spans="1:14" x14ac:dyDescent="0.2">
      <c r="A21" s="7" t="s">
        <v>14</v>
      </c>
      <c r="B21" s="169">
        <v>34110</v>
      </c>
      <c r="C21" s="152">
        <f t="shared" si="0"/>
        <v>6.6627548293740953E-3</v>
      </c>
      <c r="E21" s="104">
        <v>37015</v>
      </c>
      <c r="F21" s="152">
        <f t="shared" si="1"/>
        <v>7.2780404129341681E-3</v>
      </c>
      <c r="H21" s="170">
        <f>+'COEF Art 14 F I'!AQ21</f>
        <v>2.3780426465290008E-2</v>
      </c>
      <c r="J21" s="171">
        <f t="shared" si="2"/>
        <v>584141.32965286379</v>
      </c>
      <c r="K21" s="172">
        <f t="shared" si="3"/>
        <v>638085.04334205308</v>
      </c>
      <c r="L21" s="172">
        <f t="shared" si="4"/>
        <v>1787051.0181556239</v>
      </c>
      <c r="M21" s="172">
        <f t="shared" si="5"/>
        <v>3009277.3911505407</v>
      </c>
      <c r="N21" s="173">
        <f t="shared" si="6"/>
        <v>1.2013406274394893E-2</v>
      </c>
    </row>
    <row r="22" spans="1:14" x14ac:dyDescent="0.2">
      <c r="A22" s="7" t="s">
        <v>15</v>
      </c>
      <c r="B22" s="169">
        <v>1632</v>
      </c>
      <c r="C22" s="152">
        <f t="shared" si="0"/>
        <v>3.1878088189793386E-4</v>
      </c>
      <c r="E22" s="104">
        <v>1792</v>
      </c>
      <c r="F22" s="152">
        <f t="shared" si="1"/>
        <v>3.5235035580110844E-4</v>
      </c>
      <c r="H22" s="170">
        <f>+'COEF Art 14 F I'!AQ22</f>
        <v>3.0391248459060455E-3</v>
      </c>
      <c r="J22" s="171">
        <f t="shared" si="2"/>
        <v>27948.362650057865</v>
      </c>
      <c r="K22" s="172">
        <f t="shared" si="3"/>
        <v>30891.487171929191</v>
      </c>
      <c r="L22" s="172">
        <f t="shared" si="4"/>
        <v>228384.09387256627</v>
      </c>
      <c r="M22" s="172">
        <f t="shared" si="5"/>
        <v>287223.94369455334</v>
      </c>
      <c r="N22" s="173">
        <f t="shared" si="6"/>
        <v>1.1466333869664784E-3</v>
      </c>
    </row>
    <row r="23" spans="1:14" x14ac:dyDescent="0.2">
      <c r="A23" s="7" t="s">
        <v>16</v>
      </c>
      <c r="B23" s="169">
        <v>2861</v>
      </c>
      <c r="C23" s="152">
        <f t="shared" si="0"/>
        <v>5.588432004350421E-4</v>
      </c>
      <c r="E23" s="104">
        <v>3549</v>
      </c>
      <c r="F23" s="152">
        <f t="shared" si="1"/>
        <v>6.9781886871547651E-4</v>
      </c>
      <c r="H23" s="170">
        <f>+'COEF Art 14 F I'!AQ23</f>
        <v>1.1821591112032427E-3</v>
      </c>
      <c r="J23" s="171">
        <f t="shared" si="2"/>
        <v>48995.260748661487</v>
      </c>
      <c r="K23" s="172">
        <f t="shared" si="3"/>
        <v>61179.624985031645</v>
      </c>
      <c r="L23" s="172">
        <f t="shared" si="4"/>
        <v>88836.869531386634</v>
      </c>
      <c r="M23" s="172">
        <f t="shared" si="5"/>
        <v>199011.75526507979</v>
      </c>
      <c r="N23" s="173">
        <f t="shared" si="6"/>
        <v>7.9447945756365435E-4</v>
      </c>
    </row>
    <row r="24" spans="1:14" x14ac:dyDescent="0.2">
      <c r="A24" s="7" t="s">
        <v>17</v>
      </c>
      <c r="B24" s="169">
        <v>41130</v>
      </c>
      <c r="C24" s="152">
        <f t="shared" si="0"/>
        <v>8.0339814169497672E-3</v>
      </c>
      <c r="E24" s="104">
        <v>41392</v>
      </c>
      <c r="F24" s="152">
        <f t="shared" si="1"/>
        <v>8.1386640219416745E-3</v>
      </c>
      <c r="H24" s="170">
        <f>+'COEF Art 14 F I'!AQ24</f>
        <v>1.7661743449506231E-2</v>
      </c>
      <c r="J24" s="171">
        <f t="shared" si="2"/>
        <v>704360.38958142151</v>
      </c>
      <c r="K24" s="172">
        <f t="shared" si="3"/>
        <v>713538.19030161446</v>
      </c>
      <c r="L24" s="172">
        <f t="shared" si="4"/>
        <v>1327244.3477795562</v>
      </c>
      <c r="M24" s="172">
        <f t="shared" si="5"/>
        <v>2745142.9276625924</v>
      </c>
      <c r="N24" s="173">
        <f t="shared" si="6"/>
        <v>1.0958948938463874E-2</v>
      </c>
    </row>
    <row r="25" spans="1:14" x14ac:dyDescent="0.2">
      <c r="A25" s="7" t="s">
        <v>18</v>
      </c>
      <c r="B25" s="169">
        <v>247370</v>
      </c>
      <c r="C25" s="152">
        <f t="shared" si="0"/>
        <v>4.8319134041110233E-2</v>
      </c>
      <c r="E25" s="104">
        <v>188580</v>
      </c>
      <c r="F25" s="152">
        <f t="shared" si="1"/>
        <v>3.707936947375727E-2</v>
      </c>
      <c r="H25" s="170">
        <f>+'COEF Art 14 F I'!AQ25</f>
        <v>2.1112656717608303E-2</v>
      </c>
      <c r="J25" s="171">
        <f t="shared" si="2"/>
        <v>4236266.2185936356</v>
      </c>
      <c r="K25" s="172">
        <f t="shared" si="3"/>
        <v>3250846.3453584858</v>
      </c>
      <c r="L25" s="172">
        <f t="shared" si="4"/>
        <v>1586573.5098671189</v>
      </c>
      <c r="M25" s="172">
        <f t="shared" si="5"/>
        <v>9073686.0738192406</v>
      </c>
      <c r="N25" s="173">
        <f t="shared" si="6"/>
        <v>3.6223273245486111E-2</v>
      </c>
    </row>
    <row r="26" spans="1:14" x14ac:dyDescent="0.2">
      <c r="A26" s="7" t="s">
        <v>19</v>
      </c>
      <c r="B26" s="169">
        <v>5479</v>
      </c>
      <c r="C26" s="152">
        <f t="shared" si="0"/>
        <v>1.0702208651463111E-3</v>
      </c>
      <c r="E26" s="104">
        <v>5708</v>
      </c>
      <c r="F26" s="152">
        <f t="shared" si="1"/>
        <v>1.1223302627861201E-3</v>
      </c>
      <c r="H26" s="170">
        <f>+'COEF Art 14 F I'!AQ26</f>
        <v>3.5960420115116977E-3</v>
      </c>
      <c r="J26" s="171">
        <f t="shared" si="2"/>
        <v>93829.092499795981</v>
      </c>
      <c r="K26" s="172">
        <f t="shared" si="3"/>
        <v>98397.661148086961</v>
      </c>
      <c r="L26" s="172">
        <f t="shared" si="4"/>
        <v>270235.29402982921</v>
      </c>
      <c r="M26" s="172">
        <f t="shared" si="5"/>
        <v>462462.04767771217</v>
      </c>
      <c r="N26" s="173">
        <f t="shared" si="6"/>
        <v>1.84620549822986E-3</v>
      </c>
    </row>
    <row r="27" spans="1:14" x14ac:dyDescent="0.2">
      <c r="A27" s="7" t="s">
        <v>20</v>
      </c>
      <c r="B27" s="169">
        <v>425148</v>
      </c>
      <c r="C27" s="152">
        <f t="shared" si="0"/>
        <v>8.3044763711484545E-2</v>
      </c>
      <c r="E27" s="104">
        <v>404169</v>
      </c>
      <c r="F27" s="152">
        <f t="shared" si="1"/>
        <v>7.9469358791170869E-2</v>
      </c>
      <c r="H27" s="170">
        <f>+'COEF Art 14 F I'!AQ27</f>
        <v>4.9310923029132953E-2</v>
      </c>
      <c r="J27" s="171">
        <f t="shared" si="2"/>
        <v>7280753.9730066173</v>
      </c>
      <c r="K27" s="172">
        <f t="shared" si="3"/>
        <v>6967288.7716470137</v>
      </c>
      <c r="L27" s="172">
        <f t="shared" si="4"/>
        <v>3705616.2694991007</v>
      </c>
      <c r="M27" s="172">
        <f t="shared" si="5"/>
        <v>17953659.014152732</v>
      </c>
      <c r="N27" s="173">
        <f t="shared" si="6"/>
        <v>7.167321978466927E-2</v>
      </c>
    </row>
    <row r="28" spans="1:14" x14ac:dyDescent="0.2">
      <c r="A28" s="7" t="s">
        <v>21</v>
      </c>
      <c r="B28" s="169">
        <v>14795</v>
      </c>
      <c r="C28" s="152">
        <f t="shared" si="0"/>
        <v>2.8899283993136836E-3</v>
      </c>
      <c r="E28" s="104">
        <v>14904</v>
      </c>
      <c r="F28" s="152">
        <f t="shared" si="1"/>
        <v>2.9304853252565405E-3</v>
      </c>
      <c r="H28" s="170">
        <f>+'COEF Art 14 F I'!AQ28</f>
        <v>6.5776446316956685E-3</v>
      </c>
      <c r="J28" s="171">
        <f t="shared" si="2"/>
        <v>253367.66262720962</v>
      </c>
      <c r="K28" s="172">
        <f t="shared" si="3"/>
        <v>256923.3955415361</v>
      </c>
      <c r="L28" s="172">
        <f t="shared" si="4"/>
        <v>494296.70882036758</v>
      </c>
      <c r="M28" s="172">
        <f t="shared" si="5"/>
        <v>1004587.7669891133</v>
      </c>
      <c r="N28" s="173">
        <f t="shared" si="6"/>
        <v>4.0104381931082783E-3</v>
      </c>
    </row>
    <row r="29" spans="1:14" x14ac:dyDescent="0.2">
      <c r="A29" s="7" t="s">
        <v>22</v>
      </c>
      <c r="B29" s="169">
        <v>1044</v>
      </c>
      <c r="C29" s="152">
        <f t="shared" si="0"/>
        <v>2.0392600533176652E-4</v>
      </c>
      <c r="E29" s="104">
        <v>1221</v>
      </c>
      <c r="F29" s="152">
        <f t="shared" si="1"/>
        <v>2.4007800470600079E-4</v>
      </c>
      <c r="H29" s="170">
        <f>+'COEF Art 14 F I'!AQ29</f>
        <v>5.4898222053986203E-4</v>
      </c>
      <c r="J29" s="171">
        <f t="shared" si="2"/>
        <v>17878.73198937525</v>
      </c>
      <c r="K29" s="172">
        <f t="shared" si="3"/>
        <v>21048.27334649863</v>
      </c>
      <c r="L29" s="172">
        <f t="shared" si="4"/>
        <v>41254.905062239028</v>
      </c>
      <c r="M29" s="172">
        <f t="shared" si="5"/>
        <v>80181.910398112901</v>
      </c>
      <c r="N29" s="173">
        <f t="shared" si="6"/>
        <v>3.2009606967517711E-4</v>
      </c>
    </row>
    <row r="30" spans="1:14" x14ac:dyDescent="0.2">
      <c r="A30" s="7" t="s">
        <v>23</v>
      </c>
      <c r="B30" s="169">
        <v>6011</v>
      </c>
      <c r="C30" s="152">
        <f t="shared" si="0"/>
        <v>1.17413718203951E-3</v>
      </c>
      <c r="E30" s="104">
        <v>6180</v>
      </c>
      <c r="F30" s="152">
        <f t="shared" si="1"/>
        <v>1.2151368297158762E-3</v>
      </c>
      <c r="H30" s="170">
        <f>+'COEF Art 14 F I'!AQ30</f>
        <v>5.2287914857413386E-3</v>
      </c>
      <c r="J30" s="171">
        <f t="shared" si="2"/>
        <v>102939.71071660405</v>
      </c>
      <c r="K30" s="172">
        <f t="shared" si="3"/>
        <v>106534.25821569331</v>
      </c>
      <c r="L30" s="172">
        <f t="shared" si="4"/>
        <v>392933.1192590773</v>
      </c>
      <c r="M30" s="172">
        <f t="shared" si="5"/>
        <v>602407.08819137467</v>
      </c>
      <c r="N30" s="173">
        <f t="shared" si="6"/>
        <v>2.4048833498367867E-3</v>
      </c>
    </row>
    <row r="31" spans="1:14" x14ac:dyDescent="0.2">
      <c r="A31" s="7" t="s">
        <v>24</v>
      </c>
      <c r="B31" s="169">
        <v>67294</v>
      </c>
      <c r="C31" s="152">
        <f t="shared" si="0"/>
        <v>1.3144632761298751E-2</v>
      </c>
      <c r="E31" s="104">
        <v>75505</v>
      </c>
      <c r="F31" s="152">
        <f t="shared" si="1"/>
        <v>1.4846101347523824E-2</v>
      </c>
      <c r="H31" s="170">
        <f>+'COEF Art 14 F I'!AQ31</f>
        <v>4.3894958282483737E-3</v>
      </c>
      <c r="J31" s="171">
        <f t="shared" si="2"/>
        <v>1152424.7035373738</v>
      </c>
      <c r="K31" s="172">
        <f t="shared" si="3"/>
        <v>1301596.9525203758</v>
      </c>
      <c r="L31" s="172">
        <f t="shared" si="4"/>
        <v>329861.74577275215</v>
      </c>
      <c r="M31" s="172">
        <f t="shared" si="5"/>
        <v>2783883.4018305019</v>
      </c>
      <c r="N31" s="173">
        <f t="shared" si="6"/>
        <v>1.1113605686562413E-2</v>
      </c>
    </row>
    <row r="32" spans="1:14" x14ac:dyDescent="0.2">
      <c r="A32" s="7" t="s">
        <v>25</v>
      </c>
      <c r="B32" s="169">
        <v>682880</v>
      </c>
      <c r="C32" s="152">
        <f t="shared" si="0"/>
        <v>0.1333879219549394</v>
      </c>
      <c r="E32" s="104">
        <v>700868</v>
      </c>
      <c r="F32" s="152">
        <f t="shared" si="1"/>
        <v>0.13780752743839916</v>
      </c>
      <c r="H32" s="170">
        <f>+'COEF Art 14 F I'!AQ32</f>
        <v>8.1320182933311599E-2</v>
      </c>
      <c r="J32" s="171">
        <f t="shared" si="2"/>
        <v>11694471.744161468</v>
      </c>
      <c r="K32" s="172">
        <f t="shared" si="3"/>
        <v>12081950.240633745</v>
      </c>
      <c r="L32" s="172">
        <f t="shared" si="4"/>
        <v>6111047.5003335411</v>
      </c>
      <c r="M32" s="172">
        <f t="shared" si="5"/>
        <v>29887469.485128753</v>
      </c>
      <c r="N32" s="173">
        <f t="shared" si="6"/>
        <v>0.11931446216766196</v>
      </c>
    </row>
    <row r="33" spans="1:14" x14ac:dyDescent="0.2">
      <c r="A33" s="7" t="s">
        <v>26</v>
      </c>
      <c r="B33" s="169">
        <v>1764</v>
      </c>
      <c r="C33" s="152">
        <f t="shared" si="0"/>
        <v>3.4456462969850206E-4</v>
      </c>
      <c r="E33" s="104">
        <v>2105</v>
      </c>
      <c r="F33" s="152">
        <f t="shared" si="1"/>
        <v>4.1389369361681544E-4</v>
      </c>
      <c r="H33" s="170">
        <f>+'COEF Art 14 F I'!AQ33</f>
        <v>1.3983534129554229E-3</v>
      </c>
      <c r="J33" s="171">
        <f t="shared" si="2"/>
        <v>30208.89198204784</v>
      </c>
      <c r="K33" s="172">
        <f t="shared" si="3"/>
        <v>36287.154295151195</v>
      </c>
      <c r="L33" s="172">
        <f t="shared" si="4"/>
        <v>105083.43464785315</v>
      </c>
      <c r="M33" s="172">
        <f t="shared" si="5"/>
        <v>171579.48092505219</v>
      </c>
      <c r="N33" s="173">
        <f t="shared" si="6"/>
        <v>6.8496643704698797E-4</v>
      </c>
    </row>
    <row r="34" spans="1:14" x14ac:dyDescent="0.2">
      <c r="A34" s="7" t="s">
        <v>27</v>
      </c>
      <c r="B34" s="169">
        <v>13836</v>
      </c>
      <c r="C34" s="152">
        <f t="shared" si="0"/>
        <v>2.702605564914101E-3</v>
      </c>
      <c r="E34" s="104">
        <v>17794</v>
      </c>
      <c r="F34" s="152">
        <f t="shared" si="1"/>
        <v>3.498728923618819E-3</v>
      </c>
      <c r="H34" s="170">
        <f>+'COEF Art 14 F I'!AQ34</f>
        <v>3.4180307486802535E-3</v>
      </c>
      <c r="J34" s="171">
        <f t="shared" si="2"/>
        <v>236944.57452585822</v>
      </c>
      <c r="K34" s="172">
        <f t="shared" si="3"/>
        <v>306742.81402751565</v>
      </c>
      <c r="L34" s="172">
        <f t="shared" si="4"/>
        <v>256858.10716775071</v>
      </c>
      <c r="M34" s="172">
        <f t="shared" si="5"/>
        <v>800545.49572112458</v>
      </c>
      <c r="N34" s="173">
        <f t="shared" si="6"/>
        <v>3.1958762955905978E-3</v>
      </c>
    </row>
    <row r="35" spans="1:14" x14ac:dyDescent="0.2">
      <c r="A35" s="7" t="s">
        <v>28</v>
      </c>
      <c r="B35" s="169">
        <v>1511</v>
      </c>
      <c r="C35" s="152">
        <f t="shared" si="0"/>
        <v>2.9514577974741303E-4</v>
      </c>
      <c r="E35" s="104">
        <v>1726</v>
      </c>
      <c r="F35" s="152">
        <f t="shared" si="1"/>
        <v>3.3937316635754083E-4</v>
      </c>
      <c r="H35" s="170">
        <f>+'COEF Art 14 F I'!AQ35</f>
        <v>2.1546645109262229E-3</v>
      </c>
      <c r="J35" s="171">
        <f t="shared" si="2"/>
        <v>25876.210762400387</v>
      </c>
      <c r="K35" s="172">
        <f t="shared" si="3"/>
        <v>29753.742666713049</v>
      </c>
      <c r="L35" s="172">
        <f t="shared" si="4"/>
        <v>161918.68609483066</v>
      </c>
      <c r="M35" s="172">
        <f t="shared" si="5"/>
        <v>217548.63952394409</v>
      </c>
      <c r="N35" s="173">
        <f t="shared" si="6"/>
        <v>8.6848098441460065E-4</v>
      </c>
    </row>
    <row r="36" spans="1:14" x14ac:dyDescent="0.2">
      <c r="A36" s="7" t="s">
        <v>29</v>
      </c>
      <c r="B36" s="169">
        <v>6921</v>
      </c>
      <c r="C36" s="152">
        <f t="shared" si="0"/>
        <v>1.3518887767252452E-3</v>
      </c>
      <c r="E36" s="104">
        <v>7239</v>
      </c>
      <c r="F36" s="152">
        <f t="shared" si="1"/>
        <v>1.4233617330603929E-3</v>
      </c>
      <c r="H36" s="170">
        <f>+'COEF Art 14 F I'!AQ36</f>
        <v>2.3817934265498359E-3</v>
      </c>
      <c r="J36" s="171">
        <f t="shared" si="2"/>
        <v>118523.66292956524</v>
      </c>
      <c r="K36" s="172">
        <f t="shared" si="3"/>
        <v>124789.88595847959</v>
      </c>
      <c r="L36" s="172">
        <f t="shared" si="4"/>
        <v>178986.96535845951</v>
      </c>
      <c r="M36" s="172">
        <f t="shared" si="5"/>
        <v>422300.51424650435</v>
      </c>
      <c r="N36" s="173">
        <f t="shared" si="6"/>
        <v>1.6858757063899239E-3</v>
      </c>
    </row>
    <row r="37" spans="1:14" x14ac:dyDescent="0.2">
      <c r="A37" s="7" t="s">
        <v>30</v>
      </c>
      <c r="B37" s="169">
        <v>3571</v>
      </c>
      <c r="C37" s="152">
        <f t="shared" si="0"/>
        <v>6.9752851057446193E-4</v>
      </c>
      <c r="E37" s="104">
        <v>3641</v>
      </c>
      <c r="F37" s="152">
        <f t="shared" si="1"/>
        <v>7.1590828430347986E-4</v>
      </c>
      <c r="H37" s="170">
        <f>+'COEF Art 14 F I'!AQ37</f>
        <v>2.73961148642346E-3</v>
      </c>
      <c r="J37" s="171">
        <f t="shared" si="2"/>
        <v>61154.168519213628</v>
      </c>
      <c r="K37" s="172">
        <f t="shared" si="3"/>
        <v>62765.571871090506</v>
      </c>
      <c r="L37" s="172">
        <f t="shared" si="4"/>
        <v>205876.26985200832</v>
      </c>
      <c r="M37" s="172">
        <f t="shared" si="5"/>
        <v>329796.01024231245</v>
      </c>
      <c r="N37" s="173">
        <f t="shared" si="6"/>
        <v>1.3165863241343175E-3</v>
      </c>
    </row>
    <row r="38" spans="1:14" x14ac:dyDescent="0.2">
      <c r="A38" s="7" t="s">
        <v>31</v>
      </c>
      <c r="B38" s="169">
        <v>333481</v>
      </c>
      <c r="C38" s="152">
        <f t="shared" si="0"/>
        <v>6.5139318183949066E-2</v>
      </c>
      <c r="E38" s="104">
        <v>335683</v>
      </c>
      <c r="F38" s="152">
        <f t="shared" si="1"/>
        <v>6.6003361878562219E-2</v>
      </c>
      <c r="H38" s="170">
        <f>+'COEF Art 14 F I'!AQ38</f>
        <v>2.3763462530325529E-2</v>
      </c>
      <c r="J38" s="171">
        <f t="shared" si="2"/>
        <v>5710936.2284950651</v>
      </c>
      <c r="K38" s="172">
        <f t="shared" si="3"/>
        <v>5786689.2234010641</v>
      </c>
      <c r="L38" s="172">
        <f t="shared" si="4"/>
        <v>1785776.2127060897</v>
      </c>
      <c r="M38" s="172">
        <f t="shared" si="5"/>
        <v>13283401.664602218</v>
      </c>
      <c r="N38" s="173">
        <f t="shared" si="6"/>
        <v>5.3028976780976601E-2</v>
      </c>
    </row>
    <row r="39" spans="1:14" x14ac:dyDescent="0.2">
      <c r="A39" s="7" t="s">
        <v>32</v>
      </c>
      <c r="B39" s="169">
        <v>5238</v>
      </c>
      <c r="C39" s="152">
        <f t="shared" si="0"/>
        <v>1.0231459922680009E-3</v>
      </c>
      <c r="E39" s="104">
        <v>6012</v>
      </c>
      <c r="F39" s="152">
        <f t="shared" si="1"/>
        <v>1.1821039838595224E-3</v>
      </c>
      <c r="H39" s="170">
        <f>+'COEF Art 14 F I'!AQ39</f>
        <v>4.467592893545284E-3</v>
      </c>
      <c r="J39" s="171">
        <f t="shared" si="2"/>
        <v>89701.913946693065</v>
      </c>
      <c r="K39" s="172">
        <f t="shared" si="3"/>
        <v>103638.18129332495</v>
      </c>
      <c r="L39" s="172">
        <f t="shared" si="4"/>
        <v>335730.58249262837</v>
      </c>
      <c r="M39" s="172">
        <f t="shared" si="5"/>
        <v>529070.67773264635</v>
      </c>
      <c r="N39" s="173">
        <f t="shared" si="6"/>
        <v>2.112115359708218E-3</v>
      </c>
    </row>
    <row r="40" spans="1:14" x14ac:dyDescent="0.2">
      <c r="A40" s="7" t="s">
        <v>33</v>
      </c>
      <c r="B40" s="169">
        <v>79853</v>
      </c>
      <c r="C40" s="152">
        <f t="shared" si="0"/>
        <v>1.5597800099384627E-2</v>
      </c>
      <c r="E40" s="104">
        <v>85297</v>
      </c>
      <c r="F40" s="152">
        <f t="shared" si="1"/>
        <v>1.6771444363151311E-2</v>
      </c>
      <c r="H40" s="170">
        <f>+'COEF Art 14 F I'!AQ40</f>
        <v>1.7804865822853205E-2</v>
      </c>
      <c r="J40" s="171">
        <f t="shared" ref="J40:J58" si="7">+C40*J$6</f>
        <v>1367500.3692984502</v>
      </c>
      <c r="K40" s="172">
        <f t="shared" ref="K40:K58" si="8">+F40*K$6</f>
        <v>1470396.864566989</v>
      </c>
      <c r="L40" s="172">
        <f t="shared" ref="L40:L58" si="9">+H40*L$6</f>
        <v>1337999.7050639966</v>
      </c>
      <c r="M40" s="172">
        <f t="shared" si="5"/>
        <v>4175896.9389294358</v>
      </c>
      <c r="N40" s="173">
        <f t="shared" si="6"/>
        <v>1.6670695308743537E-2</v>
      </c>
    </row>
    <row r="41" spans="1:14" x14ac:dyDescent="0.2">
      <c r="A41" s="7" t="s">
        <v>34</v>
      </c>
      <c r="B41" s="169">
        <v>5630</v>
      </c>
      <c r="C41" s="152">
        <f t="shared" si="0"/>
        <v>1.0997159099787792E-3</v>
      </c>
      <c r="E41" s="104">
        <v>5718</v>
      </c>
      <c r="F41" s="152">
        <f t="shared" si="1"/>
        <v>1.1242965036109029E-3</v>
      </c>
      <c r="H41" s="170">
        <f>+'COEF Art 14 F I'!AQ41</f>
        <v>3.9705258909336428E-3</v>
      </c>
      <c r="J41" s="171">
        <f t="shared" si="7"/>
        <v>96415.001053814805</v>
      </c>
      <c r="K41" s="172">
        <f t="shared" si="8"/>
        <v>98570.046679180305</v>
      </c>
      <c r="L41" s="172">
        <f t="shared" si="9"/>
        <v>298377.00120150897</v>
      </c>
      <c r="M41" s="172">
        <f t="shared" si="5"/>
        <v>493362.0489345041</v>
      </c>
      <c r="N41" s="173">
        <f t="shared" si="6"/>
        <v>1.9695621120364814E-3</v>
      </c>
    </row>
    <row r="42" spans="1:14" x14ac:dyDescent="0.2">
      <c r="A42" s="7" t="s">
        <v>35</v>
      </c>
      <c r="B42" s="169">
        <v>955</v>
      </c>
      <c r="C42" s="152">
        <f t="shared" si="0"/>
        <v>1.8654150870865615E-4</v>
      </c>
      <c r="E42" s="104">
        <v>808</v>
      </c>
      <c r="F42" s="152">
        <f t="shared" si="1"/>
        <v>1.5887225864246409E-4</v>
      </c>
      <c r="H42" s="170">
        <f>+'COEF Art 14 F I'!AQ42</f>
        <v>3.8133559184904621E-3</v>
      </c>
      <c r="J42" s="171">
        <f t="shared" si="7"/>
        <v>16354.587212503222</v>
      </c>
      <c r="K42" s="172">
        <f t="shared" si="8"/>
        <v>13928.750912343074</v>
      </c>
      <c r="L42" s="172">
        <f t="shared" si="9"/>
        <v>286565.9952177417</v>
      </c>
      <c r="M42" s="172">
        <f t="shared" si="5"/>
        <v>316849.33334258798</v>
      </c>
      <c r="N42" s="173">
        <f t="shared" si="6"/>
        <v>1.2649015941200304E-3</v>
      </c>
    </row>
    <row r="43" spans="1:14" x14ac:dyDescent="0.2">
      <c r="A43" s="7" t="s">
        <v>36</v>
      </c>
      <c r="B43" s="169">
        <v>6996</v>
      </c>
      <c r="C43" s="152">
        <f t="shared" si="0"/>
        <v>1.3665386334301135E-3</v>
      </c>
      <c r="E43" s="104">
        <v>7251</v>
      </c>
      <c r="F43" s="152">
        <f t="shared" si="1"/>
        <v>1.4257212220501324E-3</v>
      </c>
      <c r="H43" s="170">
        <f>+'COEF Art 14 F I'!AQ43</f>
        <v>3.8781548370277713E-3</v>
      </c>
      <c r="J43" s="171">
        <f t="shared" si="7"/>
        <v>119808.05459546864</v>
      </c>
      <c r="K43" s="172">
        <f t="shared" si="8"/>
        <v>124996.74859579161</v>
      </c>
      <c r="L43" s="172">
        <f t="shared" si="9"/>
        <v>291435.50306767458</v>
      </c>
      <c r="M43" s="172">
        <f t="shared" si="5"/>
        <v>536240.30625893478</v>
      </c>
      <c r="N43" s="173">
        <f t="shared" si="6"/>
        <v>2.1407374005264169E-3</v>
      </c>
    </row>
    <row r="44" spans="1:14" x14ac:dyDescent="0.2">
      <c r="A44" s="7" t="s">
        <v>37</v>
      </c>
      <c r="B44" s="169">
        <v>5326</v>
      </c>
      <c r="C44" s="152">
        <f t="shared" si="0"/>
        <v>1.0403351574683798E-3</v>
      </c>
      <c r="E44" s="104">
        <v>5649</v>
      </c>
      <c r="F44" s="152">
        <f t="shared" si="1"/>
        <v>1.1107294419199004E-3</v>
      </c>
      <c r="H44" s="170">
        <f>+'COEF Art 14 F I'!AQ44</f>
        <v>4.9088049123546789E-3</v>
      </c>
      <c r="J44" s="171">
        <f t="shared" si="7"/>
        <v>91208.933501353051</v>
      </c>
      <c r="K44" s="172">
        <f t="shared" si="8"/>
        <v>97380.586514636161</v>
      </c>
      <c r="L44" s="172">
        <f t="shared" si="9"/>
        <v>368886.77456456947</v>
      </c>
      <c r="M44" s="172">
        <f t="shared" si="5"/>
        <v>557476.29458055866</v>
      </c>
      <c r="N44" s="173">
        <f t="shared" si="6"/>
        <v>2.2255140834923012E-3</v>
      </c>
    </row>
    <row r="45" spans="1:14" x14ac:dyDescent="0.2">
      <c r="A45" s="7" t="s">
        <v>38</v>
      </c>
      <c r="B45" s="169">
        <v>60829</v>
      </c>
      <c r="C45" s="152">
        <f t="shared" si="0"/>
        <v>1.1881815113339104E-2</v>
      </c>
      <c r="E45" s="104">
        <v>63894</v>
      </c>
      <c r="F45" s="152">
        <f t="shared" si="1"/>
        <v>1.2563099125868317E-2</v>
      </c>
      <c r="H45" s="170">
        <f>+'COEF Art 14 F I'!AQ45</f>
        <v>1.3062538089190589E-2</v>
      </c>
      <c r="J45" s="171">
        <f t="shared" si="7"/>
        <v>1041710.141936501</v>
      </c>
      <c r="K45" s="172">
        <f t="shared" si="8"/>
        <v>1101440.1123678817</v>
      </c>
      <c r="L45" s="172">
        <f t="shared" si="9"/>
        <v>981623.35423449194</v>
      </c>
      <c r="M45" s="172">
        <f t="shared" si="5"/>
        <v>3124773.6085388749</v>
      </c>
      <c r="N45" s="173">
        <f t="shared" si="6"/>
        <v>1.2474481410479774E-2</v>
      </c>
    </row>
    <row r="46" spans="1:14" x14ac:dyDescent="0.2">
      <c r="A46" s="7" t="s">
        <v>39</v>
      </c>
      <c r="B46" s="169">
        <v>1109171</v>
      </c>
      <c r="C46" s="152">
        <f t="shared" si="0"/>
        <v>0.21665594948260614</v>
      </c>
      <c r="E46" s="104">
        <v>1183171</v>
      </c>
      <c r="F46" s="152">
        <f t="shared" si="1"/>
        <v>0.23263991228992928</v>
      </c>
      <c r="H46" s="170">
        <f>+'COEF Art 14 F I'!AQ46</f>
        <v>0.27016118235344716</v>
      </c>
      <c r="J46" s="171">
        <f t="shared" si="7"/>
        <v>18994799.846156452</v>
      </c>
      <c r="K46" s="172">
        <f t="shared" si="8"/>
        <v>20396156.120925575</v>
      </c>
      <c r="L46" s="172">
        <f t="shared" si="9"/>
        <v>20302067.193603087</v>
      </c>
      <c r="M46" s="172">
        <f t="shared" si="5"/>
        <v>59693023.160685107</v>
      </c>
      <c r="N46" s="173">
        <f t="shared" si="6"/>
        <v>0.23830190632642148</v>
      </c>
    </row>
    <row r="47" spans="1:14" x14ac:dyDescent="0.2">
      <c r="A47" s="7" t="s">
        <v>40</v>
      </c>
      <c r="B47" s="169">
        <v>971</v>
      </c>
      <c r="C47" s="152">
        <f t="shared" si="0"/>
        <v>1.8966681147236138E-4</v>
      </c>
      <c r="E47" s="104">
        <v>1110</v>
      </c>
      <c r="F47" s="152">
        <f t="shared" si="1"/>
        <v>2.182527315509098E-4</v>
      </c>
      <c r="H47" s="170">
        <f>+'COEF Art 14 F I'!AQ47</f>
        <v>1.0387801856857183E-3</v>
      </c>
      <c r="J47" s="171">
        <f t="shared" si="7"/>
        <v>16628.590767895945</v>
      </c>
      <c r="K47" s="172">
        <f t="shared" si="8"/>
        <v>19134.79395136239</v>
      </c>
      <c r="L47" s="172">
        <f t="shared" si="9"/>
        <v>78062.232869502594</v>
      </c>
      <c r="M47" s="172">
        <f t="shared" si="5"/>
        <v>113825.61758876093</v>
      </c>
      <c r="N47" s="173">
        <f t="shared" si="6"/>
        <v>4.5440589576386034E-4</v>
      </c>
    </row>
    <row r="48" spans="1:14" x14ac:dyDescent="0.2">
      <c r="A48" s="7" t="s">
        <v>41</v>
      </c>
      <c r="B48" s="169">
        <v>87168</v>
      </c>
      <c r="C48" s="152">
        <f t="shared" si="0"/>
        <v>1.7026649456666116E-2</v>
      </c>
      <c r="E48" s="104">
        <v>27680</v>
      </c>
      <c r="F48" s="152">
        <f t="shared" si="1"/>
        <v>5.4425546029992647E-3</v>
      </c>
      <c r="H48" s="170">
        <f>+'COEF Art 14 F I'!AQ48</f>
        <v>3.9273567268996315E-3</v>
      </c>
      <c r="J48" s="171">
        <f t="shared" si="7"/>
        <v>1492771.3697795614</v>
      </c>
      <c r="K48" s="172">
        <f t="shared" si="8"/>
        <v>477163.15006640629</v>
      </c>
      <c r="L48" s="172">
        <f t="shared" si="9"/>
        <v>295132.92571562529</v>
      </c>
      <c r="M48" s="172">
        <f t="shared" si="5"/>
        <v>2265067.4455615929</v>
      </c>
      <c r="N48" s="173">
        <f t="shared" si="6"/>
        <v>9.0424284389527716E-3</v>
      </c>
    </row>
    <row r="49" spans="1:14" x14ac:dyDescent="0.2">
      <c r="A49" s="7" t="s">
        <v>42</v>
      </c>
      <c r="B49" s="169">
        <v>4469</v>
      </c>
      <c r="C49" s="152">
        <f t="shared" si="0"/>
        <v>8.7293612818741819E-4</v>
      </c>
      <c r="E49" s="104">
        <v>5086</v>
      </c>
      <c r="F49" s="152">
        <f t="shared" si="1"/>
        <v>1.0000300834846192E-3</v>
      </c>
      <c r="H49" s="170">
        <f>+'COEF Art 14 F I'!AQ49</f>
        <v>1.9974869585332646E-3</v>
      </c>
      <c r="J49" s="171">
        <f t="shared" si="7"/>
        <v>76532.618065630275</v>
      </c>
      <c r="K49" s="172">
        <f t="shared" si="8"/>
        <v>87675.281114080281</v>
      </c>
      <c r="L49" s="172">
        <f t="shared" si="9"/>
        <v>150107.11049314728</v>
      </c>
      <c r="M49" s="172">
        <f t="shared" si="5"/>
        <v>314315.00967285782</v>
      </c>
      <c r="N49" s="173">
        <f t="shared" si="6"/>
        <v>1.2547842616451924E-3</v>
      </c>
    </row>
    <row r="50" spans="1:14" x14ac:dyDescent="0.2">
      <c r="A50" s="7" t="s">
        <v>43</v>
      </c>
      <c r="B50" s="169">
        <v>2640</v>
      </c>
      <c r="C50" s="152">
        <f t="shared" si="0"/>
        <v>5.1567495601136364E-4</v>
      </c>
      <c r="E50" s="104">
        <v>2722</v>
      </c>
      <c r="F50" s="152">
        <f t="shared" si="1"/>
        <v>5.3521075250592481E-4</v>
      </c>
      <c r="H50" s="170">
        <f>+'COEF Art 14 F I'!AQ50</f>
        <v>3.2019267342190344E-3</v>
      </c>
      <c r="J50" s="171">
        <f t="shared" si="7"/>
        <v>45210.586639799491</v>
      </c>
      <c r="K50" s="172">
        <f t="shared" si="8"/>
        <v>46923.341563611197</v>
      </c>
      <c r="L50" s="172">
        <f t="shared" si="9"/>
        <v>240618.32695884144</v>
      </c>
      <c r="M50" s="172">
        <f t="shared" si="5"/>
        <v>332752.25516225211</v>
      </c>
      <c r="N50" s="173">
        <f t="shared" si="6"/>
        <v>1.3283880182467611E-3</v>
      </c>
    </row>
    <row r="51" spans="1:14" x14ac:dyDescent="0.2">
      <c r="A51" s="7" t="s">
        <v>44</v>
      </c>
      <c r="B51" s="169">
        <v>35456</v>
      </c>
      <c r="C51" s="152">
        <f t="shared" si="0"/>
        <v>6.9256709243707987E-3</v>
      </c>
      <c r="E51" s="104">
        <v>37212</v>
      </c>
      <c r="F51" s="152">
        <f t="shared" si="1"/>
        <v>7.3167753571823924E-3</v>
      </c>
      <c r="H51" s="170">
        <f>+'COEF Art 14 F I'!AQ51</f>
        <v>6.0835055634011438E-3</v>
      </c>
      <c r="J51" s="171">
        <f t="shared" si="7"/>
        <v>607191.87875027675</v>
      </c>
      <c r="K51" s="172">
        <f t="shared" si="8"/>
        <v>641481.03830459213</v>
      </c>
      <c r="L51" s="172">
        <f t="shared" si="9"/>
        <v>457163.15587946016</v>
      </c>
      <c r="M51" s="172">
        <f t="shared" si="5"/>
        <v>1705836.072934329</v>
      </c>
      <c r="N51" s="173">
        <f t="shared" si="6"/>
        <v>6.8099078675639595E-3</v>
      </c>
    </row>
    <row r="52" spans="1:14" x14ac:dyDescent="0.2">
      <c r="A52" s="7" t="s">
        <v>45</v>
      </c>
      <c r="B52" s="169">
        <v>54192</v>
      </c>
      <c r="C52" s="152">
        <f t="shared" si="0"/>
        <v>1.0585400460669627E-2</v>
      </c>
      <c r="E52" s="104">
        <v>36312</v>
      </c>
      <c r="F52" s="152">
        <f t="shared" si="1"/>
        <v>7.1398136829519251E-3</v>
      </c>
      <c r="H52" s="170">
        <f>+'COEF Art 14 F I'!AQ52</f>
        <v>7.588737511551584E-3</v>
      </c>
      <c r="J52" s="171">
        <f t="shared" si="7"/>
        <v>928050.04211515677</v>
      </c>
      <c r="K52" s="172">
        <f t="shared" si="8"/>
        <v>625966.3405061902</v>
      </c>
      <c r="L52" s="172">
        <f t="shared" si="9"/>
        <v>570278.296578423</v>
      </c>
      <c r="M52" s="172">
        <f t="shared" si="5"/>
        <v>2124294.6791997701</v>
      </c>
      <c r="N52" s="173">
        <f t="shared" si="6"/>
        <v>8.4804462037330192E-3</v>
      </c>
    </row>
    <row r="53" spans="1:14" x14ac:dyDescent="0.2">
      <c r="A53" s="7" t="s">
        <v>46</v>
      </c>
      <c r="B53" s="169">
        <v>430143</v>
      </c>
      <c r="C53" s="152">
        <f t="shared" si="0"/>
        <v>8.4020444168028771E-2</v>
      </c>
      <c r="E53" s="104">
        <v>449553</v>
      </c>
      <c r="F53" s="152">
        <f t="shared" si="1"/>
        <v>8.8392946150365914E-2</v>
      </c>
      <c r="H53" s="170">
        <f>+'COEF Art 14 F I'!AQ53</f>
        <v>8.3410472096474758E-2</v>
      </c>
      <c r="J53" s="171">
        <f t="shared" si="7"/>
        <v>7366294.4579557832</v>
      </c>
      <c r="K53" s="172">
        <f t="shared" si="8"/>
        <v>7749643.2659610966</v>
      </c>
      <c r="L53" s="172">
        <f t="shared" si="9"/>
        <v>6268128.5090666125</v>
      </c>
      <c r="M53" s="172">
        <f t="shared" si="5"/>
        <v>21384066.232983492</v>
      </c>
      <c r="N53" s="173">
        <f t="shared" si="6"/>
        <v>8.5367828240380556E-2</v>
      </c>
    </row>
    <row r="54" spans="1:14" x14ac:dyDescent="0.2">
      <c r="A54" s="7" t="s">
        <v>47</v>
      </c>
      <c r="B54" s="169">
        <v>123156</v>
      </c>
      <c r="C54" s="152">
        <f t="shared" si="0"/>
        <v>2.4056236697930111E-2</v>
      </c>
      <c r="E54" s="104">
        <v>130799</v>
      </c>
      <c r="F54" s="152">
        <f t="shared" si="1"/>
        <v>2.5718233364078785E-2</v>
      </c>
      <c r="H54" s="170">
        <f>+'COEF Art 14 F I'!AQ54</f>
        <v>0.13801872413425201</v>
      </c>
      <c r="J54" s="171">
        <f t="shared" si="7"/>
        <v>2109073.8667466459</v>
      </c>
      <c r="K54" s="172">
        <f t="shared" si="8"/>
        <v>2254785.5081479722</v>
      </c>
      <c r="L54" s="172">
        <f t="shared" si="9"/>
        <v>10371828.354241725</v>
      </c>
      <c r="M54" s="172">
        <f t="shared" si="5"/>
        <v>14735687.729136344</v>
      </c>
      <c r="N54" s="173">
        <f t="shared" si="6"/>
        <v>5.8826681761978715E-2</v>
      </c>
    </row>
    <row r="55" spans="1:14" x14ac:dyDescent="0.2">
      <c r="A55" s="7" t="s">
        <v>48</v>
      </c>
      <c r="B55" s="169">
        <v>296954</v>
      </c>
      <c r="C55" s="152">
        <f t="shared" si="0"/>
        <v>5.8004447305832756E-2</v>
      </c>
      <c r="E55" s="104">
        <v>285543</v>
      </c>
      <c r="F55" s="152">
        <f t="shared" si="1"/>
        <v>5.6144630383100393E-2</v>
      </c>
      <c r="H55" s="170">
        <f>+'COEF Art 14 F I'!AQ55</f>
        <v>4.035862853293113E-2</v>
      </c>
      <c r="J55" s="171">
        <f t="shared" si="7"/>
        <v>5085403.2367556887</v>
      </c>
      <c r="K55" s="172">
        <f t="shared" si="8"/>
        <v>4922348.1704989821</v>
      </c>
      <c r="L55" s="172">
        <f t="shared" si="9"/>
        <v>3032869.4195795883</v>
      </c>
      <c r="M55" s="172">
        <f t="shared" si="5"/>
        <v>13040620.826834258</v>
      </c>
      <c r="N55" s="173">
        <f t="shared" si="6"/>
        <v>5.2059765751005932E-2</v>
      </c>
    </row>
    <row r="56" spans="1:14" x14ac:dyDescent="0.2">
      <c r="A56" s="7" t="s">
        <v>49</v>
      </c>
      <c r="B56" s="169">
        <v>42407</v>
      </c>
      <c r="C56" s="152">
        <f t="shared" si="0"/>
        <v>8.2834196437779912E-3</v>
      </c>
      <c r="E56" s="104">
        <v>43176</v>
      </c>
      <c r="F56" s="152">
        <f t="shared" si="1"/>
        <v>8.4894413850829572E-3</v>
      </c>
      <c r="H56" s="170">
        <f>+'COEF Art 14 F I'!AQ56</f>
        <v>1.1494183369097558E-2</v>
      </c>
      <c r="J56" s="171">
        <f t="shared" si="7"/>
        <v>726229.29834620329</v>
      </c>
      <c r="K56" s="172">
        <f t="shared" si="8"/>
        <v>744291.76904866903</v>
      </c>
      <c r="L56" s="172">
        <f t="shared" si="9"/>
        <v>863764.66471677856</v>
      </c>
      <c r="M56" s="172">
        <f t="shared" si="5"/>
        <v>2334285.7321116505</v>
      </c>
      <c r="N56" s="173">
        <f t="shared" si="6"/>
        <v>9.3187563708305964E-3</v>
      </c>
    </row>
    <row r="57" spans="1:14" x14ac:dyDescent="0.2">
      <c r="A57" s="7" t="s">
        <v>50</v>
      </c>
      <c r="B57" s="169">
        <v>1632</v>
      </c>
      <c r="C57" s="152">
        <f t="shared" si="0"/>
        <v>3.1878088189793386E-4</v>
      </c>
      <c r="E57" s="104">
        <v>2066</v>
      </c>
      <c r="F57" s="152">
        <f t="shared" si="1"/>
        <v>4.0622535440016185E-4</v>
      </c>
      <c r="H57" s="170">
        <f>+'COEF Art 14 F I'!AQ57</f>
        <v>1.8147277249980218E-3</v>
      </c>
      <c r="J57" s="171">
        <f t="shared" si="7"/>
        <v>27948.362650057865</v>
      </c>
      <c r="K57" s="172">
        <f t="shared" si="8"/>
        <v>35614.850723887117</v>
      </c>
      <c r="L57" s="172">
        <f t="shared" si="9"/>
        <v>136373.12322243102</v>
      </c>
      <c r="M57" s="172">
        <f t="shared" si="5"/>
        <v>199936.336596376</v>
      </c>
      <c r="N57" s="173">
        <f t="shared" si="6"/>
        <v>7.9817050020373993E-4</v>
      </c>
    </row>
    <row r="58" spans="1:14" x14ac:dyDescent="0.2">
      <c r="A58" s="7" t="s">
        <v>51</v>
      </c>
      <c r="B58" s="169">
        <v>4080</v>
      </c>
      <c r="C58" s="152">
        <f t="shared" si="0"/>
        <v>7.9695220474483466E-4</v>
      </c>
      <c r="E58" s="104">
        <v>4204</v>
      </c>
      <c r="F58" s="152">
        <f t="shared" si="1"/>
        <v>8.2660764273876112E-4</v>
      </c>
      <c r="H58" s="170">
        <f>+'COEF Art 14 F I'!AQ58</f>
        <v>1.2730441433311849E-3</v>
      </c>
      <c r="J58" s="171">
        <f t="shared" si="7"/>
        <v>69870.906625144664</v>
      </c>
      <c r="K58" s="172">
        <f t="shared" si="8"/>
        <v>72470.877271646386</v>
      </c>
      <c r="L58" s="172">
        <f t="shared" si="9"/>
        <v>95666.696130014243</v>
      </c>
      <c r="M58" s="172">
        <f t="shared" si="5"/>
        <v>238008.48002680531</v>
      </c>
      <c r="N58" s="173">
        <f t="shared" si="6"/>
        <v>9.501591896186139E-4</v>
      </c>
    </row>
    <row r="59" spans="1:14" ht="13.5" thickBot="1" x14ac:dyDescent="0.25">
      <c r="A59" s="11" t="s">
        <v>52</v>
      </c>
      <c r="B59" s="174">
        <f>SUM(B8:B58)</f>
        <v>5119504</v>
      </c>
      <c r="C59" s="153">
        <f>SUM(C8:C58)</f>
        <v>0.99999999999999989</v>
      </c>
      <c r="E59" s="175">
        <f>SUM(E8:E58)</f>
        <v>5085847</v>
      </c>
      <c r="F59" s="153">
        <f t="shared" si="1"/>
        <v>1</v>
      </c>
      <c r="H59" s="176">
        <f>SUM(H8:H58)</f>
        <v>0.99999999999999978</v>
      </c>
      <c r="J59" s="177">
        <f>SUM(J8:J58)</f>
        <v>87672643.615454555</v>
      </c>
      <c r="K59" s="178">
        <f>SUM(K8:K58)</f>
        <v>87672643.615454599</v>
      </c>
      <c r="L59" s="178">
        <f>SUM(L8:L58)</f>
        <v>75147980.24181819</v>
      </c>
      <c r="M59" s="178">
        <f>SUM(M8:M58)</f>
        <v>250493267.47272733</v>
      </c>
      <c r="N59" s="179">
        <f>SUM(N8:N58)</f>
        <v>0.99999999999999978</v>
      </c>
    </row>
    <row r="60" spans="1:14" ht="13.5" thickTop="1" x14ac:dyDescent="0.2"/>
    <row r="61" spans="1:14" ht="15.75" customHeight="1" x14ac:dyDescent="0.2">
      <c r="A61" s="25" t="s">
        <v>97</v>
      </c>
    </row>
    <row r="62" spans="1:14" x14ac:dyDescent="0.2">
      <c r="A62" s="25" t="s">
        <v>205</v>
      </c>
    </row>
    <row r="63" spans="1:14" x14ac:dyDescent="0.2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topLeftCell="F1" zoomScale="130" zoomScaleNormal="130" zoomScaleSheetLayoutView="100" workbookViewId="0">
      <selection activeCell="O17" sqref="O17"/>
    </sheetView>
  </sheetViews>
  <sheetFormatPr baseColWidth="10" defaultRowHeight="12.75" x14ac:dyDescent="0.2"/>
  <cols>
    <col min="1" max="1" width="61.140625" style="184" customWidth="1"/>
    <col min="2" max="18" width="14.42578125" style="184" customWidth="1"/>
    <col min="19" max="16384" width="11.42578125" style="184"/>
  </cols>
  <sheetData>
    <row r="1" spans="1:18" ht="27.75" customHeight="1" x14ac:dyDescent="0.2">
      <c r="A1" s="225" t="s">
        <v>157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3" spans="1:18" ht="25.5" x14ac:dyDescent="0.2">
      <c r="A3" s="185" t="s">
        <v>144</v>
      </c>
      <c r="B3" s="185" t="s">
        <v>191</v>
      </c>
      <c r="C3" s="185" t="s">
        <v>192</v>
      </c>
      <c r="D3" s="185" t="s">
        <v>193</v>
      </c>
      <c r="E3" s="185" t="s">
        <v>194</v>
      </c>
      <c r="F3" s="185" t="s">
        <v>195</v>
      </c>
      <c r="G3" s="185" t="s">
        <v>196</v>
      </c>
      <c r="H3" s="185" t="s">
        <v>197</v>
      </c>
      <c r="I3" s="185" t="s">
        <v>198</v>
      </c>
      <c r="J3" s="185" t="s">
        <v>199</v>
      </c>
      <c r="K3" s="185" t="s">
        <v>200</v>
      </c>
      <c r="L3" s="185" t="s">
        <v>201</v>
      </c>
      <c r="M3" s="185" t="s">
        <v>202</v>
      </c>
      <c r="N3" s="185" t="s">
        <v>203</v>
      </c>
      <c r="O3" s="185" t="s">
        <v>207</v>
      </c>
      <c r="P3" s="185" t="s">
        <v>208</v>
      </c>
      <c r="Q3" s="185" t="s">
        <v>146</v>
      </c>
      <c r="R3" s="185" t="s">
        <v>145</v>
      </c>
    </row>
    <row r="4" spans="1:18" ht="25.5" customHeight="1" x14ac:dyDescent="0.2">
      <c r="A4" s="186" t="s">
        <v>147</v>
      </c>
      <c r="B4" s="209">
        <v>1631031441.508378</v>
      </c>
      <c r="C4" s="209">
        <v>2171115392.603816</v>
      </c>
      <c r="D4" s="209">
        <v>1699716428.0669625</v>
      </c>
      <c r="E4" s="209">
        <v>2814169744.2994061</v>
      </c>
      <c r="F4" s="209">
        <v>2136960543.4940646</v>
      </c>
      <c r="G4" s="209">
        <v>2470013385.452292</v>
      </c>
      <c r="H4" s="207">
        <f>SUM(A4:G4)</f>
        <v>12923006935.424919</v>
      </c>
      <c r="I4" s="207">
        <v>2046145415.0919142</v>
      </c>
      <c r="J4" s="207">
        <v>2175211320.4322295</v>
      </c>
      <c r="K4" s="207">
        <v>1835416721.888371</v>
      </c>
      <c r="L4" s="207">
        <v>1646293146</v>
      </c>
      <c r="M4" s="207">
        <v>1832221437.8709803</v>
      </c>
      <c r="N4" s="207">
        <v>1921266991</v>
      </c>
      <c r="O4" s="207">
        <f>SUM(I4:N4)</f>
        <v>11456555032.283495</v>
      </c>
      <c r="P4" s="207">
        <f>SUM(O4,H4)</f>
        <v>24379561967.708412</v>
      </c>
      <c r="Q4" s="187">
        <v>20</v>
      </c>
      <c r="R4" s="207">
        <f>+Q4/100*P4</f>
        <v>4875912393.5416822</v>
      </c>
    </row>
    <row r="5" spans="1:18" ht="25.5" customHeight="1" x14ac:dyDescent="0.2">
      <c r="A5" s="186" t="s">
        <v>148</v>
      </c>
      <c r="B5" s="209">
        <v>40102555.087432332</v>
      </c>
      <c r="C5" s="209">
        <v>57756081.276110075</v>
      </c>
      <c r="D5" s="209">
        <v>42390028.754468344</v>
      </c>
      <c r="E5" s="209">
        <v>74491158.930801809</v>
      </c>
      <c r="F5" s="209">
        <v>56622722.982928023</v>
      </c>
      <c r="G5" s="209">
        <v>55100515.611380547</v>
      </c>
      <c r="H5" s="207">
        <f t="shared" ref="H5:H11" si="0">SUM(A5:G5)</f>
        <v>326463062.64312112</v>
      </c>
      <c r="I5" s="207">
        <v>52677565.281012826</v>
      </c>
      <c r="J5" s="207">
        <v>56731918.626878254</v>
      </c>
      <c r="K5" s="207">
        <v>46102222.306182384</v>
      </c>
      <c r="L5" s="207">
        <v>39123393</v>
      </c>
      <c r="M5" s="207">
        <v>45982669.853007473</v>
      </c>
      <c r="N5" s="207">
        <v>48710557</v>
      </c>
      <c r="O5" s="207">
        <f t="shared" ref="O5:O10" si="1">SUM(I5:N5)</f>
        <v>289328326.06708097</v>
      </c>
      <c r="P5" s="207">
        <f t="shared" ref="P5:P10" si="2">SUM(O5,H5)</f>
        <v>615791388.7102021</v>
      </c>
      <c r="Q5" s="187">
        <v>100</v>
      </c>
      <c r="R5" s="207">
        <f t="shared" ref="R5:R7" si="3">+Q5/100*P5</f>
        <v>615791388.7102021</v>
      </c>
    </row>
    <row r="6" spans="1:18" ht="25.5" customHeight="1" x14ac:dyDescent="0.2">
      <c r="A6" s="186" t="s">
        <v>149</v>
      </c>
      <c r="B6" s="209">
        <v>65897689.228436545</v>
      </c>
      <c r="C6" s="209">
        <v>89288459.585683197</v>
      </c>
      <c r="D6" s="209">
        <v>64804482.588180766</v>
      </c>
      <c r="E6" s="209">
        <v>50372667.755521595</v>
      </c>
      <c r="F6" s="209">
        <v>68484007.333269671</v>
      </c>
      <c r="G6" s="209">
        <v>83873160.114372507</v>
      </c>
      <c r="H6" s="207">
        <f t="shared" si="0"/>
        <v>422720466.60546428</v>
      </c>
      <c r="I6" s="207">
        <v>81312403.954783276</v>
      </c>
      <c r="J6" s="207">
        <v>81793365.587224215</v>
      </c>
      <c r="K6" s="207">
        <v>74119350.602436602</v>
      </c>
      <c r="L6" s="207">
        <v>102305348.05851462</v>
      </c>
      <c r="M6" s="207">
        <v>67469118.549806923</v>
      </c>
      <c r="N6" s="207">
        <v>75630107</v>
      </c>
      <c r="O6" s="207">
        <f t="shared" si="1"/>
        <v>482629693.75276566</v>
      </c>
      <c r="P6" s="207">
        <f t="shared" si="2"/>
        <v>905350160.35822988</v>
      </c>
      <c r="Q6" s="187">
        <v>20</v>
      </c>
      <c r="R6" s="207">
        <f t="shared" si="3"/>
        <v>181070032.07164598</v>
      </c>
    </row>
    <row r="7" spans="1:18" ht="25.5" customHeight="1" x14ac:dyDescent="0.2">
      <c r="A7" s="186" t="s">
        <v>153</v>
      </c>
      <c r="B7" s="209">
        <f>75298111-898461</f>
        <v>74399650</v>
      </c>
      <c r="C7" s="209">
        <v>75298111</v>
      </c>
      <c r="D7" s="209">
        <v>75298111</v>
      </c>
      <c r="E7" s="209">
        <v>164396280.14474732</v>
      </c>
      <c r="F7" s="209">
        <v>75298111</v>
      </c>
      <c r="G7" s="209">
        <v>70081569.689138532</v>
      </c>
      <c r="H7" s="207">
        <f t="shared" si="0"/>
        <v>534771832.83388585</v>
      </c>
      <c r="I7" s="207">
        <v>138521561.01477313</v>
      </c>
      <c r="J7" s="207">
        <v>75298111</v>
      </c>
      <c r="K7" s="207">
        <v>75298111</v>
      </c>
      <c r="L7" s="207">
        <v>126020891.75907466</v>
      </c>
      <c r="M7" s="207">
        <v>75298111</v>
      </c>
      <c r="N7" s="207">
        <v>75298111</v>
      </c>
      <c r="O7" s="207">
        <f t="shared" si="1"/>
        <v>565734896.77384782</v>
      </c>
      <c r="P7" s="207">
        <f t="shared" si="2"/>
        <v>1100506729.6077337</v>
      </c>
      <c r="Q7" s="187">
        <v>20</v>
      </c>
      <c r="R7" s="207">
        <f t="shared" si="3"/>
        <v>220101345.92154676</v>
      </c>
    </row>
    <row r="8" spans="1:18" ht="25.5" customHeight="1" x14ac:dyDescent="0.2">
      <c r="A8" s="186" t="s">
        <v>155</v>
      </c>
      <c r="B8" s="209">
        <v>11247779.827819651</v>
      </c>
      <c r="C8" s="209">
        <v>8466530.9071783368</v>
      </c>
      <c r="D8" s="209">
        <v>6356594.3234208766</v>
      </c>
      <c r="E8" s="209">
        <v>8818716.0620810147</v>
      </c>
      <c r="F8" s="209">
        <v>9394115.6200762764</v>
      </c>
      <c r="G8" s="209">
        <v>146386414.84117624</v>
      </c>
      <c r="H8" s="207">
        <f t="shared" si="0"/>
        <v>190670151.58175239</v>
      </c>
      <c r="I8" s="207">
        <v>12073509.130300766</v>
      </c>
      <c r="J8" s="207">
        <v>12742882.308428157</v>
      </c>
      <c r="K8" s="207">
        <v>14742230.078919403</v>
      </c>
      <c r="L8" s="207">
        <v>13168602.923170764</v>
      </c>
      <c r="M8" s="207">
        <v>13334166.848680835</v>
      </c>
      <c r="N8" s="207">
        <v>13250541</v>
      </c>
      <c r="O8" s="207">
        <f t="shared" si="1"/>
        <v>79311932.289499924</v>
      </c>
      <c r="P8" s="207">
        <f t="shared" si="2"/>
        <v>269982083.8712523</v>
      </c>
      <c r="Q8" s="187">
        <v>20</v>
      </c>
      <c r="R8" s="207">
        <f>+Q8/100*P8</f>
        <v>53996416.774250463</v>
      </c>
    </row>
    <row r="9" spans="1:18" ht="25.5" customHeight="1" x14ac:dyDescent="0.2">
      <c r="A9" s="186" t="s">
        <v>154</v>
      </c>
      <c r="B9" s="209">
        <v>74516479</v>
      </c>
      <c r="C9" s="209">
        <v>81914932</v>
      </c>
      <c r="D9" s="209">
        <v>71035278</v>
      </c>
      <c r="E9" s="209">
        <v>65873930</v>
      </c>
      <c r="F9" s="209">
        <v>69667551</v>
      </c>
      <c r="G9" s="209">
        <v>63878546</v>
      </c>
      <c r="H9" s="207">
        <f t="shared" si="0"/>
        <v>426886716</v>
      </c>
      <c r="I9" s="207">
        <v>72066940</v>
      </c>
      <c r="J9" s="207">
        <v>73057934</v>
      </c>
      <c r="K9" s="207">
        <v>66074841</v>
      </c>
      <c r="L9" s="207">
        <v>74189608</v>
      </c>
      <c r="M9" s="207">
        <v>76515800</v>
      </c>
      <c r="N9" s="207">
        <v>77193871</v>
      </c>
      <c r="O9" s="207">
        <f t="shared" si="1"/>
        <v>439098994</v>
      </c>
      <c r="P9" s="207">
        <f t="shared" si="2"/>
        <v>865985710</v>
      </c>
      <c r="Q9" s="187">
        <v>20</v>
      </c>
      <c r="R9" s="207">
        <f t="shared" ref="R9" si="4">+Q9/100*P9</f>
        <v>173197142</v>
      </c>
    </row>
    <row r="10" spans="1:18" ht="25.5" customHeight="1" x14ac:dyDescent="0.2">
      <c r="A10" s="186" t="s">
        <v>182</v>
      </c>
      <c r="B10" s="209">
        <v>98866573</v>
      </c>
      <c r="C10" s="209">
        <v>108868483</v>
      </c>
      <c r="D10" s="209">
        <v>87756791</v>
      </c>
      <c r="E10" s="209">
        <v>95204899</v>
      </c>
      <c r="F10" s="209">
        <v>105413699</v>
      </c>
      <c r="G10" s="209">
        <v>99874816.36363636</v>
      </c>
      <c r="H10" s="207">
        <f t="shared" si="0"/>
        <v>595985261.36363637</v>
      </c>
      <c r="I10" s="207">
        <v>107831300.72727273</v>
      </c>
      <c r="J10" s="207">
        <v>108819458.18181817</v>
      </c>
      <c r="K10" s="207">
        <v>108295834.09090909</v>
      </c>
      <c r="L10" s="207">
        <v>112386662</v>
      </c>
      <c r="M10" s="207">
        <v>112234266</v>
      </c>
      <c r="N10" s="207">
        <v>106913555</v>
      </c>
      <c r="O10" s="207">
        <f t="shared" si="1"/>
        <v>656481076</v>
      </c>
      <c r="P10" s="207">
        <f t="shared" si="2"/>
        <v>1252466337.3636365</v>
      </c>
      <c r="Q10" s="187">
        <v>20</v>
      </c>
      <c r="R10" s="207">
        <f>+Q10/100*P10</f>
        <v>250493267.4727273</v>
      </c>
    </row>
    <row r="11" spans="1:18" ht="25.5" customHeight="1" x14ac:dyDescent="0.2">
      <c r="A11" s="206" t="s">
        <v>53</v>
      </c>
      <c r="B11" s="208">
        <f t="shared" ref="B11:G11" si="5">SUM(B4:B10)</f>
        <v>1996062167.6520665</v>
      </c>
      <c r="C11" s="208">
        <f t="shared" si="5"/>
        <v>2592707990.372788</v>
      </c>
      <c r="D11" s="208">
        <f t="shared" si="5"/>
        <v>2047357713.7330325</v>
      </c>
      <c r="E11" s="208">
        <f t="shared" si="5"/>
        <v>3273327396.1925578</v>
      </c>
      <c r="F11" s="208">
        <f t="shared" si="5"/>
        <v>2521840750.4303384</v>
      </c>
      <c r="G11" s="208">
        <f t="shared" si="5"/>
        <v>2989208408.0719962</v>
      </c>
      <c r="H11" s="210">
        <f t="shared" si="0"/>
        <v>15420504426.45278</v>
      </c>
      <c r="I11" s="208">
        <f t="shared" ref="I11:O11" si="6">SUM(I4:I10)</f>
        <v>2510628695.200057</v>
      </c>
      <c r="J11" s="208">
        <f t="shared" si="6"/>
        <v>2583654990.1365781</v>
      </c>
      <c r="K11" s="208">
        <f t="shared" si="6"/>
        <v>2220049310.9668183</v>
      </c>
      <c r="L11" s="208">
        <f t="shared" si="6"/>
        <v>2113487651.7407601</v>
      </c>
      <c r="M11" s="208">
        <f t="shared" si="6"/>
        <v>2223055570.1224756</v>
      </c>
      <c r="N11" s="208">
        <f t="shared" si="6"/>
        <v>2318263733</v>
      </c>
      <c r="O11" s="208">
        <f t="shared" si="6"/>
        <v>13969139951.166689</v>
      </c>
      <c r="P11" s="208">
        <f>SUM(P4:P10)</f>
        <v>29389644377.619469</v>
      </c>
      <c r="Q11" s="208"/>
      <c r="R11" s="208">
        <f t="shared" ref="R11" si="7">SUM(R4:R10)</f>
        <v>6370561986.492054</v>
      </c>
    </row>
    <row r="12" spans="1:18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  <c r="Q12" s="190"/>
      <c r="R12" s="189"/>
    </row>
    <row r="13" spans="1:18" x14ac:dyDescent="0.2">
      <c r="I13" s="211"/>
      <c r="J13" s="211"/>
      <c r="K13" s="211"/>
      <c r="L13" s="211"/>
      <c r="M13" s="211"/>
      <c r="N13" s="211"/>
    </row>
    <row r="14" spans="1:18" x14ac:dyDescent="0.2">
      <c r="B14" s="212"/>
      <c r="C14" s="212"/>
    </row>
    <row r="15" spans="1:18" x14ac:dyDescent="0.2">
      <c r="B15" s="212"/>
    </row>
    <row r="16" spans="1:18" x14ac:dyDescent="0.2">
      <c r="B16" s="212"/>
    </row>
    <row r="17" spans="2:2" x14ac:dyDescent="0.2">
      <c r="B17" s="212"/>
    </row>
    <row r="18" spans="2:2" x14ac:dyDescent="0.2">
      <c r="B18" s="212"/>
    </row>
    <row r="19" spans="2:2" x14ac:dyDescent="0.2">
      <c r="B19" s="212"/>
    </row>
    <row r="20" spans="2:2" x14ac:dyDescent="0.2">
      <c r="B20" s="212"/>
    </row>
    <row r="21" spans="2:2" x14ac:dyDescent="0.2">
      <c r="B21" s="212"/>
    </row>
    <row r="22" spans="2:2" x14ac:dyDescent="0.2">
      <c r="B22" s="212">
        <f t="shared" ref="B22" si="8">+B12*0.2</f>
        <v>0</v>
      </c>
    </row>
  </sheetData>
  <mergeCells count="1">
    <mergeCell ref="A1:R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D5" sqref="D5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26" t="s">
        <v>179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8.25" customHeight="1" thickBot="1" x14ac:dyDescent="0.25">
      <c r="B2" s="111"/>
    </row>
    <row r="3" spans="1:14" ht="69" customHeight="1" thickBot="1" x14ac:dyDescent="0.25">
      <c r="A3" s="230" t="s">
        <v>0</v>
      </c>
      <c r="B3" s="228" t="s">
        <v>180</v>
      </c>
      <c r="C3" s="228" t="s">
        <v>159</v>
      </c>
      <c r="D3" s="228" t="s">
        <v>214</v>
      </c>
      <c r="E3" s="233" t="s">
        <v>160</v>
      </c>
      <c r="F3" s="234"/>
      <c r="G3" s="147" t="s">
        <v>161</v>
      </c>
      <c r="H3" s="228" t="s">
        <v>162</v>
      </c>
      <c r="I3" s="228" t="s">
        <v>163</v>
      </c>
      <c r="J3" s="228" t="s">
        <v>164</v>
      </c>
      <c r="K3" s="181" t="s">
        <v>140</v>
      </c>
      <c r="L3" s="228" t="s">
        <v>165</v>
      </c>
      <c r="M3" s="228" t="s">
        <v>166</v>
      </c>
      <c r="N3" s="228" t="s">
        <v>158</v>
      </c>
    </row>
    <row r="4" spans="1:14" ht="20.45" customHeight="1" thickBot="1" x14ac:dyDescent="0.25">
      <c r="A4" s="231"/>
      <c r="B4" s="229"/>
      <c r="C4" s="229"/>
      <c r="D4" s="232"/>
      <c r="E4" s="235"/>
      <c r="F4" s="236"/>
      <c r="G4" s="205">
        <v>2.1299999999999999E-2</v>
      </c>
      <c r="H4" s="229"/>
      <c r="I4" s="229"/>
      <c r="J4" s="229"/>
      <c r="K4" s="180">
        <f>+H58/J58</f>
        <v>0.32298276613610888</v>
      </c>
      <c r="L4" s="229"/>
      <c r="M4" s="229"/>
      <c r="N4" s="229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168</v>
      </c>
      <c r="E6" s="4"/>
      <c r="F6" s="144"/>
      <c r="G6" s="4" t="s">
        <v>169</v>
      </c>
      <c r="H6" s="4" t="s">
        <v>170</v>
      </c>
      <c r="I6" s="4" t="s">
        <v>171</v>
      </c>
      <c r="J6" s="4" t="s">
        <v>172</v>
      </c>
      <c r="K6" s="4" t="s">
        <v>173</v>
      </c>
      <c r="L6" s="4"/>
      <c r="M6" s="4"/>
      <c r="N6" s="4" t="s">
        <v>174</v>
      </c>
    </row>
    <row r="7" spans="1:14" ht="12.75" customHeight="1" thickTop="1" x14ac:dyDescent="0.2">
      <c r="A7" s="5" t="s">
        <v>1</v>
      </c>
      <c r="B7" s="6">
        <v>8534717.5811588224</v>
      </c>
      <c r="C7" s="6">
        <f t="shared" ref="C7:C57" si="0">(+B7*G$4)+B7</f>
        <v>8716507.0656375047</v>
      </c>
      <c r="D7" s="6">
        <f>+'COEF Art 14 F I'!AP8+'COEF Art 14 F II'!M8</f>
        <v>2967618.8175272262</v>
      </c>
      <c r="E7" s="6">
        <f>+D7-C7</f>
        <v>-5748888.2481102785</v>
      </c>
      <c r="F7" s="141">
        <f>+(D7-C7)/C7</f>
        <v>-0.65954036460014254</v>
      </c>
      <c r="G7" s="6">
        <f>IF(F7&lt;0,C7,0)</f>
        <v>8716507.0656375047</v>
      </c>
      <c r="H7" s="6">
        <f>IF(F7&lt;0,G7-D7,0)</f>
        <v>5748888.2481102785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8716507.0656375047</v>
      </c>
      <c r="M7" s="141">
        <f t="shared" ref="M7:M38" si="2">+(L7-B7)/B7</f>
        <v>2.1299999999999927E-2</v>
      </c>
      <c r="N7" s="107">
        <f>+L7/L$58</f>
        <v>1.3682477439384028E-3</v>
      </c>
    </row>
    <row r="8" spans="1:14" ht="12.75" customHeight="1" x14ac:dyDescent="0.2">
      <c r="A8" s="7" t="s">
        <v>2</v>
      </c>
      <c r="B8" s="8">
        <v>16905375.470376089</v>
      </c>
      <c r="C8" s="8">
        <f t="shared" si="0"/>
        <v>17265459.967895098</v>
      </c>
      <c r="D8" s="8">
        <f>+'COEF Art 14 F I'!AP9+'COEF Art 14 F II'!M9</f>
        <v>15730022.309412278</v>
      </c>
      <c r="E8" s="8">
        <f t="shared" ref="E8:E57" si="3">+D8-C8</f>
        <v>-1535437.6584828198</v>
      </c>
      <c r="F8" s="142">
        <f t="shared" ref="F8:F58" si="4">+(D8-C8)/C8</f>
        <v>-8.8931175962757236E-2</v>
      </c>
      <c r="G8" s="8">
        <f t="shared" ref="G8:G57" si="5">IF(F8&lt;0,C8,0)</f>
        <v>17265459.967895098</v>
      </c>
      <c r="H8" s="8">
        <f t="shared" ref="H8:H57" si="6">IF(F8&lt;0,G8-D8,0)</f>
        <v>1535437.6584828198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17265459.967895098</v>
      </c>
      <c r="M8" s="142">
        <f t="shared" si="2"/>
        <v>2.1299999999999888E-2</v>
      </c>
      <c r="N8" s="106">
        <f t="shared" ref="N8:N57" si="9">+L8/L$58</f>
        <v>2.7101941719591223E-3</v>
      </c>
    </row>
    <row r="9" spans="1:14" ht="12.75" customHeight="1" x14ac:dyDescent="0.2">
      <c r="A9" s="7" t="s">
        <v>3</v>
      </c>
      <c r="B9" s="8">
        <v>16542385.83138844</v>
      </c>
      <c r="C9" s="8">
        <f t="shared" si="0"/>
        <v>16894738.649597015</v>
      </c>
      <c r="D9" s="8">
        <f>+'COEF Art 14 F I'!AP10+'COEF Art 14 F II'!M10</f>
        <v>16603916.89319209</v>
      </c>
      <c r="E9" s="8">
        <f t="shared" si="3"/>
        <v>-290821.75640492514</v>
      </c>
      <c r="F9" s="142">
        <f t="shared" si="4"/>
        <v>-1.721374697985411E-2</v>
      </c>
      <c r="G9" s="8">
        <f t="shared" si="5"/>
        <v>16894738.649597015</v>
      </c>
      <c r="H9" s="8">
        <f t="shared" si="6"/>
        <v>290821.75640492514</v>
      </c>
      <c r="I9" s="8">
        <f t="shared" si="7"/>
        <v>0</v>
      </c>
      <c r="J9" s="8">
        <f t="shared" ref="J9:J57" si="10">IF(I9=0,0,D9-C9)</f>
        <v>0</v>
      </c>
      <c r="K9" s="8">
        <f t="shared" si="8"/>
        <v>0</v>
      </c>
      <c r="L9" s="8">
        <f t="shared" si="1"/>
        <v>16894738.649597015</v>
      </c>
      <c r="M9" s="142">
        <f t="shared" si="2"/>
        <v>2.130000000000009E-2</v>
      </c>
      <c r="N9" s="106">
        <f t="shared" si="9"/>
        <v>2.6520012968118197E-3</v>
      </c>
    </row>
    <row r="10" spans="1:14" ht="12.75" customHeight="1" x14ac:dyDescent="0.2">
      <c r="A10" s="7" t="s">
        <v>4</v>
      </c>
      <c r="B10" s="8">
        <v>44732518.805050574</v>
      </c>
      <c r="C10" s="8">
        <f t="shared" si="0"/>
        <v>45685321.455598153</v>
      </c>
      <c r="D10" s="8">
        <f>+'COEF Art 14 F I'!AP11+'COEF Art 14 F II'!M11</f>
        <v>46890726.021598518</v>
      </c>
      <c r="E10" s="8">
        <f t="shared" si="3"/>
        <v>1205404.5660003647</v>
      </c>
      <c r="F10" s="142">
        <f t="shared" si="4"/>
        <v>2.6384942200131063E-2</v>
      </c>
      <c r="G10" s="8">
        <f t="shared" si="5"/>
        <v>0</v>
      </c>
      <c r="H10" s="8">
        <f t="shared" si="6"/>
        <v>0</v>
      </c>
      <c r="I10" s="8">
        <f t="shared" si="7"/>
        <v>46890726.021598518</v>
      </c>
      <c r="J10" s="8">
        <f t="shared" si="10"/>
        <v>1205404.5660003647</v>
      </c>
      <c r="K10" s="8">
        <f t="shared" si="8"/>
        <v>389324.90103989362</v>
      </c>
      <c r="L10" s="8">
        <f t="shared" si="1"/>
        <v>46501401.120558627</v>
      </c>
      <c r="M10" s="142">
        <f t="shared" si="2"/>
        <v>3.9543543774430492E-2</v>
      </c>
      <c r="N10" s="106">
        <f t="shared" si="9"/>
        <v>7.29941898676424E-3</v>
      </c>
    </row>
    <row r="11" spans="1:14" ht="12.75" customHeight="1" x14ac:dyDescent="0.2">
      <c r="A11" s="7" t="s">
        <v>5</v>
      </c>
      <c r="B11" s="8">
        <v>61435357.312188894</v>
      </c>
      <c r="C11" s="8">
        <f t="shared" si="0"/>
        <v>62743930.422938518</v>
      </c>
      <c r="D11" s="8">
        <f>+'COEF Art 14 F I'!AP12+'COEF Art 14 F II'!M12</f>
        <v>46135132.770191096</v>
      </c>
      <c r="E11" s="8">
        <f t="shared" si="3"/>
        <v>-16608797.652747422</v>
      </c>
      <c r="F11" s="142">
        <f t="shared" si="4"/>
        <v>-0.26470763850451134</v>
      </c>
      <c r="G11" s="8">
        <f t="shared" si="5"/>
        <v>62743930.422938518</v>
      </c>
      <c r="H11" s="8">
        <f t="shared" si="6"/>
        <v>16608797.652747422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62743930.422938518</v>
      </c>
      <c r="M11" s="142">
        <f t="shared" si="2"/>
        <v>2.130000000000002E-2</v>
      </c>
      <c r="N11" s="106">
        <f t="shared" si="9"/>
        <v>9.849041663196877E-3</v>
      </c>
    </row>
    <row r="12" spans="1:14" ht="12.75" customHeight="1" x14ac:dyDescent="0.2">
      <c r="A12" s="7" t="s">
        <v>6</v>
      </c>
      <c r="B12" s="8">
        <v>390331305.16634548</v>
      </c>
      <c r="C12" s="8">
        <f t="shared" si="0"/>
        <v>398645361.96638864</v>
      </c>
      <c r="D12" s="8">
        <f>+'COEF Art 14 F I'!AP13+'COEF Art 14 F II'!M13</f>
        <v>405616484.35539073</v>
      </c>
      <c r="E12" s="8">
        <f t="shared" si="3"/>
        <v>6971122.3890020847</v>
      </c>
      <c r="F12" s="142">
        <f t="shared" si="4"/>
        <v>1.7487027453714232E-2</v>
      </c>
      <c r="G12" s="8">
        <f t="shared" si="5"/>
        <v>0</v>
      </c>
      <c r="H12" s="8">
        <f t="shared" si="6"/>
        <v>0</v>
      </c>
      <c r="I12" s="8">
        <f t="shared" si="7"/>
        <v>405616484.35539073</v>
      </c>
      <c r="J12" s="8">
        <f t="shared" si="10"/>
        <v>6971122.3890020847</v>
      </c>
      <c r="K12" s="8">
        <f t="shared" si="8"/>
        <v>2251552.3922732528</v>
      </c>
      <c r="L12" s="8">
        <f t="shared" si="1"/>
        <v>403364931.96311748</v>
      </c>
      <c r="M12" s="142">
        <f t="shared" si="2"/>
        <v>3.3391190058961656E-2</v>
      </c>
      <c r="N12" s="106">
        <f t="shared" si="9"/>
        <v>6.331700920866952E-2</v>
      </c>
    </row>
    <row r="13" spans="1:14" ht="12.75" customHeight="1" x14ac:dyDescent="0.2">
      <c r="A13" s="7" t="s">
        <v>7</v>
      </c>
      <c r="B13" s="8">
        <v>68480778.389184549</v>
      </c>
      <c r="C13" s="8">
        <f t="shared" si="0"/>
        <v>69939418.968874186</v>
      </c>
      <c r="D13" s="8">
        <f>+'COEF Art 14 F I'!AP14+'COEF Art 14 F II'!M14</f>
        <v>66065051.71759095</v>
      </c>
      <c r="E13" s="8">
        <f t="shared" si="3"/>
        <v>-3874367.2512832358</v>
      </c>
      <c r="F13" s="142">
        <f t="shared" si="4"/>
        <v>-5.5396045726480554E-2</v>
      </c>
      <c r="G13" s="8">
        <f t="shared" si="5"/>
        <v>69939418.968874186</v>
      </c>
      <c r="H13" s="8">
        <f t="shared" si="6"/>
        <v>3874367.2512832358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69939418.968874186</v>
      </c>
      <c r="M13" s="142">
        <f t="shared" si="2"/>
        <v>2.1300000000000086E-2</v>
      </c>
      <c r="N13" s="106">
        <f t="shared" si="9"/>
        <v>1.0978532053713876E-2</v>
      </c>
    </row>
    <row r="14" spans="1:14" ht="12.75" customHeight="1" x14ac:dyDescent="0.2">
      <c r="A14" s="7" t="s">
        <v>8</v>
      </c>
      <c r="B14" s="8">
        <v>11150859.948988235</v>
      </c>
      <c r="C14" s="8">
        <f t="shared" si="0"/>
        <v>11388373.265901685</v>
      </c>
      <c r="D14" s="8">
        <f>+'COEF Art 14 F I'!AP15+'COEF Art 14 F II'!M15</f>
        <v>8518446.6561834514</v>
      </c>
      <c r="E14" s="8">
        <f t="shared" si="3"/>
        <v>-2869926.6097182333</v>
      </c>
      <c r="F14" s="142">
        <f t="shared" si="4"/>
        <v>-0.25200496530186434</v>
      </c>
      <c r="G14" s="8">
        <f t="shared" si="5"/>
        <v>11388373.265901685</v>
      </c>
      <c r="H14" s="8">
        <f t="shared" si="6"/>
        <v>2869926.6097182333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11388373.265901685</v>
      </c>
      <c r="M14" s="142">
        <f t="shared" si="2"/>
        <v>2.1300000000000065E-2</v>
      </c>
      <c r="N14" s="106">
        <f t="shared" si="9"/>
        <v>1.7876559854608184E-3</v>
      </c>
    </row>
    <row r="15" spans="1:14" ht="12.75" customHeight="1" x14ac:dyDescent="0.2">
      <c r="A15" s="7" t="s">
        <v>9</v>
      </c>
      <c r="B15" s="8">
        <v>110841729.85806076</v>
      </c>
      <c r="C15" s="8">
        <f t="shared" si="0"/>
        <v>113202658.70403746</v>
      </c>
      <c r="D15" s="8">
        <f>+'COEF Art 14 F I'!AP16+'COEF Art 14 F II'!M16</f>
        <v>86309816.708188474</v>
      </c>
      <c r="E15" s="8">
        <f t="shared" si="3"/>
        <v>-26892841.995848984</v>
      </c>
      <c r="F15" s="142">
        <f t="shared" si="4"/>
        <v>-0.23756369597430516</v>
      </c>
      <c r="G15" s="8">
        <f t="shared" si="5"/>
        <v>113202658.70403746</v>
      </c>
      <c r="H15" s="8">
        <f t="shared" si="6"/>
        <v>26892841.995848984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113202658.70403746</v>
      </c>
      <c r="M15" s="142">
        <f t="shared" si="2"/>
        <v>2.130000000000001E-2</v>
      </c>
      <c r="N15" s="106">
        <f t="shared" si="9"/>
        <v>1.7769650298367537E-2</v>
      </c>
    </row>
    <row r="16" spans="1:14" ht="12.75" customHeight="1" x14ac:dyDescent="0.2">
      <c r="A16" s="7" t="s">
        <v>10</v>
      </c>
      <c r="B16" s="8">
        <v>15835320.345515708</v>
      </c>
      <c r="C16" s="8">
        <f t="shared" si="0"/>
        <v>16172612.668875191</v>
      </c>
      <c r="D16" s="8">
        <f>+'COEF Art 14 F I'!AP17+'COEF Art 14 F II'!M17</f>
        <v>15645115.912132215</v>
      </c>
      <c r="E16" s="8">
        <f t="shared" si="3"/>
        <v>-527496.75674297661</v>
      </c>
      <c r="F16" s="142">
        <f t="shared" si="4"/>
        <v>-3.26166691519277E-2</v>
      </c>
      <c r="G16" s="8">
        <f t="shared" si="5"/>
        <v>16172612.668875191</v>
      </c>
      <c r="H16" s="8">
        <f t="shared" si="6"/>
        <v>527496.75674297661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16172612.668875191</v>
      </c>
      <c r="M16" s="142">
        <f t="shared" si="2"/>
        <v>2.1299999999999954E-2</v>
      </c>
      <c r="N16" s="106">
        <f t="shared" si="9"/>
        <v>2.5386477210593197E-3</v>
      </c>
    </row>
    <row r="17" spans="1:14" s="9" customFormat="1" ht="12.75" customHeight="1" x14ac:dyDescent="0.2">
      <c r="A17" s="7" t="s">
        <v>11</v>
      </c>
      <c r="B17" s="8">
        <v>22314602.32351334</v>
      </c>
      <c r="C17" s="8">
        <f t="shared" si="0"/>
        <v>22789903.353004176</v>
      </c>
      <c r="D17" s="8">
        <f>+'COEF Art 14 F I'!AP18+'COEF Art 14 F II'!M18</f>
        <v>20065491.373541053</v>
      </c>
      <c r="E17" s="8">
        <f t="shared" si="3"/>
        <v>-2724411.9794631228</v>
      </c>
      <c r="F17" s="142">
        <f t="shared" si="4"/>
        <v>-0.1195446921061203</v>
      </c>
      <c r="G17" s="8">
        <f t="shared" si="5"/>
        <v>22789903.353004176</v>
      </c>
      <c r="H17" s="8">
        <f t="shared" si="6"/>
        <v>2724411.9794631228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22789903.353004176</v>
      </c>
      <c r="M17" s="142">
        <f t="shared" si="2"/>
        <v>2.1300000000000083E-2</v>
      </c>
      <c r="N17" s="106">
        <f t="shared" si="9"/>
        <v>3.5773772237562697E-3</v>
      </c>
    </row>
    <row r="18" spans="1:14" ht="12.75" customHeight="1" x14ac:dyDescent="0.2">
      <c r="A18" s="7" t="s">
        <v>12</v>
      </c>
      <c r="B18" s="8">
        <v>56271860.568283163</v>
      </c>
      <c r="C18" s="8">
        <f t="shared" si="0"/>
        <v>57470451.198387593</v>
      </c>
      <c r="D18" s="8">
        <f>+'COEF Art 14 F I'!AP19+'COEF Art 14 F II'!M19</f>
        <v>44309100.376445174</v>
      </c>
      <c r="E18" s="8">
        <f t="shared" si="3"/>
        <v>-13161350.821942419</v>
      </c>
      <c r="F18" s="142">
        <f t="shared" si="4"/>
        <v>-0.22901074460872994</v>
      </c>
      <c r="G18" s="8">
        <f t="shared" si="5"/>
        <v>57470451.198387593</v>
      </c>
      <c r="H18" s="8">
        <f t="shared" si="6"/>
        <v>13161350.821942419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57470451.198387593</v>
      </c>
      <c r="M18" s="142">
        <f t="shared" si="2"/>
        <v>2.1299999999999975E-2</v>
      </c>
      <c r="N18" s="106">
        <f t="shared" si="9"/>
        <v>9.0212529632779925E-3</v>
      </c>
    </row>
    <row r="19" spans="1:14" ht="12.75" customHeight="1" x14ac:dyDescent="0.2">
      <c r="A19" s="7" t="s">
        <v>13</v>
      </c>
      <c r="B19" s="8">
        <v>28631660.17332821</v>
      </c>
      <c r="C19" s="8">
        <f t="shared" si="0"/>
        <v>29241514.535020102</v>
      </c>
      <c r="D19" s="8">
        <f>+'COEF Art 14 F I'!AP20+'COEF Art 14 F II'!M20</f>
        <v>23737778.200450175</v>
      </c>
      <c r="E19" s="8">
        <f t="shared" si="3"/>
        <v>-5503736.3345699273</v>
      </c>
      <c r="F19" s="142">
        <f t="shared" si="4"/>
        <v>-0.18821652784018986</v>
      </c>
      <c r="G19" s="8">
        <f t="shared" si="5"/>
        <v>29241514.535020102</v>
      </c>
      <c r="H19" s="8">
        <f t="shared" si="6"/>
        <v>5503736.3345699273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29241514.535020102</v>
      </c>
      <c r="M19" s="142">
        <f t="shared" si="2"/>
        <v>2.1300000000000045E-2</v>
      </c>
      <c r="N19" s="106">
        <f t="shared" si="9"/>
        <v>4.5900996799062488E-3</v>
      </c>
    </row>
    <row r="20" spans="1:14" ht="12.75" customHeight="1" x14ac:dyDescent="0.2">
      <c r="A20" s="7" t="s">
        <v>14</v>
      </c>
      <c r="B20" s="8">
        <v>149408835.46242213</v>
      </c>
      <c r="C20" s="8">
        <f t="shared" si="0"/>
        <v>152591243.65777174</v>
      </c>
      <c r="D20" s="8">
        <f>+'COEF Art 14 F I'!AP21+'COEF Art 14 F II'!M21</f>
        <v>148547121.52631128</v>
      </c>
      <c r="E20" s="8">
        <f t="shared" si="3"/>
        <v>-4044122.131460458</v>
      </c>
      <c r="F20" s="142">
        <f t="shared" si="4"/>
        <v>-2.6502976412791587E-2</v>
      </c>
      <c r="G20" s="8">
        <f t="shared" si="5"/>
        <v>152591243.65777174</v>
      </c>
      <c r="H20" s="8">
        <f t="shared" si="6"/>
        <v>4044122.131460458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152591243.65777174</v>
      </c>
      <c r="M20" s="142">
        <f t="shared" si="2"/>
        <v>2.1300000000000083E-2</v>
      </c>
      <c r="N20" s="106">
        <f t="shared" si="9"/>
        <v>2.39525561451755E-2</v>
      </c>
    </row>
    <row r="21" spans="1:14" ht="12.75" customHeight="1" x14ac:dyDescent="0.2">
      <c r="A21" s="7" t="s">
        <v>15</v>
      </c>
      <c r="B21" s="8">
        <v>18708409.55519338</v>
      </c>
      <c r="C21" s="8">
        <f t="shared" si="0"/>
        <v>19106898.678718999</v>
      </c>
      <c r="D21" s="8">
        <f>+'COEF Art 14 F I'!AP22+'COEF Art 14 F II'!M22</f>
        <v>18886876.84631858</v>
      </c>
      <c r="E21" s="8">
        <f t="shared" si="3"/>
        <v>-220021.83240041882</v>
      </c>
      <c r="F21" s="142">
        <f t="shared" si="4"/>
        <v>-1.1515308480987347E-2</v>
      </c>
      <c r="G21" s="8">
        <f t="shared" si="5"/>
        <v>19106898.678718999</v>
      </c>
      <c r="H21" s="8">
        <f t="shared" si="6"/>
        <v>220021.83240041882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19106898.678718999</v>
      </c>
      <c r="M21" s="142">
        <f t="shared" si="2"/>
        <v>2.1300000000000027E-2</v>
      </c>
      <c r="N21" s="106">
        <f t="shared" si="9"/>
        <v>2.9992485308568823E-3</v>
      </c>
    </row>
    <row r="22" spans="1:14" ht="12.75" customHeight="1" x14ac:dyDescent="0.2">
      <c r="A22" s="7" t="s">
        <v>16</v>
      </c>
      <c r="B22" s="8">
        <v>13941788.136940531</v>
      </c>
      <c r="C22" s="8">
        <f t="shared" si="0"/>
        <v>14238748.224257365</v>
      </c>
      <c r="D22" s="8">
        <f>+'COEF Art 14 F I'!AP23+'COEF Art 14 F II'!M23</f>
        <v>7433906.7526437361</v>
      </c>
      <c r="E22" s="8">
        <f t="shared" si="3"/>
        <v>-6804841.4716136288</v>
      </c>
      <c r="F22" s="142">
        <f t="shared" si="4"/>
        <v>-0.4779100918450675</v>
      </c>
      <c r="G22" s="8">
        <f t="shared" si="5"/>
        <v>14238748.224257365</v>
      </c>
      <c r="H22" s="8">
        <f t="shared" si="6"/>
        <v>6804841.4716136288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14238748.224257365</v>
      </c>
      <c r="M22" s="142">
        <f t="shared" si="2"/>
        <v>2.130000000000001E-2</v>
      </c>
      <c r="N22" s="106">
        <f t="shared" si="9"/>
        <v>2.2350851077893551E-3</v>
      </c>
    </row>
    <row r="23" spans="1:14" ht="12.75" customHeight="1" x14ac:dyDescent="0.2">
      <c r="A23" s="7" t="s">
        <v>17</v>
      </c>
      <c r="B23" s="8">
        <v>122271352.16352755</v>
      </c>
      <c r="C23" s="8">
        <f t="shared" si="0"/>
        <v>124875731.96461068</v>
      </c>
      <c r="D23" s="8">
        <f>+'COEF Art 14 F I'!AP24+'COEF Art 14 F II'!M24</f>
        <v>110836226.53633021</v>
      </c>
      <c r="E23" s="8">
        <f t="shared" si="3"/>
        <v>-14039505.428280473</v>
      </c>
      <c r="F23" s="142">
        <f t="shared" si="4"/>
        <v>-0.11242781289369512</v>
      </c>
      <c r="G23" s="8">
        <f t="shared" si="5"/>
        <v>124875731.96461068</v>
      </c>
      <c r="H23" s="8">
        <f t="shared" si="6"/>
        <v>14039505.428280473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124875731.96461068</v>
      </c>
      <c r="M23" s="142">
        <f t="shared" si="2"/>
        <v>2.1299999999999965E-2</v>
      </c>
      <c r="N23" s="106">
        <f t="shared" si="9"/>
        <v>1.9601996217820869E-2</v>
      </c>
    </row>
    <row r="24" spans="1:14" ht="12.75" customHeight="1" x14ac:dyDescent="0.2">
      <c r="A24" s="7" t="s">
        <v>18</v>
      </c>
      <c r="B24" s="8">
        <v>125255488.39178734</v>
      </c>
      <c r="C24" s="8">
        <f t="shared" si="0"/>
        <v>127923430.2945324</v>
      </c>
      <c r="D24" s="8">
        <f>+'COEF Art 14 F I'!AP25+'COEF Art 14 F II'!M25</f>
        <v>138284596.02664712</v>
      </c>
      <c r="E24" s="8">
        <f t="shared" si="3"/>
        <v>10361165.732114717</v>
      </c>
      <c r="F24" s="142">
        <f t="shared" si="4"/>
        <v>8.0995058592933669E-2</v>
      </c>
      <c r="G24" s="8">
        <f t="shared" si="5"/>
        <v>0</v>
      </c>
      <c r="H24" s="8">
        <f t="shared" si="6"/>
        <v>0</v>
      </c>
      <c r="I24" s="8">
        <f t="shared" si="7"/>
        <v>138284596.02664712</v>
      </c>
      <c r="J24" s="8">
        <f t="shared" si="10"/>
        <v>10361165.732114717</v>
      </c>
      <c r="K24" s="8">
        <f t="shared" si="8"/>
        <v>3346477.9685530732</v>
      </c>
      <c r="L24" s="8">
        <f t="shared" si="1"/>
        <v>134938118.05809405</v>
      </c>
      <c r="M24" s="142">
        <f t="shared" si="2"/>
        <v>7.7303037101419211E-2</v>
      </c>
      <c r="N24" s="106">
        <f t="shared" si="9"/>
        <v>2.1181509314910162E-2</v>
      </c>
    </row>
    <row r="25" spans="1:14" ht="12.75" customHeight="1" x14ac:dyDescent="0.2">
      <c r="A25" s="7" t="s">
        <v>19</v>
      </c>
      <c r="B25" s="8">
        <v>23500596.336815316</v>
      </c>
      <c r="C25" s="8">
        <f t="shared" si="0"/>
        <v>24001159.038789481</v>
      </c>
      <c r="D25" s="8">
        <f>+'COEF Art 14 F I'!AP26+'COEF Art 14 F II'!M26</f>
        <v>22470486.274609793</v>
      </c>
      <c r="E25" s="8">
        <f t="shared" si="3"/>
        <v>-1530672.7641796879</v>
      </c>
      <c r="F25" s="142">
        <f t="shared" si="4"/>
        <v>-6.3774951939024715E-2</v>
      </c>
      <c r="G25" s="8">
        <f t="shared" si="5"/>
        <v>24001159.038789481</v>
      </c>
      <c r="H25" s="8">
        <f t="shared" si="6"/>
        <v>1530672.7641796879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24001159.038789481</v>
      </c>
      <c r="M25" s="142">
        <f t="shared" si="2"/>
        <v>2.1299999999999934E-2</v>
      </c>
      <c r="N25" s="106">
        <f t="shared" si="9"/>
        <v>3.76751047861724E-3</v>
      </c>
    </row>
    <row r="26" spans="1:14" ht="12.75" customHeight="1" x14ac:dyDescent="0.2">
      <c r="A26" s="7" t="s">
        <v>20</v>
      </c>
      <c r="B26" s="8">
        <v>319832585.60071099</v>
      </c>
      <c r="C26" s="8">
        <f t="shared" si="0"/>
        <v>326645019.6740061</v>
      </c>
      <c r="D26" s="8">
        <f>+'COEF Art 14 F I'!AP27+'COEF Art 14 F II'!M27</f>
        <v>319739896.55071908</v>
      </c>
      <c r="E26" s="8">
        <f t="shared" si="3"/>
        <v>-6905123.1232870221</v>
      </c>
      <c r="F26" s="142">
        <f t="shared" si="4"/>
        <v>-2.1139532848773818E-2</v>
      </c>
      <c r="G26" s="8">
        <f t="shared" si="5"/>
        <v>326645019.6740061</v>
      </c>
      <c r="H26" s="8">
        <f t="shared" si="6"/>
        <v>6905123.1232870221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326645019.6740061</v>
      </c>
      <c r="M26" s="142">
        <f t="shared" si="2"/>
        <v>2.1299999999999913E-2</v>
      </c>
      <c r="N26" s="106">
        <f t="shared" si="9"/>
        <v>5.1274129404378165E-2</v>
      </c>
    </row>
    <row r="27" spans="1:14" s="9" customFormat="1" ht="12.75" customHeight="1" x14ac:dyDescent="0.2">
      <c r="A27" s="7" t="s">
        <v>21</v>
      </c>
      <c r="B27" s="8">
        <v>47429760.11400269</v>
      </c>
      <c r="C27" s="8">
        <f t="shared" si="0"/>
        <v>48440014.00443095</v>
      </c>
      <c r="D27" s="8">
        <f>+'COEF Art 14 F I'!AP28+'COEF Art 14 F II'!M28</f>
        <v>41260224.922255181</v>
      </c>
      <c r="E27" s="8">
        <f t="shared" si="3"/>
        <v>-7179789.0821757689</v>
      </c>
      <c r="F27" s="142">
        <f t="shared" si="4"/>
        <v>-0.14822021070264374</v>
      </c>
      <c r="G27" s="8">
        <f t="shared" si="5"/>
        <v>48440014.00443095</v>
      </c>
      <c r="H27" s="8">
        <f t="shared" si="6"/>
        <v>7179789.0821757689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48440014.00443095</v>
      </c>
      <c r="M27" s="142">
        <f t="shared" si="2"/>
        <v>2.1300000000000055E-2</v>
      </c>
      <c r="N27" s="106">
        <f t="shared" si="9"/>
        <v>7.6037269721480885E-3</v>
      </c>
    </row>
    <row r="28" spans="1:14" ht="12.75" customHeight="1" x14ac:dyDescent="0.2">
      <c r="A28" s="7" t="s">
        <v>22</v>
      </c>
      <c r="B28" s="8">
        <v>7607753.7088561226</v>
      </c>
      <c r="C28" s="8">
        <f t="shared" si="0"/>
        <v>7769798.8628547583</v>
      </c>
      <c r="D28" s="8">
        <f>+'COEF Art 14 F I'!AP29+'COEF Art 14 F II'!M29</f>
        <v>3439990.8256218927</v>
      </c>
      <c r="E28" s="8">
        <f t="shared" si="3"/>
        <v>-4329808.0372328656</v>
      </c>
      <c r="F28" s="142">
        <f t="shared" si="4"/>
        <v>-0.55726127711393802</v>
      </c>
      <c r="G28" s="8">
        <f t="shared" si="5"/>
        <v>7769798.8628547583</v>
      </c>
      <c r="H28" s="8">
        <f t="shared" si="6"/>
        <v>4329808.0372328656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7769798.8628547583</v>
      </c>
      <c r="M28" s="142">
        <f t="shared" si="2"/>
        <v>2.1300000000000038E-2</v>
      </c>
      <c r="N28" s="106">
        <f t="shared" si="9"/>
        <v>1.2196410425531689E-3</v>
      </c>
    </row>
    <row r="29" spans="1:14" ht="12.75" customHeight="1" x14ac:dyDescent="0.2">
      <c r="A29" s="7" t="s">
        <v>23</v>
      </c>
      <c r="B29" s="8">
        <v>34813380.610191517</v>
      </c>
      <c r="C29" s="8">
        <f t="shared" si="0"/>
        <v>35554905.617188595</v>
      </c>
      <c r="D29" s="8">
        <f>+'COEF Art 14 F I'!AP30+'COEF Art 14 F II'!M30</f>
        <v>32602970.298351537</v>
      </c>
      <c r="E29" s="8">
        <f t="shared" si="3"/>
        <v>-2951935.3188370578</v>
      </c>
      <c r="F29" s="142">
        <f t="shared" si="4"/>
        <v>-8.3024698493644147E-2</v>
      </c>
      <c r="G29" s="8">
        <f t="shared" si="5"/>
        <v>35554905.617188595</v>
      </c>
      <c r="H29" s="8">
        <f t="shared" si="6"/>
        <v>2951935.3188370578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35554905.617188595</v>
      </c>
      <c r="M29" s="142">
        <f t="shared" si="2"/>
        <v>2.1299999999999982E-2</v>
      </c>
      <c r="N29" s="106">
        <f t="shared" si="9"/>
        <v>5.5811254474217699E-3</v>
      </c>
    </row>
    <row r="30" spans="1:14" ht="12.75" customHeight="1" x14ac:dyDescent="0.2">
      <c r="A30" s="7" t="s">
        <v>24</v>
      </c>
      <c r="B30" s="8">
        <v>33532462.25583373</v>
      </c>
      <c r="C30" s="8">
        <f t="shared" si="0"/>
        <v>34246703.701882988</v>
      </c>
      <c r="D30" s="8">
        <f>+'COEF Art 14 F I'!AP31+'COEF Art 14 F II'!M31</f>
        <v>29647899.512559213</v>
      </c>
      <c r="E30" s="8">
        <f t="shared" si="3"/>
        <v>-4598804.1893237755</v>
      </c>
      <c r="F30" s="142">
        <f t="shared" si="4"/>
        <v>-0.1342845790168973</v>
      </c>
      <c r="G30" s="8">
        <f t="shared" si="5"/>
        <v>34246703.701882988</v>
      </c>
      <c r="H30" s="8">
        <f t="shared" si="6"/>
        <v>4598804.1893237755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34246703.701882988</v>
      </c>
      <c r="M30" s="142">
        <f t="shared" si="2"/>
        <v>2.1299999999999989E-2</v>
      </c>
      <c r="N30" s="106">
        <f t="shared" si="9"/>
        <v>5.3757743468313543E-3</v>
      </c>
    </row>
    <row r="31" spans="1:14" ht="12.75" customHeight="1" x14ac:dyDescent="0.2">
      <c r="A31" s="7" t="s">
        <v>25</v>
      </c>
      <c r="B31" s="8">
        <v>540679925.01703691</v>
      </c>
      <c r="C31" s="8">
        <f t="shared" si="0"/>
        <v>552196407.41989982</v>
      </c>
      <c r="D31" s="8">
        <f>+'COEF Art 14 F I'!AP32+'COEF Art 14 F II'!M32</f>
        <v>527572577.28021854</v>
      </c>
      <c r="E31" s="8">
        <f t="shared" si="3"/>
        <v>-24623830.13968128</v>
      </c>
      <c r="F31" s="142">
        <f t="shared" si="4"/>
        <v>-4.4592521444922928E-2</v>
      </c>
      <c r="G31" s="8">
        <f t="shared" si="5"/>
        <v>552196407.41989982</v>
      </c>
      <c r="H31" s="8">
        <f t="shared" si="6"/>
        <v>24623830.13968128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552196407.41989982</v>
      </c>
      <c r="M31" s="142">
        <f t="shared" si="2"/>
        <v>2.1300000000000038E-2</v>
      </c>
      <c r="N31" s="106">
        <f t="shared" si="9"/>
        <v>8.6679386934898392E-2</v>
      </c>
    </row>
    <row r="32" spans="1:14" ht="12.75" customHeight="1" x14ac:dyDescent="0.2">
      <c r="A32" s="7" t="s">
        <v>26</v>
      </c>
      <c r="B32" s="8">
        <v>14147343.927442599</v>
      </c>
      <c r="C32" s="8">
        <f t="shared" si="0"/>
        <v>14448682.353097126</v>
      </c>
      <c r="D32" s="8">
        <f>+'COEF Art 14 F I'!AP33+'COEF Art 14 F II'!M33</f>
        <v>8729598.4616874512</v>
      </c>
      <c r="E32" s="8">
        <f t="shared" si="3"/>
        <v>-5719083.8914096747</v>
      </c>
      <c r="F32" s="142">
        <f t="shared" si="4"/>
        <v>-0.39582044588195747</v>
      </c>
      <c r="G32" s="8">
        <f t="shared" si="5"/>
        <v>14448682.353097126</v>
      </c>
      <c r="H32" s="8">
        <f t="shared" si="6"/>
        <v>5719083.8914096747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14448682.353097126</v>
      </c>
      <c r="M32" s="142">
        <f t="shared" si="2"/>
        <v>2.1299999999999961E-2</v>
      </c>
      <c r="N32" s="106">
        <f t="shared" si="9"/>
        <v>2.2680388926022018E-3</v>
      </c>
    </row>
    <row r="33" spans="1:14" ht="12.75" customHeight="1" x14ac:dyDescent="0.2">
      <c r="A33" s="7" t="s">
        <v>27</v>
      </c>
      <c r="B33" s="8">
        <v>24352464.878900953</v>
      </c>
      <c r="C33" s="8">
        <f t="shared" si="0"/>
        <v>24871172.380821545</v>
      </c>
      <c r="D33" s="8">
        <f>+'COEF Art 14 F I'!AP34+'COEF Art 14 F II'!M34</f>
        <v>21719128.561365359</v>
      </c>
      <c r="E33" s="8">
        <f t="shared" si="3"/>
        <v>-3152043.8194561861</v>
      </c>
      <c r="F33" s="142">
        <f t="shared" si="4"/>
        <v>-0.12673483063817145</v>
      </c>
      <c r="G33" s="8">
        <f t="shared" si="5"/>
        <v>24871172.380821545</v>
      </c>
      <c r="H33" s="8">
        <f t="shared" si="6"/>
        <v>3152043.8194561861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24871172.380821545</v>
      </c>
      <c r="M33" s="142">
        <f t="shared" si="2"/>
        <v>2.1300000000000072E-2</v>
      </c>
      <c r="N33" s="106">
        <f t="shared" si="9"/>
        <v>3.9040782325888384E-3</v>
      </c>
    </row>
    <row r="34" spans="1:14" ht="12.75" customHeight="1" x14ac:dyDescent="0.2">
      <c r="A34" s="7" t="s">
        <v>28</v>
      </c>
      <c r="B34" s="8">
        <v>13152803.558522167</v>
      </c>
      <c r="C34" s="8">
        <f t="shared" si="0"/>
        <v>13432958.274318689</v>
      </c>
      <c r="D34" s="8">
        <f>+'COEF Art 14 F I'!AP35+'COEF Art 14 F II'!M35</f>
        <v>13404243.512824601</v>
      </c>
      <c r="E34" s="8">
        <f t="shared" si="3"/>
        <v>-28714.761494088918</v>
      </c>
      <c r="F34" s="142">
        <f t="shared" si="4"/>
        <v>-2.1376349801507377E-3</v>
      </c>
      <c r="G34" s="8">
        <f t="shared" si="5"/>
        <v>13432958.274318689</v>
      </c>
      <c r="H34" s="8">
        <f t="shared" si="6"/>
        <v>28714.761494088918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13432958.274318689</v>
      </c>
      <c r="M34" s="142">
        <f t="shared" si="2"/>
        <v>2.1300000000000048E-2</v>
      </c>
      <c r="N34" s="106">
        <f t="shared" si="9"/>
        <v>2.1085986295716957E-3</v>
      </c>
    </row>
    <row r="35" spans="1:14" ht="12.75" customHeight="1" x14ac:dyDescent="0.2">
      <c r="A35" s="7" t="s">
        <v>29</v>
      </c>
      <c r="B35" s="8">
        <v>19495619.812534947</v>
      </c>
      <c r="C35" s="8">
        <f t="shared" si="0"/>
        <v>19910876.514541943</v>
      </c>
      <c r="D35" s="8">
        <f>+'COEF Art 14 F I'!AP36+'COEF Art 14 F II'!M36</f>
        <v>14999039.959240016</v>
      </c>
      <c r="E35" s="8">
        <f t="shared" si="3"/>
        <v>-4911836.555301927</v>
      </c>
      <c r="F35" s="142">
        <f t="shared" si="4"/>
        <v>-0.2466911264159847</v>
      </c>
      <c r="G35" s="8">
        <f t="shared" si="5"/>
        <v>19910876.514541943</v>
      </c>
      <c r="H35" s="8">
        <f t="shared" si="6"/>
        <v>4911836.555301927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19910876.514541943</v>
      </c>
      <c r="M35" s="142">
        <f t="shared" si="2"/>
        <v>2.1300000000000065E-2</v>
      </c>
      <c r="N35" s="106">
        <f t="shared" si="9"/>
        <v>3.1254505578566464E-3</v>
      </c>
    </row>
    <row r="36" spans="1:14" ht="12.75" customHeight="1" x14ac:dyDescent="0.2">
      <c r="A36" s="7" t="s">
        <v>30</v>
      </c>
      <c r="B36" s="8">
        <v>17926781.724504802</v>
      </c>
      <c r="C36" s="8">
        <f t="shared" si="0"/>
        <v>18308622.175236754</v>
      </c>
      <c r="D36" s="8">
        <f>+'COEF Art 14 F I'!AP37+'COEF Art 14 F II'!M37</f>
        <v>17096406.570568576</v>
      </c>
      <c r="E36" s="8">
        <f t="shared" si="3"/>
        <v>-1212215.6046681777</v>
      </c>
      <c r="F36" s="142">
        <f t="shared" si="4"/>
        <v>-6.6210094515345597E-2</v>
      </c>
      <c r="G36" s="8">
        <f t="shared" si="5"/>
        <v>18308622.175236754</v>
      </c>
      <c r="H36" s="8">
        <f t="shared" si="6"/>
        <v>1212215.6046681777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18308622.175236754</v>
      </c>
      <c r="M36" s="142">
        <f t="shared" si="2"/>
        <v>2.1299999999999968E-2</v>
      </c>
      <c r="N36" s="106">
        <f t="shared" si="9"/>
        <v>2.8739414535260458E-3</v>
      </c>
    </row>
    <row r="37" spans="1:14" ht="12.75" customHeight="1" x14ac:dyDescent="0.2">
      <c r="A37" s="7" t="s">
        <v>31</v>
      </c>
      <c r="B37" s="8">
        <v>170460700.09224397</v>
      </c>
      <c r="C37" s="8">
        <f t="shared" si="0"/>
        <v>174091513.00420877</v>
      </c>
      <c r="D37" s="8">
        <f>+'COEF Art 14 F I'!AP38+'COEF Art 14 F II'!M38</f>
        <v>158717425.35203537</v>
      </c>
      <c r="E37" s="8">
        <f t="shared" si="3"/>
        <v>-15374087.6521734</v>
      </c>
      <c r="F37" s="142">
        <f t="shared" si="4"/>
        <v>-8.8310379908075831E-2</v>
      </c>
      <c r="G37" s="8">
        <f t="shared" si="5"/>
        <v>174091513.00420877</v>
      </c>
      <c r="H37" s="8">
        <f t="shared" si="6"/>
        <v>15374087.6521734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174091513.00420877</v>
      </c>
      <c r="M37" s="142">
        <f t="shared" si="2"/>
        <v>2.1300000000000045E-2</v>
      </c>
      <c r="N37" s="106">
        <f t="shared" si="9"/>
        <v>2.732749691053114E-2</v>
      </c>
    </row>
    <row r="38" spans="1:14" ht="12.75" customHeight="1" x14ac:dyDescent="0.2">
      <c r="A38" s="7" t="s">
        <v>32</v>
      </c>
      <c r="B38" s="8">
        <v>33218923.200304888</v>
      </c>
      <c r="C38" s="8">
        <f t="shared" si="0"/>
        <v>33926486.264471382</v>
      </c>
      <c r="D38" s="8">
        <f>+'COEF Art 14 F I'!AP39+'COEF Art 14 F II'!M39</f>
        <v>27871046.194832187</v>
      </c>
      <c r="E38" s="8">
        <f t="shared" si="3"/>
        <v>-6055440.0696391948</v>
      </c>
      <c r="F38" s="142">
        <f t="shared" si="4"/>
        <v>-0.17848709773344829</v>
      </c>
      <c r="G38" s="8">
        <f t="shared" si="5"/>
        <v>33926486.264471382</v>
      </c>
      <c r="H38" s="8">
        <f t="shared" si="6"/>
        <v>6055440.0696391948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33926486.264471382</v>
      </c>
      <c r="M38" s="142">
        <f t="shared" si="2"/>
        <v>2.1299999999999989E-2</v>
      </c>
      <c r="N38" s="106">
        <f t="shared" si="9"/>
        <v>5.3255091680150133E-3</v>
      </c>
    </row>
    <row r="39" spans="1:14" s="9" customFormat="1" ht="12.75" customHeight="1" x14ac:dyDescent="0.2">
      <c r="A39" s="7" t="s">
        <v>33</v>
      </c>
      <c r="B39" s="8">
        <v>121794103.69484355</v>
      </c>
      <c r="C39" s="8">
        <f t="shared" si="0"/>
        <v>124388318.10354371</v>
      </c>
      <c r="D39" s="8">
        <f>+'COEF Art 14 F I'!AP40+'COEF Art 14 F II'!M40</f>
        <v>113142899.30770968</v>
      </c>
      <c r="E39" s="8">
        <f t="shared" si="3"/>
        <v>-11245418.795834035</v>
      </c>
      <c r="F39" s="142">
        <f t="shared" si="4"/>
        <v>-9.0405746836074177E-2</v>
      </c>
      <c r="G39" s="8">
        <f t="shared" si="5"/>
        <v>124388318.10354371</v>
      </c>
      <c r="H39" s="8">
        <f t="shared" si="6"/>
        <v>11245418.795834035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124388318.10354371</v>
      </c>
      <c r="M39" s="142">
        <f t="shared" ref="M39:M58" si="12">+(L39-B39)/B39</f>
        <v>2.1300000000000006E-2</v>
      </c>
      <c r="N39" s="106">
        <f t="shared" si="9"/>
        <v>1.9525485878214965E-2</v>
      </c>
    </row>
    <row r="40" spans="1:14" ht="12.75" customHeight="1" x14ac:dyDescent="0.2">
      <c r="A40" s="7" t="s">
        <v>34</v>
      </c>
      <c r="B40" s="8">
        <v>24271026.701176237</v>
      </c>
      <c r="C40" s="8">
        <f t="shared" si="0"/>
        <v>24787999.56991129</v>
      </c>
      <c r="D40" s="8">
        <f>+'COEF Art 14 F I'!AP41+'COEF Art 14 F II'!M41</f>
        <v>24793253.352093838</v>
      </c>
      <c r="E40" s="8">
        <f t="shared" si="3"/>
        <v>5253.7821825481951</v>
      </c>
      <c r="F40" s="142">
        <f t="shared" si="4"/>
        <v>2.1194861520513561E-4</v>
      </c>
      <c r="G40" s="8">
        <f t="shared" si="5"/>
        <v>0</v>
      </c>
      <c r="H40" s="8">
        <f t="shared" si="6"/>
        <v>0</v>
      </c>
      <c r="I40" s="8">
        <f t="shared" si="7"/>
        <v>24793253.352093838</v>
      </c>
      <c r="J40" s="8">
        <f t="shared" si="10"/>
        <v>5253.7821825481951</v>
      </c>
      <c r="K40" s="8">
        <f t="shared" si="8"/>
        <v>1696.8811019960194</v>
      </c>
      <c r="L40" s="8">
        <f t="shared" si="11"/>
        <v>24791556.470991842</v>
      </c>
      <c r="M40" s="142">
        <f t="shared" si="12"/>
        <v>2.144654926321592E-2</v>
      </c>
      <c r="N40" s="106">
        <f t="shared" si="9"/>
        <v>3.8915807621932095E-3</v>
      </c>
    </row>
    <row r="41" spans="1:14" ht="12.75" customHeight="1" x14ac:dyDescent="0.2">
      <c r="A41" s="7" t="s">
        <v>35</v>
      </c>
      <c r="B41" s="8">
        <v>21272196.704864223</v>
      </c>
      <c r="C41" s="8">
        <f t="shared" si="0"/>
        <v>21725294.49467783</v>
      </c>
      <c r="D41" s="8">
        <f>+'COEF Art 14 F I'!AP42+'COEF Art 14 F II'!M42</f>
        <v>23654849.604583286</v>
      </c>
      <c r="E41" s="8">
        <f t="shared" si="3"/>
        <v>1929555.1099054553</v>
      </c>
      <c r="F41" s="142">
        <f t="shared" si="4"/>
        <v>8.8816062326710896E-2</v>
      </c>
      <c r="G41" s="8">
        <f t="shared" si="5"/>
        <v>0</v>
      </c>
      <c r="H41" s="8">
        <f t="shared" si="6"/>
        <v>0</v>
      </c>
      <c r="I41" s="8">
        <f t="shared" si="7"/>
        <v>23654849.604583286</v>
      </c>
      <c r="J41" s="8">
        <f t="shared" si="10"/>
        <v>1929555.1099054553</v>
      </c>
      <c r="K41" s="8">
        <f t="shared" si="8"/>
        <v>623213.04680932756</v>
      </c>
      <c r="L41" s="8">
        <f t="shared" si="11"/>
        <v>23031636.557773959</v>
      </c>
      <c r="M41" s="142">
        <f t="shared" si="12"/>
        <v>8.2710773942185886E-2</v>
      </c>
      <c r="N41" s="106">
        <f t="shared" si="9"/>
        <v>3.6153225738340721E-3</v>
      </c>
    </row>
    <row r="42" spans="1:14" ht="12.75" customHeight="1" x14ac:dyDescent="0.2">
      <c r="A42" s="7" t="s">
        <v>36</v>
      </c>
      <c r="B42" s="8">
        <v>26227176.129624814</v>
      </c>
      <c r="C42" s="8">
        <f t="shared" si="0"/>
        <v>26785814.981185824</v>
      </c>
      <c r="D42" s="8">
        <f>+'COEF Art 14 F I'!AP43+'COEF Art 14 F II'!M43</f>
        <v>24270814.411866099</v>
      </c>
      <c r="E42" s="8">
        <f t="shared" si="3"/>
        <v>-2515000.569319725</v>
      </c>
      <c r="F42" s="142">
        <f t="shared" si="4"/>
        <v>-9.3893001616200386E-2</v>
      </c>
      <c r="G42" s="8">
        <f t="shared" si="5"/>
        <v>26785814.981185824</v>
      </c>
      <c r="H42" s="8">
        <f t="shared" si="6"/>
        <v>2515000.569319725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26785814.981185824</v>
      </c>
      <c r="M42" s="142">
        <f t="shared" si="12"/>
        <v>2.1300000000000052E-2</v>
      </c>
      <c r="N42" s="106">
        <f t="shared" si="9"/>
        <v>4.2046235540885791E-3</v>
      </c>
    </row>
    <row r="43" spans="1:14" ht="12.75" customHeight="1" x14ac:dyDescent="0.2">
      <c r="A43" s="7" t="s">
        <v>37</v>
      </c>
      <c r="B43" s="8">
        <v>36942114.442961581</v>
      </c>
      <c r="C43" s="8">
        <f t="shared" si="0"/>
        <v>37728981.480596662</v>
      </c>
      <c r="D43" s="8">
        <f>+'COEF Art 14 F I'!AP44+'COEF Art 14 F II'!M44</f>
        <v>30599699.686450846</v>
      </c>
      <c r="E43" s="8">
        <f t="shared" si="3"/>
        <v>-7129281.7941458151</v>
      </c>
      <c r="F43" s="142">
        <f t="shared" si="4"/>
        <v>-0.18896035658456026</v>
      </c>
      <c r="G43" s="8">
        <f t="shared" si="5"/>
        <v>37728981.480596662</v>
      </c>
      <c r="H43" s="8">
        <f t="shared" si="6"/>
        <v>7129281.7941458151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37728981.480596662</v>
      </c>
      <c r="M43" s="142">
        <f t="shared" si="12"/>
        <v>2.1299999999999968E-2</v>
      </c>
      <c r="N43" s="106">
        <f t="shared" si="9"/>
        <v>5.9223945329463928E-3</v>
      </c>
    </row>
    <row r="44" spans="1:14" s="9" customFormat="1" ht="12.75" customHeight="1" x14ac:dyDescent="0.2">
      <c r="A44" s="7" t="s">
        <v>38</v>
      </c>
      <c r="B44" s="8">
        <v>86669611.896723509</v>
      </c>
      <c r="C44" s="8">
        <f t="shared" si="0"/>
        <v>88515674.63012372</v>
      </c>
      <c r="D44" s="8">
        <f>+'COEF Art 14 F I'!AP45+'COEF Art 14 F II'!M45</f>
        <v>83068404.359192714</v>
      </c>
      <c r="E44" s="8">
        <f t="shared" si="3"/>
        <v>-5447270.2709310055</v>
      </c>
      <c r="F44" s="142">
        <f t="shared" si="4"/>
        <v>-6.1540176852215807E-2</v>
      </c>
      <c r="G44" s="8">
        <f t="shared" si="5"/>
        <v>88515674.63012372</v>
      </c>
      <c r="H44" s="8">
        <f t="shared" si="6"/>
        <v>5447270.2709310055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88515674.63012372</v>
      </c>
      <c r="M44" s="142">
        <f t="shared" si="12"/>
        <v>2.1299999999999999E-2</v>
      </c>
      <c r="N44" s="106">
        <f t="shared" si="9"/>
        <v>1.3894484476849867E-2</v>
      </c>
    </row>
    <row r="45" spans="1:14" ht="12.75" customHeight="1" x14ac:dyDescent="0.2">
      <c r="A45" s="7" t="s">
        <v>39</v>
      </c>
      <c r="B45" s="8">
        <v>1285278366.8103578</v>
      </c>
      <c r="C45" s="8">
        <f t="shared" si="0"/>
        <v>1312654796.0234184</v>
      </c>
      <c r="D45" s="8">
        <f>+'COEF Art 14 F I'!AP46+'COEF Art 14 F II'!M46</f>
        <v>1713098024.3752935</v>
      </c>
      <c r="E45" s="8">
        <f t="shared" si="3"/>
        <v>400443228.35187507</v>
      </c>
      <c r="F45" s="142">
        <f t="shared" si="4"/>
        <v>0.30506362340272969</v>
      </c>
      <c r="G45" s="8">
        <f t="shared" si="5"/>
        <v>0</v>
      </c>
      <c r="H45" s="8">
        <f t="shared" si="6"/>
        <v>0</v>
      </c>
      <c r="I45" s="8">
        <f t="shared" si="7"/>
        <v>1713098024.3752935</v>
      </c>
      <c r="J45" s="8">
        <f t="shared" si="10"/>
        <v>400443228.35187507</v>
      </c>
      <c r="K45" s="8">
        <f t="shared" si="8"/>
        <v>129336261.57356212</v>
      </c>
      <c r="L45" s="8">
        <f t="shared" si="11"/>
        <v>1583761762.8017313</v>
      </c>
      <c r="M45" s="142">
        <f t="shared" si="12"/>
        <v>0.23223249040759325</v>
      </c>
      <c r="N45" s="106">
        <f t="shared" si="9"/>
        <v>0.24860628719411115</v>
      </c>
    </row>
    <row r="46" spans="1:14" ht="12.75" customHeight="1" x14ac:dyDescent="0.2">
      <c r="A46" s="7" t="s">
        <v>40</v>
      </c>
      <c r="B46" s="8">
        <v>9263467.5548567753</v>
      </c>
      <c r="C46" s="8">
        <f t="shared" si="0"/>
        <v>9460779.4137752242</v>
      </c>
      <c r="D46" s="8">
        <f>+'COEF Art 14 F I'!AP47+'COEF Art 14 F II'!M47</f>
        <v>6471231.7379410146</v>
      </c>
      <c r="E46" s="8">
        <f t="shared" si="3"/>
        <v>-2989547.6758342097</v>
      </c>
      <c r="F46" s="142">
        <f t="shared" si="4"/>
        <v>-0.31599380400745042</v>
      </c>
      <c r="G46" s="8">
        <f t="shared" si="5"/>
        <v>9460779.4137752242</v>
      </c>
      <c r="H46" s="8">
        <f t="shared" si="6"/>
        <v>2989547.6758342097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9460779.4137752242</v>
      </c>
      <c r="M46" s="142">
        <f t="shared" si="12"/>
        <v>2.1299999999999958E-2</v>
      </c>
      <c r="N46" s="106">
        <f t="shared" si="9"/>
        <v>1.4850776797770073E-3</v>
      </c>
    </row>
    <row r="47" spans="1:14" s="9" customFormat="1" ht="12.75" customHeight="1" x14ac:dyDescent="0.2">
      <c r="A47" s="7" t="s">
        <v>41</v>
      </c>
      <c r="B47" s="8">
        <v>24497459.23239116</v>
      </c>
      <c r="C47" s="8">
        <f t="shared" si="0"/>
        <v>25019255.11404109</v>
      </c>
      <c r="D47" s="8">
        <f>+'COEF Art 14 F I'!AP48+'COEF Art 14 F II'!M48</f>
        <v>26300760.498290163</v>
      </c>
      <c r="E47" s="8">
        <f t="shared" si="3"/>
        <v>1281505.3842490725</v>
      </c>
      <c r="F47" s="142">
        <f t="shared" si="4"/>
        <v>5.1220764903183592E-2</v>
      </c>
      <c r="G47" s="8">
        <f t="shared" si="5"/>
        <v>0</v>
      </c>
      <c r="H47" s="8">
        <f t="shared" si="6"/>
        <v>0</v>
      </c>
      <c r="I47" s="8">
        <f t="shared" si="7"/>
        <v>26300760.498290163</v>
      </c>
      <c r="J47" s="8">
        <f t="shared" si="10"/>
        <v>1281505.3842490725</v>
      </c>
      <c r="K47" s="8">
        <f t="shared" si="8"/>
        <v>413904.15382308251</v>
      </c>
      <c r="L47" s="8">
        <f t="shared" si="11"/>
        <v>25886856.344467081</v>
      </c>
      <c r="M47" s="142">
        <f t="shared" si="12"/>
        <v>5.6715967925311417E-2</v>
      </c>
      <c r="N47" s="106">
        <f t="shared" si="9"/>
        <v>4.0635121986657974E-3</v>
      </c>
    </row>
    <row r="48" spans="1:14" ht="12.75" customHeight="1" x14ac:dyDescent="0.2">
      <c r="A48" s="7" t="s">
        <v>42</v>
      </c>
      <c r="B48" s="8">
        <v>19647533.118873667</v>
      </c>
      <c r="C48" s="8">
        <f t="shared" si="0"/>
        <v>20066025.574305676</v>
      </c>
      <c r="D48" s="8">
        <f>+'COEF Art 14 F I'!AP49+'COEF Art 14 F II'!M49</f>
        <v>12539072.46124135</v>
      </c>
      <c r="E48" s="8">
        <f t="shared" si="3"/>
        <v>-7526953.1130643263</v>
      </c>
      <c r="F48" s="142">
        <f t="shared" si="4"/>
        <v>-0.37510931525486074</v>
      </c>
      <c r="G48" s="8">
        <f t="shared" si="5"/>
        <v>20066025.574305676</v>
      </c>
      <c r="H48" s="8">
        <f t="shared" si="6"/>
        <v>7526953.1130643263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20066025.574305676</v>
      </c>
      <c r="M48" s="142">
        <f t="shared" si="12"/>
        <v>2.1299999999999993E-2</v>
      </c>
      <c r="N48" s="106">
        <f t="shared" si="9"/>
        <v>3.1498046195693663E-3</v>
      </c>
    </row>
    <row r="49" spans="1:14" ht="12.75" customHeight="1" x14ac:dyDescent="0.2">
      <c r="A49" s="7" t="s">
        <v>43</v>
      </c>
      <c r="B49" s="8">
        <v>21252138.550761569</v>
      </c>
      <c r="C49" s="8">
        <f t="shared" si="0"/>
        <v>21704809.101892792</v>
      </c>
      <c r="D49" s="8">
        <f>+'COEF Art 14 F I'!AP50+'COEF Art 14 F II'!M50</f>
        <v>19928763.901847877</v>
      </c>
      <c r="E49" s="8">
        <f t="shared" si="3"/>
        <v>-1776045.2000449151</v>
      </c>
      <c r="F49" s="142">
        <f t="shared" si="4"/>
        <v>-8.1827266561401504E-2</v>
      </c>
      <c r="G49" s="8">
        <f t="shared" si="5"/>
        <v>21704809.101892792</v>
      </c>
      <c r="H49" s="8">
        <f t="shared" si="6"/>
        <v>1776045.2000449151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21704809.101892792</v>
      </c>
      <c r="M49" s="142">
        <f t="shared" si="12"/>
        <v>2.1300000000000045E-2</v>
      </c>
      <c r="N49" s="106">
        <f t="shared" si="9"/>
        <v>3.4070477844678386E-3</v>
      </c>
    </row>
    <row r="50" spans="1:14" ht="12.75" customHeight="1" x14ac:dyDescent="0.2">
      <c r="A50" s="7" t="s">
        <v>44</v>
      </c>
      <c r="B50" s="8">
        <v>63344984.373385727</v>
      </c>
      <c r="C50" s="8">
        <f t="shared" si="0"/>
        <v>64694232.54053884</v>
      </c>
      <c r="D50" s="8">
        <f>+'COEF Art 14 F I'!AP51+'COEF Art 14 F II'!M51</f>
        <v>38937308.173485726</v>
      </c>
      <c r="E50" s="8">
        <f t="shared" si="3"/>
        <v>-25756924.367053114</v>
      </c>
      <c r="F50" s="142">
        <f t="shared" si="4"/>
        <v>-0.39813323932567335</v>
      </c>
      <c r="G50" s="8">
        <f t="shared" si="5"/>
        <v>64694232.54053884</v>
      </c>
      <c r="H50" s="8">
        <f t="shared" si="6"/>
        <v>25756924.367053114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64694232.54053884</v>
      </c>
      <c r="M50" s="142">
        <f t="shared" si="12"/>
        <v>2.1299999999999947E-2</v>
      </c>
      <c r="N50" s="106">
        <f t="shared" si="9"/>
        <v>1.0155184531241436E-2</v>
      </c>
    </row>
    <row r="51" spans="1:14" ht="12.75" customHeight="1" x14ac:dyDescent="0.2">
      <c r="A51" s="7" t="s">
        <v>45</v>
      </c>
      <c r="B51" s="8">
        <v>54511680.014254287</v>
      </c>
      <c r="C51" s="8">
        <f t="shared" si="0"/>
        <v>55672778.7985579</v>
      </c>
      <c r="D51" s="8">
        <f>+'COEF Art 14 F I'!AP52+'COEF Art 14 F II'!M52</f>
        <v>48567889.740495197</v>
      </c>
      <c r="E51" s="8">
        <f t="shared" si="3"/>
        <v>-7104889.0580627024</v>
      </c>
      <c r="F51" s="142">
        <f t="shared" si="4"/>
        <v>-0.12761872519010567</v>
      </c>
      <c r="G51" s="8">
        <f t="shared" si="5"/>
        <v>55672778.7985579</v>
      </c>
      <c r="H51" s="8">
        <f t="shared" si="6"/>
        <v>7104889.0580627024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55672778.7985579</v>
      </c>
      <c r="M51" s="142">
        <f t="shared" si="12"/>
        <v>2.1299999999999941E-2</v>
      </c>
      <c r="N51" s="106">
        <f t="shared" si="9"/>
        <v>8.7390686907379209E-3</v>
      </c>
    </row>
    <row r="52" spans="1:14" ht="12.75" customHeight="1" x14ac:dyDescent="0.2">
      <c r="A52" s="7" t="s">
        <v>46</v>
      </c>
      <c r="B52" s="8">
        <v>453508524.84890777</v>
      </c>
      <c r="C52" s="8">
        <f t="shared" si="0"/>
        <v>463168256.42818952</v>
      </c>
      <c r="D52" s="8">
        <f>+'COEF Art 14 F I'!AP53+'COEF Art 14 F II'!M53</f>
        <v>531861887.34925312</v>
      </c>
      <c r="E52" s="8">
        <f t="shared" si="3"/>
        <v>68693630.921063602</v>
      </c>
      <c r="F52" s="142">
        <f t="shared" si="4"/>
        <v>0.14831247601208178</v>
      </c>
      <c r="G52" s="8">
        <f t="shared" si="5"/>
        <v>0</v>
      </c>
      <c r="H52" s="8">
        <f t="shared" si="6"/>
        <v>0</v>
      </c>
      <c r="I52" s="8">
        <f t="shared" si="7"/>
        <v>531861887.34925312</v>
      </c>
      <c r="J52" s="8">
        <f t="shared" si="10"/>
        <v>68693630.921063602</v>
      </c>
      <c r="K52" s="8">
        <f t="shared" si="8"/>
        <v>22186858.930818062</v>
      </c>
      <c r="L52" s="8">
        <f t="shared" si="11"/>
        <v>509675028.41843504</v>
      </c>
      <c r="M52" s="142">
        <f t="shared" si="12"/>
        <v>0.12384883743528276</v>
      </c>
      <c r="N52" s="106">
        <f t="shared" si="9"/>
        <v>8.0004720070087118E-2</v>
      </c>
    </row>
    <row r="53" spans="1:14" ht="12.75" customHeight="1" x14ac:dyDescent="0.2">
      <c r="A53" s="7" t="s">
        <v>47</v>
      </c>
      <c r="B53" s="8">
        <v>477987462.962556</v>
      </c>
      <c r="C53" s="8">
        <f t="shared" si="0"/>
        <v>488168595.92365843</v>
      </c>
      <c r="D53" s="8">
        <f>+'COEF Art 14 F I'!AP54+'COEF Art 14 F II'!M54</f>
        <v>859419763.94213009</v>
      </c>
      <c r="E53" s="8">
        <f t="shared" si="3"/>
        <v>371251168.01847166</v>
      </c>
      <c r="F53" s="142">
        <f t="shared" si="4"/>
        <v>0.76049785078048993</v>
      </c>
      <c r="G53" s="8">
        <f t="shared" si="5"/>
        <v>0</v>
      </c>
      <c r="H53" s="8">
        <f t="shared" si="6"/>
        <v>0</v>
      </c>
      <c r="I53" s="8">
        <f t="shared" si="7"/>
        <v>859419763.94213009</v>
      </c>
      <c r="J53" s="8">
        <f t="shared" si="10"/>
        <v>371251168.01847166</v>
      </c>
      <c r="K53" s="8">
        <f t="shared" si="8"/>
        <v>119907729.17786729</v>
      </c>
      <c r="L53" s="8">
        <f t="shared" si="11"/>
        <v>739512034.7642628</v>
      </c>
      <c r="M53" s="142">
        <f t="shared" si="12"/>
        <v>0.54713688551742157</v>
      </c>
      <c r="N53" s="106">
        <f t="shared" si="9"/>
        <v>0.11608269982025156</v>
      </c>
    </row>
    <row r="54" spans="1:14" s="9" customFormat="1" ht="12.75" customHeight="1" x14ac:dyDescent="0.2">
      <c r="A54" s="7" t="s">
        <v>48</v>
      </c>
      <c r="B54" s="8">
        <v>247048717.74635583</v>
      </c>
      <c r="C54" s="8">
        <f t="shared" si="0"/>
        <v>252310855.4343532</v>
      </c>
      <c r="D54" s="8">
        <f>+'COEF Art 14 F I'!AP55+'COEF Art 14 F II'!M55</f>
        <v>260038200.85374701</v>
      </c>
      <c r="E54" s="8">
        <f t="shared" si="3"/>
        <v>7727345.4193938076</v>
      </c>
      <c r="F54" s="142">
        <f t="shared" si="4"/>
        <v>3.0626289963193144E-2</v>
      </c>
      <c r="G54" s="8">
        <f t="shared" si="5"/>
        <v>0</v>
      </c>
      <c r="H54" s="8">
        <f t="shared" si="6"/>
        <v>0</v>
      </c>
      <c r="I54" s="8">
        <f t="shared" si="7"/>
        <v>260038200.85374701</v>
      </c>
      <c r="J54" s="8">
        <f t="shared" si="10"/>
        <v>7727345.4193938076</v>
      </c>
      <c r="K54" s="8">
        <f t="shared" si="8"/>
        <v>2495799.3984450023</v>
      </c>
      <c r="L54" s="8">
        <f t="shared" si="11"/>
        <v>257542401.455302</v>
      </c>
      <c r="M54" s="142">
        <f t="shared" si="12"/>
        <v>4.2476171520631011E-2</v>
      </c>
      <c r="N54" s="106">
        <f t="shared" si="9"/>
        <v>4.0426951656916142E-2</v>
      </c>
    </row>
    <row r="55" spans="1:14" s="9" customFormat="1" ht="12.75" customHeight="1" x14ac:dyDescent="0.2">
      <c r="A55" s="7" t="s">
        <v>49</v>
      </c>
      <c r="B55" s="8">
        <v>57324255.466605216</v>
      </c>
      <c r="C55" s="8">
        <f t="shared" si="0"/>
        <v>58545262.108043909</v>
      </c>
      <c r="D55" s="8">
        <f>+'COEF Art 14 F I'!AP56+'COEF Art 14 F II'!M56</f>
        <v>72679477.819997802</v>
      </c>
      <c r="E55" s="8">
        <f t="shared" si="3"/>
        <v>14134215.711953893</v>
      </c>
      <c r="F55" s="142">
        <f t="shared" si="4"/>
        <v>0.24142373273296699</v>
      </c>
      <c r="G55" s="8">
        <f t="shared" si="5"/>
        <v>0</v>
      </c>
      <c r="H55" s="8">
        <f t="shared" si="6"/>
        <v>0</v>
      </c>
      <c r="I55" s="8">
        <f t="shared" si="7"/>
        <v>72679477.819997802</v>
      </c>
      <c r="J55" s="8">
        <f t="shared" si="10"/>
        <v>14134215.711953893</v>
      </c>
      <c r="K55" s="8">
        <f t="shared" si="8"/>
        <v>4565108.0878113201</v>
      </c>
      <c r="L55" s="8">
        <f t="shared" si="11"/>
        <v>68114369.732186481</v>
      </c>
      <c r="M55" s="142">
        <f t="shared" si="12"/>
        <v>0.18822947071448923</v>
      </c>
      <c r="N55" s="106">
        <f t="shared" si="9"/>
        <v>1.0692050383720321E-2</v>
      </c>
    </row>
    <row r="56" spans="1:14" ht="12.75" customHeight="1" x14ac:dyDescent="0.2">
      <c r="A56" s="7" t="s">
        <v>50</v>
      </c>
      <c r="B56" s="8">
        <v>16448147.717854409</v>
      </c>
      <c r="C56" s="8">
        <f t="shared" si="0"/>
        <v>16798493.264244709</v>
      </c>
      <c r="D56" s="8">
        <f>+'COEF Art 14 F I'!AP57+'COEF Art 14 F II'!M57</f>
        <v>11306194.719893878</v>
      </c>
      <c r="E56" s="8">
        <f t="shared" si="3"/>
        <v>-5492298.5443508308</v>
      </c>
      <c r="F56" s="142">
        <f t="shared" si="4"/>
        <v>-0.32695185561916373</v>
      </c>
      <c r="G56" s="8">
        <f t="shared" si="5"/>
        <v>16798493.264244709</v>
      </c>
      <c r="H56" s="8">
        <f t="shared" si="6"/>
        <v>5492298.5443508308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16798493.264244709</v>
      </c>
      <c r="M56" s="142">
        <f t="shared" si="12"/>
        <v>2.1300000000000104E-2</v>
      </c>
      <c r="N56" s="106">
        <f t="shared" si="9"/>
        <v>2.6368934640089397E-3</v>
      </c>
    </row>
    <row r="57" spans="1:14" ht="12.75" customHeight="1" x14ac:dyDescent="0.2">
      <c r="A57" s="7" t="s">
        <v>51</v>
      </c>
      <c r="B57" s="8">
        <v>22660795.363843191</v>
      </c>
      <c r="C57" s="8">
        <f t="shared" si="0"/>
        <v>23143470.30509305</v>
      </c>
      <c r="D57" s="8">
        <f>+'COEF Art 14 F I'!AP58+'COEF Art 14 F II'!M58</f>
        <v>8029126.1195587479</v>
      </c>
      <c r="E57" s="8">
        <f t="shared" si="3"/>
        <v>-15114344.185534302</v>
      </c>
      <c r="F57" s="142">
        <f t="shared" si="4"/>
        <v>-0.65307164337442414</v>
      </c>
      <c r="G57" s="8">
        <f t="shared" si="5"/>
        <v>23143470.30509305</v>
      </c>
      <c r="H57" s="8">
        <f t="shared" si="6"/>
        <v>15114344.185534302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23143470.30509305</v>
      </c>
      <c r="M57" s="142">
        <f t="shared" si="12"/>
        <v>2.1299999999999937E-2</v>
      </c>
      <c r="N57" s="106">
        <f t="shared" si="9"/>
        <v>3.6328773433436097E-3</v>
      </c>
    </row>
    <row r="58" spans="1:14" s="13" customFormat="1" ht="16.5" customHeight="1" thickBot="1" x14ac:dyDescent="0.25">
      <c r="A58" s="11" t="s">
        <v>52</v>
      </c>
      <c r="B58" s="12">
        <f>SUM(B7:B57)</f>
        <v>5651695209.6523523</v>
      </c>
      <c r="C58" s="12">
        <f>SUM(C7:C57)</f>
        <v>5772076317.6179476</v>
      </c>
      <c r="D58" s="12">
        <f>SUM(D7:D57)</f>
        <v>6370561986.492054</v>
      </c>
      <c r="E58" s="12">
        <f>SUM(E7:E57)</f>
        <v>598485668.87410772</v>
      </c>
      <c r="F58" s="143">
        <f t="shared" si="4"/>
        <v>0.1036863748747336</v>
      </c>
      <c r="G58" s="12">
        <f t="shared" ref="G58:L58" si="13">SUM(G7:G57)</f>
        <v>2553441888.8051338</v>
      </c>
      <c r="H58" s="12">
        <f t="shared" si="13"/>
        <v>285517926.51210439</v>
      </c>
      <c r="I58" s="12">
        <f t="shared" si="13"/>
        <v>4102638024.1990252</v>
      </c>
      <c r="J58" s="12">
        <f t="shared" si="13"/>
        <v>884003595.38621223</v>
      </c>
      <c r="K58" s="12">
        <f t="shared" si="13"/>
        <v>285517926.51210439</v>
      </c>
      <c r="L58" s="12">
        <f t="shared" si="13"/>
        <v>6370561986.4920559</v>
      </c>
      <c r="M58" s="143">
        <f t="shared" si="12"/>
        <v>0.12719489465956579</v>
      </c>
      <c r="N58" s="108">
        <f>SUM(N7:N57)</f>
        <v>0.99999999999999978</v>
      </c>
    </row>
    <row r="59" spans="1:14" ht="13.5" thickTop="1" x14ac:dyDescent="0.2">
      <c r="D59" s="183">
        <f>+(D58-B58)/B58</f>
        <v>0.12719489465956546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178</v>
      </c>
      <c r="D60" s="149"/>
      <c r="F60" s="17"/>
    </row>
    <row r="61" spans="1:14" x14ac:dyDescent="0.2">
      <c r="A61" s="112" t="s">
        <v>167</v>
      </c>
      <c r="D61" s="148"/>
      <c r="E61" s="182"/>
    </row>
    <row r="65" spans="11:11" x14ac:dyDescent="0.2">
      <c r="K65" s="145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zoomScale="130" zoomScaleNormal="130" zoomScaleSheetLayoutView="100" workbookViewId="0">
      <selection activeCell="A5" sqref="A5"/>
    </sheetView>
  </sheetViews>
  <sheetFormatPr baseColWidth="10" defaultRowHeight="12.75" x14ac:dyDescent="0.2"/>
  <cols>
    <col min="1" max="1" width="28" style="192" customWidth="1"/>
    <col min="2" max="2" width="13.85546875" style="192" bestFit="1" customWidth="1"/>
    <col min="3" max="8" width="13.42578125" style="192" customWidth="1"/>
    <col min="9" max="9" width="13.85546875" style="192" bestFit="1" customWidth="1"/>
    <col min="10" max="16384" width="11.42578125" style="192"/>
  </cols>
  <sheetData>
    <row r="1" spans="1:9" x14ac:dyDescent="0.2">
      <c r="A1" s="237" t="s">
        <v>151</v>
      </c>
      <c r="B1" s="237"/>
      <c r="C1" s="237"/>
      <c r="D1" s="237"/>
      <c r="E1" s="237"/>
      <c r="F1" s="237"/>
      <c r="G1" s="237"/>
      <c r="H1" s="237"/>
      <c r="I1" s="237"/>
    </row>
    <row r="2" spans="1:9" x14ac:dyDescent="0.2">
      <c r="A2" s="237" t="s">
        <v>206</v>
      </c>
      <c r="B2" s="237"/>
      <c r="C2" s="237"/>
      <c r="D2" s="237"/>
      <c r="E2" s="237"/>
      <c r="F2" s="237"/>
      <c r="G2" s="237"/>
      <c r="H2" s="237"/>
      <c r="I2" s="237"/>
    </row>
    <row r="3" spans="1:9" x14ac:dyDescent="0.2">
      <c r="A3" s="237" t="s">
        <v>213</v>
      </c>
      <c r="B3" s="237"/>
      <c r="C3" s="237"/>
      <c r="D3" s="237"/>
      <c r="E3" s="237"/>
      <c r="F3" s="237"/>
      <c r="G3" s="237"/>
      <c r="H3" s="237"/>
      <c r="I3" s="237"/>
    </row>
    <row r="4" spans="1:9" x14ac:dyDescent="0.2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3.5" customHeight="1" thickBot="1" x14ac:dyDescent="0.25">
      <c r="A5" s="193"/>
    </row>
    <row r="6" spans="1:9" ht="14.25" thickTop="1" thickBot="1" x14ac:dyDescent="0.25">
      <c r="A6" s="194" t="s">
        <v>0</v>
      </c>
      <c r="B6" s="195" t="s">
        <v>134</v>
      </c>
      <c r="C6" s="195" t="s">
        <v>135</v>
      </c>
      <c r="D6" s="195" t="s">
        <v>136</v>
      </c>
      <c r="E6" s="195" t="s">
        <v>181</v>
      </c>
      <c r="F6" s="195" t="s">
        <v>156</v>
      </c>
      <c r="G6" s="195" t="s">
        <v>137</v>
      </c>
      <c r="H6" s="195" t="s">
        <v>188</v>
      </c>
      <c r="I6" s="196" t="s">
        <v>53</v>
      </c>
    </row>
    <row r="7" spans="1:9" ht="13.5" thickTop="1" x14ac:dyDescent="0.2">
      <c r="A7" s="197" t="s">
        <v>1</v>
      </c>
      <c r="B7" s="198">
        <f>+'observado 2016'!R$4*'CALCULO GARANTIA'!N7</f>
        <v>6671456.1321047042</v>
      </c>
      <c r="C7" s="198">
        <f>+'observado 2016'!R$5*'CALCULO GARANTIA'!N7</f>
        <v>842555.17833943001</v>
      </c>
      <c r="D7" s="198">
        <f>+'observado 2016'!R$6*'CALCULO GARANTIA'!N7</f>
        <v>247748.66287688384</v>
      </c>
      <c r="E7" s="198">
        <f>+'observado 2016'!R$7*'CALCULO GARANTIA'!N7</f>
        <v>301153.16999496234</v>
      </c>
      <c r="F7" s="198">
        <f>+'observado 2016'!R$8*'CALCULO GARANTIA'!N7</f>
        <v>73880.475432125924</v>
      </c>
      <c r="G7" s="198">
        <f>+'observado 2016'!R$9*'CALCULO GARANTIA'!N7</f>
        <v>236976.59879807918</v>
      </c>
      <c r="H7" s="198">
        <f>+'observado 2016'!R$10*'CALCULO GARANTIA'!N7</f>
        <v>342736.84809131804</v>
      </c>
      <c r="I7" s="199">
        <f>SUM(B7:H7)</f>
        <v>8716507.0656375028</v>
      </c>
    </row>
    <row r="8" spans="1:9" x14ac:dyDescent="0.2">
      <c r="A8" s="197" t="s">
        <v>2</v>
      </c>
      <c r="B8" s="198">
        <f>+'observado 2016'!R$4*'CALCULO GARANTIA'!N8</f>
        <v>13214669.351959921</v>
      </c>
      <c r="C8" s="198">
        <f>+'observado 2016'!R$5*'CALCULO GARANTIA'!N8</f>
        <v>1668914.2328250043</v>
      </c>
      <c r="D8" s="198">
        <f>+'observado 2016'!R$6*'CALCULO GARANTIA'!N8</f>
        <v>490734.94563702628</v>
      </c>
      <c r="E8" s="198">
        <f>+'observado 2016'!R$7*'CALCULO GARANTIA'!N8</f>
        <v>596517.38495693472</v>
      </c>
      <c r="F8" s="198">
        <f>+'observado 2016'!R$8*'CALCULO GARANTIA'!N8</f>
        <v>146340.77404824938</v>
      </c>
      <c r="G8" s="198">
        <f>+'observado 2016'!R$9*'CALCULO GARANTIA'!N8</f>
        <v>469397.8848483765</v>
      </c>
      <c r="H8" s="198">
        <f>+'observado 2016'!R$10*'CALCULO GARANTIA'!N8</f>
        <v>678885.3936195831</v>
      </c>
      <c r="I8" s="199">
        <f t="shared" ref="I8:I57" si="0">SUM(B8:H8)</f>
        <v>17265459.967895098</v>
      </c>
    </row>
    <row r="9" spans="1:9" x14ac:dyDescent="0.2">
      <c r="A9" s="197" t="s">
        <v>3</v>
      </c>
      <c r="B9" s="198">
        <f>+'observado 2016'!R$4*'CALCULO GARANTIA'!N9</f>
        <v>12930925.990813365</v>
      </c>
      <c r="C9" s="198">
        <f>+'observado 2016'!R$5*'CALCULO GARANTIA'!N9</f>
        <v>1633079.5614250072</v>
      </c>
      <c r="D9" s="198">
        <f>+'observado 2016'!R$6*'CALCULO GARANTIA'!N9</f>
        <v>480197.95986776293</v>
      </c>
      <c r="E9" s="198">
        <f>+'observado 2016'!R$7*'CALCULO GARANTIA'!N9</f>
        <v>583709.05481396895</v>
      </c>
      <c r="F9" s="198">
        <f>+'observado 2016'!R$8*'CALCULO GARANTIA'!N9</f>
        <v>143198.56730850373</v>
      </c>
      <c r="G9" s="198">
        <f>+'observado 2016'!R$9*'CALCULO GARANTIA'!N9</f>
        <v>459319.04518810089</v>
      </c>
      <c r="H9" s="198">
        <f>+'observado 2016'!R$10*'CALCULO GARANTIA'!N9</f>
        <v>664308.47018030286</v>
      </c>
      <c r="I9" s="199">
        <f t="shared" si="0"/>
        <v>16894738.649597012</v>
      </c>
    </row>
    <row r="10" spans="1:9" x14ac:dyDescent="0.2">
      <c r="A10" s="197" t="s">
        <v>4</v>
      </c>
      <c r="B10" s="198">
        <f>+'observado 2016'!R$4*'CALCULO GARANTIA'!N10</f>
        <v>35591327.503217228</v>
      </c>
      <c r="C10" s="198">
        <f>+'observado 2016'!R$5*'CALCULO GARANTIA'!N10</f>
        <v>4494919.3546371674</v>
      </c>
      <c r="D10" s="198">
        <f>+'observado 2016'!R$6*'CALCULO GARANTIA'!N10</f>
        <v>1321706.0300377824</v>
      </c>
      <c r="E10" s="198">
        <f>+'observado 2016'!R$7*'CALCULO GARANTIA'!N10</f>
        <v>1606611.9434321022</v>
      </c>
      <c r="F10" s="198">
        <f>+'observado 2016'!R$8*'CALCULO GARANTIA'!N10</f>
        <v>394142.46981919894</v>
      </c>
      <c r="G10" s="198">
        <f>+'observado 2016'!R$9*'CALCULO GARANTIA'!N10</f>
        <v>1264238.5067681023</v>
      </c>
      <c r="H10" s="198">
        <f>+'observado 2016'!R$10*'CALCULO GARANTIA'!N10</f>
        <v>1828455.3126470388</v>
      </c>
      <c r="I10" s="199">
        <f t="shared" si="0"/>
        <v>46501401.120558612</v>
      </c>
    </row>
    <row r="11" spans="1:9" x14ac:dyDescent="0.2">
      <c r="A11" s="197" t="s">
        <v>5</v>
      </c>
      <c r="B11" s="198">
        <f>+'observado 2016'!R$4*'CALCULO GARANTIA'!N11</f>
        <v>48023064.310090035</v>
      </c>
      <c r="C11" s="198">
        <f>+'observado 2016'!R$5*'CALCULO GARANTIA'!N11</f>
        <v>6064955.0432446431</v>
      </c>
      <c r="D11" s="198">
        <f>+'observado 2016'!R$6*'CALCULO GARANTIA'!N11</f>
        <v>1783366.289830036</v>
      </c>
      <c r="E11" s="198">
        <f>+'observado 2016'!R$7*'CALCULO GARANTIA'!N11</f>
        <v>2167787.3261070219</v>
      </c>
      <c r="F11" s="198">
        <f>+'observado 2016'!R$8*'CALCULO GARANTIA'!N11</f>
        <v>531812.95847293548</v>
      </c>
      <c r="G11" s="198">
        <f>+'observado 2016'!R$9*'CALCULO GARANTIA'!N11</f>
        <v>1705825.8675046256</v>
      </c>
      <c r="H11" s="198">
        <f>+'observado 2016'!R$10*'CALCULO GARANTIA'!N11</f>
        <v>2467118.6276892102</v>
      </c>
      <c r="I11" s="199">
        <f t="shared" si="0"/>
        <v>62743930.422938518</v>
      </c>
    </row>
    <row r="12" spans="1:9" x14ac:dyDescent="0.2">
      <c r="A12" s="197" t="s">
        <v>6</v>
      </c>
      <c r="B12" s="198">
        <f>+'observado 2016'!R$4*'CALCULO GARANTIA'!N12</f>
        <v>308728189.92254454</v>
      </c>
      <c r="C12" s="198">
        <f>+'observado 2016'!R$5*'CALCULO GARANTIA'!N12</f>
        <v>38990069.02958326</v>
      </c>
      <c r="D12" s="198">
        <f>+'observado 2016'!R$6*'CALCULO GARANTIA'!N12</f>
        <v>11464812.888094494</v>
      </c>
      <c r="E12" s="198">
        <f>+'observado 2016'!R$7*'CALCULO GARANTIA'!N12</f>
        <v>13936158.946555132</v>
      </c>
      <c r="F12" s="198">
        <f>+'observado 2016'!R$8*'CALCULO GARANTIA'!N12</f>
        <v>3418891.6181303738</v>
      </c>
      <c r="G12" s="198">
        <f>+'observado 2016'!R$9*'CALCULO GARANTIA'!N12</f>
        <v>10966325.034929242</v>
      </c>
      <c r="H12" s="198">
        <f>+'observado 2016'!R$10*'CALCULO GARANTIA'!N12</f>
        <v>15860484.523280391</v>
      </c>
      <c r="I12" s="199">
        <f t="shared" si="0"/>
        <v>403364931.96311742</v>
      </c>
    </row>
    <row r="13" spans="1:9" x14ac:dyDescent="0.2">
      <c r="A13" s="197" t="s">
        <v>7</v>
      </c>
      <c r="B13" s="198">
        <f>+'observado 2016'!R$4*'CALCULO GARANTIA'!N13</f>
        <v>53530360.503598109</v>
      </c>
      <c r="C13" s="198">
        <f>+'observado 2016'!R$5*'CALCULO GARANTIA'!N13</f>
        <v>6760485.4993559346</v>
      </c>
      <c r="D13" s="198">
        <f>+'observado 2016'!R$6*'CALCULO GARANTIA'!N13</f>
        <v>1987883.1510655649</v>
      </c>
      <c r="E13" s="198">
        <f>+'observado 2016'!R$7*'CALCULO GARANTIA'!N13</f>
        <v>2416389.6812652671</v>
      </c>
      <c r="F13" s="198">
        <f>+'observado 2016'!R$8*'CALCULO GARANTIA'!N13</f>
        <v>592801.39234180236</v>
      </c>
      <c r="G13" s="198">
        <f>+'observado 2016'!R$9*'CALCULO GARANTIA'!N13</f>
        <v>1901450.3750586337</v>
      </c>
      <c r="H13" s="198">
        <f>+'observado 2016'!R$10*'CALCULO GARANTIA'!N13</f>
        <v>2750048.36618886</v>
      </c>
      <c r="I13" s="199">
        <f t="shared" si="0"/>
        <v>69939418.968874156</v>
      </c>
    </row>
    <row r="14" spans="1:9" x14ac:dyDescent="0.2">
      <c r="A14" s="197" t="s">
        <v>8</v>
      </c>
      <c r="B14" s="198">
        <f>+'observado 2016'!R$4*'CALCULO GARANTIA'!N14</f>
        <v>8716453.9748973735</v>
      </c>
      <c r="C14" s="198">
        <f>+'observado 2016'!R$5*'CALCULO GARANTIA'!N14</f>
        <v>1100823.1618230222</v>
      </c>
      <c r="D14" s="198">
        <f>+'observado 2016'!R$6*'CALCULO GARANTIA'!N14</f>
        <v>323690.92662046029</v>
      </c>
      <c r="E14" s="198">
        <f>+'observado 2016'!R$7*'CALCULO GARANTIA'!N14</f>
        <v>393465.48844463512</v>
      </c>
      <c r="F14" s="198">
        <f>+'observado 2016'!R$8*'CALCULO GARANTIA'!N14</f>
        <v>96527.017639925776</v>
      </c>
      <c r="G14" s="198">
        <f>+'observado 2016'!R$9*'CALCULO GARANTIA'!N14</f>
        <v>309616.90756100731</v>
      </c>
      <c r="H14" s="198">
        <f>+'observado 2016'!R$10*'CALCULO GARANTIA'!N14</f>
        <v>447795.78891525866</v>
      </c>
      <c r="I14" s="199">
        <f t="shared" si="0"/>
        <v>11388373.265901685</v>
      </c>
    </row>
    <row r="15" spans="1:9" x14ac:dyDescent="0.2">
      <c r="A15" s="197" t="s">
        <v>9</v>
      </c>
      <c r="B15" s="198">
        <f>+'observado 2016'!R$4*'CALCULO GARANTIA'!N15</f>
        <v>86643258.118711919</v>
      </c>
      <c r="C15" s="198">
        <f>+'observado 2016'!R$5*'CALCULO GARANTIA'!N15</f>
        <v>10942397.634126402</v>
      </c>
      <c r="D15" s="198">
        <f>+'observado 2016'!R$6*'CALCULO GARANTIA'!N15</f>
        <v>3217551.1494273432</v>
      </c>
      <c r="E15" s="198">
        <f>+'observado 2016'!R$7*'CALCULO GARANTIA'!N15</f>
        <v>3911123.9472259097</v>
      </c>
      <c r="F15" s="198">
        <f>+'observado 2016'!R$8*'CALCULO GARANTIA'!N15</f>
        <v>959497.44344333757</v>
      </c>
      <c r="G15" s="198">
        <f>+'observado 2016'!R$9*'CALCULO GARANTIA'!N15</f>
        <v>3077652.6460167048</v>
      </c>
      <c r="H15" s="198">
        <f>+'observado 2016'!R$10*'CALCULO GARANTIA'!N15</f>
        <v>4451177.765085808</v>
      </c>
      <c r="I15" s="199">
        <f t="shared" si="0"/>
        <v>113202658.70403741</v>
      </c>
    </row>
    <row r="16" spans="1:9" x14ac:dyDescent="0.2">
      <c r="A16" s="197" t="s">
        <v>10</v>
      </c>
      <c r="B16" s="198">
        <f>+'observado 2016'!R$4*'CALCULO GARANTIA'!N16</f>
        <v>12378223.885949485</v>
      </c>
      <c r="C16" s="198">
        <f>+'observado 2016'!R$5*'CALCULO GARANTIA'!N16</f>
        <v>1563277.4055971082</v>
      </c>
      <c r="D16" s="198">
        <f>+'observado 2016'!R$6*'CALCULO GARANTIA'!N16</f>
        <v>459673.024270822</v>
      </c>
      <c r="E16" s="198">
        <f>+'observado 2016'!R$7*'CALCULO GARANTIA'!N16</f>
        <v>558759.78022582363</v>
      </c>
      <c r="F16" s="198">
        <f>+'observado 2016'!R$8*'CALCULO GARANTIA'!N16</f>
        <v>137077.88038932017</v>
      </c>
      <c r="G16" s="198">
        <f>+'observado 2016'!R$9*'CALCULO GARANTIA'!N16</f>
        <v>439686.5298322874</v>
      </c>
      <c r="H16" s="198">
        <f>+'observado 2016'!R$10*'CALCULO GARANTIA'!N16</f>
        <v>635914.16261034179</v>
      </c>
      <c r="I16" s="199">
        <f t="shared" si="0"/>
        <v>16172612.668875184</v>
      </c>
    </row>
    <row r="17" spans="1:9" x14ac:dyDescent="0.2">
      <c r="A17" s="197" t="s">
        <v>11</v>
      </c>
      <c r="B17" s="198">
        <f>+'observado 2016'!R$4*'CALCULO GARANTIA'!N17</f>
        <v>17442977.941686932</v>
      </c>
      <c r="C17" s="198">
        <f>+'observado 2016'!R$5*'CALCULO GARANTIA'!N17</f>
        <v>2202918.0885571209</v>
      </c>
      <c r="D17" s="198">
        <f>+'observado 2016'!R$6*'CALCULO GARANTIA'!N17</f>
        <v>647755.80863792356</v>
      </c>
      <c r="E17" s="198">
        <f>+'observado 2016'!R$7*'CALCULO GARANTIA'!N17</f>
        <v>787385.54181784124</v>
      </c>
      <c r="F17" s="198">
        <f>+'observado 2016'!R$8*'CALCULO GARANTIA'!N17</f>
        <v>193165.55153265459</v>
      </c>
      <c r="G17" s="198">
        <f>+'observado 2016'!R$9*'CALCULO GARANTIA'!N17</f>
        <v>619591.51101048046</v>
      </c>
      <c r="H17" s="198">
        <f>+'observado 2016'!R$10*'CALCULO GARANTIA'!N17</f>
        <v>896108.90976122185</v>
      </c>
      <c r="I17" s="199">
        <f t="shared" si="0"/>
        <v>22789903.353004172</v>
      </c>
    </row>
    <row r="18" spans="1:9" x14ac:dyDescent="0.2">
      <c r="A18" s="197" t="s">
        <v>12</v>
      </c>
      <c r="B18" s="198">
        <f>+'observado 2016'!R$4*'CALCULO GARANTIA'!N18</f>
        <v>43986839.128921792</v>
      </c>
      <c r="C18" s="198">
        <f>+'observado 2016'!R$5*'CALCULO GARANTIA'!N18</f>
        <v>5555209.8901629811</v>
      </c>
      <c r="D18" s="198">
        <f>+'observado 2016'!R$6*'CALCULO GARANTIA'!N18</f>
        <v>1633478.5633871774</v>
      </c>
      <c r="E18" s="198">
        <f>+'observado 2016'!R$7*'CALCULO GARANTIA'!N18</f>
        <v>1985589.9191162281</v>
      </c>
      <c r="F18" s="198">
        <f>+'observado 2016'!R$8*'CALCULO GARANTIA'!N18</f>
        <v>487115.33483110048</v>
      </c>
      <c r="G18" s="198">
        <f>+'observado 2016'!R$9*'CALCULO GARANTIA'!N18</f>
        <v>1562455.2304987793</v>
      </c>
      <c r="H18" s="198">
        <f>+'observado 2016'!R$10*'CALCULO GARANTIA'!N18</f>
        <v>2259763.1314695277</v>
      </c>
      <c r="I18" s="199">
        <f t="shared" si="0"/>
        <v>57470451.198387586</v>
      </c>
    </row>
    <row r="19" spans="1:9" x14ac:dyDescent="0.2">
      <c r="A19" s="197" t="s">
        <v>13</v>
      </c>
      <c r="B19" s="198">
        <f>+'observado 2016'!R$4*'CALCULO GARANTIA'!N19</f>
        <v>22380923.916846588</v>
      </c>
      <c r="C19" s="198">
        <f>+'observado 2016'!R$5*'CALCULO GARANTIA'!N19</f>
        <v>2826543.8562077233</v>
      </c>
      <c r="D19" s="198">
        <f>+'observado 2016'!R$6*'CALCULO GARANTIA'!N19</f>
        <v>831129.49625267636</v>
      </c>
      <c r="E19" s="198">
        <f>+'observado 2016'!R$7*'CALCULO GARANTIA'!N19</f>
        <v>1010287.1174614263</v>
      </c>
      <c r="F19" s="198">
        <f>+'observado 2016'!R$8*'CALCULO GARANTIA'!N19</f>
        <v>247848.93535157145</v>
      </c>
      <c r="G19" s="198">
        <f>+'observado 2016'!R$9*'CALCULO GARANTIA'!N19</f>
        <v>794992.14605487708</v>
      </c>
      <c r="H19" s="198">
        <f>+'observado 2016'!R$10*'CALCULO GARANTIA'!N19</f>
        <v>1149789.0668452359</v>
      </c>
      <c r="I19" s="199">
        <f t="shared" si="0"/>
        <v>29241514.535020102</v>
      </c>
    </row>
    <row r="20" spans="1:9" x14ac:dyDescent="0.2">
      <c r="A20" s="197" t="s">
        <v>14</v>
      </c>
      <c r="B20" s="198">
        <f>+'observado 2016'!R$4*'CALCULO GARANTIA'!N20</f>
        <v>116790565.36526421</v>
      </c>
      <c r="C20" s="198">
        <f>+'observado 2016'!R$5*'CALCULO GARANTIA'!N20</f>
        <v>14749777.811796706</v>
      </c>
      <c r="D20" s="198">
        <f>+'observado 2016'!R$6*'CALCULO GARANTIA'!N20</f>
        <v>4337090.1094048284</v>
      </c>
      <c r="E20" s="198">
        <f>+'observado 2016'!R$7*'CALCULO GARANTIA'!N20</f>
        <v>5271989.8458145428</v>
      </c>
      <c r="F20" s="198">
        <f>+'observado 2016'!R$8*'CALCULO GARANTIA'!N20</f>
        <v>1293352.2044235303</v>
      </c>
      <c r="G20" s="198">
        <f>+'observado 2016'!R$9*'CALCULO GARANTIA'!N20</f>
        <v>4148514.2679389338</v>
      </c>
      <c r="H20" s="198">
        <f>+'observado 2016'!R$10*'CALCULO GARANTIA'!N20</f>
        <v>5999954.0531289643</v>
      </c>
      <c r="I20" s="199">
        <f t="shared" si="0"/>
        <v>152591243.65777171</v>
      </c>
    </row>
    <row r="21" spans="1:9" x14ac:dyDescent="0.2">
      <c r="A21" s="197" t="s">
        <v>15</v>
      </c>
      <c r="B21" s="198">
        <f>+'observado 2016'!R$4*'CALCULO GARANTIA'!N21</f>
        <v>14624073.082916755</v>
      </c>
      <c r="C21" s="198">
        <f>+'observado 2016'!R$5*'CALCULO GARANTIA'!N21</f>
        <v>1846911.417903393</v>
      </c>
      <c r="D21" s="198">
        <f>+'observado 2016'!R$6*'CALCULO GARANTIA'!N21</f>
        <v>543074.02767309279</v>
      </c>
      <c r="E21" s="198">
        <f>+'observado 2016'!R$7*'CALCULO GARANTIA'!N21</f>
        <v>660138.63839482155</v>
      </c>
      <c r="F21" s="198">
        <f>+'observado 2016'!R$8*'CALCULO GARANTIA'!N21</f>
        <v>161948.67368170663</v>
      </c>
      <c r="G21" s="198">
        <f>+'observado 2016'!R$9*'CALCULO GARANTIA'!N21</f>
        <v>519461.27369211084</v>
      </c>
      <c r="H21" s="198">
        <f>+'observado 2016'!R$10*'CALCULO GARANTIA'!N21</f>
        <v>751291.56445711735</v>
      </c>
      <c r="I21" s="199">
        <f t="shared" si="0"/>
        <v>19106898.678718999</v>
      </c>
    </row>
    <row r="22" spans="1:9" x14ac:dyDescent="0.2">
      <c r="A22" s="197" t="s">
        <v>16</v>
      </c>
      <c r="B22" s="198">
        <f>+'observado 2016'!R$4*'CALCULO GARANTIA'!N22</f>
        <v>10898079.177690564</v>
      </c>
      <c r="C22" s="198">
        <f>+'observado 2016'!R$5*'CALCULO GARANTIA'!N22</f>
        <v>1376346.1624110986</v>
      </c>
      <c r="D22" s="198">
        <f>+'observado 2016'!R$6*'CALCULO GARANTIA'!N22</f>
        <v>404706.93215027684</v>
      </c>
      <c r="E22" s="198">
        <f>+'observado 2016'!R$7*'CALCULO GARANTIA'!N22</f>
        <v>491945.24047364248</v>
      </c>
      <c r="F22" s="198">
        <f>+'observado 2016'!R$8*'CALCULO GARANTIA'!N22</f>
        <v>120686.58700611454</v>
      </c>
      <c r="G22" s="198">
        <f>+'observado 2016'!R$9*'CALCULO GARANTIA'!N22</f>
        <v>387110.35279587825</v>
      </c>
      <c r="H22" s="198">
        <f>+'observado 2016'!R$10*'CALCULO GARANTIA'!N22</f>
        <v>559873.77172978839</v>
      </c>
      <c r="I22" s="199">
        <f t="shared" si="0"/>
        <v>14238748.224257363</v>
      </c>
    </row>
    <row r="23" spans="1:9" x14ac:dyDescent="0.2">
      <c r="A23" s="197" t="s">
        <v>17</v>
      </c>
      <c r="B23" s="198">
        <f>+'observado 2016'!R$4*'CALCULO GARANTIA'!N23</f>
        <v>95577616.29662995</v>
      </c>
      <c r="C23" s="198">
        <f>+'observado 2016'!R$5*'CALCULO GARANTIA'!N23</f>
        <v>12070740.472464042</v>
      </c>
      <c r="D23" s="198">
        <f>+'observado 2016'!R$6*'CALCULO GARANTIA'!N23</f>
        <v>3549334.0838291077</v>
      </c>
      <c r="E23" s="198">
        <f>+'observado 2016'!R$7*'CALCULO GARANTIA'!N23</f>
        <v>4314425.7502914425</v>
      </c>
      <c r="F23" s="198">
        <f>+'observado 2016'!R$8*'CALCULO GARANTIA'!N23</f>
        <v>1058437.5573847368</v>
      </c>
      <c r="G23" s="198">
        <f>+'observado 2016'!R$9*'CALCULO GARANTIA'!N23</f>
        <v>3395009.722421384</v>
      </c>
      <c r="H23" s="198">
        <f>+'observado 2016'!R$10*'CALCULO GARANTIA'!N23</f>
        <v>4910168.0815899922</v>
      </c>
      <c r="I23" s="199">
        <f t="shared" si="0"/>
        <v>124875731.96461064</v>
      </c>
    </row>
    <row r="24" spans="1:9" x14ac:dyDescent="0.2">
      <c r="A24" s="197" t="s">
        <v>18</v>
      </c>
      <c r="B24" s="198">
        <f>+'observado 2016'!R$4*'CALCULO GARANTIA'!N24</f>
        <v>103279183.78248905</v>
      </c>
      <c r="C24" s="198">
        <f>+'observado 2016'!R$5*'CALCULO GARANTIA'!N24</f>
        <v>13043391.036006609</v>
      </c>
      <c r="D24" s="198">
        <f>+'observado 2016'!R$6*'CALCULO GARANTIA'!N24</f>
        <v>3835336.5709766508</v>
      </c>
      <c r="E24" s="198">
        <f>+'observado 2016'!R$7*'CALCULO GARANTIA'!N24</f>
        <v>4662078.7088615065</v>
      </c>
      <c r="F24" s="198">
        <f>+'observado 2016'!R$8*'CALCULO GARANTIA'!N24</f>
        <v>1143725.6048755576</v>
      </c>
      <c r="G24" s="198">
        <f>+'observado 2016'!R$9*'CALCULO GARANTIA'!N24</f>
        <v>3668576.8765888182</v>
      </c>
      <c r="H24" s="198">
        <f>+'observado 2016'!R$10*'CALCULO GARANTIA'!N24</f>
        <v>5305825.4782958562</v>
      </c>
      <c r="I24" s="199">
        <f t="shared" si="0"/>
        <v>134938118.05809405</v>
      </c>
    </row>
    <row r="25" spans="1:9" x14ac:dyDescent="0.2">
      <c r="A25" s="197" t="s">
        <v>19</v>
      </c>
      <c r="B25" s="198">
        <f>+'observado 2016'!R$4*'CALCULO GARANTIA'!N25</f>
        <v>18370051.035487957</v>
      </c>
      <c r="C25" s="198">
        <f>+'observado 2016'!R$5*'CALCULO GARANTIA'!N25</f>
        <v>2320000.5096079484</v>
      </c>
      <c r="D25" s="198">
        <f>+'observado 2016'!R$6*'CALCULO GARANTIA'!N25</f>
        <v>682183.24319348589</v>
      </c>
      <c r="E25" s="198">
        <f>+'observado 2016'!R$7*'CALCULO GARANTIA'!N25</f>
        <v>829234.12711718527</v>
      </c>
      <c r="F25" s="198">
        <f>+'observado 2016'!R$8*'CALCULO GARANTIA'!N25</f>
        <v>203432.06600477232</v>
      </c>
      <c r="G25" s="198">
        <f>+'observado 2016'!R$9*'CALCULO GARANTIA'!N25</f>
        <v>652522.04735155811</v>
      </c>
      <c r="H25" s="198">
        <f>+'observado 2016'!R$10*'CALCULO GARANTIA'!N25</f>
        <v>943736.01002657111</v>
      </c>
      <c r="I25" s="199">
        <f t="shared" si="0"/>
        <v>24001159.038789477</v>
      </c>
    </row>
    <row r="26" spans="1:9" x14ac:dyDescent="0.2">
      <c r="A26" s="197" t="s">
        <v>20</v>
      </c>
      <c r="B26" s="198">
        <f>+'observado 2016'!R$4*'CALCULO GARANTIA'!N26</f>
        <v>250008163.03086749</v>
      </c>
      <c r="C26" s="198">
        <f>+'observado 2016'!R$5*'CALCULO GARANTIA'!N26</f>
        <v>31574167.350828636</v>
      </c>
      <c r="D26" s="198">
        <f>+'observado 2016'!R$6*'CALCULO GARANTIA'!N26</f>
        <v>9284208.2556964811</v>
      </c>
      <c r="E26" s="198">
        <f>+'observado 2016'!R$7*'CALCULO GARANTIA'!N26</f>
        <v>11285504.892859191</v>
      </c>
      <c r="F26" s="198">
        <f>+'observado 2016'!R$8*'CALCULO GARANTIA'!N26</f>
        <v>2768619.2610556539</v>
      </c>
      <c r="G26" s="198">
        <f>+'observado 2016'!R$9*'CALCULO GARANTIA'!N26</f>
        <v>8880532.6713764612</v>
      </c>
      <c r="H26" s="198">
        <f>+'observado 2016'!R$10*'CALCULO GARANTIA'!N26</f>
        <v>12843824.211322131</v>
      </c>
      <c r="I26" s="199">
        <f t="shared" si="0"/>
        <v>326645019.67400599</v>
      </c>
    </row>
    <row r="27" spans="1:9" x14ac:dyDescent="0.2">
      <c r="A27" s="197" t="s">
        <v>21</v>
      </c>
      <c r="B27" s="198">
        <f>+'observado 2016'!R$4*'CALCULO GARANTIA'!N27</f>
        <v>37075106.580604032</v>
      </c>
      <c r="C27" s="198">
        <f>+'observado 2016'!R$5*'CALCULO GARANTIA'!N27</f>
        <v>4682309.591552292</v>
      </c>
      <c r="D27" s="198">
        <f>+'observado 2016'!R$6*'CALCULO GARANTIA'!N27</f>
        <v>1376807.086710894</v>
      </c>
      <c r="E27" s="198">
        <f>+'observado 2016'!R$7*'CALCULO GARANTIA'!N27</f>
        <v>1673590.5405897617</v>
      </c>
      <c r="F27" s="198">
        <f>+'observado 2016'!R$8*'CALCULO GARANTIA'!N27</f>
        <v>410574.01062571775</v>
      </c>
      <c r="G27" s="198">
        <f>+'observado 2016'!R$9*'CALCULO GARANTIA'!N27</f>
        <v>1316943.7801243626</v>
      </c>
      <c r="H27" s="198">
        <f>+'observado 2016'!R$10*'CALCULO GARANTIA'!N27</f>
        <v>1904682.4142238819</v>
      </c>
      <c r="I27" s="199">
        <f t="shared" si="0"/>
        <v>48440014.00443095</v>
      </c>
    </row>
    <row r="28" spans="1:9" x14ac:dyDescent="0.2">
      <c r="A28" s="197" t="s">
        <v>22</v>
      </c>
      <c r="B28" s="198">
        <f>+'observado 2016'!R$4*'CALCULO GARANTIA'!N28</f>
        <v>5946862.8750570947</v>
      </c>
      <c r="C28" s="198">
        <f>+'observado 2016'!R$5*'CALCULO GARANTIA'!N28</f>
        <v>751044.45132177463</v>
      </c>
      <c r="D28" s="198">
        <f>+'observado 2016'!R$6*'CALCULO GARANTIA'!N28</f>
        <v>220840.44269099802</v>
      </c>
      <c r="E28" s="198">
        <f>+'observado 2016'!R$7*'CALCULO GARANTIA'!N28</f>
        <v>268444.63500711095</v>
      </c>
      <c r="F28" s="198">
        <f>+'observado 2016'!R$8*'CALCULO GARANTIA'!N28</f>
        <v>65856.246048682253</v>
      </c>
      <c r="G28" s="198">
        <f>+'observado 2016'!R$9*'CALCULO GARANTIA'!N28</f>
        <v>211238.34283610925</v>
      </c>
      <c r="H28" s="198">
        <f>+'observado 2016'!R$10*'CALCULO GARANTIA'!N28</f>
        <v>305511.8698929869</v>
      </c>
      <c r="I28" s="199">
        <f t="shared" si="0"/>
        <v>7769798.8628547564</v>
      </c>
    </row>
    <row r="29" spans="1:9" x14ac:dyDescent="0.2">
      <c r="A29" s="197" t="s">
        <v>23</v>
      </c>
      <c r="B29" s="198">
        <f>+'observado 2016'!R$4*'CALCULO GARANTIA'!N29</f>
        <v>27213078.738994673</v>
      </c>
      <c r="C29" s="198">
        <f>+'observado 2016'!R$5*'CALCULO GARANTIA'!N29</f>
        <v>3436808.9898336995</v>
      </c>
      <c r="D29" s="198">
        <f>+'observado 2016'!R$6*'CALCULO GARANTIA'!N29</f>
        <v>1010574.5637605394</v>
      </c>
      <c r="E29" s="198">
        <f>+'observado 2016'!R$7*'CALCULO GARANTIA'!N29</f>
        <v>1228413.2227345265</v>
      </c>
      <c r="F29" s="198">
        <f>+'observado 2016'!R$8*'CALCULO GARANTIA'!N29</f>
        <v>301360.77572836098</v>
      </c>
      <c r="G29" s="198">
        <f>+'observado 2016'!R$9*'CALCULO GARANTIA'!N29</f>
        <v>966634.97663692187</v>
      </c>
      <c r="H29" s="198">
        <f>+'observado 2016'!R$10*'CALCULO GARANTIA'!N29</f>
        <v>1398034.3494998661</v>
      </c>
      <c r="I29" s="199">
        <f t="shared" si="0"/>
        <v>35554905.61718858</v>
      </c>
    </row>
    <row r="30" spans="1:9" x14ac:dyDescent="0.2">
      <c r="A30" s="197" t="s">
        <v>24</v>
      </c>
      <c r="B30" s="198">
        <f>+'observado 2016'!R$4*'CALCULO GARANTIA'!N30</f>
        <v>26211804.762598444</v>
      </c>
      <c r="C30" s="198">
        <f>+'observado 2016'!R$5*'CALCULO GARANTIA'!N30</f>
        <v>3310355.5504279593</v>
      </c>
      <c r="D30" s="198">
        <f>+'observado 2016'!R$6*'CALCULO GARANTIA'!N30</f>
        <v>973391.63339068496</v>
      </c>
      <c r="E30" s="198">
        <f>+'observado 2016'!R$7*'CALCULO GARANTIA'!N30</f>
        <v>1183215.1691081049</v>
      </c>
      <c r="F30" s="198">
        <f>+'observado 2016'!R$8*'CALCULO GARANTIA'!N30</f>
        <v>290272.55211582984</v>
      </c>
      <c r="G30" s="198">
        <f>+'observado 2016'!R$9*'CALCULO GARANTIA'!N30</f>
        <v>931068.75290810736</v>
      </c>
      <c r="H30" s="198">
        <f>+'observado 2016'!R$10*'CALCULO GARANTIA'!N30</f>
        <v>1346595.2813338523</v>
      </c>
      <c r="I30" s="199">
        <f t="shared" si="0"/>
        <v>34246703.701882981</v>
      </c>
    </row>
    <row r="31" spans="1:9" x14ac:dyDescent="0.2">
      <c r="A31" s="197" t="s">
        <v>25</v>
      </c>
      <c r="B31" s="198">
        <f>+'observado 2016'!R$4*'CALCULO GARANTIA'!N31</f>
        <v>422641097.02046603</v>
      </c>
      <c r="C31" s="198">
        <f>+'observado 2016'!R$5*'CALCULO GARANTIA'!N31</f>
        <v>53376420.05319003</v>
      </c>
      <c r="D31" s="198">
        <f>+'observado 2016'!R$6*'CALCULO GARANTIA'!N31</f>
        <v>15695039.372252664</v>
      </c>
      <c r="E31" s="198">
        <f>+'observado 2016'!R$7*'CALCULO GARANTIA'!N31</f>
        <v>19078249.728025671</v>
      </c>
      <c r="F31" s="198">
        <f>+'observado 2016'!R$8*'CALCULO GARANTIA'!N31</f>
        <v>4680376.3026732942</v>
      </c>
      <c r="G31" s="198">
        <f>+'observado 2016'!R$9*'CALCULO GARANTIA'!N31</f>
        <v>15012622.087436542</v>
      </c>
      <c r="H31" s="198">
        <f>+'observado 2016'!R$10*'CALCULO GARANTIA'!N31</f>
        <v>21712602.855855528</v>
      </c>
      <c r="I31" s="199">
        <f t="shared" si="0"/>
        <v>552196407.41989982</v>
      </c>
    </row>
    <row r="32" spans="1:9" x14ac:dyDescent="0.2">
      <c r="A32" s="197" t="s">
        <v>26</v>
      </c>
      <c r="B32" s="198">
        <f>+'observado 2016'!R$4*'CALCULO GARANTIA'!N32</f>
        <v>11058758.945473628</v>
      </c>
      <c r="C32" s="198">
        <f>+'observado 2016'!R$5*'CALCULO GARANTIA'!N32</f>
        <v>1396638.8193242587</v>
      </c>
      <c r="D32" s="198">
        <f>+'observado 2016'!R$6*'CALCULO GARANTIA'!N32</f>
        <v>410673.87502322107</v>
      </c>
      <c r="E32" s="198">
        <f>+'observado 2016'!R$7*'CALCULO GARANTIA'!N32</f>
        <v>499198.41286415904</v>
      </c>
      <c r="F32" s="198">
        <f>+'observado 2016'!R$8*'CALCULO GARANTIA'!N32</f>
        <v>122465.97330515797</v>
      </c>
      <c r="G32" s="198">
        <f>+'observado 2016'!R$9*'CALCULO GARANTIA'!N32</f>
        <v>392817.85414354631</v>
      </c>
      <c r="H32" s="198">
        <f>+'observado 2016'!R$10*'CALCULO GARANTIA'!N32</f>
        <v>568128.47296315152</v>
      </c>
      <c r="I32" s="199">
        <f t="shared" si="0"/>
        <v>14448682.353097126</v>
      </c>
    </row>
    <row r="33" spans="1:9" x14ac:dyDescent="0.2">
      <c r="A33" s="197" t="s">
        <v>27</v>
      </c>
      <c r="B33" s="198">
        <f>+'observado 2016'!R$4*'CALCULO GARANTIA'!N33</f>
        <v>19035943.439636223</v>
      </c>
      <c r="C33" s="198">
        <f>+'observado 2016'!R$5*'CALCULO GARANTIA'!N33</f>
        <v>2404097.756479152</v>
      </c>
      <c r="D33" s="198">
        <f>+'observado 2016'!R$6*'CALCULO GARANTIA'!N33</f>
        <v>706911.57078507589</v>
      </c>
      <c r="E33" s="198">
        <f>+'observado 2016'!R$7*'CALCULO GARANTIA'!N33</f>
        <v>859292.87357581686</v>
      </c>
      <c r="F33" s="198">
        <f>+'observado 2016'!R$8*'CALCULO GARANTIA'!N33</f>
        <v>210806.23536614605</v>
      </c>
      <c r="G33" s="198">
        <f>+'observado 2016'!R$9*'CALCULO GARANTIA'!N33</f>
        <v>676175.19202879805</v>
      </c>
      <c r="H33" s="198">
        <f>+'observado 2016'!R$10*'CALCULO GARANTIA'!N33</f>
        <v>977945.31295032834</v>
      </c>
      <c r="I33" s="199">
        <f t="shared" si="0"/>
        <v>24871172.380821541</v>
      </c>
    </row>
    <row r="34" spans="1:9" x14ac:dyDescent="0.2">
      <c r="A34" s="197" t="s">
        <v>28</v>
      </c>
      <c r="B34" s="198">
        <f>+'observado 2016'!R$4*'CALCULO GARANTIA'!N34</f>
        <v>10281342.190933637</v>
      </c>
      <c r="C34" s="198">
        <f>+'observado 2016'!R$5*'CALCULO GARANTIA'!N34</f>
        <v>1298456.8783363835</v>
      </c>
      <c r="D34" s="198">
        <f>+'observado 2016'!R$6*'CALCULO GARANTIA'!N34</f>
        <v>381804.02148277569</v>
      </c>
      <c r="E34" s="198">
        <f>+'observado 2016'!R$7*'CALCULO GARANTIA'!N34</f>
        <v>464105.39637705922</v>
      </c>
      <c r="F34" s="198">
        <f>+'observado 2016'!R$8*'CALCULO GARANTIA'!N34</f>
        <v>113856.77041196665</v>
      </c>
      <c r="G34" s="198">
        <f>+'observado 2016'!R$9*'CALCULO GARANTIA'!N34</f>
        <v>365203.25626693439</v>
      </c>
      <c r="H34" s="198">
        <f>+'observado 2016'!R$10*'CALCULO GARANTIA'!N34</f>
        <v>528189.76050992904</v>
      </c>
      <c r="I34" s="199">
        <f t="shared" si="0"/>
        <v>13432958.274318684</v>
      </c>
    </row>
    <row r="35" spans="1:9" x14ac:dyDescent="0.2">
      <c r="A35" s="197" t="s">
        <v>29</v>
      </c>
      <c r="B35" s="198">
        <f>+'observado 2016'!R$4*'CALCULO GARANTIA'!N35</f>
        <v>15239423.110454986</v>
      </c>
      <c r="C35" s="198">
        <f>+'observado 2016'!R$5*'CALCULO GARANTIA'!N35</f>
        <v>1924625.5393676201</v>
      </c>
      <c r="D35" s="198">
        <f>+'observado 2016'!R$6*'CALCULO GARANTIA'!N35</f>
        <v>565925.43274944671</v>
      </c>
      <c r="E35" s="198">
        <f>+'observado 2016'!R$7*'CALCULO GARANTIA'!N35</f>
        <v>687915.87439549703</v>
      </c>
      <c r="F35" s="198">
        <f>+'observado 2016'!R$8*'CALCULO GARANTIA'!N35</f>
        <v>168763.13092934107</v>
      </c>
      <c r="G35" s="198">
        <f>+'observado 2016'!R$9*'CALCULO GARANTIA'!N35</f>
        <v>541319.10408307682</v>
      </c>
      <c r="H35" s="198">
        <f>+'observado 2016'!R$10*'CALCULO GARANTIA'!N35</f>
        <v>782904.32256196963</v>
      </c>
      <c r="I35" s="199">
        <f t="shared" si="0"/>
        <v>19910876.514541935</v>
      </c>
    </row>
    <row r="36" spans="1:9" x14ac:dyDescent="0.2">
      <c r="A36" s="197" t="s">
        <v>30</v>
      </c>
      <c r="B36" s="198">
        <f>+'observado 2016'!R$4*'CALCULO GARANTIA'!N36</f>
        <v>14013086.751560843</v>
      </c>
      <c r="C36" s="198">
        <f>+'observado 2016'!R$5*'CALCULO GARANTIA'!N36</f>
        <v>1769748.3987386206</v>
      </c>
      <c r="D36" s="198">
        <f>+'observado 2016'!R$6*'CALCULO GARANTIA'!N36</f>
        <v>520384.67116199399</v>
      </c>
      <c r="E36" s="198">
        <f>+'observado 2016'!R$7*'CALCULO GARANTIA'!N36</f>
        <v>632558.38202080911</v>
      </c>
      <c r="F36" s="198">
        <f>+'observado 2016'!R$8*'CALCULO GARANTIA'!N36</f>
        <v>155182.54050938753</v>
      </c>
      <c r="G36" s="198">
        <f>+'observado 2016'!R$9*'CALCULO GARANTIA'!N36</f>
        <v>497758.44602603698</v>
      </c>
      <c r="H36" s="198">
        <f>+'observado 2016'!R$10*'CALCULO GARANTIA'!N36</f>
        <v>719902.98521905846</v>
      </c>
      <c r="I36" s="199">
        <f t="shared" si="0"/>
        <v>18308622.17523675</v>
      </c>
    </row>
    <row r="37" spans="1:9" x14ac:dyDescent="0.2">
      <c r="A37" s="197" t="s">
        <v>31</v>
      </c>
      <c r="B37" s="198">
        <f>+'observado 2016'!R$4*'CALCULO GARANTIA'!N37</f>
        <v>133246480.87053081</v>
      </c>
      <c r="C37" s="198">
        <f>+'observado 2016'!R$5*'CALCULO GARANTIA'!N37</f>
        <v>16828037.272509728</v>
      </c>
      <c r="D37" s="198">
        <f>+'observado 2016'!R$6*'CALCULO GARANTIA'!N37</f>
        <v>4948190.7420276795</v>
      </c>
      <c r="E37" s="198">
        <f>+'observado 2016'!R$7*'CALCULO GARANTIA'!N37</f>
        <v>6014818.8506748145</v>
      </c>
      <c r="F37" s="198">
        <f>+'observado 2016'!R$8*'CALCULO GARANTIA'!N37</f>
        <v>1475586.9125780812</v>
      </c>
      <c r="G37" s="198">
        <f>+'observado 2016'!R$9*'CALCULO GARANTIA'!N37</f>
        <v>4733044.3629178228</v>
      </c>
      <c r="H37" s="198">
        <f>+'observado 2016'!R$10*'CALCULO GARANTIA'!N37</f>
        <v>6845353.9929698054</v>
      </c>
      <c r="I37" s="199">
        <f t="shared" si="0"/>
        <v>174091513.00420871</v>
      </c>
    </row>
    <row r="38" spans="1:9" x14ac:dyDescent="0.2">
      <c r="A38" s="197" t="s">
        <v>32</v>
      </c>
      <c r="B38" s="198">
        <f>+'observado 2016'!R$4*'CALCULO GARANTIA'!N38</f>
        <v>25966716.154244255</v>
      </c>
      <c r="C38" s="198">
        <f>+'observado 2016'!R$5*'CALCULO GARANTIA'!N38</f>
        <v>3279402.6861608783</v>
      </c>
      <c r="D38" s="198">
        <f>+'observado 2016'!R$6*'CALCULO GARANTIA'!N38</f>
        <v>964290.11585032311</v>
      </c>
      <c r="E38" s="198">
        <f>+'observado 2016'!R$7*'CALCULO GARANTIA'!N38</f>
        <v>1172151.7355976412</v>
      </c>
      <c r="F38" s="198">
        <f>+'observado 2016'!R$8*'CALCULO GARANTIA'!N38</f>
        <v>287558.4125712305</v>
      </c>
      <c r="G38" s="198">
        <f>+'observado 2016'!R$9*'CALCULO GARANTIA'!N38</f>
        <v>922362.96759499807</v>
      </c>
      <c r="H38" s="198">
        <f>+'observado 2016'!R$10*'CALCULO GARANTIA'!N38</f>
        <v>1334004.1924520461</v>
      </c>
      <c r="I38" s="199">
        <f t="shared" si="0"/>
        <v>33926486.264471367</v>
      </c>
    </row>
    <row r="39" spans="1:9" x14ac:dyDescent="0.2">
      <c r="A39" s="197" t="s">
        <v>33</v>
      </c>
      <c r="B39" s="198">
        <f>+'observado 2016'!R$4*'CALCULO GARANTIA'!N39</f>
        <v>95204558.583511442</v>
      </c>
      <c r="C39" s="198">
        <f>+'observado 2016'!R$5*'CALCULO GARANTIA'!N39</f>
        <v>12023626.064187434</v>
      </c>
      <c r="D39" s="198">
        <f>+'observado 2016'!R$6*'CALCULO GARANTIA'!N39</f>
        <v>3535480.3541828543</v>
      </c>
      <c r="E39" s="198">
        <f>+'observado 2016'!R$7*'CALCULO GARANTIA'!N39</f>
        <v>4297585.7215672685</v>
      </c>
      <c r="F39" s="198">
        <f>+'observado 2016'!R$8*'CALCULO GARANTIA'!N39</f>
        <v>1054306.273199837</v>
      </c>
      <c r="G39" s="198">
        <f>+'observado 2016'!R$9*'CALCULO GARANTIA'!N39</f>
        <v>3381758.3502681921</v>
      </c>
      <c r="H39" s="198">
        <f>+'observado 2016'!R$10*'CALCULO GARANTIA'!N39</f>
        <v>4891002.7566266609</v>
      </c>
      <c r="I39" s="199">
        <f t="shared" si="0"/>
        <v>124388318.1035437</v>
      </c>
    </row>
    <row r="40" spans="1:9" x14ac:dyDescent="0.2">
      <c r="A40" s="197" t="s">
        <v>34</v>
      </c>
      <c r="B40" s="198">
        <f>+'observado 2016'!R$4*'CALCULO GARANTIA'!N40</f>
        <v>18975006.868846256</v>
      </c>
      <c r="C40" s="198">
        <f>+'observado 2016'!R$5*'CALCULO GARANTIA'!N40</f>
        <v>2396401.9218288632</v>
      </c>
      <c r="D40" s="198">
        <f>+'observado 2016'!R$6*'CALCULO GARANTIA'!N40</f>
        <v>704648.6534197249</v>
      </c>
      <c r="E40" s="198">
        <f>+'observado 2016'!R$7*'CALCULO GARANTIA'!N40</f>
        <v>856542.16352112417</v>
      </c>
      <c r="F40" s="198">
        <f>+'observado 2016'!R$8*'CALCULO GARANTIA'!N40</f>
        <v>210131.41674603982</v>
      </c>
      <c r="G40" s="198">
        <f>+'observado 2016'!R$9*'CALCULO GARANTIA'!N40</f>
        <v>674010.66587404558</v>
      </c>
      <c r="H40" s="198">
        <f>+'observado 2016'!R$10*'CALCULO GARANTIA'!N40</f>
        <v>974814.78075578355</v>
      </c>
      <c r="I40" s="199">
        <f t="shared" si="0"/>
        <v>24791556.470991839</v>
      </c>
    </row>
    <row r="41" spans="1:9" x14ac:dyDescent="0.2">
      <c r="A41" s="197" t="s">
        <v>35</v>
      </c>
      <c r="B41" s="198">
        <f>+'observado 2016'!R$4*'CALCULO GARANTIA'!N41</f>
        <v>17627996.144408565</v>
      </c>
      <c r="C41" s="198">
        <f>+'observado 2016'!R$5*'CALCULO GARANTIA'!N41</f>
        <v>2226284.5083766254</v>
      </c>
      <c r="D41" s="198">
        <f>+'observado 2016'!R$6*'CALCULO GARANTIA'!N41</f>
        <v>654626.57439348113</v>
      </c>
      <c r="E41" s="198">
        <f>+'observado 2016'!R$7*'CALCULO GARANTIA'!N41</f>
        <v>795737.36444142985</v>
      </c>
      <c r="F41" s="198">
        <f>+'observado 2016'!R$8*'CALCULO GARANTIA'!N41</f>
        <v>195214.46447010044</v>
      </c>
      <c r="G41" s="198">
        <f>+'observado 2016'!R$9*'CALCULO GARANTIA'!N41</f>
        <v>626163.53719614528</v>
      </c>
      <c r="H41" s="198">
        <f>+'observado 2016'!R$10*'CALCULO GARANTIA'!N41</f>
        <v>905613.96448760713</v>
      </c>
      <c r="I41" s="199">
        <f t="shared" si="0"/>
        <v>23031636.557773951</v>
      </c>
    </row>
    <row r="42" spans="1:9" x14ac:dyDescent="0.2">
      <c r="A42" s="197" t="s">
        <v>36</v>
      </c>
      <c r="B42" s="198">
        <f>+'observado 2016'!R$4*'CALCULO GARANTIA'!N42</f>
        <v>20501376.097557779</v>
      </c>
      <c r="C42" s="198">
        <f>+'observado 2016'!R$5*'CALCULO GARANTIA'!N42</f>
        <v>2589170.9773758315</v>
      </c>
      <c r="D42" s="198">
        <f>+'observado 2016'!R$6*'CALCULO GARANTIA'!N42</f>
        <v>761331.32178801706</v>
      </c>
      <c r="E42" s="198">
        <f>+'observado 2016'!R$7*'CALCULO GARANTIA'!N42</f>
        <v>925443.30334833369</v>
      </c>
      <c r="F42" s="198">
        <f>+'observado 2016'!R$8*'CALCULO GARANTIA'!N42</f>
        <v>227034.60580539715</v>
      </c>
      <c r="G42" s="198">
        <f>+'observado 2016'!R$9*'CALCULO GARANTIA'!N42</f>
        <v>728228.78275402426</v>
      </c>
      <c r="H42" s="198">
        <f>+'observado 2016'!R$10*'CALCULO GARANTIA'!N42</f>
        <v>1053229.8925564396</v>
      </c>
      <c r="I42" s="199">
        <f t="shared" si="0"/>
        <v>26785814.98118582</v>
      </c>
    </row>
    <row r="43" spans="1:9" x14ac:dyDescent="0.2">
      <c r="A43" s="197" t="s">
        <v>37</v>
      </c>
      <c r="B43" s="198">
        <f>+'observado 2016'!R$4*'CALCULO GARANTIA'!N43</f>
        <v>28877076.902636819</v>
      </c>
      <c r="C43" s="198">
        <f>+'observado 2016'!R$5*'CALCULO GARANTIA'!N43</f>
        <v>3646959.5539327678</v>
      </c>
      <c r="D43" s="198">
        <f>+'observado 2016'!R$6*'CALCULO GARANTIA'!N43</f>
        <v>1072368.1680215441</v>
      </c>
      <c r="E43" s="198">
        <f>+'observado 2016'!R$7*'CALCULO GARANTIA'!N43</f>
        <v>1303527.0077799114</v>
      </c>
      <c r="F43" s="198">
        <f>+'observado 2016'!R$8*'CALCULO GARANTIA'!N43</f>
        <v>319788.08350251586</v>
      </c>
      <c r="G43" s="198">
        <f>+'observado 2016'!R$9*'CALCULO GARANTIA'!N43</f>
        <v>1025741.80690274</v>
      </c>
      <c r="H43" s="198">
        <f>+'observado 2016'!R$10*'CALCULO GARANTIA'!N43</f>
        <v>1483519.9578203587</v>
      </c>
      <c r="I43" s="199">
        <f t="shared" si="0"/>
        <v>37728981.480596647</v>
      </c>
    </row>
    <row r="44" spans="1:9" x14ac:dyDescent="0.2">
      <c r="A44" s="197" t="s">
        <v>38</v>
      </c>
      <c r="B44" s="198">
        <f>+'observado 2016'!R$4*'CALCULO GARANTIA'!N44</f>
        <v>67748289.062544778</v>
      </c>
      <c r="C44" s="198">
        <f>+'observado 2016'!R$5*'CALCULO GARANTIA'!N44</f>
        <v>8556103.8914117254</v>
      </c>
      <c r="D44" s="198">
        <f>+'observado 2016'!R$6*'CALCULO GARANTIA'!N44</f>
        <v>2515874.7498421925</v>
      </c>
      <c r="E44" s="198">
        <f>+'observado 2016'!R$7*'CALCULO GARANTIA'!N44</f>
        <v>3058194.7342406944</v>
      </c>
      <c r="F44" s="198">
        <f>+'observado 2016'!R$8*'CALCULO GARANTIA'!N44</f>
        <v>750252.37467533886</v>
      </c>
      <c r="G44" s="198">
        <f>+'observado 2016'!R$9*'CALCULO GARANTIA'!N44</f>
        <v>2406485.0009537623</v>
      </c>
      <c r="H44" s="198">
        <f>+'observado 2016'!R$10*'CALCULO GARANTIA'!N44</f>
        <v>3480474.816455211</v>
      </c>
      <c r="I44" s="199">
        <f t="shared" si="0"/>
        <v>88515674.630123705</v>
      </c>
    </row>
    <row r="45" spans="1:9" x14ac:dyDescent="0.2">
      <c r="A45" s="197" t="s">
        <v>39</v>
      </c>
      <c r="B45" s="198">
        <f>+'observado 2016'!R$4*'CALCULO GARANTIA'!N45</f>
        <v>1212182476.8421495</v>
      </c>
      <c r="C45" s="198">
        <f>+'observado 2016'!R$5*'CALCULO GARANTIA'!N45</f>
        <v>153089610.83334905</v>
      </c>
      <c r="D45" s="198">
        <f>+'observado 2016'!R$6*'CALCULO GARANTIA'!N45</f>
        <v>45015148.39545054</v>
      </c>
      <c r="E45" s="198">
        <f>+'observado 2016'!R$7*'CALCULO GARANTIA'!N45</f>
        <v>54718578.415982455</v>
      </c>
      <c r="F45" s="198">
        <f>+'observado 2016'!R$8*'CALCULO GARANTIA'!N45</f>
        <v>13423848.696032232</v>
      </c>
      <c r="G45" s="198">
        <f>+'observado 2016'!R$9*'CALCULO GARANTIA'!N45</f>
        <v>43057898.425251253</v>
      </c>
      <c r="H45" s="198">
        <f>+'observado 2016'!R$10*'CALCULO GARANTIA'!N45</f>
        <v>62274201.193516143</v>
      </c>
      <c r="I45" s="199">
        <f t="shared" si="0"/>
        <v>1583761762.8017313</v>
      </c>
    </row>
    <row r="46" spans="1:9" x14ac:dyDescent="0.2">
      <c r="A46" s="197" t="s">
        <v>40</v>
      </c>
      <c r="B46" s="198">
        <f>+'observado 2016'!R$4*'CALCULO GARANTIA'!N46</f>
        <v>7241108.6641968358</v>
      </c>
      <c r="C46" s="198">
        <f>+'observado 2016'!R$5*'CALCULO GARANTIA'!N46</f>
        <v>914498.04677240807</v>
      </c>
      <c r="D46" s="198">
        <f>+'observado 2016'!R$6*'CALCULO GARANTIA'!N46</f>
        <v>268903.06310610828</v>
      </c>
      <c r="E46" s="198">
        <f>+'observado 2016'!R$7*'CALCULO GARANTIA'!N46</f>
        <v>326867.59611696709</v>
      </c>
      <c r="F46" s="198">
        <f>+'observado 2016'!R$8*'CALCULO GARANTIA'!N46</f>
        <v>80188.87333937615</v>
      </c>
      <c r="G46" s="198">
        <f>+'observado 2016'!R$9*'CALCULO GARANTIA'!N46</f>
        <v>257211.20978536885</v>
      </c>
      <c r="H46" s="198">
        <f>+'observado 2016'!R$10*'CALCULO GARANTIA'!N46</f>
        <v>372001.96045815916</v>
      </c>
      <c r="I46" s="199">
        <f t="shared" si="0"/>
        <v>9460779.4137752224</v>
      </c>
    </row>
    <row r="47" spans="1:9" x14ac:dyDescent="0.2">
      <c r="A47" s="197" t="s">
        <v>41</v>
      </c>
      <c r="B47" s="198">
        <f>+'observado 2016'!R$4*'CALCULO GARANTIA'!N47</f>
        <v>19813329.490782373</v>
      </c>
      <c r="C47" s="198">
        <f>+'observado 2016'!R$5*'CALCULO GARANTIA'!N47</f>
        <v>2502275.8198572579</v>
      </c>
      <c r="D47" s="198">
        <f>+'observado 2016'!R$6*'CALCULO GARANTIA'!N47</f>
        <v>735780.2841359406</v>
      </c>
      <c r="E47" s="198">
        <f>+'observado 2016'!R$7*'CALCULO GARANTIA'!N47</f>
        <v>894384.50409496576</v>
      </c>
      <c r="F47" s="198">
        <f>+'observado 2016'!R$8*'CALCULO GARANTIA'!N47</f>
        <v>219415.09824640924</v>
      </c>
      <c r="G47" s="198">
        <f>+'observado 2016'!R$9*'CALCULO GARANTIA'!N47</f>
        <v>703788.6992910523</v>
      </c>
      <c r="H47" s="198">
        <f>+'observado 2016'!R$10*'CALCULO GARANTIA'!N47</f>
        <v>1017882.4480590818</v>
      </c>
      <c r="I47" s="199">
        <f t="shared" si="0"/>
        <v>25886856.344467081</v>
      </c>
    </row>
    <row r="48" spans="1:9" x14ac:dyDescent="0.2">
      <c r="A48" s="197" t="s">
        <v>42</v>
      </c>
      <c r="B48" s="198">
        <f>+'observado 2016'!R$4*'CALCULO GARANTIA'!N48</f>
        <v>15358171.381793117</v>
      </c>
      <c r="C48" s="198">
        <f>+'observado 2016'!R$5*'CALCULO GARANTIA'!N48</f>
        <v>1939622.5608504298</v>
      </c>
      <c r="D48" s="198">
        <f>+'observado 2016'!R$6*'CALCULO GARANTIA'!N48</f>
        <v>570335.22348484385</v>
      </c>
      <c r="E48" s="198">
        <f>+'observado 2016'!R$7*'CALCULO GARANTIA'!N48</f>
        <v>693276.23615712312</v>
      </c>
      <c r="F48" s="198">
        <f>+'observado 2016'!R$8*'CALCULO GARANTIA'!N48</f>
        <v>170078.16299572692</v>
      </c>
      <c r="G48" s="198">
        <f>+'observado 2016'!R$9*'CALCULO GARANTIA'!N48</f>
        <v>545537.15796781157</v>
      </c>
      <c r="H48" s="198">
        <f>+'observado 2016'!R$10*'CALCULO GARANTIA'!N48</f>
        <v>789004.85105662129</v>
      </c>
      <c r="I48" s="199">
        <f t="shared" si="0"/>
        <v>20066025.574305672</v>
      </c>
    </row>
    <row r="49" spans="1:9" x14ac:dyDescent="0.2">
      <c r="A49" s="197" t="s">
        <v>43</v>
      </c>
      <c r="B49" s="198">
        <f>+'observado 2016'!R$4*'CALCULO GARANTIA'!N49</f>
        <v>16612466.517675465</v>
      </c>
      <c r="C49" s="198">
        <f>+'observado 2016'!R$5*'CALCULO GARANTIA'!N49</f>
        <v>2098030.6865994679</v>
      </c>
      <c r="D49" s="198">
        <f>+'observado 2016'!R$6*'CALCULO GARANTIA'!N49</f>
        <v>616914.25160322187</v>
      </c>
      <c r="E49" s="198">
        <f>+'observado 2016'!R$7*'CALCULO GARANTIA'!N49</f>
        <v>749895.80298039527</v>
      </c>
      <c r="F49" s="198">
        <f>+'observado 2016'!R$8*'CALCULO GARANTIA'!N49</f>
        <v>183968.37213991207</v>
      </c>
      <c r="G49" s="198">
        <f>+'observado 2016'!R$9*'CALCULO GARANTIA'!N49</f>
        <v>590090.93892726162</v>
      </c>
      <c r="H49" s="198">
        <f>+'observado 2016'!R$10*'CALCULO GARANTIA'!N49</f>
        <v>853442.5319670653</v>
      </c>
      <c r="I49" s="199">
        <f t="shared" si="0"/>
        <v>21704809.101892795</v>
      </c>
    </row>
    <row r="50" spans="1:9" x14ac:dyDescent="0.2">
      <c r="A50" s="197" t="s">
        <v>44</v>
      </c>
      <c r="B50" s="198">
        <f>+'observado 2016'!R$4*'CALCULO GARANTIA'!N50</f>
        <v>49515790.114582896</v>
      </c>
      <c r="C50" s="198">
        <f>+'observado 2016'!R$5*'CALCULO GARANTIA'!N50</f>
        <v>6253475.1851015268</v>
      </c>
      <c r="D50" s="198">
        <f>+'observado 2016'!R$6*'CALCULO GARANTIA'!N50</f>
        <v>1838799.58876537</v>
      </c>
      <c r="E50" s="198">
        <f>+'observado 2016'!R$7*'CALCULO GARANTIA'!N50</f>
        <v>2235169.7834079117</v>
      </c>
      <c r="F50" s="198">
        <f>+'observado 2016'!R$8*'CALCULO GARANTIA'!N50</f>
        <v>548343.57636833389</v>
      </c>
      <c r="G50" s="198">
        <f>+'observado 2016'!R$9*'CALCULO GARANTIA'!N50</f>
        <v>1758848.9372936264</v>
      </c>
      <c r="H50" s="198">
        <f>+'observado 2016'!R$10*'CALCULO GARANTIA'!N50</f>
        <v>2543805.3550191638</v>
      </c>
      <c r="I50" s="199">
        <f t="shared" si="0"/>
        <v>64694232.540538825</v>
      </c>
    </row>
    <row r="51" spans="1:9" x14ac:dyDescent="0.2">
      <c r="A51" s="197" t="s">
        <v>45</v>
      </c>
      <c r="B51" s="198">
        <f>+'observado 2016'!R$4*'CALCULO GARANTIA'!N51</f>
        <v>42610933.337181114</v>
      </c>
      <c r="C51" s="198">
        <f>+'observado 2016'!R$5*'CALCULO GARANTIA'!N51</f>
        <v>5381443.2451033518</v>
      </c>
      <c r="D51" s="198">
        <f>+'observado 2016'!R$6*'CALCULO GARANTIA'!N51</f>
        <v>1582383.4481082326</v>
      </c>
      <c r="E51" s="198">
        <f>+'observado 2016'!R$7*'CALCULO GARANTIA'!N51</f>
        <v>1923480.7809322658</v>
      </c>
      <c r="F51" s="198">
        <f>+'observado 2016'!R$8*'CALCULO GARANTIA'!N51</f>
        <v>471878.39524388808</v>
      </c>
      <c r="G51" s="198">
        <f>+'observado 2016'!R$9*'CALCULO GARANTIA'!N51</f>
        <v>1513581.7209774898</v>
      </c>
      <c r="H51" s="198">
        <f>+'observado 2016'!R$10*'CALCULO GARANTIA'!N51</f>
        <v>2189077.871011551</v>
      </c>
      <c r="I51" s="199">
        <f t="shared" si="0"/>
        <v>55672778.798557892</v>
      </c>
    </row>
    <row r="52" spans="1:9" x14ac:dyDescent="0.2">
      <c r="A52" s="197" t="s">
        <v>46</v>
      </c>
      <c r="B52" s="198">
        <f>+'observado 2016'!R$4*'CALCULO GARANTIA'!N52</f>
        <v>390096006.13157076</v>
      </c>
      <c r="C52" s="198">
        <f>+'observado 2016'!R$5*'CALCULO GARANTIA'!N52</f>
        <v>49266217.675329924</v>
      </c>
      <c r="D52" s="198">
        <f>+'observado 2016'!R$6*'CALCULO GARANTIA'!N52</f>
        <v>14486457.228973733</v>
      </c>
      <c r="E52" s="198">
        <f>+'observado 2016'!R$7*'CALCULO GARANTIA'!N52</f>
        <v>17609146.567502759</v>
      </c>
      <c r="F52" s="198">
        <f>+'observado 2016'!R$8*'CALCULO GARANTIA'!N52</f>
        <v>4319968.208811665</v>
      </c>
      <c r="G52" s="198">
        <f>+'observado 2016'!R$9*'CALCULO GARANTIA'!N52</f>
        <v>13856588.862649128</v>
      </c>
      <c r="H52" s="198">
        <f>+'observado 2016'!R$10*'CALCULO GARANTIA'!N52</f>
        <v>20040643.743597005</v>
      </c>
      <c r="I52" s="199">
        <f t="shared" si="0"/>
        <v>509675028.41843498</v>
      </c>
    </row>
    <row r="53" spans="1:9" x14ac:dyDescent="0.2">
      <c r="A53" s="197" t="s">
        <v>47</v>
      </c>
      <c r="B53" s="198">
        <f>+'observado 2016'!R$4*'CALCULO GARANTIA'!N53</f>
        <v>566009074.72934341</v>
      </c>
      <c r="C53" s="198">
        <f>+'observado 2016'!R$5*'CALCULO GARANTIA'!N53</f>
        <v>71482726.927542239</v>
      </c>
      <c r="D53" s="198">
        <f>+'observado 2016'!R$6*'CALCULO GARANTIA'!N53</f>
        <v>21019098.179416202</v>
      </c>
      <c r="E53" s="198">
        <f>+'observado 2016'!R$7*'CALCULO GARANTIA'!N53</f>
        <v>25549958.468644261</v>
      </c>
      <c r="F53" s="198">
        <f>+'observado 2016'!R$8*'CALCULO GARANTIA'!N53</f>
        <v>6268049.8397745127</v>
      </c>
      <c r="G53" s="198">
        <f>+'observado 2016'!R$9*'CALCULO GARANTIA'!N53</f>
        <v>20105191.844511483</v>
      </c>
      <c r="H53" s="198">
        <f>+'observado 2016'!R$10*'CALCULO GARANTIA'!N53</f>
        <v>29077934.775030587</v>
      </c>
      <c r="I53" s="199">
        <f t="shared" si="0"/>
        <v>739512034.76426268</v>
      </c>
    </row>
    <row r="54" spans="1:9" x14ac:dyDescent="0.2">
      <c r="A54" s="197" t="s">
        <v>48</v>
      </c>
      <c r="B54" s="198">
        <f>+'observado 2016'!R$4*'CALCULO GARANTIA'!N54</f>
        <v>197118274.61706787</v>
      </c>
      <c r="C54" s="198">
        <f>+'observado 2016'!R$5*'CALCULO GARANTIA'!N54</f>
        <v>24894568.702132598</v>
      </c>
      <c r="D54" s="198">
        <f>+'observado 2016'!R$6*'CALCULO GARANTIA'!N54</f>
        <v>7320109.4330766872</v>
      </c>
      <c r="E54" s="198">
        <f>+'observado 2016'!R$7*'CALCULO GARANTIA'!N54</f>
        <v>8898026.4711925481</v>
      </c>
      <c r="F54" s="198">
        <f>+'observado 2016'!R$8*'CALCULO GARANTIA'!N54</f>
        <v>2182910.5305793192</v>
      </c>
      <c r="G54" s="198">
        <f>+'observado 2016'!R$9*'CALCULO GARANTIA'!N54</f>
        <v>7001832.4867500402</v>
      </c>
      <c r="H54" s="198">
        <f>+'observado 2016'!R$10*'CALCULO GARANTIA'!N54</f>
        <v>10126679.214502912</v>
      </c>
      <c r="I54" s="199">
        <f t="shared" si="0"/>
        <v>257542401.45530194</v>
      </c>
    </row>
    <row r="55" spans="1:9" x14ac:dyDescent="0.2">
      <c r="A55" s="197" t="s">
        <v>49</v>
      </c>
      <c r="B55" s="198">
        <f>+'observado 2016'!R$4*'CALCULO GARANTIA'!N55</f>
        <v>52133500.978354014</v>
      </c>
      <c r="C55" s="198">
        <f>+'observado 2016'!R$5*'CALCULO GARANTIA'!N55</f>
        <v>6584072.5539505854</v>
      </c>
      <c r="D55" s="198">
        <f>+'observado 2016'!R$6*'CALCULO GARANTIA'!N55</f>
        <v>1936009.9058918932</v>
      </c>
      <c r="E55" s="198">
        <f>+'observado 2016'!R$7*'CALCULO GARANTIA'!N55</f>
        <v>2353334.680117833</v>
      </c>
      <c r="F55" s="198">
        <f>+'observado 2016'!R$8*'CALCULO GARANTIA'!N55</f>
        <v>577332.40869064699</v>
      </c>
      <c r="G55" s="198">
        <f>+'observado 2016'!R$9*'CALCULO GARANTIA'!N55</f>
        <v>1851832.5685803629</v>
      </c>
      <c r="H55" s="198">
        <f>+'observado 2016'!R$10*'CALCULO GARANTIA'!N55</f>
        <v>2678286.6366011309</v>
      </c>
      <c r="I55" s="199">
        <f t="shared" si="0"/>
        <v>68114369.732186466</v>
      </c>
    </row>
    <row r="56" spans="1:9" x14ac:dyDescent="0.2">
      <c r="A56" s="197" t="s">
        <v>50</v>
      </c>
      <c r="B56" s="198">
        <f>+'observado 2016'!R$4*'CALCULO GARANTIA'!N56</f>
        <v>12857261.521610247</v>
      </c>
      <c r="C56" s="198">
        <f>+'observado 2016'!R$5*'CALCULO GARANTIA'!N56</f>
        <v>1623776.2880829202</v>
      </c>
      <c r="D56" s="198">
        <f>+'observado 2016'!R$6*'CALCULO GARANTIA'!N56</f>
        <v>477462.38409761235</v>
      </c>
      <c r="E56" s="198">
        <f>+'observado 2016'!R$7*'CALCULO GARANTIA'!N56</f>
        <v>580383.8004800973</v>
      </c>
      <c r="F56" s="198">
        <f>+'observado 2016'!R$8*'CALCULO GARANTIA'!N56</f>
        <v>142382.79847192371</v>
      </c>
      <c r="G56" s="198">
        <f>+'observado 2016'!R$9*'CALCULO GARANTIA'!N56</f>
        <v>456702.41172482824</v>
      </c>
      <c r="H56" s="198">
        <f>+'observado 2016'!R$10*'CALCULO GARANTIA'!N56</f>
        <v>660524.05977707775</v>
      </c>
      <c r="I56" s="199">
        <f t="shared" si="0"/>
        <v>16798493.264244705</v>
      </c>
    </row>
    <row r="57" spans="1:9" ht="13.5" thickBot="1" x14ac:dyDescent="0.25">
      <c r="A57" s="197" t="s">
        <v>51</v>
      </c>
      <c r="B57" s="198">
        <f>+'observado 2016'!R$4*'CALCULO GARANTIA'!N57</f>
        <v>17713591.662625886</v>
      </c>
      <c r="C57" s="198">
        <f>+'observado 2016'!R$5*'CALCULO GARANTIA'!N57</f>
        <v>2237094.5842713909</v>
      </c>
      <c r="D57" s="198">
        <f>+'observado 2016'!R$6*'CALCULO GARANTIA'!N57</f>
        <v>657805.21707158338</v>
      </c>
      <c r="E57" s="198">
        <f>+'observado 2016'!R$7*'CALCULO GARANTIA'!N57</f>
        <v>799601.19283782167</v>
      </c>
      <c r="F57" s="198">
        <f>+'observado 2016'!R$8*'CALCULO GARANTIA'!N57</f>
        <v>196162.35912091334</v>
      </c>
      <c r="G57" s="198">
        <f>+'observado 2016'!R$9*'CALCULO GARANTIA'!N57</f>
        <v>629203.97310366598</v>
      </c>
      <c r="H57" s="198">
        <f>+'observado 2016'!R$10*'CALCULO GARANTIA'!N57</f>
        <v>910011.31606178184</v>
      </c>
      <c r="I57" s="199">
        <f t="shared" si="0"/>
        <v>23143470.305093043</v>
      </c>
    </row>
    <row r="58" spans="1:9" ht="14.25" thickTop="1" thickBot="1" x14ac:dyDescent="0.25">
      <c r="A58" s="200" t="s">
        <v>52</v>
      </c>
      <c r="B58" s="201">
        <f t="shared" ref="B58:I58" si="1">SUM(B7:B57)</f>
        <v>4875912393.5416832</v>
      </c>
      <c r="C58" s="201">
        <f t="shared" si="1"/>
        <v>615791388.7102021</v>
      </c>
      <c r="D58" s="201">
        <f>SUM(D7:D57)</f>
        <v>181070032.07164598</v>
      </c>
      <c r="E58" s="201">
        <f>SUM(E7:E57)</f>
        <v>220101345.92154673</v>
      </c>
      <c r="F58" s="201">
        <f>SUM(F7:F57)</f>
        <v>53996416.77425044</v>
      </c>
      <c r="G58" s="201">
        <f t="shared" si="1"/>
        <v>173197141.99999997</v>
      </c>
      <c r="H58" s="201">
        <f t="shared" si="1"/>
        <v>250493267.47272727</v>
      </c>
      <c r="I58" s="202">
        <f t="shared" si="1"/>
        <v>6370561986.4920559</v>
      </c>
    </row>
    <row r="59" spans="1:9" ht="13.5" thickTop="1" x14ac:dyDescent="0.2">
      <c r="A59" s="203"/>
      <c r="B59" s="203"/>
      <c r="C59" s="203"/>
      <c r="D59" s="203"/>
      <c r="E59" s="203"/>
      <c r="F59" s="203"/>
      <c r="G59" s="203"/>
      <c r="H59" s="203"/>
      <c r="I59" s="203"/>
    </row>
    <row r="60" spans="1:9" ht="16.5" customHeight="1" x14ac:dyDescent="0.2">
      <c r="A60" s="191" t="s">
        <v>150</v>
      </c>
    </row>
    <row r="61" spans="1:9" x14ac:dyDescent="0.2">
      <c r="A61" s="204"/>
    </row>
    <row r="64" spans="1:9" ht="16.5" customHeight="1" x14ac:dyDescent="0.2"/>
  </sheetData>
  <mergeCells count="4">
    <mergeCell ref="A1:I1"/>
    <mergeCell ref="A2:I2"/>
    <mergeCell ref="A3:I3"/>
    <mergeCell ref="A4:I4"/>
  </mergeCells>
  <printOptions horizontalCentered="1"/>
  <pageMargins left="0.39370078740157483" right="0.39370078740157483" top="0.15748031496062992" bottom="0.15748031496062992" header="0.15748031496062992" footer="0.15748031496062992"/>
  <pageSetup scale="73" orientation="landscape" r:id="rId1"/>
  <headerFooter alignWithMargins="0">
    <oddFooter>&amp;R&amp;D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zoomScale="130" zoomScaleNormal="130" zoomScaleSheetLayoutView="100" workbookViewId="0">
      <selection activeCell="D10" sqref="D10"/>
    </sheetView>
  </sheetViews>
  <sheetFormatPr baseColWidth="10" defaultRowHeight="12.75" x14ac:dyDescent="0.2"/>
  <cols>
    <col min="1" max="1" width="28" style="192" customWidth="1"/>
    <col min="2" max="2" width="13.85546875" style="192" bestFit="1" customWidth="1"/>
    <col min="3" max="8" width="13.42578125" style="192" customWidth="1"/>
    <col min="9" max="9" width="13.85546875" style="192" bestFit="1" customWidth="1"/>
    <col min="10" max="16384" width="11.42578125" style="192"/>
  </cols>
  <sheetData>
    <row r="1" spans="1:9" x14ac:dyDescent="0.2">
      <c r="A1" s="237" t="s">
        <v>151</v>
      </c>
      <c r="B1" s="237"/>
      <c r="C1" s="237"/>
      <c r="D1" s="237"/>
      <c r="E1" s="237"/>
      <c r="F1" s="237"/>
      <c r="G1" s="237"/>
      <c r="H1" s="237"/>
      <c r="I1" s="237"/>
    </row>
    <row r="2" spans="1:9" x14ac:dyDescent="0.2">
      <c r="A2" s="237" t="s">
        <v>206</v>
      </c>
      <c r="B2" s="237"/>
      <c r="C2" s="237"/>
      <c r="D2" s="237"/>
      <c r="E2" s="237"/>
      <c r="F2" s="237"/>
      <c r="G2" s="237"/>
      <c r="H2" s="237"/>
      <c r="I2" s="237"/>
    </row>
    <row r="3" spans="1:9" x14ac:dyDescent="0.2">
      <c r="A3" s="237" t="s">
        <v>209</v>
      </c>
      <c r="B3" s="237"/>
      <c r="C3" s="237"/>
      <c r="D3" s="237"/>
      <c r="E3" s="237"/>
      <c r="F3" s="237"/>
      <c r="G3" s="237"/>
      <c r="H3" s="237"/>
      <c r="I3" s="237"/>
    </row>
    <row r="4" spans="1:9" x14ac:dyDescent="0.2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3.5" customHeight="1" thickBot="1" x14ac:dyDescent="0.25">
      <c r="A5" s="193"/>
    </row>
    <row r="6" spans="1:9" ht="14.25" thickTop="1" thickBot="1" x14ac:dyDescent="0.25">
      <c r="A6" s="194" t="s">
        <v>0</v>
      </c>
      <c r="B6" s="195" t="s">
        <v>134</v>
      </c>
      <c r="C6" s="195" t="s">
        <v>135</v>
      </c>
      <c r="D6" s="195" t="s">
        <v>136</v>
      </c>
      <c r="E6" s="195" t="s">
        <v>181</v>
      </c>
      <c r="F6" s="195" t="s">
        <v>156</v>
      </c>
      <c r="G6" s="195" t="s">
        <v>137</v>
      </c>
      <c r="H6" s="195" t="s">
        <v>188</v>
      </c>
      <c r="I6" s="196" t="s">
        <v>53</v>
      </c>
    </row>
    <row r="7" spans="1:9" ht="13.5" thickTop="1" x14ac:dyDescent="0.2">
      <c r="A7" s="197" t="s">
        <v>1</v>
      </c>
      <c r="B7" s="198">
        <v>6733716.2686510021</v>
      </c>
      <c r="C7" s="198">
        <v>850418.16947846545</v>
      </c>
      <c r="D7" s="198">
        <v>250060.73167782361</v>
      </c>
      <c r="E7" s="198">
        <v>303963.6266425944</v>
      </c>
      <c r="F7" s="198">
        <v>74569.951372224547</v>
      </c>
      <c r="G7" s="198">
        <v>239188.1392934809</v>
      </c>
      <c r="H7" s="198">
        <v>345935.37664926279</v>
      </c>
      <c r="I7" s="199">
        <f>SUM(B7:H7)</f>
        <v>8797852.2637648545</v>
      </c>
    </row>
    <row r="8" spans="1:9" x14ac:dyDescent="0.2">
      <c r="A8" s="197" t="s">
        <v>2</v>
      </c>
      <c r="B8" s="198">
        <v>13337992.821675619</v>
      </c>
      <c r="C8" s="198">
        <v>1684489.0677579234</v>
      </c>
      <c r="D8" s="198">
        <v>495314.63920292887</v>
      </c>
      <c r="E8" s="198">
        <v>602084.27389258286</v>
      </c>
      <c r="F8" s="198">
        <v>147706.47238967888</v>
      </c>
      <c r="G8" s="198">
        <v>473778.45422131539</v>
      </c>
      <c r="H8" s="198">
        <v>685220.96661430609</v>
      </c>
      <c r="I8" s="199">
        <f t="shared" ref="I8:I57" si="0">SUM(B8:H8)</f>
        <v>17426586.695754357</v>
      </c>
    </row>
    <row r="9" spans="1:9" x14ac:dyDescent="0.2">
      <c r="A9" s="197" t="s">
        <v>3</v>
      </c>
      <c r="B9" s="198">
        <v>13051601.477830941</v>
      </c>
      <c r="C9" s="198">
        <v>1648319.9758820548</v>
      </c>
      <c r="D9" s="198">
        <v>484679.3189531879</v>
      </c>
      <c r="E9" s="198">
        <v>589156.41236100183</v>
      </c>
      <c r="F9" s="198">
        <v>144534.94158382242</v>
      </c>
      <c r="G9" s="198">
        <v>463605.55564480752</v>
      </c>
      <c r="H9" s="198">
        <v>670508.00671974791</v>
      </c>
      <c r="I9" s="199">
        <f t="shared" si="0"/>
        <v>17052405.688975565</v>
      </c>
    </row>
    <row r="10" spans="1:9" x14ac:dyDescent="0.2">
      <c r="A10" s="197" t="s">
        <v>4</v>
      </c>
      <c r="B10" s="198">
        <v>35676975.390079007</v>
      </c>
      <c r="C10" s="198">
        <v>4505736.0443013543</v>
      </c>
      <c r="D10" s="198">
        <v>1324886.6174579894</v>
      </c>
      <c r="E10" s="198">
        <v>1610478.1363673846</v>
      </c>
      <c r="F10" s="198">
        <v>395090.94440642651</v>
      </c>
      <c r="G10" s="198">
        <v>1267280.8028607157</v>
      </c>
      <c r="H10" s="198">
        <v>1832855.3545880211</v>
      </c>
      <c r="I10" s="199">
        <f t="shared" si="0"/>
        <v>46613303.2900609</v>
      </c>
    </row>
    <row r="11" spans="1:9" x14ac:dyDescent="0.2">
      <c r="A11" s="197" t="s">
        <v>5</v>
      </c>
      <c r="B11" s="198">
        <v>48471230.71965836</v>
      </c>
      <c r="C11" s="198">
        <v>6121555.1199988667</v>
      </c>
      <c r="D11" s="198">
        <v>1800009.2275213392</v>
      </c>
      <c r="E11" s="198">
        <v>2188017.8031809041</v>
      </c>
      <c r="F11" s="198">
        <v>536776.00503368233</v>
      </c>
      <c r="G11" s="198">
        <v>1721745.173475021</v>
      </c>
      <c r="H11" s="198">
        <v>2490142.558236646</v>
      </c>
      <c r="I11" s="199">
        <f t="shared" si="0"/>
        <v>63329476.607104808</v>
      </c>
    </row>
    <row r="12" spans="1:9" x14ac:dyDescent="0.2">
      <c r="A12" s="197" t="s">
        <v>6</v>
      </c>
      <c r="B12" s="198">
        <v>309131562.77245426</v>
      </c>
      <c r="C12" s="198">
        <v>39041012.013657965</v>
      </c>
      <c r="D12" s="198">
        <v>11479792.389154997</v>
      </c>
      <c r="E12" s="198">
        <v>13954367.422240822</v>
      </c>
      <c r="F12" s="198">
        <v>3423358.615640006</v>
      </c>
      <c r="G12" s="198">
        <v>10980653.23017272</v>
      </c>
      <c r="H12" s="198">
        <v>15881207.246542912</v>
      </c>
      <c r="I12" s="199">
        <f t="shared" si="0"/>
        <v>403891953.68986362</v>
      </c>
    </row>
    <row r="13" spans="1:9" x14ac:dyDescent="0.2">
      <c r="A13" s="197" t="s">
        <v>7</v>
      </c>
      <c r="B13" s="198">
        <v>54029922.741336346</v>
      </c>
      <c r="C13" s="198">
        <v>6823576.4860872505</v>
      </c>
      <c r="D13" s="198">
        <v>2006434.7047253181</v>
      </c>
      <c r="E13" s="198">
        <v>2438940.1941590724</v>
      </c>
      <c r="F13" s="198">
        <v>598333.60223739431</v>
      </c>
      <c r="G13" s="198">
        <v>1919195.3107432839</v>
      </c>
      <c r="H13" s="198">
        <v>2775712.6864508037</v>
      </c>
      <c r="I13" s="199">
        <f t="shared" si="0"/>
        <v>70592115.725739479</v>
      </c>
    </row>
    <row r="14" spans="1:9" x14ac:dyDescent="0.2">
      <c r="A14" s="197" t="s">
        <v>8</v>
      </c>
      <c r="B14" s="198">
        <v>8797798.6774526499</v>
      </c>
      <c r="C14" s="198">
        <v>1111096.3913865967</v>
      </c>
      <c r="D14" s="198">
        <v>326711.71262146637</v>
      </c>
      <c r="E14" s="198">
        <v>397137.43284964183</v>
      </c>
      <c r="F14" s="198">
        <v>97427.838267336934</v>
      </c>
      <c r="G14" s="198">
        <v>312506.35036930605</v>
      </c>
      <c r="H14" s="198">
        <v>451974.76070352481</v>
      </c>
      <c r="I14" s="199">
        <f t="shared" si="0"/>
        <v>11494653.163650524</v>
      </c>
    </row>
    <row r="15" spans="1:9" x14ac:dyDescent="0.2">
      <c r="A15" s="197" t="s">
        <v>9</v>
      </c>
      <c r="B15" s="198">
        <v>87451840.379386321</v>
      </c>
      <c r="C15" s="198">
        <v>11044515.546221502</v>
      </c>
      <c r="D15" s="198">
        <v>3247578.3533752239</v>
      </c>
      <c r="E15" s="198">
        <v>3947623.7931261798</v>
      </c>
      <c r="F15" s="198">
        <v>968451.77674954489</v>
      </c>
      <c r="G15" s="198">
        <v>3106374.2729282533</v>
      </c>
      <c r="H15" s="198">
        <v>4492717.5623891978</v>
      </c>
      <c r="I15" s="199">
        <f t="shared" si="0"/>
        <v>114259101.68417624</v>
      </c>
    </row>
    <row r="16" spans="1:9" x14ac:dyDescent="0.2">
      <c r="A16" s="197" t="s">
        <v>10</v>
      </c>
      <c r="B16" s="198">
        <v>12493741.382292032</v>
      </c>
      <c r="C16" s="198">
        <v>1577866.4042811948</v>
      </c>
      <c r="D16" s="198">
        <v>463962.83817217214</v>
      </c>
      <c r="E16" s="198">
        <v>563974.30325007532</v>
      </c>
      <c r="F16" s="198">
        <v>138357.13448040924</v>
      </c>
      <c r="G16" s="198">
        <v>443789.82345257979</v>
      </c>
      <c r="H16" s="198">
        <v>641848.71450004354</v>
      </c>
      <c r="I16" s="199">
        <f t="shared" si="0"/>
        <v>16323540.600428507</v>
      </c>
    </row>
    <row r="17" spans="1:9" x14ac:dyDescent="0.2">
      <c r="A17" s="197" t="s">
        <v>11</v>
      </c>
      <c r="B17" s="198">
        <v>17605761.323143553</v>
      </c>
      <c r="C17" s="198">
        <v>2223476.416196248</v>
      </c>
      <c r="D17" s="198">
        <v>653800.8705098558</v>
      </c>
      <c r="E17" s="198">
        <v>794733.67277156282</v>
      </c>
      <c r="F17" s="198">
        <v>194968.23349238292</v>
      </c>
      <c r="G17" s="198">
        <v>625373.73475812713</v>
      </c>
      <c r="H17" s="198">
        <v>904471.68124278821</v>
      </c>
      <c r="I17" s="199">
        <f t="shared" si="0"/>
        <v>23002585.932114519</v>
      </c>
    </row>
    <row r="18" spans="1:9" x14ac:dyDescent="0.2">
      <c r="A18" s="197" t="s">
        <v>12</v>
      </c>
      <c r="B18" s="198">
        <v>44397338.209808767</v>
      </c>
      <c r="C18" s="198">
        <v>5607052.8640889404</v>
      </c>
      <c r="D18" s="198">
        <v>1648722.7014566052</v>
      </c>
      <c r="E18" s="198">
        <v>2004120.0723526855</v>
      </c>
      <c r="F18" s="198">
        <v>491661.24904530559</v>
      </c>
      <c r="G18" s="198">
        <v>1577036.5563850731</v>
      </c>
      <c r="H18" s="198">
        <v>2280851.9550099438</v>
      </c>
      <c r="I18" s="199">
        <f t="shared" si="0"/>
        <v>58006783.608147316</v>
      </c>
    </row>
    <row r="19" spans="1:9" x14ac:dyDescent="0.2">
      <c r="A19" s="197" t="s">
        <v>13</v>
      </c>
      <c r="B19" s="198">
        <v>22589789.77034289</v>
      </c>
      <c r="C19" s="198">
        <v>2852922.0565521321</v>
      </c>
      <c r="D19" s="198">
        <v>838885.85931640572</v>
      </c>
      <c r="E19" s="198">
        <v>1019715.4364305875</v>
      </c>
      <c r="F19" s="198">
        <v>250161.93992692718</v>
      </c>
      <c r="G19" s="198">
        <v>802411.26394855883</v>
      </c>
      <c r="H19" s="198">
        <v>1160519.2617058051</v>
      </c>
      <c r="I19" s="199">
        <f t="shared" si="0"/>
        <v>29514405.588223305</v>
      </c>
    </row>
    <row r="20" spans="1:9" x14ac:dyDescent="0.2">
      <c r="A20" s="197" t="s">
        <v>14</v>
      </c>
      <c r="B20" s="198">
        <v>117880491.82254376</v>
      </c>
      <c r="C20" s="198">
        <v>14887427.398694359</v>
      </c>
      <c r="D20" s="198">
        <v>4377565.2046581274</v>
      </c>
      <c r="E20" s="198">
        <v>5321189.7227697354</v>
      </c>
      <c r="F20" s="198">
        <v>1305422.1758443662</v>
      </c>
      <c r="G20" s="198">
        <v>4187229.5138570182</v>
      </c>
      <c r="H20" s="198">
        <v>6055947.5201056357</v>
      </c>
      <c r="I20" s="199">
        <f t="shared" si="0"/>
        <v>154015273.35847297</v>
      </c>
    </row>
    <row r="21" spans="1:9" x14ac:dyDescent="0.2">
      <c r="A21" s="197" t="s">
        <v>15</v>
      </c>
      <c r="B21" s="198">
        <v>14760549.553566681</v>
      </c>
      <c r="C21" s="198">
        <v>1864147.3788076739</v>
      </c>
      <c r="D21" s="198">
        <v>548142.16608967667</v>
      </c>
      <c r="E21" s="198">
        <v>666299.2609931709</v>
      </c>
      <c r="F21" s="198">
        <v>163460.02987400669</v>
      </c>
      <c r="G21" s="198">
        <v>524309.05042782938</v>
      </c>
      <c r="H21" s="198">
        <v>758302.85471563914</v>
      </c>
      <c r="I21" s="199">
        <f t="shared" si="0"/>
        <v>19285210.294474676</v>
      </c>
    </row>
    <row r="22" spans="1:9" x14ac:dyDescent="0.2">
      <c r="A22" s="197" t="s">
        <v>16</v>
      </c>
      <c r="B22" s="198">
        <v>10999783.495947294</v>
      </c>
      <c r="C22" s="198">
        <v>1389190.6596707476</v>
      </c>
      <c r="D22" s="198">
        <v>408483.78511280392</v>
      </c>
      <c r="E22" s="198">
        <v>496536.2290771603</v>
      </c>
      <c r="F22" s="198">
        <v>121812.87236833831</v>
      </c>
      <c r="G22" s="198">
        <v>390722.98892003327</v>
      </c>
      <c r="H22" s="198">
        <v>565098.69066597731</v>
      </c>
      <c r="I22" s="199">
        <f t="shared" si="0"/>
        <v>14371628.721762354</v>
      </c>
    </row>
    <row r="23" spans="1:9" x14ac:dyDescent="0.2">
      <c r="A23" s="197" t="s">
        <v>17</v>
      </c>
      <c r="B23" s="198">
        <v>96469576.810731485</v>
      </c>
      <c r="C23" s="198">
        <v>12183388.436439101</v>
      </c>
      <c r="D23" s="198">
        <v>3582457.5909513701</v>
      </c>
      <c r="E23" s="198">
        <v>4354689.3361963313</v>
      </c>
      <c r="F23" s="198">
        <v>1068315.2310954856</v>
      </c>
      <c r="G23" s="198">
        <v>3426693.0258424738</v>
      </c>
      <c r="H23" s="198">
        <v>4955991.3215501439</v>
      </c>
      <c r="I23" s="199">
        <f t="shared" si="0"/>
        <v>126041111.7528064</v>
      </c>
    </row>
    <row r="24" spans="1:9" x14ac:dyDescent="0.2">
      <c r="A24" s="197" t="s">
        <v>18</v>
      </c>
      <c r="B24" s="198">
        <v>103130228.465165</v>
      </c>
      <c r="C24" s="198">
        <v>13024579.089788657</v>
      </c>
      <c r="D24" s="198">
        <v>3829805.0228461251</v>
      </c>
      <c r="E24" s="198">
        <v>4655354.7862687986</v>
      </c>
      <c r="F24" s="198">
        <v>1142076.0564944949</v>
      </c>
      <c r="G24" s="198">
        <v>3663285.8391041416</v>
      </c>
      <c r="H24" s="198">
        <v>5298173.1045179013</v>
      </c>
      <c r="I24" s="199">
        <f t="shared" si="0"/>
        <v>134743502.36418512</v>
      </c>
    </row>
    <row r="25" spans="1:9" x14ac:dyDescent="0.2">
      <c r="A25" s="197" t="s">
        <v>19</v>
      </c>
      <c r="B25" s="198">
        <v>18541486.155975085</v>
      </c>
      <c r="C25" s="198">
        <v>2341651.4873938281</v>
      </c>
      <c r="D25" s="198">
        <v>688549.59276242519</v>
      </c>
      <c r="E25" s="198">
        <v>836972.80230708607</v>
      </c>
      <c r="F25" s="198">
        <v>205330.55832137502</v>
      </c>
      <c r="G25" s="198">
        <v>658611.58926911268</v>
      </c>
      <c r="H25" s="198">
        <v>952543.25265613117</v>
      </c>
      <c r="I25" s="199">
        <f t="shared" si="0"/>
        <v>24225145.438685045</v>
      </c>
    </row>
    <row r="26" spans="1:9" x14ac:dyDescent="0.2">
      <c r="A26" s="197" t="s">
        <v>20</v>
      </c>
      <c r="B26" s="198">
        <v>252341318.2011587</v>
      </c>
      <c r="C26" s="198">
        <v>31868827.456759375</v>
      </c>
      <c r="D26" s="198">
        <v>9370851.4205885157</v>
      </c>
      <c r="E26" s="198">
        <v>11390824.794517713</v>
      </c>
      <c r="F26" s="198">
        <v>2794456.8907761774</v>
      </c>
      <c r="G26" s="198">
        <v>8963408.6081697866</v>
      </c>
      <c r="H26" s="198">
        <v>12963686.837012704</v>
      </c>
      <c r="I26" s="199">
        <f t="shared" si="0"/>
        <v>329693374.20898294</v>
      </c>
    </row>
    <row r="27" spans="1:9" x14ac:dyDescent="0.2">
      <c r="A27" s="197" t="s">
        <v>21</v>
      </c>
      <c r="B27" s="198">
        <v>37421103.189510576</v>
      </c>
      <c r="C27" s="198">
        <v>4726006.3840889623</v>
      </c>
      <c r="D27" s="198">
        <v>1389655.8854617428</v>
      </c>
      <c r="E27" s="198">
        <v>1689209.0169295371</v>
      </c>
      <c r="F27" s="198">
        <v>414405.61701834702</v>
      </c>
      <c r="G27" s="198">
        <v>1329233.9155836618</v>
      </c>
      <c r="H27" s="198">
        <v>1922457.5123192207</v>
      </c>
      <c r="I27" s="199">
        <f t="shared" si="0"/>
        <v>48892071.520912051</v>
      </c>
    </row>
    <row r="28" spans="1:9" x14ac:dyDescent="0.2">
      <c r="A28" s="197" t="s">
        <v>22</v>
      </c>
      <c r="B28" s="198">
        <v>6002360.8783852477</v>
      </c>
      <c r="C28" s="198">
        <v>758053.43544243916</v>
      </c>
      <c r="D28" s="198">
        <v>222901.39547920873</v>
      </c>
      <c r="E28" s="198">
        <v>270949.84525938728</v>
      </c>
      <c r="F28" s="198">
        <v>66470.837344829168</v>
      </c>
      <c r="G28" s="198">
        <v>213209.68579458279</v>
      </c>
      <c r="H28" s="198">
        <v>308363.00319273496</v>
      </c>
      <c r="I28" s="199">
        <f t="shared" si="0"/>
        <v>7842309.0808984293</v>
      </c>
    </row>
    <row r="29" spans="1:9" x14ac:dyDescent="0.2">
      <c r="A29" s="197" t="s">
        <v>23</v>
      </c>
      <c r="B29" s="198">
        <v>27467039.788064856</v>
      </c>
      <c r="C29" s="198">
        <v>3468882.3772252291</v>
      </c>
      <c r="D29" s="198">
        <v>1020005.5648919365</v>
      </c>
      <c r="E29" s="198">
        <v>1239877.1635189825</v>
      </c>
      <c r="F29" s="198">
        <v>304173.16970577999</v>
      </c>
      <c r="G29" s="198">
        <v>975655.91965807555</v>
      </c>
      <c r="H29" s="198">
        <v>1411081.2477740538</v>
      </c>
      <c r="I29" s="199">
        <f t="shared" si="0"/>
        <v>35886715.230838917</v>
      </c>
    </row>
    <row r="30" spans="1:9" x14ac:dyDescent="0.2">
      <c r="A30" s="197" t="s">
        <v>24</v>
      </c>
      <c r="B30" s="198">
        <v>26456421.606557131</v>
      </c>
      <c r="C30" s="198">
        <v>3341248.8343685702</v>
      </c>
      <c r="D30" s="198">
        <v>982475.63166750642</v>
      </c>
      <c r="E30" s="198">
        <v>1194257.3073584</v>
      </c>
      <c r="F30" s="198">
        <v>292981.46728704794</v>
      </c>
      <c r="G30" s="198">
        <v>939757.78069187561</v>
      </c>
      <c r="H30" s="198">
        <v>1359162.1339711635</v>
      </c>
      <c r="I30" s="199">
        <f t="shared" si="0"/>
        <v>34566304.761901699</v>
      </c>
    </row>
    <row r="31" spans="1:9" x14ac:dyDescent="0.2">
      <c r="A31" s="197" t="s">
        <v>25</v>
      </c>
      <c r="B31" s="198">
        <v>426585317.27606261</v>
      </c>
      <c r="C31" s="198">
        <v>53874545.670005821</v>
      </c>
      <c r="D31" s="198">
        <v>15841510.438698493</v>
      </c>
      <c r="E31" s="198">
        <v>19256293.989602637</v>
      </c>
      <c r="F31" s="198">
        <v>4724055.0531473029</v>
      </c>
      <c r="G31" s="198">
        <v>15152724.620163061</v>
      </c>
      <c r="H31" s="198">
        <v>21915231.726047106</v>
      </c>
      <c r="I31" s="199">
        <f t="shared" si="0"/>
        <v>557349678.77372706</v>
      </c>
    </row>
    <row r="32" spans="1:9" x14ac:dyDescent="0.2">
      <c r="A32" s="197" t="s">
        <v>26</v>
      </c>
      <c r="B32" s="198">
        <v>11161962.778091885</v>
      </c>
      <c r="C32" s="198">
        <v>1409672.6940699141</v>
      </c>
      <c r="D32" s="198">
        <v>414506.41338196123</v>
      </c>
      <c r="E32" s="198">
        <v>503857.09036685614</v>
      </c>
      <c r="F32" s="198">
        <v>123608.86446254149</v>
      </c>
      <c r="G32" s="198">
        <v>396483.7544736269</v>
      </c>
      <c r="H32" s="198">
        <v>573430.42737941572</v>
      </c>
      <c r="I32" s="199">
        <f t="shared" si="0"/>
        <v>14583522.022226201</v>
      </c>
    </row>
    <row r="33" spans="1:9" x14ac:dyDescent="0.2">
      <c r="A33" s="197" t="s">
        <v>27</v>
      </c>
      <c r="B33" s="198">
        <v>19213592.878435049</v>
      </c>
      <c r="C33" s="198">
        <v>2426533.5563443033</v>
      </c>
      <c r="D33" s="198">
        <v>713508.69292029296</v>
      </c>
      <c r="E33" s="198">
        <v>867312.06649629795</v>
      </c>
      <c r="F33" s="198">
        <v>212773.54576118066</v>
      </c>
      <c r="G33" s="198">
        <v>682485.47256595735</v>
      </c>
      <c r="H33" s="198">
        <v>987071.80760358623</v>
      </c>
      <c r="I33" s="199">
        <f t="shared" si="0"/>
        <v>25103278.020126667</v>
      </c>
    </row>
    <row r="34" spans="1:9" x14ac:dyDescent="0.2">
      <c r="A34" s="197" t="s">
        <v>28</v>
      </c>
      <c r="B34" s="198">
        <v>10377290.924764978</v>
      </c>
      <c r="C34" s="198">
        <v>1310574.4881870532</v>
      </c>
      <c r="D34" s="198">
        <v>385367.13724652189</v>
      </c>
      <c r="E34" s="198">
        <v>468436.57474875532</v>
      </c>
      <c r="F34" s="198">
        <v>114919.31776777656</v>
      </c>
      <c r="G34" s="198">
        <v>368611.44844448817</v>
      </c>
      <c r="H34" s="198">
        <v>533118.99424249504</v>
      </c>
      <c r="I34" s="199">
        <f t="shared" si="0"/>
        <v>13558318.885402067</v>
      </c>
    </row>
    <row r="35" spans="1:9" x14ac:dyDescent="0.2">
      <c r="A35" s="197" t="s">
        <v>29</v>
      </c>
      <c r="B35" s="198">
        <v>15381642.221988652</v>
      </c>
      <c r="C35" s="198">
        <v>1942586.7530080548</v>
      </c>
      <c r="D35" s="198">
        <v>571206.82769836136</v>
      </c>
      <c r="E35" s="198">
        <v>694335.72294711228</v>
      </c>
      <c r="F35" s="198">
        <v>170338.08178978041</v>
      </c>
      <c r="G35" s="198">
        <v>546370.86499823094</v>
      </c>
      <c r="H35" s="198">
        <v>790210.63306753198</v>
      </c>
      <c r="I35" s="199">
        <f t="shared" si="0"/>
        <v>20096691.105497729</v>
      </c>
    </row>
    <row r="36" spans="1:9" x14ac:dyDescent="0.2">
      <c r="A36" s="197" t="s">
        <v>30</v>
      </c>
      <c r="B36" s="198">
        <v>14143861.304718561</v>
      </c>
      <c r="C36" s="198">
        <v>1786264.2499675332</v>
      </c>
      <c r="D36" s="198">
        <v>525241.06533465942</v>
      </c>
      <c r="E36" s="198">
        <v>638461.61694208044</v>
      </c>
      <c r="F36" s="198">
        <v>156630.75300908778</v>
      </c>
      <c r="G36" s="198">
        <v>502403.68511672376</v>
      </c>
      <c r="H36" s="198">
        <v>726621.34733855654</v>
      </c>
      <c r="I36" s="199">
        <f t="shared" si="0"/>
        <v>18479484.022427205</v>
      </c>
    </row>
    <row r="37" spans="1:9" x14ac:dyDescent="0.2">
      <c r="A37" s="197" t="s">
        <v>31</v>
      </c>
      <c r="B37" s="198">
        <v>134489979.13073686</v>
      </c>
      <c r="C37" s="198">
        <v>16985081.833344169</v>
      </c>
      <c r="D37" s="198">
        <v>4994368.8214687239</v>
      </c>
      <c r="E37" s="198">
        <v>6070951.0428860579</v>
      </c>
      <c r="F37" s="198">
        <v>1489357.5558745184</v>
      </c>
      <c r="G37" s="198">
        <v>4777214.628371099</v>
      </c>
      <c r="H37" s="198">
        <v>6909236.9992986778</v>
      </c>
      <c r="I37" s="199">
        <f t="shared" si="0"/>
        <v>175716190.01198009</v>
      </c>
    </row>
    <row r="38" spans="1:9" x14ac:dyDescent="0.2">
      <c r="A38" s="197" t="s">
        <v>32</v>
      </c>
      <c r="B38" s="198">
        <v>26209045.753871284</v>
      </c>
      <c r="C38" s="198">
        <v>3310007.1081922427</v>
      </c>
      <c r="D38" s="198">
        <v>973289.17588973127</v>
      </c>
      <c r="E38" s="198">
        <v>1183090.6263866671</v>
      </c>
      <c r="F38" s="198">
        <v>290241.99853465537</v>
      </c>
      <c r="G38" s="198">
        <v>930970.75023953395</v>
      </c>
      <c r="H38" s="198">
        <v>1346453.5410696166</v>
      </c>
      <c r="I38" s="199">
        <f t="shared" si="0"/>
        <v>34243098.954183735</v>
      </c>
    </row>
    <row r="39" spans="1:9" x14ac:dyDescent="0.2">
      <c r="A39" s="197" t="s">
        <v>33</v>
      </c>
      <c r="B39" s="198">
        <v>96093037.605162397</v>
      </c>
      <c r="C39" s="198">
        <v>12135834.34161813</v>
      </c>
      <c r="D39" s="198">
        <v>3568474.5739228167</v>
      </c>
      <c r="E39" s="198">
        <v>4337692.1509970156</v>
      </c>
      <c r="F39" s="198">
        <v>1064145.3924612468</v>
      </c>
      <c r="G39" s="198">
        <v>3413317.987697429</v>
      </c>
      <c r="H39" s="198">
        <v>4936647.1397187551</v>
      </c>
      <c r="I39" s="199">
        <f t="shared" si="0"/>
        <v>125549149.19157778</v>
      </c>
    </row>
    <row r="40" spans="1:9" x14ac:dyDescent="0.2">
      <c r="A40" s="197" t="s">
        <v>34</v>
      </c>
      <c r="B40" s="198">
        <v>19149339.834673546</v>
      </c>
      <c r="C40" s="198">
        <v>2418418.8758797492</v>
      </c>
      <c r="D40" s="198">
        <v>711122.61627338547</v>
      </c>
      <c r="E40" s="198">
        <v>864411.64904100692</v>
      </c>
      <c r="F40" s="198">
        <v>212062.00013649816</v>
      </c>
      <c r="G40" s="198">
        <v>680203.14207145688</v>
      </c>
      <c r="H40" s="198">
        <v>983770.89618889312</v>
      </c>
      <c r="I40" s="199">
        <f t="shared" si="0"/>
        <v>25019329.014264535</v>
      </c>
    </row>
    <row r="41" spans="1:9" x14ac:dyDescent="0.2">
      <c r="A41" s="197" t="s">
        <v>35</v>
      </c>
      <c r="B41" s="198">
        <v>17652435.879404873</v>
      </c>
      <c r="C41" s="198">
        <v>2229371.0647251387</v>
      </c>
      <c r="D41" s="198">
        <v>655534.15911659156</v>
      </c>
      <c r="E41" s="198">
        <v>796840.58769556799</v>
      </c>
      <c r="F41" s="198">
        <v>195485.11291703739</v>
      </c>
      <c r="G41" s="198">
        <v>627031.66031054</v>
      </c>
      <c r="H41" s="198">
        <v>906869.52213123895</v>
      </c>
      <c r="I41" s="199">
        <f t="shared" si="0"/>
        <v>23063567.986300986</v>
      </c>
    </row>
    <row r="42" spans="1:9" x14ac:dyDescent="0.2">
      <c r="A42" s="197" t="s">
        <v>36</v>
      </c>
      <c r="B42" s="198">
        <v>20692701.416940227</v>
      </c>
      <c r="C42" s="198">
        <v>2613333.9390143533</v>
      </c>
      <c r="D42" s="198">
        <v>768436.30623412493</v>
      </c>
      <c r="E42" s="198">
        <v>934079.83300513716</v>
      </c>
      <c r="F42" s="198">
        <v>229153.36448090678</v>
      </c>
      <c r="G42" s="198">
        <v>735024.84384674788</v>
      </c>
      <c r="H42" s="198">
        <v>1063058.9666935904</v>
      </c>
      <c r="I42" s="199">
        <f t="shared" si="0"/>
        <v>27035788.670215089</v>
      </c>
    </row>
    <row r="43" spans="1:9" x14ac:dyDescent="0.2">
      <c r="A43" s="197" t="s">
        <v>37</v>
      </c>
      <c r="B43" s="198">
        <v>29146566.908329014</v>
      </c>
      <c r="C43" s="198">
        <v>3680994.132787901</v>
      </c>
      <c r="D43" s="198">
        <v>1082375.8465922885</v>
      </c>
      <c r="E43" s="198">
        <v>1315691.9341675176</v>
      </c>
      <c r="F43" s="198">
        <v>322772.44693839818</v>
      </c>
      <c r="G43" s="198">
        <v>1035314.3535394011</v>
      </c>
      <c r="H43" s="198">
        <v>1497364.634801531</v>
      </c>
      <c r="I43" s="199">
        <f t="shared" si="0"/>
        <v>38081080.257156044</v>
      </c>
    </row>
    <row r="44" spans="1:9" x14ac:dyDescent="0.2">
      <c r="A44" s="197" t="s">
        <v>38</v>
      </c>
      <c r="B44" s="198">
        <v>68380537.501909316</v>
      </c>
      <c r="C44" s="198">
        <v>8635952.1563235018</v>
      </c>
      <c r="D44" s="198">
        <v>2539353.6879266039</v>
      </c>
      <c r="E44" s="198">
        <v>3086734.7749141622</v>
      </c>
      <c r="F44" s="198">
        <v>757253.96688647335</v>
      </c>
      <c r="G44" s="198">
        <v>2428943.0793386274</v>
      </c>
      <c r="H44" s="198">
        <v>3512955.7071374804</v>
      </c>
      <c r="I44" s="199">
        <f t="shared" si="0"/>
        <v>89341730.87443617</v>
      </c>
    </row>
    <row r="45" spans="1:9" x14ac:dyDescent="0.2">
      <c r="A45" s="197" t="s">
        <v>39</v>
      </c>
      <c r="B45" s="198">
        <v>1203624106.5698779</v>
      </c>
      <c r="C45" s="198">
        <v>152008752.46476167</v>
      </c>
      <c r="D45" s="198">
        <v>44697328.005212635</v>
      </c>
      <c r="E45" s="198">
        <v>54332248.929467522</v>
      </c>
      <c r="F45" s="198">
        <v>13329072.315566082</v>
      </c>
      <c r="G45" s="198">
        <v>42753896.804283135</v>
      </c>
      <c r="H45" s="198">
        <v>61834526.736570954</v>
      </c>
      <c r="I45" s="199">
        <f t="shared" si="0"/>
        <v>1572579931.8257399</v>
      </c>
    </row>
    <row r="46" spans="1:9" x14ac:dyDescent="0.2">
      <c r="A46" s="197" t="s">
        <v>40</v>
      </c>
      <c r="B46" s="198">
        <v>7308684.9781607334</v>
      </c>
      <c r="C46" s="198">
        <v>923032.43149081722</v>
      </c>
      <c r="D46" s="198">
        <v>271412.55145395751</v>
      </c>
      <c r="E46" s="198">
        <v>329918.02792353864</v>
      </c>
      <c r="F46" s="198">
        <v>80937.221241954394</v>
      </c>
      <c r="G46" s="198">
        <v>259611.58606385658</v>
      </c>
      <c r="H46" s="198">
        <v>375473.60029135225</v>
      </c>
      <c r="I46" s="199">
        <f t="shared" si="0"/>
        <v>9549070.3966262117</v>
      </c>
    </row>
    <row r="47" spans="1:9" x14ac:dyDescent="0.2">
      <c r="A47" s="197" t="s">
        <v>41</v>
      </c>
      <c r="B47" s="198">
        <v>19783881.452414375</v>
      </c>
      <c r="C47" s="198">
        <v>2498556.7521263766</v>
      </c>
      <c r="D47" s="198">
        <v>734686.71295964066</v>
      </c>
      <c r="E47" s="198">
        <v>893055.20389805012</v>
      </c>
      <c r="F47" s="198">
        <v>219088.98726972128</v>
      </c>
      <c r="G47" s="198">
        <v>702742.67637858179</v>
      </c>
      <c r="H47" s="198">
        <v>1016369.5957442549</v>
      </c>
      <c r="I47" s="199">
        <f t="shared" si="0"/>
        <v>25848381.380791001</v>
      </c>
    </row>
    <row r="48" spans="1:9" x14ac:dyDescent="0.2">
      <c r="A48" s="197" t="s">
        <v>42</v>
      </c>
      <c r="B48" s="198">
        <v>15501498.689714758</v>
      </c>
      <c r="C48" s="198">
        <v>1957723.7314338193</v>
      </c>
      <c r="D48" s="198">
        <v>575657.77199422405</v>
      </c>
      <c r="E48" s="198">
        <v>699746.10930036695</v>
      </c>
      <c r="F48" s="198">
        <v>171665.38615090892</v>
      </c>
      <c r="G48" s="198">
        <v>550628.28309455945</v>
      </c>
      <c r="H48" s="198">
        <v>796368.09362162615</v>
      </c>
      <c r="I48" s="199">
        <f t="shared" si="0"/>
        <v>20253288.065310262</v>
      </c>
    </row>
    <row r="49" spans="1:9" x14ac:dyDescent="0.2">
      <c r="A49" s="197" t="s">
        <v>43</v>
      </c>
      <c r="B49" s="198">
        <v>16767499.304113798</v>
      </c>
      <c r="C49" s="198">
        <v>2117610.1718631736</v>
      </c>
      <c r="D49" s="198">
        <v>622671.49032016983</v>
      </c>
      <c r="E49" s="198">
        <v>756894.06783197541</v>
      </c>
      <c r="F49" s="198">
        <v>185685.2231155952</v>
      </c>
      <c r="G49" s="198">
        <v>595597.85401519062</v>
      </c>
      <c r="H49" s="198">
        <v>861407.12733013544</v>
      </c>
      <c r="I49" s="199">
        <f t="shared" si="0"/>
        <v>21907365.238590036</v>
      </c>
    </row>
    <row r="50" spans="1:9" x14ac:dyDescent="0.2">
      <c r="A50" s="197" t="s">
        <v>44</v>
      </c>
      <c r="B50" s="198">
        <v>49977887.113002218</v>
      </c>
      <c r="C50" s="198">
        <v>6311834.5913846157</v>
      </c>
      <c r="D50" s="198">
        <v>1855959.8475171111</v>
      </c>
      <c r="E50" s="198">
        <v>2256029.0948887453</v>
      </c>
      <c r="F50" s="198">
        <v>553460.89187831501</v>
      </c>
      <c r="G50" s="198">
        <v>1775263.0713045273</v>
      </c>
      <c r="H50" s="198">
        <v>2567544.9503360754</v>
      </c>
      <c r="I50" s="199">
        <f t="shared" si="0"/>
        <v>65297979.560311608</v>
      </c>
    </row>
    <row r="51" spans="1:9" x14ac:dyDescent="0.2">
      <c r="A51" s="197" t="s">
        <v>45</v>
      </c>
      <c r="B51" s="198">
        <v>43008592.030486658</v>
      </c>
      <c r="C51" s="198">
        <v>5431664.5737940911</v>
      </c>
      <c r="D51" s="198">
        <v>1597150.7504178018</v>
      </c>
      <c r="E51" s="198">
        <v>1941431.3120439064</v>
      </c>
      <c r="F51" s="198">
        <v>476282.11352358299</v>
      </c>
      <c r="G51" s="198">
        <v>1527706.9438307963</v>
      </c>
      <c r="H51" s="198">
        <v>2209507.0373675707</v>
      </c>
      <c r="I51" s="199">
        <f t="shared" si="0"/>
        <v>56192334.761464395</v>
      </c>
    </row>
    <row r="52" spans="1:9" x14ac:dyDescent="0.2">
      <c r="A52" s="197" t="s">
        <v>46</v>
      </c>
      <c r="B52" s="198">
        <v>389165404.67977512</v>
      </c>
      <c r="C52" s="198">
        <v>49148689.648965865</v>
      </c>
      <c r="D52" s="198">
        <v>14451898.766654812</v>
      </c>
      <c r="E52" s="198">
        <v>17567138.716230713</v>
      </c>
      <c r="F52" s="198">
        <v>4309662.620895762</v>
      </c>
      <c r="G52" s="198">
        <v>13823532.995606573</v>
      </c>
      <c r="H52" s="198">
        <v>19992835.378810976</v>
      </c>
      <c r="I52" s="199">
        <f t="shared" si="0"/>
        <v>508459162.80693978</v>
      </c>
    </row>
    <row r="53" spans="1:9" x14ac:dyDescent="0.2">
      <c r="A53" s="197" t="s">
        <v>47</v>
      </c>
      <c r="B53" s="198">
        <v>556717830.05981374</v>
      </c>
      <c r="C53" s="198">
        <v>70309311.985658914</v>
      </c>
      <c r="D53" s="198">
        <v>20674062.043712538</v>
      </c>
      <c r="E53" s="198">
        <v>25130546.621909786</v>
      </c>
      <c r="F53" s="198">
        <v>6165157.5236221617</v>
      </c>
      <c r="G53" s="198">
        <v>19775157.813441377</v>
      </c>
      <c r="H53" s="198">
        <v>28600609.9077418</v>
      </c>
      <c r="I53" s="199">
        <f t="shared" si="0"/>
        <v>727372675.95590019</v>
      </c>
    </row>
    <row r="54" spans="1:9" x14ac:dyDescent="0.2">
      <c r="A54" s="197" t="s">
        <v>48</v>
      </c>
      <c r="B54" s="198">
        <v>197409523.66954002</v>
      </c>
      <c r="C54" s="198">
        <v>24931351.286397211</v>
      </c>
      <c r="D54" s="198">
        <v>7330925.1473503504</v>
      </c>
      <c r="E54" s="198">
        <v>8911173.6155941561</v>
      </c>
      <c r="F54" s="198">
        <v>2186135.8562113424</v>
      </c>
      <c r="G54" s="198">
        <v>7012177.9358531022</v>
      </c>
      <c r="H54" s="198">
        <v>10141641.732471591</v>
      </c>
      <c r="I54" s="199">
        <f t="shared" si="0"/>
        <v>257922929.24341774</v>
      </c>
    </row>
    <row r="55" spans="1:9" x14ac:dyDescent="0.2">
      <c r="A55" s="197" t="s">
        <v>49</v>
      </c>
      <c r="B55" s="198">
        <v>51874391.63262172</v>
      </c>
      <c r="C55" s="198">
        <v>6551348.9750676621</v>
      </c>
      <c r="D55" s="198">
        <v>1926387.7195696053</v>
      </c>
      <c r="E55" s="198">
        <v>2341638.3436390152</v>
      </c>
      <c r="F55" s="198">
        <v>574463.00188161654</v>
      </c>
      <c r="G55" s="198">
        <v>1842628.7530635449</v>
      </c>
      <c r="H55" s="198">
        <v>2664975.2516937284</v>
      </c>
      <c r="I55" s="199">
        <f t="shared" si="0"/>
        <v>67775833.67753689</v>
      </c>
    </row>
    <row r="56" spans="1:9" x14ac:dyDescent="0.2">
      <c r="A56" s="197" t="s">
        <v>50</v>
      </c>
      <c r="B56" s="198">
        <v>12977249.548526103</v>
      </c>
      <c r="C56" s="198">
        <v>1638929.8814536659</v>
      </c>
      <c r="D56" s="198">
        <v>481918.2139256142</v>
      </c>
      <c r="E56" s="198">
        <v>585800.12570179289</v>
      </c>
      <c r="F56" s="198">
        <v>143711.55973470808</v>
      </c>
      <c r="G56" s="198">
        <v>460964.50293130084</v>
      </c>
      <c r="H56" s="198">
        <v>666688.27900291281</v>
      </c>
      <c r="I56" s="199">
        <f t="shared" si="0"/>
        <v>16955262.111276098</v>
      </c>
    </row>
    <row r="57" spans="1:9" ht="13.5" thickBot="1" x14ac:dyDescent="0.25">
      <c r="A57" s="197" t="s">
        <v>51</v>
      </c>
      <c r="B57" s="198">
        <v>17878900.496829756</v>
      </c>
      <c r="C57" s="198">
        <v>2257971.8577669719</v>
      </c>
      <c r="D57" s="198">
        <v>663944.06319824199</v>
      </c>
      <c r="E57" s="198">
        <v>807063.32411109773</v>
      </c>
      <c r="F57" s="198">
        <v>197993.00823593032</v>
      </c>
      <c r="G57" s="198">
        <v>635075.90338473162</v>
      </c>
      <c r="H57" s="198">
        <v>918503.82919156656</v>
      </c>
      <c r="I57" s="199">
        <f t="shared" si="0"/>
        <v>23359452.482718293</v>
      </c>
    </row>
    <row r="58" spans="1:9" ht="14.25" thickTop="1" thickBot="1" x14ac:dyDescent="0.25">
      <c r="A58" s="200" t="s">
        <v>52</v>
      </c>
      <c r="B58" s="201">
        <f t="shared" ref="B58:I58" si="1">SUM(B7:B57)</f>
        <v>4875912393.5416851</v>
      </c>
      <c r="C58" s="201">
        <f t="shared" si="1"/>
        <v>615791388.7102021</v>
      </c>
      <c r="D58" s="201">
        <f>SUM(D7:D57)</f>
        <v>181070032.071646</v>
      </c>
      <c r="E58" s="201">
        <f>SUM(E7:E57)</f>
        <v>220101345.99755892</v>
      </c>
      <c r="F58" s="201">
        <f>SUM(F7:F57)</f>
        <v>53996416.77425047</v>
      </c>
      <c r="G58" s="201">
        <f t="shared" si="1"/>
        <v>173197142.00000003</v>
      </c>
      <c r="H58" s="201">
        <f t="shared" si="1"/>
        <v>250493267.4727273</v>
      </c>
      <c r="I58" s="202">
        <f t="shared" si="1"/>
        <v>6370561986.5680685</v>
      </c>
    </row>
    <row r="59" spans="1:9" ht="13.5" thickTop="1" x14ac:dyDescent="0.2">
      <c r="A59" s="203"/>
      <c r="B59" s="203"/>
      <c r="C59" s="203"/>
      <c r="D59" s="203"/>
      <c r="E59" s="203"/>
      <c r="F59" s="203"/>
      <c r="G59" s="203"/>
      <c r="H59" s="203"/>
      <c r="I59" s="203"/>
    </row>
    <row r="60" spans="1:9" ht="16.5" customHeight="1" x14ac:dyDescent="0.2">
      <c r="A60" s="191" t="s">
        <v>150</v>
      </c>
    </row>
    <row r="61" spans="1:9" x14ac:dyDescent="0.2">
      <c r="A61" s="204"/>
    </row>
    <row r="64" spans="1:9" ht="16.5" customHeight="1" x14ac:dyDescent="0.2"/>
  </sheetData>
  <mergeCells count="4">
    <mergeCell ref="A1:I1"/>
    <mergeCell ref="A2:I2"/>
    <mergeCell ref="A3:I3"/>
    <mergeCell ref="A4:I4"/>
  </mergeCells>
  <printOptions horizontalCentered="1"/>
  <pageMargins left="0.39370078740157483" right="0.39370078740157483" top="0.15748031496062992" bottom="0.15748031496062992" header="0.15748031496062992" footer="0.15748031496062992"/>
  <pageSetup scale="73" orientation="landscape" r:id="rId1"/>
  <headerFooter alignWithMargins="0">
    <oddFooter>&amp;R&amp;D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="130" zoomScaleNormal="130" zoomScaleSheetLayoutView="100" workbookViewId="0">
      <selection activeCell="A5" sqref="A5:I5"/>
    </sheetView>
  </sheetViews>
  <sheetFormatPr baseColWidth="10" defaultRowHeight="12.75" x14ac:dyDescent="0.2"/>
  <cols>
    <col min="1" max="1" width="28" style="192" customWidth="1"/>
    <col min="2" max="2" width="13.85546875" style="192" bestFit="1" customWidth="1"/>
    <col min="3" max="8" width="13.42578125" style="192" customWidth="1"/>
    <col min="9" max="9" width="13.85546875" style="192" bestFit="1" customWidth="1"/>
    <col min="10" max="16384" width="11.42578125" style="192"/>
  </cols>
  <sheetData>
    <row r="1" spans="1:9" x14ac:dyDescent="0.2">
      <c r="A1" s="237" t="s">
        <v>151</v>
      </c>
      <c r="B1" s="237"/>
      <c r="C1" s="237"/>
      <c r="D1" s="237"/>
      <c r="E1" s="237"/>
      <c r="F1" s="237"/>
      <c r="G1" s="237"/>
      <c r="H1" s="237"/>
      <c r="I1" s="237"/>
    </row>
    <row r="2" spans="1:9" x14ac:dyDescent="0.2">
      <c r="A2" s="237" t="s">
        <v>152</v>
      </c>
      <c r="B2" s="237"/>
      <c r="C2" s="237"/>
      <c r="D2" s="237"/>
      <c r="E2" s="237"/>
      <c r="F2" s="237"/>
      <c r="G2" s="237"/>
      <c r="H2" s="237"/>
      <c r="I2" s="237"/>
    </row>
    <row r="3" spans="1:9" x14ac:dyDescent="0.2">
      <c r="A3" s="237" t="s">
        <v>210</v>
      </c>
      <c r="B3" s="237"/>
      <c r="C3" s="237"/>
      <c r="D3" s="237"/>
      <c r="E3" s="237"/>
      <c r="F3" s="237"/>
      <c r="G3" s="237"/>
      <c r="H3" s="237"/>
      <c r="I3" s="237"/>
    </row>
    <row r="4" spans="1:9" x14ac:dyDescent="0.2">
      <c r="A4" s="237" t="s">
        <v>211</v>
      </c>
      <c r="B4" s="237"/>
      <c r="C4" s="237"/>
      <c r="D4" s="237"/>
      <c r="E4" s="237"/>
      <c r="F4" s="237"/>
      <c r="G4" s="237"/>
      <c r="H4" s="237"/>
      <c r="I4" s="237"/>
    </row>
    <row r="5" spans="1:9" ht="13.5" customHeight="1" thickBot="1" x14ac:dyDescent="0.25">
      <c r="A5" s="238" t="s">
        <v>212</v>
      </c>
      <c r="B5" s="238"/>
      <c r="C5" s="238"/>
      <c r="D5" s="238"/>
      <c r="E5" s="238"/>
      <c r="F5" s="238"/>
      <c r="G5" s="238"/>
      <c r="H5" s="238"/>
      <c r="I5" s="238"/>
    </row>
    <row r="6" spans="1:9" ht="14.25" thickTop="1" thickBot="1" x14ac:dyDescent="0.25">
      <c r="A6" s="194" t="s">
        <v>0</v>
      </c>
      <c r="B6" s="195" t="s">
        <v>134</v>
      </c>
      <c r="C6" s="195" t="s">
        <v>135</v>
      </c>
      <c r="D6" s="195" t="s">
        <v>136</v>
      </c>
      <c r="E6" s="195" t="s">
        <v>181</v>
      </c>
      <c r="F6" s="195" t="s">
        <v>156</v>
      </c>
      <c r="G6" s="195" t="s">
        <v>137</v>
      </c>
      <c r="H6" s="195" t="s">
        <v>188</v>
      </c>
      <c r="I6" s="196" t="s">
        <v>53</v>
      </c>
    </row>
    <row r="7" spans="1:9" ht="13.5" thickTop="1" x14ac:dyDescent="0.2">
      <c r="A7" s="197" t="s">
        <v>1</v>
      </c>
      <c r="B7" s="213">
        <f>+'coef definitivo 2016'!B7-'pagado 2016'!B7</f>
        <v>-62260.13654629793</v>
      </c>
      <c r="C7" s="213">
        <f>+'coef definitivo 2016'!C7-'pagado 2016'!C7</f>
        <v>-7862.9911390354391</v>
      </c>
      <c r="D7" s="213">
        <f>+'coef definitivo 2016'!D7-'pagado 2016'!D7</f>
        <v>-2312.0688009397709</v>
      </c>
      <c r="E7" s="213">
        <f>+'coef definitivo 2016'!E7-'pagado 2016'!E7</f>
        <v>-2810.4566476320615</v>
      </c>
      <c r="F7" s="213">
        <f>+'coef definitivo 2016'!F7-'pagado 2016'!F7</f>
        <v>-689.47594009862223</v>
      </c>
      <c r="G7" s="213">
        <f>+'coef definitivo 2016'!G7-'pagado 2016'!G7</f>
        <v>-2211.540495401714</v>
      </c>
      <c r="H7" s="213">
        <f>+'coef definitivo 2016'!H7-'pagado 2016'!H7</f>
        <v>-3198.5285579447518</v>
      </c>
      <c r="I7" s="214">
        <f>SUM(B7:H7)</f>
        <v>-81345.19812735029</v>
      </c>
    </row>
    <row r="8" spans="1:9" x14ac:dyDescent="0.2">
      <c r="A8" s="197" t="s">
        <v>2</v>
      </c>
      <c r="B8" s="213">
        <f>+'coef definitivo 2016'!B8-'pagado 2016'!B8</f>
        <v>-123323.46971569769</v>
      </c>
      <c r="C8" s="213">
        <f>+'coef definitivo 2016'!C8-'pagado 2016'!C8</f>
        <v>-15574.834932919126</v>
      </c>
      <c r="D8" s="213">
        <f>+'coef definitivo 2016'!D8-'pagado 2016'!D8</f>
        <v>-4579.6935659025912</v>
      </c>
      <c r="E8" s="213">
        <f>+'coef definitivo 2016'!E8-'pagado 2016'!E8</f>
        <v>-5566.8889356481377</v>
      </c>
      <c r="F8" s="213">
        <f>+'coef definitivo 2016'!F8-'pagado 2016'!F8</f>
        <v>-1365.6983414294955</v>
      </c>
      <c r="G8" s="213">
        <f>+'coef definitivo 2016'!G8-'pagado 2016'!G8</f>
        <v>-4380.5693729388877</v>
      </c>
      <c r="H8" s="213">
        <f>+'coef definitivo 2016'!H8-'pagado 2016'!H8</f>
        <v>-6335.5729947229847</v>
      </c>
      <c r="I8" s="214">
        <f t="shared" ref="I8:I57" si="0">SUM(B8:H8)</f>
        <v>-161126.72785925891</v>
      </c>
    </row>
    <row r="9" spans="1:9" x14ac:dyDescent="0.2">
      <c r="A9" s="197" t="s">
        <v>3</v>
      </c>
      <c r="B9" s="213">
        <f>+'coef definitivo 2016'!B9-'pagado 2016'!B9</f>
        <v>-120675.48701757565</v>
      </c>
      <c r="C9" s="213">
        <f>+'coef definitivo 2016'!C9-'pagado 2016'!C9</f>
        <v>-15240.414457047591</v>
      </c>
      <c r="D9" s="213">
        <f>+'coef definitivo 2016'!D9-'pagado 2016'!D9</f>
        <v>-4481.3590854249778</v>
      </c>
      <c r="E9" s="213">
        <f>+'coef definitivo 2016'!E9-'pagado 2016'!E9</f>
        <v>-5447.3575470328797</v>
      </c>
      <c r="F9" s="213">
        <f>+'coef definitivo 2016'!F9-'pagado 2016'!F9</f>
        <v>-1336.3742753186962</v>
      </c>
      <c r="G9" s="213">
        <f>+'coef definitivo 2016'!G9-'pagado 2016'!G9</f>
        <v>-4286.5104567066301</v>
      </c>
      <c r="H9" s="213">
        <f>+'coef definitivo 2016'!H9-'pagado 2016'!H9</f>
        <v>-6199.5365394450491</v>
      </c>
      <c r="I9" s="214">
        <f t="shared" si="0"/>
        <v>-157667.03937855148</v>
      </c>
    </row>
    <row r="10" spans="1:9" x14ac:dyDescent="0.2">
      <c r="A10" s="197" t="s">
        <v>4</v>
      </c>
      <c r="B10" s="213">
        <f>+'coef definitivo 2016'!B10-'pagado 2016'!B10</f>
        <v>-85647.886861778796</v>
      </c>
      <c r="C10" s="213">
        <f>+'coef definitivo 2016'!C10-'pagado 2016'!C10</f>
        <v>-10816.68966418691</v>
      </c>
      <c r="D10" s="213">
        <f>+'coef definitivo 2016'!D10-'pagado 2016'!D10</f>
        <v>-3180.5874202069826</v>
      </c>
      <c r="E10" s="213">
        <f>+'coef definitivo 2016'!E10-'pagado 2016'!E10</f>
        <v>-3866.1929352823645</v>
      </c>
      <c r="F10" s="213">
        <f>+'coef definitivo 2016'!F10-'pagado 2016'!F10</f>
        <v>-948.4745872275671</v>
      </c>
      <c r="G10" s="213">
        <f>+'coef definitivo 2016'!G10-'pagado 2016'!G10</f>
        <v>-3042.2960926133674</v>
      </c>
      <c r="H10" s="213">
        <f>+'coef definitivo 2016'!H10-'pagado 2016'!H10</f>
        <v>-4400.0419409822207</v>
      </c>
      <c r="I10" s="214">
        <f t="shared" si="0"/>
        <v>-111902.16950227821</v>
      </c>
    </row>
    <row r="11" spans="1:9" x14ac:dyDescent="0.2">
      <c r="A11" s="197" t="s">
        <v>5</v>
      </c>
      <c r="B11" s="213">
        <f>+'coef definitivo 2016'!B11-'pagado 2016'!B11</f>
        <v>-448166.40956832469</v>
      </c>
      <c r="C11" s="213">
        <f>+'coef definitivo 2016'!C11-'pagado 2016'!C11</f>
        <v>-56600.076754223555</v>
      </c>
      <c r="D11" s="213">
        <f>+'coef definitivo 2016'!D11-'pagado 2016'!D11</f>
        <v>-16642.937691303203</v>
      </c>
      <c r="E11" s="213">
        <f>+'coef definitivo 2016'!E11-'pagado 2016'!E11</f>
        <v>-20230.477073882241</v>
      </c>
      <c r="F11" s="213">
        <f>+'coef definitivo 2016'!F11-'pagado 2016'!F11</f>
        <v>-4963.0465607468504</v>
      </c>
      <c r="G11" s="213">
        <f>+'coef definitivo 2016'!G11-'pagado 2016'!G11</f>
        <v>-15919.30597039545</v>
      </c>
      <c r="H11" s="213">
        <f>+'coef definitivo 2016'!H11-'pagado 2016'!H11</f>
        <v>-23023.930547435768</v>
      </c>
      <c r="I11" s="214">
        <f t="shared" si="0"/>
        <v>-585546.18416631175</v>
      </c>
    </row>
    <row r="12" spans="1:9" x14ac:dyDescent="0.2">
      <c r="A12" s="197" t="s">
        <v>6</v>
      </c>
      <c r="B12" s="213">
        <f>+'coef definitivo 2016'!B12-'pagado 2016'!B12</f>
        <v>-403372.84990972281</v>
      </c>
      <c r="C12" s="213">
        <f>+'coef definitivo 2016'!C12-'pagado 2016'!C12</f>
        <v>-50942.984074704349</v>
      </c>
      <c r="D12" s="213">
        <f>+'coef definitivo 2016'!D12-'pagado 2016'!D12</f>
        <v>-14979.501060502604</v>
      </c>
      <c r="E12" s="213">
        <f>+'coef definitivo 2016'!E12-'pagado 2016'!E12</f>
        <v>-18208.475685689598</v>
      </c>
      <c r="F12" s="213">
        <f>+'coef definitivo 2016'!F12-'pagado 2016'!F12</f>
        <v>-4466.9975096322596</v>
      </c>
      <c r="G12" s="213">
        <f>+'coef definitivo 2016'!G12-'pagado 2016'!G12</f>
        <v>-14328.195243477821</v>
      </c>
      <c r="H12" s="213">
        <f>+'coef definitivo 2016'!H12-'pagado 2016'!H12</f>
        <v>-20722.723262520507</v>
      </c>
      <c r="I12" s="214">
        <f t="shared" si="0"/>
        <v>-527021.72674624994</v>
      </c>
    </row>
    <row r="13" spans="1:9" x14ac:dyDescent="0.2">
      <c r="A13" s="197" t="s">
        <v>7</v>
      </c>
      <c r="B13" s="213">
        <f>+'coef definitivo 2016'!B13-'pagado 2016'!B13</f>
        <v>-499562.23773823678</v>
      </c>
      <c r="C13" s="213">
        <f>+'coef definitivo 2016'!C13-'pagado 2016'!C13</f>
        <v>-63090.986731315963</v>
      </c>
      <c r="D13" s="213">
        <f>+'coef definitivo 2016'!D13-'pagado 2016'!D13</f>
        <v>-18551.553659753175</v>
      </c>
      <c r="E13" s="213">
        <f>+'coef definitivo 2016'!E13-'pagado 2016'!E13</f>
        <v>-22550.51289380528</v>
      </c>
      <c r="F13" s="213">
        <f>+'coef definitivo 2016'!F13-'pagado 2016'!F13</f>
        <v>-5532.20989559195</v>
      </c>
      <c r="G13" s="213">
        <f>+'coef definitivo 2016'!G13-'pagado 2016'!G13</f>
        <v>-17744.935684650205</v>
      </c>
      <c r="H13" s="213">
        <f>+'coef definitivo 2016'!H13-'pagado 2016'!H13</f>
        <v>-25664.32026194362</v>
      </c>
      <c r="I13" s="214">
        <f t="shared" si="0"/>
        <v>-652696.75686529698</v>
      </c>
    </row>
    <row r="14" spans="1:9" x14ac:dyDescent="0.2">
      <c r="A14" s="197" t="s">
        <v>8</v>
      </c>
      <c r="B14" s="213">
        <f>+'coef definitivo 2016'!B14-'pagado 2016'!B14</f>
        <v>-81344.702555276453</v>
      </c>
      <c r="C14" s="213">
        <f>+'coef definitivo 2016'!C14-'pagado 2016'!C14</f>
        <v>-10273.229563574539</v>
      </c>
      <c r="D14" s="213">
        <f>+'coef definitivo 2016'!D14-'pagado 2016'!D14</f>
        <v>-3020.7860010060831</v>
      </c>
      <c r="E14" s="213">
        <f>+'coef definitivo 2016'!E14-'pagado 2016'!E14</f>
        <v>-3671.9444050067104</v>
      </c>
      <c r="F14" s="213">
        <f>+'coef definitivo 2016'!F14-'pagado 2016'!F14</f>
        <v>-900.82062741115806</v>
      </c>
      <c r="G14" s="213">
        <f>+'coef definitivo 2016'!G14-'pagado 2016'!G14</f>
        <v>-2889.4428082987433</v>
      </c>
      <c r="H14" s="213">
        <f>+'coef definitivo 2016'!H14-'pagado 2016'!H14</f>
        <v>-4178.9717882661498</v>
      </c>
      <c r="I14" s="214">
        <f t="shared" si="0"/>
        <v>-106279.89774883984</v>
      </c>
    </row>
    <row r="15" spans="1:9" x14ac:dyDescent="0.2">
      <c r="A15" s="197" t="s">
        <v>9</v>
      </c>
      <c r="B15" s="213">
        <f>+'coef definitivo 2016'!B15-'pagado 2016'!B15</f>
        <v>-808582.26067440212</v>
      </c>
      <c r="C15" s="213">
        <f>+'coef definitivo 2016'!C15-'pagado 2016'!C15</f>
        <v>-102117.91209509969</v>
      </c>
      <c r="D15" s="213">
        <f>+'coef definitivo 2016'!D15-'pagado 2016'!D15</f>
        <v>-30027.203947880771</v>
      </c>
      <c r="E15" s="213">
        <f>+'coef definitivo 2016'!E15-'pagado 2016'!E15</f>
        <v>-36499.845900270157</v>
      </c>
      <c r="F15" s="213">
        <f>+'coef definitivo 2016'!F15-'pagado 2016'!F15</f>
        <v>-8954.3333062073216</v>
      </c>
      <c r="G15" s="213">
        <f>+'coef definitivo 2016'!G15-'pagado 2016'!G15</f>
        <v>-28721.626911548432</v>
      </c>
      <c r="H15" s="213">
        <f>+'coef definitivo 2016'!H15-'pagado 2016'!H15</f>
        <v>-41539.797303389758</v>
      </c>
      <c r="I15" s="214">
        <f t="shared" si="0"/>
        <v>-1056442.9801387982</v>
      </c>
    </row>
    <row r="16" spans="1:9" x14ac:dyDescent="0.2">
      <c r="A16" s="197" t="s">
        <v>10</v>
      </c>
      <c r="B16" s="213">
        <f>+'coef definitivo 2016'!B16-'pagado 2016'!B16</f>
        <v>-115517.49634254724</v>
      </c>
      <c r="C16" s="213">
        <f>+'coef definitivo 2016'!C16-'pagado 2016'!C16</f>
        <v>-14588.998684086604</v>
      </c>
      <c r="D16" s="213">
        <f>+'coef definitivo 2016'!D16-'pagado 2016'!D16</f>
        <v>-4289.813901350135</v>
      </c>
      <c r="E16" s="213">
        <f>+'coef definitivo 2016'!E16-'pagado 2016'!E16</f>
        <v>-5214.5230242516845</v>
      </c>
      <c r="F16" s="213">
        <f>+'coef definitivo 2016'!F16-'pagado 2016'!F16</f>
        <v>-1279.2540910890675</v>
      </c>
      <c r="G16" s="213">
        <f>+'coef definitivo 2016'!G16-'pagado 2016'!G16</f>
        <v>-4103.2936202923884</v>
      </c>
      <c r="H16" s="213">
        <f>+'coef definitivo 2016'!H16-'pagado 2016'!H16</f>
        <v>-5934.5518897017464</v>
      </c>
      <c r="I16" s="214">
        <f t="shared" si="0"/>
        <v>-150927.93155331886</v>
      </c>
    </row>
    <row r="17" spans="1:9" x14ac:dyDescent="0.2">
      <c r="A17" s="197" t="s">
        <v>11</v>
      </c>
      <c r="B17" s="213">
        <f>+'coef definitivo 2016'!B17-'pagado 2016'!B17</f>
        <v>-162783.38145662099</v>
      </c>
      <c r="C17" s="213">
        <f>+'coef definitivo 2016'!C17-'pagado 2016'!C17</f>
        <v>-20558.32763912715</v>
      </c>
      <c r="D17" s="213">
        <f>+'coef definitivo 2016'!D17-'pagado 2016'!D17</f>
        <v>-6045.0618719322374</v>
      </c>
      <c r="E17" s="213">
        <f>+'coef definitivo 2016'!E17-'pagado 2016'!E17</f>
        <v>-7348.1309537215857</v>
      </c>
      <c r="F17" s="213">
        <f>+'coef definitivo 2016'!F17-'pagado 2016'!F17</f>
        <v>-1802.681959728332</v>
      </c>
      <c r="G17" s="213">
        <f>+'coef definitivo 2016'!G17-'pagado 2016'!G17</f>
        <v>-5782.2237476466689</v>
      </c>
      <c r="H17" s="213">
        <f>+'coef definitivo 2016'!H17-'pagado 2016'!H17</f>
        <v>-8362.7714815663639</v>
      </c>
      <c r="I17" s="214">
        <f t="shared" si="0"/>
        <v>-212682.57911034333</v>
      </c>
    </row>
    <row r="18" spans="1:9" x14ac:dyDescent="0.2">
      <c r="A18" s="197" t="s">
        <v>12</v>
      </c>
      <c r="B18" s="213">
        <f>+'coef definitivo 2016'!B18-'pagado 2016'!B18</f>
        <v>-410499.08088697493</v>
      </c>
      <c r="C18" s="213">
        <f>+'coef definitivo 2016'!C18-'pagado 2016'!C18</f>
        <v>-51842.973925959319</v>
      </c>
      <c r="D18" s="213">
        <f>+'coef definitivo 2016'!D18-'pagado 2016'!D18</f>
        <v>-15244.138069427805</v>
      </c>
      <c r="E18" s="213">
        <f>+'coef definitivo 2016'!E18-'pagado 2016'!E18</f>
        <v>-18530.15323645738</v>
      </c>
      <c r="F18" s="213">
        <f>+'coef definitivo 2016'!F18-'pagado 2016'!F18</f>
        <v>-4545.9142142051132</v>
      </c>
      <c r="G18" s="213">
        <f>+'coef definitivo 2016'!G18-'pagado 2016'!G18</f>
        <v>-14581.32588629378</v>
      </c>
      <c r="H18" s="213">
        <f>+'coef definitivo 2016'!H18-'pagado 2016'!H18</f>
        <v>-21088.823540416081</v>
      </c>
      <c r="I18" s="214">
        <f t="shared" si="0"/>
        <v>-536332.40975973441</v>
      </c>
    </row>
    <row r="19" spans="1:9" x14ac:dyDescent="0.2">
      <c r="A19" s="197" t="s">
        <v>13</v>
      </c>
      <c r="B19" s="213">
        <f>+'coef definitivo 2016'!B19-'pagado 2016'!B19</f>
        <v>-208865.85349630192</v>
      </c>
      <c r="C19" s="213">
        <f>+'coef definitivo 2016'!C19-'pagado 2016'!C19</f>
        <v>-26378.200344408862</v>
      </c>
      <c r="D19" s="213">
        <f>+'coef definitivo 2016'!D19-'pagado 2016'!D19</f>
        <v>-7756.3630637293682</v>
      </c>
      <c r="E19" s="213">
        <f>+'coef definitivo 2016'!E19-'pagado 2016'!E19</f>
        <v>-9428.3189691612497</v>
      </c>
      <c r="F19" s="213">
        <f>+'coef definitivo 2016'!F19-'pagado 2016'!F19</f>
        <v>-2313.0045753557351</v>
      </c>
      <c r="G19" s="213">
        <f>+'coef definitivo 2016'!G19-'pagado 2016'!G19</f>
        <v>-7419.117893681745</v>
      </c>
      <c r="H19" s="213">
        <f>+'coef definitivo 2016'!H19-'pagado 2016'!H19</f>
        <v>-10730.194860569201</v>
      </c>
      <c r="I19" s="214">
        <f t="shared" si="0"/>
        <v>-272891.05320320808</v>
      </c>
    </row>
    <row r="20" spans="1:9" x14ac:dyDescent="0.2">
      <c r="A20" s="197" t="s">
        <v>14</v>
      </c>
      <c r="B20" s="213">
        <f>+'coef definitivo 2016'!B20-'pagado 2016'!B20</f>
        <v>-1089926.457279548</v>
      </c>
      <c r="C20" s="213">
        <f>+'coef definitivo 2016'!C20-'pagado 2016'!C20</f>
        <v>-137649.5868976526</v>
      </c>
      <c r="D20" s="213">
        <f>+'coef definitivo 2016'!D20-'pagado 2016'!D20</f>
        <v>-40475.09525329899</v>
      </c>
      <c r="E20" s="213">
        <f>+'coef definitivo 2016'!E20-'pagado 2016'!E20</f>
        <v>-49199.876955192536</v>
      </c>
      <c r="F20" s="213">
        <f>+'coef definitivo 2016'!F20-'pagado 2016'!F20</f>
        <v>-12069.971420835936</v>
      </c>
      <c r="G20" s="213">
        <f>+'coef definitivo 2016'!G20-'pagado 2016'!G20</f>
        <v>-38715.245918084402</v>
      </c>
      <c r="H20" s="213">
        <f>+'coef definitivo 2016'!H20-'pagado 2016'!H20</f>
        <v>-55993.46697667148</v>
      </c>
      <c r="I20" s="214">
        <f t="shared" si="0"/>
        <v>-1424029.700701284</v>
      </c>
    </row>
    <row r="21" spans="1:9" x14ac:dyDescent="0.2">
      <c r="A21" s="197" t="s">
        <v>15</v>
      </c>
      <c r="B21" s="213">
        <f>+'coef definitivo 2016'!B21-'pagado 2016'!B21</f>
        <v>-136476.47064992599</v>
      </c>
      <c r="C21" s="213">
        <f>+'coef definitivo 2016'!C21-'pagado 2016'!C21</f>
        <v>-17235.960904280888</v>
      </c>
      <c r="D21" s="213">
        <f>+'coef definitivo 2016'!D21-'pagado 2016'!D21</f>
        <v>-5068.1384165838826</v>
      </c>
      <c r="E21" s="213">
        <f>+'coef definitivo 2016'!E21-'pagado 2016'!E21</f>
        <v>-6160.6225983493496</v>
      </c>
      <c r="F21" s="213">
        <f>+'coef definitivo 2016'!F21-'pagado 2016'!F21</f>
        <v>-1511.3561923000671</v>
      </c>
      <c r="G21" s="213">
        <f>+'coef definitivo 2016'!G21-'pagado 2016'!G21</f>
        <v>-4847.7767357185367</v>
      </c>
      <c r="H21" s="213">
        <f>+'coef definitivo 2016'!H21-'pagado 2016'!H21</f>
        <v>-7011.2902585217962</v>
      </c>
      <c r="I21" s="214">
        <f t="shared" si="0"/>
        <v>-178311.61575568051</v>
      </c>
    </row>
    <row r="22" spans="1:9" x14ac:dyDescent="0.2">
      <c r="A22" s="197" t="s">
        <v>16</v>
      </c>
      <c r="B22" s="213">
        <f>+'coef definitivo 2016'!B22-'pagado 2016'!B22</f>
        <v>-101704.31825673021</v>
      </c>
      <c r="C22" s="213">
        <f>+'coef definitivo 2016'!C22-'pagado 2016'!C22</f>
        <v>-12844.497259648982</v>
      </c>
      <c r="D22" s="213">
        <f>+'coef definitivo 2016'!D22-'pagado 2016'!D22</f>
        <v>-3776.8529625270749</v>
      </c>
      <c r="E22" s="213">
        <f>+'coef definitivo 2016'!E22-'pagado 2016'!E22</f>
        <v>-4590.9886035178206</v>
      </c>
      <c r="F22" s="213">
        <f>+'coef definitivo 2016'!F22-'pagado 2016'!F22</f>
        <v>-1126.2853622237744</v>
      </c>
      <c r="G22" s="213">
        <f>+'coef definitivo 2016'!G22-'pagado 2016'!G22</f>
        <v>-3612.6361241550185</v>
      </c>
      <c r="H22" s="213">
        <f>+'coef definitivo 2016'!H22-'pagado 2016'!H22</f>
        <v>-5224.9189361889148</v>
      </c>
      <c r="I22" s="214">
        <f t="shared" si="0"/>
        <v>-132880.4975049918</v>
      </c>
    </row>
    <row r="23" spans="1:9" x14ac:dyDescent="0.2">
      <c r="A23" s="197" t="s">
        <v>17</v>
      </c>
      <c r="B23" s="213">
        <f>+'coef definitivo 2016'!B23-'pagado 2016'!B23</f>
        <v>-891960.51410153508</v>
      </c>
      <c r="C23" s="213">
        <f>+'coef definitivo 2016'!C23-'pagado 2016'!C23</f>
        <v>-112647.96397505887</v>
      </c>
      <c r="D23" s="213">
        <f>+'coef definitivo 2016'!D23-'pagado 2016'!D23</f>
        <v>-33123.507122262381</v>
      </c>
      <c r="E23" s="213">
        <f>+'coef definitivo 2016'!E23-'pagado 2016'!E23</f>
        <v>-40263.585904888809</v>
      </c>
      <c r="F23" s="213">
        <f>+'coef definitivo 2016'!F23-'pagado 2016'!F23</f>
        <v>-9877.6737107487861</v>
      </c>
      <c r="G23" s="213">
        <f>+'coef definitivo 2016'!G23-'pagado 2016'!G23</f>
        <v>-31683.303421089891</v>
      </c>
      <c r="H23" s="213">
        <f>+'coef definitivo 2016'!H23-'pagado 2016'!H23</f>
        <v>-45823.239960151725</v>
      </c>
      <c r="I23" s="214">
        <f t="shared" si="0"/>
        <v>-1165379.7881957355</v>
      </c>
    </row>
    <row r="24" spans="1:9" x14ac:dyDescent="0.2">
      <c r="A24" s="197" t="s">
        <v>18</v>
      </c>
      <c r="B24" s="213">
        <f>+'coef definitivo 2016'!B24-'pagado 2016'!B24</f>
        <v>148955.31732404232</v>
      </c>
      <c r="C24" s="213">
        <f>+'coef definitivo 2016'!C24-'pagado 2016'!C24</f>
        <v>18811.946217952296</v>
      </c>
      <c r="D24" s="213">
        <f>+'coef definitivo 2016'!D24-'pagado 2016'!D24</f>
        <v>5531.5481305257417</v>
      </c>
      <c r="E24" s="213">
        <f>+'coef definitivo 2016'!E24-'pagado 2016'!E24</f>
        <v>6723.9225927079096</v>
      </c>
      <c r="F24" s="213">
        <f>+'coef definitivo 2016'!F24-'pagado 2016'!F24</f>
        <v>1649.5483810626902</v>
      </c>
      <c r="G24" s="213">
        <f>+'coef definitivo 2016'!G24-'pagado 2016'!G24</f>
        <v>5291.0374846765772</v>
      </c>
      <c r="H24" s="213">
        <f>+'coef definitivo 2016'!H24-'pagado 2016'!H24</f>
        <v>7652.3737779548392</v>
      </c>
      <c r="I24" s="214">
        <f t="shared" si="0"/>
        <v>194615.69390892237</v>
      </c>
    </row>
    <row r="25" spans="1:9" x14ac:dyDescent="0.2">
      <c r="A25" s="197" t="s">
        <v>19</v>
      </c>
      <c r="B25" s="213">
        <f>+'coef definitivo 2016'!B25-'pagado 2016'!B25</f>
        <v>-171435.12048712745</v>
      </c>
      <c r="C25" s="213">
        <f>+'coef definitivo 2016'!C25-'pagado 2016'!C25</f>
        <v>-21650.977785879746</v>
      </c>
      <c r="D25" s="213">
        <f>+'coef definitivo 2016'!D25-'pagado 2016'!D25</f>
        <v>-6366.3495689393021</v>
      </c>
      <c r="E25" s="213">
        <f>+'coef definitivo 2016'!E25-'pagado 2016'!E25</f>
        <v>-7738.6751899007941</v>
      </c>
      <c r="F25" s="213">
        <f>+'coef definitivo 2016'!F25-'pagado 2016'!F25</f>
        <v>-1898.4923166027002</v>
      </c>
      <c r="G25" s="213">
        <f>+'coef definitivo 2016'!G25-'pagado 2016'!G25</f>
        <v>-6089.5419175545685</v>
      </c>
      <c r="H25" s="213">
        <f>+'coef definitivo 2016'!H25-'pagado 2016'!H25</f>
        <v>-8807.2426295600599</v>
      </c>
      <c r="I25" s="214">
        <f t="shared" si="0"/>
        <v>-223986.39989556462</v>
      </c>
    </row>
    <row r="26" spans="1:9" x14ac:dyDescent="0.2">
      <c r="A26" s="197" t="s">
        <v>20</v>
      </c>
      <c r="B26" s="213">
        <f>+'coef definitivo 2016'!B26-'pagado 2016'!B26</f>
        <v>-2333155.1702912152</v>
      </c>
      <c r="C26" s="213">
        <f>+'coef definitivo 2016'!C26-'pagado 2016'!C26</f>
        <v>-294660.10593073815</v>
      </c>
      <c r="D26" s="213">
        <f>+'coef definitivo 2016'!D26-'pagado 2016'!D26</f>
        <v>-86643.164892034605</v>
      </c>
      <c r="E26" s="213">
        <f>+'coef definitivo 2016'!E26-'pagado 2016'!E26</f>
        <v>-105319.90165852197</v>
      </c>
      <c r="F26" s="213">
        <f>+'coef definitivo 2016'!F26-'pagado 2016'!F26</f>
        <v>-25837.629720523488</v>
      </c>
      <c r="G26" s="213">
        <f>+'coef definitivo 2016'!G26-'pagado 2016'!G26</f>
        <v>-82875.936793325469</v>
      </c>
      <c r="H26" s="213">
        <f>+'coef definitivo 2016'!H26-'pagado 2016'!H26</f>
        <v>-119862.62569057383</v>
      </c>
      <c r="I26" s="214">
        <f t="shared" si="0"/>
        <v>-3048354.5349769327</v>
      </c>
    </row>
    <row r="27" spans="1:9" x14ac:dyDescent="0.2">
      <c r="A27" s="197" t="s">
        <v>21</v>
      </c>
      <c r="B27" s="213">
        <f>+'coef definitivo 2016'!B27-'pagado 2016'!B27</f>
        <v>-345996.60890654474</v>
      </c>
      <c r="C27" s="213">
        <f>+'coef definitivo 2016'!C27-'pagado 2016'!C27</f>
        <v>-43696.792536670342</v>
      </c>
      <c r="D27" s="213">
        <f>+'coef definitivo 2016'!D27-'pagado 2016'!D27</f>
        <v>-12848.798750848742</v>
      </c>
      <c r="E27" s="213">
        <f>+'coef definitivo 2016'!E27-'pagado 2016'!E27</f>
        <v>-15618.47633977537</v>
      </c>
      <c r="F27" s="213">
        <f>+'coef definitivo 2016'!F27-'pagado 2016'!F27</f>
        <v>-3831.60639262927</v>
      </c>
      <c r="G27" s="213">
        <f>+'coef definitivo 2016'!G27-'pagado 2016'!G27</f>
        <v>-12290.135459299199</v>
      </c>
      <c r="H27" s="213">
        <f>+'coef definitivo 2016'!H27-'pagado 2016'!H27</f>
        <v>-17775.098095338792</v>
      </c>
      <c r="I27" s="214">
        <f t="shared" si="0"/>
        <v>-452057.51648110646</v>
      </c>
    </row>
    <row r="28" spans="1:9" x14ac:dyDescent="0.2">
      <c r="A28" s="197" t="s">
        <v>22</v>
      </c>
      <c r="B28" s="213">
        <f>+'coef definitivo 2016'!B28-'pagado 2016'!B28</f>
        <v>-55498.003328152932</v>
      </c>
      <c r="C28" s="213">
        <f>+'coef definitivo 2016'!C28-'pagado 2016'!C28</f>
        <v>-7008.984120664536</v>
      </c>
      <c r="D28" s="213">
        <f>+'coef definitivo 2016'!D28-'pagado 2016'!D28</f>
        <v>-2060.9527882107068</v>
      </c>
      <c r="E28" s="213">
        <f>+'coef definitivo 2016'!E28-'pagado 2016'!E28</f>
        <v>-2505.2102522763307</v>
      </c>
      <c r="F28" s="213">
        <f>+'coef definitivo 2016'!F28-'pagado 2016'!F28</f>
        <v>-614.59129614691483</v>
      </c>
      <c r="G28" s="213">
        <f>+'coef definitivo 2016'!G28-'pagado 2016'!G28</f>
        <v>-1971.3429584735422</v>
      </c>
      <c r="H28" s="213">
        <f>+'coef definitivo 2016'!H28-'pagado 2016'!H28</f>
        <v>-2851.133299748064</v>
      </c>
      <c r="I28" s="214">
        <f t="shared" si="0"/>
        <v>-72510.218043673027</v>
      </c>
    </row>
    <row r="29" spans="1:9" x14ac:dyDescent="0.2">
      <c r="A29" s="197" t="s">
        <v>23</v>
      </c>
      <c r="B29" s="213">
        <f>+'coef definitivo 2016'!B29-'pagado 2016'!B29</f>
        <v>-253961.04907018319</v>
      </c>
      <c r="C29" s="213">
        <f>+'coef definitivo 2016'!C29-'pagado 2016'!C29</f>
        <v>-32073.387391529512</v>
      </c>
      <c r="D29" s="213">
        <f>+'coef definitivo 2016'!D29-'pagado 2016'!D29</f>
        <v>-9431.0011313970899</v>
      </c>
      <c r="E29" s="213">
        <f>+'coef definitivo 2016'!E29-'pagado 2016'!E29</f>
        <v>-11463.940784455976</v>
      </c>
      <c r="F29" s="213">
        <f>+'coef definitivo 2016'!F29-'pagado 2016'!F29</f>
        <v>-2812.3939774190076</v>
      </c>
      <c r="G29" s="213">
        <f>+'coef definitivo 2016'!G29-'pagado 2016'!G29</f>
        <v>-9020.9430211536819</v>
      </c>
      <c r="H29" s="213">
        <f>+'coef definitivo 2016'!H29-'pagado 2016'!H29</f>
        <v>-13046.898274187697</v>
      </c>
      <c r="I29" s="214">
        <f t="shared" si="0"/>
        <v>-331809.61365032615</v>
      </c>
    </row>
    <row r="30" spans="1:9" x14ac:dyDescent="0.2">
      <c r="A30" s="197" t="s">
        <v>24</v>
      </c>
      <c r="B30" s="213">
        <f>+'coef definitivo 2016'!B30-'pagado 2016'!B30</f>
        <v>-244616.84395868704</v>
      </c>
      <c r="C30" s="213">
        <f>+'coef definitivo 2016'!C30-'pagado 2016'!C30</f>
        <v>-30893.283940610941</v>
      </c>
      <c r="D30" s="213">
        <f>+'coef definitivo 2016'!D30-'pagado 2016'!D30</f>
        <v>-9083.9982768214541</v>
      </c>
      <c r="E30" s="213">
        <f>+'coef definitivo 2016'!E30-'pagado 2016'!E30</f>
        <v>-11042.138250295073</v>
      </c>
      <c r="F30" s="213">
        <f>+'coef definitivo 2016'!F30-'pagado 2016'!F30</f>
        <v>-2708.9151712181047</v>
      </c>
      <c r="G30" s="213">
        <f>+'coef definitivo 2016'!G30-'pagado 2016'!G30</f>
        <v>-8689.0277837682515</v>
      </c>
      <c r="H30" s="213">
        <f>+'coef definitivo 2016'!H30-'pagado 2016'!H30</f>
        <v>-12566.852637311211</v>
      </c>
      <c r="I30" s="214">
        <f t="shared" si="0"/>
        <v>-319601.06001871207</v>
      </c>
    </row>
    <row r="31" spans="1:9" x14ac:dyDescent="0.2">
      <c r="A31" s="197" t="s">
        <v>25</v>
      </c>
      <c r="B31" s="213">
        <f>+'coef definitivo 2016'!B31-'pagado 2016'!B31</f>
        <v>-3944220.2555965781</v>
      </c>
      <c r="C31" s="213">
        <f>+'coef definitivo 2016'!C31-'pagado 2016'!C31</f>
        <v>-498125.61681579053</v>
      </c>
      <c r="D31" s="213">
        <f>+'coef definitivo 2016'!D31-'pagado 2016'!D31</f>
        <v>-146471.06644582935</v>
      </c>
      <c r="E31" s="213">
        <f>+'coef definitivo 2016'!E31-'pagado 2016'!E31</f>
        <v>-178044.26157696545</v>
      </c>
      <c r="F31" s="213">
        <f>+'coef definitivo 2016'!F31-'pagado 2016'!F31</f>
        <v>-43678.750474008732</v>
      </c>
      <c r="G31" s="213">
        <f>+'coef definitivo 2016'!G31-'pagado 2016'!G31</f>
        <v>-140102.53272651881</v>
      </c>
      <c r="H31" s="213">
        <f>+'coef definitivo 2016'!H31-'pagado 2016'!H31</f>
        <v>-202628.87019157782</v>
      </c>
      <c r="I31" s="214">
        <f t="shared" si="0"/>
        <v>-5153271.3538272688</v>
      </c>
    </row>
    <row r="32" spans="1:9" x14ac:dyDescent="0.2">
      <c r="A32" s="197" t="s">
        <v>26</v>
      </c>
      <c r="B32" s="213">
        <f>+'coef definitivo 2016'!B32-'pagado 2016'!B32</f>
        <v>-103203.83261825703</v>
      </c>
      <c r="C32" s="213">
        <f>+'coef definitivo 2016'!C32-'pagado 2016'!C32</f>
        <v>-13033.874745655339</v>
      </c>
      <c r="D32" s="213">
        <f>+'coef definitivo 2016'!D32-'pagado 2016'!D32</f>
        <v>-3832.5383587401593</v>
      </c>
      <c r="E32" s="213">
        <f>+'coef definitivo 2016'!E32-'pagado 2016'!E32</f>
        <v>-4658.6775026971009</v>
      </c>
      <c r="F32" s="213">
        <f>+'coef definitivo 2016'!F32-'pagado 2016'!F32</f>
        <v>-1142.8911573835212</v>
      </c>
      <c r="G32" s="213">
        <f>+'coef definitivo 2016'!G32-'pagado 2016'!G32</f>
        <v>-3665.9003300805925</v>
      </c>
      <c r="H32" s="213">
        <f>+'coef definitivo 2016'!H32-'pagado 2016'!H32</f>
        <v>-5301.9544162641978</v>
      </c>
      <c r="I32" s="214">
        <f t="shared" si="0"/>
        <v>-134839.66912907793</v>
      </c>
    </row>
    <row r="33" spans="1:9" x14ac:dyDescent="0.2">
      <c r="A33" s="197" t="s">
        <v>27</v>
      </c>
      <c r="B33" s="213">
        <f>+'coef definitivo 2016'!B33-'pagado 2016'!B33</f>
        <v>-177649.43879882619</v>
      </c>
      <c r="C33" s="213">
        <f>+'coef definitivo 2016'!C33-'pagado 2016'!C33</f>
        <v>-22435.79986515129</v>
      </c>
      <c r="D33" s="213">
        <f>+'coef definitivo 2016'!D33-'pagado 2016'!D33</f>
        <v>-6597.1221352170687</v>
      </c>
      <c r="E33" s="213">
        <f>+'coef definitivo 2016'!E33-'pagado 2016'!E33</f>
        <v>-8019.1929204810876</v>
      </c>
      <c r="F33" s="213">
        <f>+'coef definitivo 2016'!F33-'pagado 2016'!F33</f>
        <v>-1967.3103950346122</v>
      </c>
      <c r="G33" s="213">
        <f>+'coef definitivo 2016'!G33-'pagado 2016'!G33</f>
        <v>-6310.2805371592985</v>
      </c>
      <c r="H33" s="213">
        <f>+'coef definitivo 2016'!H33-'pagado 2016'!H33</f>
        <v>-9126.4946532578906</v>
      </c>
      <c r="I33" s="214">
        <f t="shared" si="0"/>
        <v>-232105.63930512744</v>
      </c>
    </row>
    <row r="34" spans="1:9" x14ac:dyDescent="0.2">
      <c r="A34" s="197" t="s">
        <v>28</v>
      </c>
      <c r="B34" s="213">
        <f>+'coef definitivo 2016'!B34-'pagado 2016'!B34</f>
        <v>-95948.733831340447</v>
      </c>
      <c r="C34" s="213">
        <f>+'coef definitivo 2016'!C34-'pagado 2016'!C34</f>
        <v>-12117.609850669745</v>
      </c>
      <c r="D34" s="213">
        <f>+'coef definitivo 2016'!D34-'pagado 2016'!D34</f>
        <v>-3563.115763746202</v>
      </c>
      <c r="E34" s="213">
        <f>+'coef definitivo 2016'!E34-'pagado 2016'!E34</f>
        <v>-4331.1783716960927</v>
      </c>
      <c r="F34" s="213">
        <f>+'coef definitivo 2016'!F34-'pagado 2016'!F34</f>
        <v>-1062.5473558099184</v>
      </c>
      <c r="G34" s="213">
        <f>+'coef definitivo 2016'!G34-'pagado 2016'!G34</f>
        <v>-3408.1921775537776</v>
      </c>
      <c r="H34" s="213">
        <f>+'coef definitivo 2016'!H34-'pagado 2016'!H34</f>
        <v>-4929.2337325660046</v>
      </c>
      <c r="I34" s="214">
        <f t="shared" si="0"/>
        <v>-125360.61108338219</v>
      </c>
    </row>
    <row r="35" spans="1:9" x14ac:dyDescent="0.2">
      <c r="A35" s="197" t="s">
        <v>29</v>
      </c>
      <c r="B35" s="213">
        <f>+'coef definitivo 2016'!B35-'pagado 2016'!B35</f>
        <v>-142219.11153366603</v>
      </c>
      <c r="C35" s="213">
        <f>+'coef definitivo 2016'!C35-'pagado 2016'!C35</f>
        <v>-17961.213640434667</v>
      </c>
      <c r="D35" s="213">
        <f>+'coef definitivo 2016'!D35-'pagado 2016'!D35</f>
        <v>-5281.3949489146471</v>
      </c>
      <c r="E35" s="213">
        <f>+'coef definitivo 2016'!E35-'pagado 2016'!E35</f>
        <v>-6419.8485516152577</v>
      </c>
      <c r="F35" s="213">
        <f>+'coef definitivo 2016'!F35-'pagado 2016'!F35</f>
        <v>-1574.9508604393341</v>
      </c>
      <c r="G35" s="213">
        <f>+'coef definitivo 2016'!G35-'pagado 2016'!G35</f>
        <v>-5051.7609151541255</v>
      </c>
      <c r="H35" s="213">
        <f>+'coef definitivo 2016'!H35-'pagado 2016'!H35</f>
        <v>-7306.3105055623455</v>
      </c>
      <c r="I35" s="214">
        <f t="shared" si="0"/>
        <v>-185814.59095578641</v>
      </c>
    </row>
    <row r="36" spans="1:9" x14ac:dyDescent="0.2">
      <c r="A36" s="197" t="s">
        <v>30</v>
      </c>
      <c r="B36" s="213">
        <f>+'coef definitivo 2016'!B36-'pagado 2016'!B36</f>
        <v>-130774.55315771885</v>
      </c>
      <c r="C36" s="213">
        <f>+'coef definitivo 2016'!C36-'pagado 2016'!C36</f>
        <v>-16515.851228912594</v>
      </c>
      <c r="D36" s="213">
        <f>+'coef definitivo 2016'!D36-'pagado 2016'!D36</f>
        <v>-4856.3941726654302</v>
      </c>
      <c r="E36" s="213">
        <f>+'coef definitivo 2016'!E36-'pagado 2016'!E36</f>
        <v>-5903.2349212713307</v>
      </c>
      <c r="F36" s="213">
        <f>+'coef definitivo 2016'!F36-'pagado 2016'!F36</f>
        <v>-1448.2124997002538</v>
      </c>
      <c r="G36" s="213">
        <f>+'coef definitivo 2016'!G36-'pagado 2016'!G36</f>
        <v>-4645.2390906867804</v>
      </c>
      <c r="H36" s="213">
        <f>+'coef definitivo 2016'!H36-'pagado 2016'!H36</f>
        <v>-6718.3621194980806</v>
      </c>
      <c r="I36" s="214">
        <f t="shared" si="0"/>
        <v>-170861.84719045332</v>
      </c>
    </row>
    <row r="37" spans="1:9" x14ac:dyDescent="0.2">
      <c r="A37" s="197" t="s">
        <v>31</v>
      </c>
      <c r="B37" s="213">
        <f>+'coef definitivo 2016'!B37-'pagado 2016'!B37</f>
        <v>-1243498.2602060437</v>
      </c>
      <c r="C37" s="213">
        <f>+'coef definitivo 2016'!C37-'pagado 2016'!C37</f>
        <v>-157044.56083444133</v>
      </c>
      <c r="D37" s="213">
        <f>+'coef definitivo 2016'!D37-'pagado 2016'!D37</f>
        <v>-46178.07944104448</v>
      </c>
      <c r="E37" s="213">
        <f>+'coef definitivo 2016'!E37-'pagado 2016'!E37</f>
        <v>-56132.192211243324</v>
      </c>
      <c r="F37" s="213">
        <f>+'coef definitivo 2016'!F37-'pagado 2016'!F37</f>
        <v>-13770.643296437105</v>
      </c>
      <c r="G37" s="213">
        <f>+'coef definitivo 2016'!G37-'pagado 2016'!G37</f>
        <v>-44170.265453276224</v>
      </c>
      <c r="H37" s="213">
        <f>+'coef definitivo 2016'!H37-'pagado 2016'!H37</f>
        <v>-63883.006328872405</v>
      </c>
      <c r="I37" s="214">
        <f t="shared" si="0"/>
        <v>-1624677.0077713586</v>
      </c>
    </row>
    <row r="38" spans="1:9" x14ac:dyDescent="0.2">
      <c r="A38" s="197" t="s">
        <v>32</v>
      </c>
      <c r="B38" s="213">
        <f>+'coef definitivo 2016'!B38-'pagado 2016'!B38</f>
        <v>-242329.59962702915</v>
      </c>
      <c r="C38" s="213">
        <f>+'coef definitivo 2016'!C38-'pagado 2016'!C38</f>
        <v>-30604.422031364404</v>
      </c>
      <c r="D38" s="213">
        <f>+'coef definitivo 2016'!D38-'pagado 2016'!D38</f>
        <v>-8999.0600394081557</v>
      </c>
      <c r="E38" s="213">
        <f>+'coef definitivo 2016'!E38-'pagado 2016'!E38</f>
        <v>-10938.890789025929</v>
      </c>
      <c r="F38" s="213">
        <f>+'coef definitivo 2016'!F38-'pagado 2016'!F38</f>
        <v>-2683.5859634248773</v>
      </c>
      <c r="G38" s="213">
        <f>+'coef definitivo 2016'!G38-'pagado 2016'!G38</f>
        <v>-8607.7826445358805</v>
      </c>
      <c r="H38" s="213">
        <f>+'coef definitivo 2016'!H38-'pagado 2016'!H38</f>
        <v>-12449.348617570475</v>
      </c>
      <c r="I38" s="214">
        <f t="shared" si="0"/>
        <v>-316612.68971235887</v>
      </c>
    </row>
    <row r="39" spans="1:9" x14ac:dyDescent="0.2">
      <c r="A39" s="197" t="s">
        <v>33</v>
      </c>
      <c r="B39" s="213">
        <f>+'coef definitivo 2016'!B39-'pagado 2016'!B39</f>
        <v>-888479.02165095508</v>
      </c>
      <c r="C39" s="213">
        <f>+'coef definitivo 2016'!C39-'pagado 2016'!C39</f>
        <v>-112208.27743069641</v>
      </c>
      <c r="D39" s="213">
        <f>+'coef definitivo 2016'!D39-'pagado 2016'!D39</f>
        <v>-32994.219739962369</v>
      </c>
      <c r="E39" s="213">
        <f>+'coef definitivo 2016'!E39-'pagado 2016'!E39</f>
        <v>-40106.429429747164</v>
      </c>
      <c r="F39" s="213">
        <f>+'coef definitivo 2016'!F39-'pagado 2016'!F39</f>
        <v>-9839.1192614098545</v>
      </c>
      <c r="G39" s="213">
        <f>+'coef definitivo 2016'!G39-'pagado 2016'!G39</f>
        <v>-31559.6374292369</v>
      </c>
      <c r="H39" s="213">
        <f>+'coef definitivo 2016'!H39-'pagado 2016'!H39</f>
        <v>-45644.383092094213</v>
      </c>
      <c r="I39" s="214">
        <f t="shared" si="0"/>
        <v>-1160831.088034102</v>
      </c>
    </row>
    <row r="40" spans="1:9" x14ac:dyDescent="0.2">
      <c r="A40" s="197" t="s">
        <v>34</v>
      </c>
      <c r="B40" s="213">
        <f>+'coef definitivo 2016'!B40-'pagado 2016'!B40</f>
        <v>-174332.96582728997</v>
      </c>
      <c r="C40" s="213">
        <f>+'coef definitivo 2016'!C40-'pagado 2016'!C40</f>
        <v>-22016.954050885979</v>
      </c>
      <c r="D40" s="213">
        <f>+'coef definitivo 2016'!D40-'pagado 2016'!D40</f>
        <v>-6473.9628536605742</v>
      </c>
      <c r="E40" s="213">
        <f>+'coef definitivo 2016'!E40-'pagado 2016'!E40</f>
        <v>-7869.4855198827572</v>
      </c>
      <c r="F40" s="213">
        <f>+'coef definitivo 2016'!F40-'pagado 2016'!F40</f>
        <v>-1930.5833904583415</v>
      </c>
      <c r="G40" s="213">
        <f>+'coef definitivo 2016'!G40-'pagado 2016'!G40</f>
        <v>-6192.4761974113062</v>
      </c>
      <c r="H40" s="213">
        <f>+'coef definitivo 2016'!H40-'pagado 2016'!H40</f>
        <v>-8956.115433109575</v>
      </c>
      <c r="I40" s="214">
        <f t="shared" si="0"/>
        <v>-227772.5432726985</v>
      </c>
    </row>
    <row r="41" spans="1:9" x14ac:dyDescent="0.2">
      <c r="A41" s="197" t="s">
        <v>35</v>
      </c>
      <c r="B41" s="213">
        <f>+'coef definitivo 2016'!B41-'pagado 2016'!B41</f>
        <v>-24439.734996307641</v>
      </c>
      <c r="C41" s="213">
        <f>+'coef definitivo 2016'!C41-'pagado 2016'!C41</f>
        <v>-3086.5563485133462</v>
      </c>
      <c r="D41" s="213">
        <f>+'coef definitivo 2016'!D41-'pagado 2016'!D41</f>
        <v>-907.58472311042715</v>
      </c>
      <c r="E41" s="213">
        <f>+'coef definitivo 2016'!E41-'pagado 2016'!E41</f>
        <v>-1103.2232541381381</v>
      </c>
      <c r="F41" s="213">
        <f>+'coef definitivo 2016'!F41-'pagado 2016'!F41</f>
        <v>-270.64844693694613</v>
      </c>
      <c r="G41" s="213">
        <f>+'coef definitivo 2016'!G41-'pagado 2016'!G41</f>
        <v>-868.12311439472251</v>
      </c>
      <c r="H41" s="213">
        <f>+'coef definitivo 2016'!H41-'pagado 2016'!H41</f>
        <v>-1255.5576436318224</v>
      </c>
      <c r="I41" s="214">
        <f t="shared" si="0"/>
        <v>-31931.428527033044</v>
      </c>
    </row>
    <row r="42" spans="1:9" x14ac:dyDescent="0.2">
      <c r="A42" s="197" t="s">
        <v>36</v>
      </c>
      <c r="B42" s="213">
        <f>+'coef definitivo 2016'!B42-'pagado 2016'!B42</f>
        <v>-191325.31938244775</v>
      </c>
      <c r="C42" s="213">
        <f>+'coef definitivo 2016'!C42-'pagado 2016'!C42</f>
        <v>-24162.961638521869</v>
      </c>
      <c r="D42" s="213">
        <f>+'coef definitivo 2016'!D42-'pagado 2016'!D42</f>
        <v>-7104.9844461078756</v>
      </c>
      <c r="E42" s="213">
        <f>+'coef definitivo 2016'!E42-'pagado 2016'!E42</f>
        <v>-8636.5296568034682</v>
      </c>
      <c r="F42" s="213">
        <f>+'coef definitivo 2016'!F42-'pagado 2016'!F42</f>
        <v>-2118.7586755096272</v>
      </c>
      <c r="G42" s="213">
        <f>+'coef definitivo 2016'!G42-'pagado 2016'!G42</f>
        <v>-6796.0610927236266</v>
      </c>
      <c r="H42" s="213">
        <f>+'coef definitivo 2016'!H42-'pagado 2016'!H42</f>
        <v>-9829.0741371507756</v>
      </c>
      <c r="I42" s="214">
        <f t="shared" si="0"/>
        <v>-249973.68902926499</v>
      </c>
    </row>
    <row r="43" spans="1:9" x14ac:dyDescent="0.2">
      <c r="A43" s="197" t="s">
        <v>37</v>
      </c>
      <c r="B43" s="213">
        <f>+'coef definitivo 2016'!B43-'pagado 2016'!B43</f>
        <v>-269490.00569219515</v>
      </c>
      <c r="C43" s="213">
        <f>+'coef definitivo 2016'!C43-'pagado 2016'!C43</f>
        <v>-34034.57885513315</v>
      </c>
      <c r="D43" s="213">
        <f>+'coef definitivo 2016'!D43-'pagado 2016'!D43</f>
        <v>-10007.678570744349</v>
      </c>
      <c r="E43" s="213">
        <f>+'coef definitivo 2016'!E43-'pagado 2016'!E43</f>
        <v>-12164.926387606189</v>
      </c>
      <c r="F43" s="213">
        <f>+'coef definitivo 2016'!F43-'pagado 2016'!F43</f>
        <v>-2984.3634358823183</v>
      </c>
      <c r="G43" s="213">
        <f>+'coef definitivo 2016'!G43-'pagado 2016'!G43</f>
        <v>-9572.546636661049</v>
      </c>
      <c r="H43" s="213">
        <f>+'coef definitivo 2016'!H43-'pagado 2016'!H43</f>
        <v>-13844.676981172292</v>
      </c>
      <c r="I43" s="214">
        <f t="shared" si="0"/>
        <v>-352098.77655939449</v>
      </c>
    </row>
    <row r="44" spans="1:9" x14ac:dyDescent="0.2">
      <c r="A44" s="197" t="s">
        <v>38</v>
      </c>
      <c r="B44" s="213">
        <f>+'coef definitivo 2016'!B44-'pagado 2016'!B44</f>
        <v>-632248.4393645376</v>
      </c>
      <c r="C44" s="213">
        <f>+'coef definitivo 2016'!C44-'pagado 2016'!C44</f>
        <v>-79848.264911776409</v>
      </c>
      <c r="D44" s="213">
        <f>+'coef definitivo 2016'!D44-'pagado 2016'!D44</f>
        <v>-23478.938084411435</v>
      </c>
      <c r="E44" s="213">
        <f>+'coef definitivo 2016'!E44-'pagado 2016'!E44</f>
        <v>-28540.040673467796</v>
      </c>
      <c r="F44" s="213">
        <f>+'coef definitivo 2016'!F44-'pagado 2016'!F44</f>
        <v>-7001.5922111344989</v>
      </c>
      <c r="G44" s="213">
        <f>+'coef definitivo 2016'!G44-'pagado 2016'!G44</f>
        <v>-22458.078384865075</v>
      </c>
      <c r="H44" s="213">
        <f>+'coef definitivo 2016'!H44-'pagado 2016'!H44</f>
        <v>-32480.890682269353</v>
      </c>
      <c r="I44" s="214">
        <f t="shared" si="0"/>
        <v>-826056.24431246216</v>
      </c>
    </row>
    <row r="45" spans="1:9" x14ac:dyDescent="0.2">
      <c r="A45" s="197" t="s">
        <v>39</v>
      </c>
      <c r="B45" s="213">
        <f>+'coef definitivo 2016'!B45-'pagado 2016'!B45</f>
        <v>8558370.2722716331</v>
      </c>
      <c r="C45" s="213">
        <f>+'coef definitivo 2016'!C45-'pagado 2016'!C45</f>
        <v>1080858.3685873747</v>
      </c>
      <c r="D45" s="213">
        <f>+'coef definitivo 2016'!D45-'pagado 2016'!D45</f>
        <v>317820.39023790509</v>
      </c>
      <c r="E45" s="213">
        <f>+'coef definitivo 2016'!E45-'pagado 2016'!E45</f>
        <v>386329.48651493341</v>
      </c>
      <c r="F45" s="213">
        <f>+'coef definitivo 2016'!F45-'pagado 2016'!F45</f>
        <v>94776.38046615012</v>
      </c>
      <c r="G45" s="213">
        <f>+'coef definitivo 2016'!G45-'pagado 2016'!G45</f>
        <v>304001.62096811831</v>
      </c>
      <c r="H45" s="213">
        <f>+'coef definitivo 2016'!H45-'pagado 2016'!H45</f>
        <v>439674.45694518834</v>
      </c>
      <c r="I45" s="214">
        <f t="shared" si="0"/>
        <v>11181830.975991303</v>
      </c>
    </row>
    <row r="46" spans="1:9" x14ac:dyDescent="0.2">
      <c r="A46" s="197" t="s">
        <v>40</v>
      </c>
      <c r="B46" s="213">
        <f>+'coef definitivo 2016'!B46-'pagado 2016'!B46</f>
        <v>-67576.313963897526</v>
      </c>
      <c r="C46" s="213">
        <f>+'coef definitivo 2016'!C46-'pagado 2016'!C46</f>
        <v>-8534.3847184091574</v>
      </c>
      <c r="D46" s="213">
        <f>+'coef definitivo 2016'!D46-'pagado 2016'!D46</f>
        <v>-2509.4883478492266</v>
      </c>
      <c r="E46" s="213">
        <f>+'coef definitivo 2016'!E46-'pagado 2016'!E46</f>
        <v>-3050.4318065715488</v>
      </c>
      <c r="F46" s="213">
        <f>+'coef definitivo 2016'!F46-'pagado 2016'!F46</f>
        <v>-748.34790257824352</v>
      </c>
      <c r="G46" s="213">
        <f>+'coef definitivo 2016'!G46-'pagado 2016'!G46</f>
        <v>-2400.3762784877326</v>
      </c>
      <c r="H46" s="213">
        <f>+'coef definitivo 2016'!H46-'pagado 2016'!H46</f>
        <v>-3471.6398331930977</v>
      </c>
      <c r="I46" s="214">
        <f t="shared" si="0"/>
        <v>-88290.982850986533</v>
      </c>
    </row>
    <row r="47" spans="1:9" x14ac:dyDescent="0.2">
      <c r="A47" s="197" t="s">
        <v>41</v>
      </c>
      <c r="B47" s="213">
        <f>+'coef definitivo 2016'!B47-'pagado 2016'!B47</f>
        <v>29448.038367997855</v>
      </c>
      <c r="C47" s="213">
        <f>+'coef definitivo 2016'!C47-'pagado 2016'!C47</f>
        <v>3719.0677308812737</v>
      </c>
      <c r="D47" s="213">
        <f>+'coef definitivo 2016'!D47-'pagado 2016'!D47</f>
        <v>1093.5711762999417</v>
      </c>
      <c r="E47" s="213">
        <f>+'coef definitivo 2016'!E47-'pagado 2016'!E47</f>
        <v>1329.3001969156321</v>
      </c>
      <c r="F47" s="213">
        <f>+'coef definitivo 2016'!F47-'pagado 2016'!F47</f>
        <v>326.11097668795264</v>
      </c>
      <c r="G47" s="213">
        <f>+'coef definitivo 2016'!G47-'pagado 2016'!G47</f>
        <v>1046.0229124705074</v>
      </c>
      <c r="H47" s="213">
        <f>+'coef definitivo 2016'!H47-'pagado 2016'!H47</f>
        <v>1512.852314826916</v>
      </c>
      <c r="I47" s="214">
        <f t="shared" si="0"/>
        <v>38474.963676080079</v>
      </c>
    </row>
    <row r="48" spans="1:9" x14ac:dyDescent="0.2">
      <c r="A48" s="197" t="s">
        <v>42</v>
      </c>
      <c r="B48" s="213">
        <f>+'coef definitivo 2016'!B48-'pagado 2016'!B48</f>
        <v>-143327.30792164057</v>
      </c>
      <c r="C48" s="213">
        <f>+'coef definitivo 2016'!C48-'pagado 2016'!C48</f>
        <v>-18101.170583389467</v>
      </c>
      <c r="D48" s="213">
        <f>+'coef definitivo 2016'!D48-'pagado 2016'!D48</f>
        <v>-5322.5485093801981</v>
      </c>
      <c r="E48" s="213">
        <f>+'coef definitivo 2016'!E48-'pagado 2016'!E48</f>
        <v>-6469.8731432438362</v>
      </c>
      <c r="F48" s="213">
        <f>+'coef definitivo 2016'!F48-'pagado 2016'!F48</f>
        <v>-1587.2231551820005</v>
      </c>
      <c r="G48" s="213">
        <f>+'coef definitivo 2016'!G48-'pagado 2016'!G48</f>
        <v>-5091.1251267478801</v>
      </c>
      <c r="H48" s="213">
        <f>+'coef definitivo 2016'!H48-'pagado 2016'!H48</f>
        <v>-7363.2425650048535</v>
      </c>
      <c r="I48" s="214">
        <f t="shared" si="0"/>
        <v>-187262.49100458881</v>
      </c>
    </row>
    <row r="49" spans="1:9" x14ac:dyDescent="0.2">
      <c r="A49" s="197" t="s">
        <v>43</v>
      </c>
      <c r="B49" s="213">
        <f>+'coef definitivo 2016'!B49-'pagado 2016'!B49</f>
        <v>-155032.78643833287</v>
      </c>
      <c r="C49" s="213">
        <f>+'coef definitivo 2016'!C49-'pagado 2016'!C49</f>
        <v>-19579.485263705719</v>
      </c>
      <c r="D49" s="213">
        <f>+'coef definitivo 2016'!D49-'pagado 2016'!D49</f>
        <v>-5757.2387169479625</v>
      </c>
      <c r="E49" s="213">
        <f>+'coef definitivo 2016'!E49-'pagado 2016'!E49</f>
        <v>-6998.2648515801411</v>
      </c>
      <c r="F49" s="213">
        <f>+'coef definitivo 2016'!F49-'pagado 2016'!F49</f>
        <v>-1716.8509756831336</v>
      </c>
      <c r="G49" s="213">
        <f>+'coef definitivo 2016'!G49-'pagado 2016'!G49</f>
        <v>-5506.9150879289955</v>
      </c>
      <c r="H49" s="213">
        <f>+'coef definitivo 2016'!H49-'pagado 2016'!H49</f>
        <v>-7964.5953630701406</v>
      </c>
      <c r="I49" s="214">
        <f t="shared" si="0"/>
        <v>-202556.13669724896</v>
      </c>
    </row>
    <row r="50" spans="1:9" x14ac:dyDescent="0.2">
      <c r="A50" s="197" t="s">
        <v>44</v>
      </c>
      <c r="B50" s="213">
        <f>+'coef definitivo 2016'!B50-'pagado 2016'!B50</f>
        <v>-462096.99841932207</v>
      </c>
      <c r="C50" s="213">
        <f>+'coef definitivo 2016'!C50-'pagado 2016'!C50</f>
        <v>-58359.40628308896</v>
      </c>
      <c r="D50" s="213">
        <f>+'coef definitivo 2016'!D50-'pagado 2016'!D50</f>
        <v>-17160.258751741145</v>
      </c>
      <c r="E50" s="213">
        <f>+'coef definitivo 2016'!E50-'pagado 2016'!E50</f>
        <v>-20859.311480833683</v>
      </c>
      <c r="F50" s="213">
        <f>+'coef definitivo 2016'!F50-'pagado 2016'!F50</f>
        <v>-5117.3155099811265</v>
      </c>
      <c r="G50" s="213">
        <f>+'coef definitivo 2016'!G50-'pagado 2016'!G50</f>
        <v>-16414.134010900976</v>
      </c>
      <c r="H50" s="213">
        <f>+'coef definitivo 2016'!H50-'pagado 2016'!H50</f>
        <v>-23739.595316911582</v>
      </c>
      <c r="I50" s="214">
        <f t="shared" si="0"/>
        <v>-603747.01977277955</v>
      </c>
    </row>
    <row r="51" spans="1:9" x14ac:dyDescent="0.2">
      <c r="A51" s="197" t="s">
        <v>45</v>
      </c>
      <c r="B51" s="213">
        <f>+'coef definitivo 2016'!B51-'pagado 2016'!B51</f>
        <v>-397658.69330554456</v>
      </c>
      <c r="C51" s="213">
        <f>+'coef definitivo 2016'!C51-'pagado 2016'!C51</f>
        <v>-50221.328690739349</v>
      </c>
      <c r="D51" s="213">
        <f>+'coef definitivo 2016'!D51-'pagado 2016'!D51</f>
        <v>-14767.302309569204</v>
      </c>
      <c r="E51" s="213">
        <f>+'coef definitivo 2016'!E51-'pagado 2016'!E51</f>
        <v>-17950.531111640623</v>
      </c>
      <c r="F51" s="213">
        <f>+'coef definitivo 2016'!F51-'pagado 2016'!F51</f>
        <v>-4403.7182796949055</v>
      </c>
      <c r="G51" s="213">
        <f>+'coef definitivo 2016'!G51-'pagado 2016'!G51</f>
        <v>-14125.222853306448</v>
      </c>
      <c r="H51" s="213">
        <f>+'coef definitivo 2016'!H51-'pagado 2016'!H51</f>
        <v>-20429.166356019676</v>
      </c>
      <c r="I51" s="214">
        <f t="shared" si="0"/>
        <v>-519555.96290651476</v>
      </c>
    </row>
    <row r="52" spans="1:9" x14ac:dyDescent="0.2">
      <c r="A52" s="197" t="s">
        <v>46</v>
      </c>
      <c r="B52" s="213">
        <f>+'coef definitivo 2016'!B52-'pagado 2016'!B52</f>
        <v>930601.45179563761</v>
      </c>
      <c r="C52" s="213">
        <f>+'coef definitivo 2016'!C52-'pagado 2016'!C52</f>
        <v>117528.02636405826</v>
      </c>
      <c r="D52" s="213">
        <f>+'coef definitivo 2016'!D52-'pagado 2016'!D52</f>
        <v>34558.462318921462</v>
      </c>
      <c r="E52" s="213">
        <f>+'coef definitivo 2016'!E52-'pagado 2016'!E52</f>
        <v>42007.851272046566</v>
      </c>
      <c r="F52" s="213">
        <f>+'coef definitivo 2016'!F52-'pagado 2016'!F52</f>
        <v>10305.587915902957</v>
      </c>
      <c r="G52" s="213">
        <f>+'coef definitivo 2016'!G52-'pagado 2016'!G52</f>
        <v>33055.867042554542</v>
      </c>
      <c r="H52" s="213">
        <f>+'coef definitivo 2016'!H52-'pagado 2016'!H52</f>
        <v>47808.364786028862</v>
      </c>
      <c r="I52" s="214">
        <f t="shared" si="0"/>
        <v>1215865.6114951503</v>
      </c>
    </row>
    <row r="53" spans="1:9" x14ac:dyDescent="0.2">
      <c r="A53" s="197" t="s">
        <v>47</v>
      </c>
      <c r="B53" s="213">
        <f>+'coef definitivo 2016'!B53-'pagado 2016'!B53</f>
        <v>9291244.6695296764</v>
      </c>
      <c r="C53" s="213">
        <f>+'coef definitivo 2016'!C53-'pagado 2016'!C53</f>
        <v>1173414.9418833256</v>
      </c>
      <c r="D53" s="213">
        <f>+'coef definitivo 2016'!D53-'pagado 2016'!D53</f>
        <v>345036.13570366427</v>
      </c>
      <c r="E53" s="213">
        <f>+'coef definitivo 2016'!E53-'pagado 2016'!E53</f>
        <v>419411.84673447534</v>
      </c>
      <c r="F53" s="213">
        <f>+'coef definitivo 2016'!F53-'pagado 2016'!F53</f>
        <v>102892.31615235098</v>
      </c>
      <c r="G53" s="213">
        <f>+'coef definitivo 2016'!G53-'pagado 2016'!G53</f>
        <v>330034.03107010573</v>
      </c>
      <c r="H53" s="213">
        <f>+'coef definitivo 2016'!H53-'pagado 2016'!H53</f>
        <v>477324.86728878692</v>
      </c>
      <c r="I53" s="214">
        <f t="shared" si="0"/>
        <v>12139358.808362385</v>
      </c>
    </row>
    <row r="54" spans="1:9" x14ac:dyDescent="0.2">
      <c r="A54" s="197" t="s">
        <v>48</v>
      </c>
      <c r="B54" s="213">
        <f>+'coef definitivo 2016'!B54-'pagado 2016'!B54</f>
        <v>-291249.05247214437</v>
      </c>
      <c r="C54" s="213">
        <f>+'coef definitivo 2016'!C54-'pagado 2016'!C54</f>
        <v>-36782.584264613688</v>
      </c>
      <c r="D54" s="213">
        <f>+'coef definitivo 2016'!D54-'pagado 2016'!D54</f>
        <v>-10815.714273663238</v>
      </c>
      <c r="E54" s="213">
        <f>+'coef definitivo 2016'!E54-'pagado 2016'!E54</f>
        <v>-13147.144401608035</v>
      </c>
      <c r="F54" s="213">
        <f>+'coef definitivo 2016'!F54-'pagado 2016'!F54</f>
        <v>-3225.3256320231594</v>
      </c>
      <c r="G54" s="213">
        <f>+'coef definitivo 2016'!G54-'pagado 2016'!G54</f>
        <v>-10345.449103062041</v>
      </c>
      <c r="H54" s="213">
        <f>+'coef definitivo 2016'!H54-'pagado 2016'!H54</f>
        <v>-14962.517968678847</v>
      </c>
      <c r="I54" s="214">
        <f t="shared" si="0"/>
        <v>-380527.78811579337</v>
      </c>
    </row>
    <row r="55" spans="1:9" x14ac:dyDescent="0.2">
      <c r="A55" s="197" t="s">
        <v>49</v>
      </c>
      <c r="B55" s="213">
        <f>+'coef definitivo 2016'!B55-'pagado 2016'!B55</f>
        <v>259109.34573229402</v>
      </c>
      <c r="C55" s="213">
        <f>+'coef definitivo 2016'!C55-'pagado 2016'!C55</f>
        <v>32723.57888292335</v>
      </c>
      <c r="D55" s="213">
        <f>+'coef definitivo 2016'!D55-'pagado 2016'!D55</f>
        <v>9622.1863222878892</v>
      </c>
      <c r="E55" s="213">
        <f>+'coef definitivo 2016'!E55-'pagado 2016'!E55</f>
        <v>11696.336478817742</v>
      </c>
      <c r="F55" s="213">
        <f>+'coef definitivo 2016'!F55-'pagado 2016'!F55</f>
        <v>2869.4068090304499</v>
      </c>
      <c r="G55" s="213">
        <f>+'coef definitivo 2016'!G55-'pagado 2016'!G55</f>
        <v>9203.815516818082</v>
      </c>
      <c r="H55" s="213">
        <f>+'coef definitivo 2016'!H55-'pagado 2016'!H55</f>
        <v>13311.384907402564</v>
      </c>
      <c r="I55" s="214">
        <f t="shared" si="0"/>
        <v>338536.0546495741</v>
      </c>
    </row>
    <row r="56" spans="1:9" x14ac:dyDescent="0.2">
      <c r="A56" s="197" t="s">
        <v>50</v>
      </c>
      <c r="B56" s="213">
        <f>+'coef definitivo 2016'!B56-'pagado 2016'!B56</f>
        <v>-119988.02691585571</v>
      </c>
      <c r="C56" s="213">
        <f>+'coef definitivo 2016'!C56-'pagado 2016'!C56</f>
        <v>-15153.593370745657</v>
      </c>
      <c r="D56" s="213">
        <f>+'coef definitivo 2016'!D56-'pagado 2016'!D56</f>
        <v>-4455.8298280018498</v>
      </c>
      <c r="E56" s="213">
        <f>+'coef definitivo 2016'!E56-'pagado 2016'!E56</f>
        <v>-5416.325221695588</v>
      </c>
      <c r="F56" s="213">
        <f>+'coef definitivo 2016'!F56-'pagado 2016'!F56</f>
        <v>-1328.7612627843628</v>
      </c>
      <c r="G56" s="213">
        <f>+'coef definitivo 2016'!G56-'pagado 2016'!G56</f>
        <v>-4262.0912064725999</v>
      </c>
      <c r="H56" s="213">
        <f>+'coef definitivo 2016'!H56-'pagado 2016'!H56</f>
        <v>-6164.2192258350551</v>
      </c>
      <c r="I56" s="214">
        <f t="shared" si="0"/>
        <v>-156768.84703139082</v>
      </c>
    </row>
    <row r="57" spans="1:9" ht="13.5" thickBot="1" x14ac:dyDescent="0.25">
      <c r="A57" s="197" t="s">
        <v>51</v>
      </c>
      <c r="B57" s="213">
        <f>+'coef definitivo 2016'!B57-'pagado 2016'!B57</f>
        <v>-165308.8342038691</v>
      </c>
      <c r="C57" s="213">
        <f>+'coef definitivo 2016'!C57-'pagado 2016'!C57</f>
        <v>-20877.273495581001</v>
      </c>
      <c r="D57" s="213">
        <f>+'coef definitivo 2016'!D57-'pagado 2016'!D57</f>
        <v>-6138.8461266586091</v>
      </c>
      <c r="E57" s="213">
        <f>+'coef definitivo 2016'!E57-'pagado 2016'!E57</f>
        <v>-7462.1312732760562</v>
      </c>
      <c r="F57" s="213">
        <f>+'coef definitivo 2016'!F57-'pagado 2016'!F57</f>
        <v>-1830.649115016975</v>
      </c>
      <c r="G57" s="213">
        <f>+'coef definitivo 2016'!G57-'pagado 2016'!G57</f>
        <v>-5871.9302810656372</v>
      </c>
      <c r="H57" s="213">
        <f>+'coef definitivo 2016'!H57-'pagado 2016'!H57</f>
        <v>-8492.5131297847256</v>
      </c>
      <c r="I57" s="214">
        <f t="shared" si="0"/>
        <v>-215982.17762525211</v>
      </c>
    </row>
    <row r="58" spans="1:9" ht="14.25" thickTop="1" thickBot="1" x14ac:dyDescent="0.25">
      <c r="A58" s="200" t="s">
        <v>52</v>
      </c>
      <c r="B58" s="215">
        <f t="shared" ref="B58:I58" si="1">SUM(B7:B57)</f>
        <v>-1.9241124391555786E-6</v>
      </c>
      <c r="C58" s="215">
        <f t="shared" si="1"/>
        <v>-1.280568540096283E-7</v>
      </c>
      <c r="D58" s="215">
        <f>SUM(D7:D57)</f>
        <v>-5.3492840379476547E-8</v>
      </c>
      <c r="E58" s="215">
        <f>SUM(E7:E57)</f>
        <v>-7.6012209290638566E-2</v>
      </c>
      <c r="F58" s="215">
        <f>SUM(F7:F57)</f>
        <v>-1.8917489796876907E-8</v>
      </c>
      <c r="G58" s="215">
        <f t="shared" si="1"/>
        <v>-5.5064447224140167E-8</v>
      </c>
      <c r="H58" s="215">
        <f t="shared" si="1"/>
        <v>-6.4552295953035355E-8</v>
      </c>
      <c r="I58" s="216">
        <f t="shared" si="1"/>
        <v>-7.6014458085410297E-2</v>
      </c>
    </row>
    <row r="59" spans="1:9" ht="13.5" thickTop="1" x14ac:dyDescent="0.2">
      <c r="A59" s="203"/>
      <c r="B59" s="203"/>
      <c r="C59" s="203"/>
      <c r="D59" s="203"/>
      <c r="E59" s="203"/>
      <c r="F59" s="203"/>
      <c r="G59" s="203"/>
      <c r="H59" s="203"/>
      <c r="I59" s="203"/>
    </row>
    <row r="60" spans="1:9" ht="16.5" customHeight="1" x14ac:dyDescent="0.2">
      <c r="A60" s="191" t="s">
        <v>150</v>
      </c>
    </row>
    <row r="61" spans="1:9" x14ac:dyDescent="0.2">
      <c r="A61" s="204"/>
    </row>
    <row r="64" spans="1:9" ht="16.5" customHeight="1" x14ac:dyDescent="0.2"/>
  </sheetData>
  <mergeCells count="5">
    <mergeCell ref="A1:I1"/>
    <mergeCell ref="A2:I2"/>
    <mergeCell ref="A3:I3"/>
    <mergeCell ref="A4:I4"/>
    <mergeCell ref="A5:I5"/>
  </mergeCells>
  <printOptions horizontalCentered="1"/>
  <pageMargins left="0.39370078740157483" right="0.39370078740157483" top="0.15748031496062992" bottom="0.15748031496062992" header="0.15748031496062992" footer="0.15748031496062992"/>
  <pageSetup scale="73" orientation="landscape" r:id="rId1"/>
  <headerFooter alignWithMargins="0"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COEF Art 14 F I</vt:lpstr>
      <vt:lpstr>COEF Art 14 F II</vt:lpstr>
      <vt:lpstr>observado 2016</vt:lpstr>
      <vt:lpstr>CALCULO GARANTIA</vt:lpstr>
      <vt:lpstr>coef definitivo 2016</vt:lpstr>
      <vt:lpstr>pagado 2016</vt:lpstr>
      <vt:lpstr>ajuste</vt:lpstr>
      <vt:lpstr>ajuste!Área_de_impresión</vt:lpstr>
      <vt:lpstr>'CALCULO GARANTIA'!Área_de_impresión</vt:lpstr>
      <vt:lpstr>'COEF Art 14 F I'!Área_de_impresión</vt:lpstr>
      <vt:lpstr>'COEF Art 14 F II'!Área_de_impresión</vt:lpstr>
      <vt:lpstr>'coef definitivo 2016'!Área_de_impresión</vt:lpstr>
      <vt:lpstr>'observado 2016'!Área_de_impresión</vt:lpstr>
      <vt:lpstr>'pagado 2016'!Área_de_impresión</vt:lpstr>
      <vt:lpstr>ajuste!Títulos_a_imprimir</vt:lpstr>
      <vt:lpstr>'COEF Art 14 F I'!Títulos_a_imprimir</vt:lpstr>
      <vt:lpstr>'coef definitivo 2016'!Títulos_a_imprimir</vt:lpstr>
      <vt:lpstr>'pagado 2016'!Títulos_a_imprimir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César Gabriel Rivera Cantú</cp:lastModifiedBy>
  <cp:lastPrinted>2017-01-23T15:43:09Z</cp:lastPrinted>
  <dcterms:created xsi:type="dcterms:W3CDTF">2009-12-17T23:31:03Z</dcterms:created>
  <dcterms:modified xsi:type="dcterms:W3CDTF">2017-07-14T19:55:45Z</dcterms:modified>
</cp:coreProperties>
</file>