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10" windowWidth="10530" windowHeight="7935" activeTab="2"/>
  </bookViews>
  <sheets>
    <sheet name="Ene-Dic 2017" sheetId="45" r:id="rId1"/>
    <sheet name="Part Estim 2018" sheetId="41" r:id="rId2"/>
    <sheet name="Dist Estim 2018" sheetId="42" r:id="rId3"/>
    <sheet name="COEF Art 14 F I" sheetId="1" r:id="rId4"/>
    <sheet name="COEF Art 14 F II" sheetId="36" r:id="rId5"/>
    <sheet name="CALCULO GARANTIA" sheetId="28" r:id="rId6"/>
  </sheets>
  <externalReferences>
    <externalReference r:id="rId7"/>
    <externalReference r:id="rId8"/>
  </externalReferences>
  <definedNames>
    <definedName name="_xlnm._FilterDatabase" localSheetId="2" hidden="1">'Dist Estim 2018'!#REF!</definedName>
    <definedName name="_xlnm._FilterDatabase" localSheetId="0" hidden="1">'Ene-Dic 2017'!#REF!</definedName>
    <definedName name="A_impresión_IM" localSheetId="5">#REF!</definedName>
    <definedName name="A_impresión_IM" localSheetId="4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JUSTES" localSheetId="5" hidden="1">{"'beneficiarios'!$A$1:$C$7"}</definedName>
    <definedName name="AJUSTES" localSheetId="2" hidden="1">{"'beneficiarios'!$A$1:$C$7"}</definedName>
    <definedName name="AJUSTES" localSheetId="0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5">'CALCULO GARANTIA'!$A$1:$N$60</definedName>
    <definedName name="_xlnm.Print_Area" localSheetId="3">'COEF Art 14 F I'!$A$3:$AQ$61</definedName>
    <definedName name="_xlnm.Print_Area" localSheetId="4">'COEF Art 14 F II'!$A$3:$N$63</definedName>
    <definedName name="_xlnm.Print_Area" localSheetId="2">'Dist Estim 2018'!$A$1:$K$56</definedName>
    <definedName name="_xlnm.Print_Area" localSheetId="0">'Ene-Dic 2017'!$A$2:$I$56</definedName>
    <definedName name="_xlnm.Print_Area" localSheetId="1">'Part Estim 2018'!$A$1:$P$15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0">#REF!</definedName>
    <definedName name="_xlnm.Database" localSheetId="1">#REF!</definedName>
    <definedName name="_xlnm.Database">#REF!</definedName>
    <definedName name="cierre_2001" localSheetId="4">'[1]deuda c sadm'!#REF!</definedName>
    <definedName name="cierre_2001" localSheetId="2">'[1]deuda c sadm'!#REF!</definedName>
    <definedName name="cierre_2001" localSheetId="0">'[1]deuda c sadm'!#REF!</definedName>
    <definedName name="cierre_2001" localSheetId="1">'[1]deuda c sadm'!#REF!</definedName>
    <definedName name="cierre_2001">'[1]deuda c sadm'!#REF!</definedName>
    <definedName name="deuda" localSheetId="4">'[1]deuda c sadm'!#REF!</definedName>
    <definedName name="deuda" localSheetId="2">'[1]deuda c sadm'!#REF!</definedName>
    <definedName name="deuda" localSheetId="0">'[1]deuda c sadm'!#REF!</definedName>
    <definedName name="deuda" localSheetId="1">'[1]deuda c sadm'!#REF!</definedName>
    <definedName name="deuda">'[1]deuda c sadm'!#REF!</definedName>
    <definedName name="Deuda_ingTot" localSheetId="4">'[1]deuda c sadm'!#REF!</definedName>
    <definedName name="Deuda_ingTot" localSheetId="2">'[1]deuda c sadm'!#REF!</definedName>
    <definedName name="Deuda_ingTot" localSheetId="0">'[1]deuda c sadm'!#REF!</definedName>
    <definedName name="Deuda_ingTot" localSheetId="1">'[1]deuda c sadm'!#REF!</definedName>
    <definedName name="Deuda_ingTot">'[1]deuda c sadm'!#REF!</definedName>
    <definedName name="ENERO" localSheetId="5">#REF!</definedName>
    <definedName name="ENERO" localSheetId="4">#REF!</definedName>
    <definedName name="ENERO" localSheetId="2">#REF!</definedName>
    <definedName name="ENERO" localSheetId="0">#REF!</definedName>
    <definedName name="ENERO" localSheetId="1">#REF!</definedName>
    <definedName name="ENERO">#REF!</definedName>
    <definedName name="Fto_1" localSheetId="5">#REF!</definedName>
    <definedName name="Fto_1" localSheetId="4">#REF!</definedName>
    <definedName name="Fto_1" localSheetId="2">#REF!</definedName>
    <definedName name="Fto_1" localSheetId="0">#REF!</definedName>
    <definedName name="Fto_1" localSheetId="1">#REF!</definedName>
    <definedName name="Fto_1">#REF!</definedName>
    <definedName name="HTML_CodePage" hidden="1">1252</definedName>
    <definedName name="HTML_Control" localSheetId="5" hidden="1">{"'beneficiarios'!$A$1:$C$7"}</definedName>
    <definedName name="HTML_Control" localSheetId="2" hidden="1">{"'beneficiarios'!$A$1:$C$7"}</definedName>
    <definedName name="HTML_Control" localSheetId="0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5" hidden="1">{"'beneficiarios'!$A$1:$C$7"}</definedName>
    <definedName name="INDICADORES" localSheetId="2" hidden="1">{"'beneficiarios'!$A$1:$C$7"}</definedName>
    <definedName name="INDICADORES" localSheetId="0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5" hidden="1">{"'beneficiarios'!$A$1:$C$7"}</definedName>
    <definedName name="ingresofederales" localSheetId="2" hidden="1">{"'beneficiarios'!$A$1:$C$7"}</definedName>
    <definedName name="ingresofederales" localSheetId="0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Notas_Fto_1" localSheetId="4">#REF!</definedName>
    <definedName name="Notas_Fto_1" localSheetId="2">#REF!</definedName>
    <definedName name="Notas_Fto_1" localSheetId="0">#REF!</definedName>
    <definedName name="Notas_Fto_1" localSheetId="1">#REF!</definedName>
    <definedName name="Notas_Fto_1">#REF!</definedName>
    <definedName name="Partidas">[2]TECHO!$B$1:$Q$2798</definedName>
    <definedName name="SINAJUSTE" localSheetId="5" hidden="1">{"'beneficiarios'!$A$1:$C$7"}</definedName>
    <definedName name="SINAJUSTE" localSheetId="2" hidden="1">{"'beneficiarios'!$A$1:$C$7"}</definedName>
    <definedName name="SINAJUSTE" localSheetId="0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2">#REF!</definedName>
    <definedName name="t" localSheetId="0">#REF!</definedName>
    <definedName name="t" localSheetId="1">#REF!</definedName>
    <definedName name="t">#REF!</definedName>
    <definedName name="_xlnm.Print_Titles" localSheetId="3">'COEF Art 14 F I'!$A:$A,'COEF Art 14 F I'!$3:$3</definedName>
    <definedName name="_xlnm.Print_Titles" localSheetId="2">'Dist Estim 2018'!$1:$2</definedName>
    <definedName name="_xlnm.Print_Titles" localSheetId="0">'Ene-Dic 2017'!$1:$2</definedName>
    <definedName name="TOT" localSheetId="4">#REF!</definedName>
    <definedName name="TOT" localSheetId="2">#REF!</definedName>
    <definedName name="TOT" localSheetId="0">#REF!</definedName>
    <definedName name="TOT" localSheetId="1">#REF!</definedName>
    <definedName name="TOT">#REF!</definedName>
    <definedName name="TOTAL" localSheetId="4">#REF!</definedName>
    <definedName name="TOTAL" localSheetId="2">#REF!</definedName>
    <definedName name="TOTAL" localSheetId="0">#REF!</definedName>
    <definedName name="TOTAL" localSheetId="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H56" i="42" l="1"/>
  <c r="H55" i="42"/>
  <c r="H54" i="42"/>
  <c r="H53" i="42"/>
  <c r="H52" i="42"/>
  <c r="H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P11" i="41"/>
  <c r="M10" i="41" l="1"/>
  <c r="L10" i="41"/>
  <c r="K10" i="41"/>
  <c r="J10" i="41"/>
  <c r="I10" i="41"/>
  <c r="H10" i="41"/>
  <c r="G10" i="41"/>
  <c r="F10" i="41"/>
  <c r="E10" i="41"/>
  <c r="D10" i="41"/>
  <c r="C10" i="41"/>
  <c r="B10" i="41"/>
  <c r="N6" i="41"/>
  <c r="N7" i="41"/>
  <c r="N8" i="41"/>
  <c r="N9" i="41"/>
  <c r="N12" i="41"/>
  <c r="N5" i="41"/>
  <c r="C13" i="41" l="1"/>
  <c r="D13" i="41"/>
  <c r="E13" i="41"/>
  <c r="F13" i="41"/>
  <c r="H13" i="41"/>
  <c r="K13" i="41"/>
  <c r="L13" i="41"/>
  <c r="M13" i="41"/>
  <c r="P6" i="41"/>
  <c r="P7" i="41"/>
  <c r="P8" i="41"/>
  <c r="P9" i="41"/>
  <c r="P10" i="41"/>
  <c r="P12" i="41"/>
  <c r="J13" i="41" l="1"/>
  <c r="B13" i="41"/>
  <c r="I13" i="41"/>
  <c r="G13" i="41"/>
  <c r="N13" i="41" l="1"/>
  <c r="I6" i="45" l="1"/>
  <c r="B7" i="28" s="1"/>
  <c r="I7" i="45"/>
  <c r="B8" i="28" s="1"/>
  <c r="I8" i="45"/>
  <c r="B9" i="28" s="1"/>
  <c r="I9" i="45"/>
  <c r="B10" i="28" s="1"/>
  <c r="I10" i="45"/>
  <c r="B11" i="28" s="1"/>
  <c r="I11" i="45"/>
  <c r="B12" i="28" s="1"/>
  <c r="I12" i="45"/>
  <c r="B13" i="28" s="1"/>
  <c r="I13" i="45"/>
  <c r="B14" i="28" s="1"/>
  <c r="I14" i="45"/>
  <c r="B15" i="28" s="1"/>
  <c r="I15" i="45"/>
  <c r="B16" i="28" s="1"/>
  <c r="I16" i="45"/>
  <c r="B17" i="28" s="1"/>
  <c r="I17" i="45"/>
  <c r="B18" i="28" s="1"/>
  <c r="I18" i="45"/>
  <c r="B19" i="28" s="1"/>
  <c r="I19" i="45"/>
  <c r="B20" i="28" s="1"/>
  <c r="I20" i="45"/>
  <c r="B21" i="28" s="1"/>
  <c r="I21" i="45"/>
  <c r="B22" i="28" s="1"/>
  <c r="I22" i="45"/>
  <c r="B23" i="28" s="1"/>
  <c r="I23" i="45"/>
  <c r="B24" i="28" s="1"/>
  <c r="I24" i="45"/>
  <c r="B25" i="28" s="1"/>
  <c r="I25" i="45"/>
  <c r="B26" i="28" s="1"/>
  <c r="I26" i="45"/>
  <c r="B27" i="28" s="1"/>
  <c r="I27" i="45"/>
  <c r="B28" i="28" s="1"/>
  <c r="I28" i="45"/>
  <c r="B29" i="28" s="1"/>
  <c r="I29" i="45"/>
  <c r="B30" i="28" s="1"/>
  <c r="I30" i="45"/>
  <c r="B31" i="28" s="1"/>
  <c r="I31" i="45"/>
  <c r="B32" i="28" s="1"/>
  <c r="I32" i="45"/>
  <c r="B33" i="28" s="1"/>
  <c r="I33" i="45"/>
  <c r="B34" i="28" s="1"/>
  <c r="I34" i="45"/>
  <c r="B35" i="28" s="1"/>
  <c r="I35" i="45"/>
  <c r="B36" i="28" s="1"/>
  <c r="I36" i="45"/>
  <c r="B37" i="28" s="1"/>
  <c r="I37" i="45"/>
  <c r="B38" i="28" s="1"/>
  <c r="I38" i="45"/>
  <c r="B39" i="28" s="1"/>
  <c r="I39" i="45"/>
  <c r="B40" i="28" s="1"/>
  <c r="I40" i="45"/>
  <c r="B41" i="28" s="1"/>
  <c r="I41" i="45"/>
  <c r="B42" i="28" s="1"/>
  <c r="I42" i="45"/>
  <c r="B43" i="28" s="1"/>
  <c r="I43" i="45"/>
  <c r="B44" i="28" s="1"/>
  <c r="I44" i="45"/>
  <c r="B45" i="28" s="1"/>
  <c r="I45" i="45"/>
  <c r="B46" i="28" s="1"/>
  <c r="I46" i="45"/>
  <c r="B47" i="28" s="1"/>
  <c r="I47" i="45"/>
  <c r="B48" i="28" s="1"/>
  <c r="I48" i="45"/>
  <c r="B49" i="28" s="1"/>
  <c r="I49" i="45"/>
  <c r="B50" i="28" s="1"/>
  <c r="I50" i="45"/>
  <c r="B51" i="28" s="1"/>
  <c r="I51" i="45"/>
  <c r="B52" i="28" s="1"/>
  <c r="I52" i="45"/>
  <c r="B53" i="28" s="1"/>
  <c r="I53" i="45"/>
  <c r="B54" i="28" s="1"/>
  <c r="I54" i="45"/>
  <c r="B55" i="28" s="1"/>
  <c r="I55" i="45"/>
  <c r="B56" i="28" s="1"/>
  <c r="C56" i="45"/>
  <c r="D56" i="45"/>
  <c r="E56" i="45"/>
  <c r="F56" i="45"/>
  <c r="G56" i="45"/>
  <c r="H56" i="45"/>
  <c r="C59" i="1" l="1"/>
  <c r="M6" i="36" l="1"/>
  <c r="P5" i="41" l="1"/>
  <c r="P13" i="41" l="1"/>
  <c r="AP6" i="1" l="1"/>
  <c r="AD58" i="1" l="1"/>
  <c r="AC58" i="1"/>
  <c r="AB58" i="1"/>
  <c r="AA58" i="1"/>
  <c r="AE58" i="1" s="1"/>
  <c r="AD57" i="1"/>
  <c r="AC57" i="1"/>
  <c r="AB57" i="1"/>
  <c r="AA57" i="1"/>
  <c r="AE57" i="1" s="1"/>
  <c r="AD56" i="1"/>
  <c r="AC56" i="1"/>
  <c r="AB56" i="1"/>
  <c r="AA56" i="1"/>
  <c r="AE56" i="1" s="1"/>
  <c r="AD55" i="1"/>
  <c r="AC55" i="1"/>
  <c r="AB55" i="1"/>
  <c r="AA55" i="1"/>
  <c r="AE55" i="1" s="1"/>
  <c r="AD54" i="1"/>
  <c r="AC54" i="1"/>
  <c r="AB54" i="1"/>
  <c r="AA54" i="1"/>
  <c r="AE54" i="1" s="1"/>
  <c r="AD53" i="1"/>
  <c r="AC53" i="1"/>
  <c r="AB53" i="1"/>
  <c r="AA53" i="1"/>
  <c r="AE53" i="1" s="1"/>
  <c r="AD52" i="1"/>
  <c r="AC52" i="1"/>
  <c r="AB52" i="1"/>
  <c r="AA52" i="1"/>
  <c r="AE52" i="1" s="1"/>
  <c r="AD51" i="1"/>
  <c r="AC51" i="1"/>
  <c r="AB51" i="1"/>
  <c r="AA51" i="1"/>
  <c r="AE51" i="1" s="1"/>
  <c r="AD50" i="1"/>
  <c r="AC50" i="1"/>
  <c r="AB50" i="1"/>
  <c r="AA50" i="1"/>
  <c r="AE50" i="1" s="1"/>
  <c r="AD49" i="1"/>
  <c r="AC49" i="1"/>
  <c r="AB49" i="1"/>
  <c r="AA49" i="1"/>
  <c r="AE49" i="1" s="1"/>
  <c r="AD48" i="1"/>
  <c r="AC48" i="1"/>
  <c r="AB48" i="1"/>
  <c r="AA48" i="1"/>
  <c r="AE48" i="1" s="1"/>
  <c r="AD47" i="1"/>
  <c r="AC47" i="1"/>
  <c r="AB47" i="1"/>
  <c r="AA47" i="1"/>
  <c r="AE47" i="1" s="1"/>
  <c r="AD46" i="1"/>
  <c r="AC46" i="1"/>
  <c r="AB46" i="1"/>
  <c r="AA46" i="1"/>
  <c r="AE46" i="1" s="1"/>
  <c r="AD45" i="1"/>
  <c r="AC45" i="1"/>
  <c r="AB45" i="1"/>
  <c r="AA45" i="1"/>
  <c r="AE45" i="1" s="1"/>
  <c r="AD44" i="1"/>
  <c r="AC44" i="1"/>
  <c r="AB44" i="1"/>
  <c r="AA44" i="1"/>
  <c r="AE44" i="1" s="1"/>
  <c r="AD43" i="1"/>
  <c r="AC43" i="1"/>
  <c r="AB43" i="1"/>
  <c r="AA43" i="1"/>
  <c r="AE43" i="1" s="1"/>
  <c r="AD42" i="1"/>
  <c r="AC42" i="1"/>
  <c r="AB42" i="1"/>
  <c r="AA42" i="1"/>
  <c r="AE42" i="1" s="1"/>
  <c r="AD41" i="1"/>
  <c r="AC41" i="1"/>
  <c r="AB41" i="1"/>
  <c r="AA41" i="1"/>
  <c r="AE41" i="1" s="1"/>
  <c r="AD40" i="1"/>
  <c r="AC40" i="1"/>
  <c r="AB40" i="1"/>
  <c r="AA40" i="1"/>
  <c r="AE40" i="1" s="1"/>
  <c r="AD39" i="1"/>
  <c r="AC39" i="1"/>
  <c r="AB39" i="1"/>
  <c r="AA39" i="1"/>
  <c r="AE39" i="1" s="1"/>
  <c r="AD38" i="1"/>
  <c r="AC38" i="1"/>
  <c r="AB38" i="1"/>
  <c r="AA38" i="1"/>
  <c r="AE38" i="1" s="1"/>
  <c r="AD37" i="1"/>
  <c r="AC37" i="1"/>
  <c r="AB37" i="1"/>
  <c r="AA37" i="1"/>
  <c r="AE37" i="1" s="1"/>
  <c r="AD36" i="1"/>
  <c r="AC36" i="1"/>
  <c r="AB36" i="1"/>
  <c r="AA36" i="1"/>
  <c r="AE36" i="1" s="1"/>
  <c r="AD35" i="1"/>
  <c r="AC35" i="1"/>
  <c r="AB35" i="1"/>
  <c r="AA35" i="1"/>
  <c r="AE35" i="1" s="1"/>
  <c r="AD34" i="1"/>
  <c r="AC34" i="1"/>
  <c r="AB34" i="1"/>
  <c r="AA34" i="1"/>
  <c r="AE34" i="1" s="1"/>
  <c r="AD33" i="1"/>
  <c r="AC33" i="1"/>
  <c r="AB33" i="1"/>
  <c r="AA33" i="1"/>
  <c r="AE33" i="1" s="1"/>
  <c r="AD32" i="1"/>
  <c r="AC32" i="1"/>
  <c r="AB32" i="1"/>
  <c r="AA32" i="1"/>
  <c r="AE32" i="1" s="1"/>
  <c r="AD31" i="1"/>
  <c r="AC31" i="1"/>
  <c r="AB31" i="1"/>
  <c r="AA31" i="1"/>
  <c r="AE31" i="1" s="1"/>
  <c r="AD30" i="1"/>
  <c r="AC30" i="1"/>
  <c r="AB30" i="1"/>
  <c r="AA30" i="1"/>
  <c r="AE30" i="1" s="1"/>
  <c r="AD29" i="1"/>
  <c r="AC29" i="1"/>
  <c r="AB29" i="1"/>
  <c r="AA29" i="1"/>
  <c r="AE29" i="1" s="1"/>
  <c r="AD28" i="1"/>
  <c r="AC28" i="1"/>
  <c r="AB28" i="1"/>
  <c r="AA28" i="1"/>
  <c r="AE28" i="1" s="1"/>
  <c r="AD27" i="1"/>
  <c r="AC27" i="1"/>
  <c r="AB27" i="1"/>
  <c r="AA27" i="1"/>
  <c r="AE27" i="1" s="1"/>
  <c r="AD26" i="1"/>
  <c r="AC26" i="1"/>
  <c r="AB26" i="1"/>
  <c r="AA26" i="1"/>
  <c r="AE26" i="1" s="1"/>
  <c r="AD25" i="1"/>
  <c r="AC25" i="1"/>
  <c r="AB25" i="1"/>
  <c r="AA25" i="1"/>
  <c r="AE25" i="1" s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E22" i="1" s="1"/>
  <c r="AD21" i="1"/>
  <c r="AC21" i="1"/>
  <c r="AB21" i="1"/>
  <c r="AA21" i="1"/>
  <c r="AE21" i="1" s="1"/>
  <c r="AD20" i="1"/>
  <c r="AC20" i="1"/>
  <c r="AB20" i="1"/>
  <c r="AA20" i="1"/>
  <c r="AE20" i="1" s="1"/>
  <c r="AD19" i="1"/>
  <c r="AC19" i="1"/>
  <c r="AB19" i="1"/>
  <c r="AA19" i="1"/>
  <c r="AE19" i="1" s="1"/>
  <c r="AD18" i="1"/>
  <c r="AC18" i="1"/>
  <c r="AB18" i="1"/>
  <c r="AA18" i="1"/>
  <c r="AE18" i="1" s="1"/>
  <c r="AD17" i="1"/>
  <c r="AC17" i="1"/>
  <c r="AB17" i="1"/>
  <c r="AA17" i="1"/>
  <c r="AE17" i="1" s="1"/>
  <c r="AD16" i="1"/>
  <c r="AC16" i="1"/>
  <c r="AB16" i="1"/>
  <c r="AA16" i="1"/>
  <c r="AE16" i="1" s="1"/>
  <c r="AD15" i="1"/>
  <c r="AC15" i="1"/>
  <c r="AB15" i="1"/>
  <c r="AA15" i="1"/>
  <c r="AE15" i="1" s="1"/>
  <c r="AD14" i="1"/>
  <c r="AC14" i="1"/>
  <c r="AB14" i="1"/>
  <c r="AA14" i="1"/>
  <c r="AE14" i="1" s="1"/>
  <c r="AD13" i="1"/>
  <c r="AC13" i="1"/>
  <c r="AB13" i="1"/>
  <c r="AA13" i="1"/>
  <c r="AE13" i="1" s="1"/>
  <c r="AD12" i="1"/>
  <c r="AC12" i="1"/>
  <c r="AB12" i="1"/>
  <c r="AA12" i="1"/>
  <c r="AE12" i="1" s="1"/>
  <c r="AD11" i="1"/>
  <c r="AC11" i="1"/>
  <c r="AB11" i="1"/>
  <c r="AA11" i="1"/>
  <c r="AE11" i="1" s="1"/>
  <c r="AD10" i="1"/>
  <c r="AC10" i="1"/>
  <c r="AB10" i="1"/>
  <c r="AA10" i="1"/>
  <c r="AE10" i="1" s="1"/>
  <c r="AD9" i="1"/>
  <c r="AC9" i="1"/>
  <c r="AB9" i="1"/>
  <c r="AA9" i="1"/>
  <c r="AE9" i="1" s="1"/>
  <c r="AD8" i="1"/>
  <c r="AD59" i="1" s="1"/>
  <c r="AC8" i="1"/>
  <c r="AC59" i="1" s="1"/>
  <c r="AB8" i="1"/>
  <c r="AB59" i="1" s="1"/>
  <c r="AA8" i="1"/>
  <c r="U58" i="1"/>
  <c r="T58" i="1"/>
  <c r="S58" i="1"/>
  <c r="R58" i="1"/>
  <c r="V58" i="1" s="1"/>
  <c r="U57" i="1"/>
  <c r="T57" i="1"/>
  <c r="S57" i="1"/>
  <c r="R57" i="1"/>
  <c r="V57" i="1" s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V51" i="1" s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V48" i="1" s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V45" i="1" s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V42" i="1" s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V39" i="1" s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V36" i="1" s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V33" i="1" s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V30" i="1" s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V27" i="1" s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V24" i="1" s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V21" i="1" s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V18" i="1" s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V15" i="1" s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V12" i="1" s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V9" i="1" s="1"/>
  <c r="U8" i="1"/>
  <c r="U59" i="1" s="1"/>
  <c r="T8" i="1"/>
  <c r="T59" i="1" s="1"/>
  <c r="S8" i="1"/>
  <c r="S59" i="1" s="1"/>
  <c r="R8" i="1"/>
  <c r="R59" i="1" s="1"/>
  <c r="AE24" i="1" l="1"/>
  <c r="V54" i="1"/>
  <c r="AG54" i="1" s="1"/>
  <c r="AH54" i="1" s="1"/>
  <c r="AA59" i="1"/>
  <c r="V20" i="1"/>
  <c r="AG20" i="1" s="1"/>
  <c r="AH20" i="1" s="1"/>
  <c r="AE8" i="1"/>
  <c r="AF8" i="1" s="1"/>
  <c r="V8" i="1"/>
  <c r="AG8" i="1" s="1"/>
  <c r="AH8" i="1" s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B59" i="1"/>
  <c r="D59" i="1" s="1"/>
  <c r="AE59" i="1"/>
  <c r="AG58" i="1"/>
  <c r="AH58" i="1" s="1"/>
  <c r="AF58" i="1"/>
  <c r="AG57" i="1"/>
  <c r="AH57" i="1" s="1"/>
  <c r="AF57" i="1"/>
  <c r="AG56" i="1"/>
  <c r="AH56" i="1" s="1"/>
  <c r="AF56" i="1"/>
  <c r="AG55" i="1"/>
  <c r="AH55" i="1" s="1"/>
  <c r="AF55" i="1"/>
  <c r="AF54" i="1"/>
  <c r="AG53" i="1"/>
  <c r="AH53" i="1" s="1"/>
  <c r="AF53" i="1"/>
  <c r="AG52" i="1"/>
  <c r="AH52" i="1" s="1"/>
  <c r="AF52" i="1"/>
  <c r="AG51" i="1"/>
  <c r="AH51" i="1" s="1"/>
  <c r="AF51" i="1"/>
  <c r="AG50" i="1"/>
  <c r="AH50" i="1" s="1"/>
  <c r="AF50" i="1"/>
  <c r="AG49" i="1"/>
  <c r="AH49" i="1" s="1"/>
  <c r="AF49" i="1"/>
  <c r="AG48" i="1"/>
  <c r="AH48" i="1" s="1"/>
  <c r="AF48" i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2" i="1"/>
  <c r="AH42" i="1" s="1"/>
  <c r="AF42" i="1"/>
  <c r="AG41" i="1"/>
  <c r="AH41" i="1" s="1"/>
  <c r="AF41" i="1"/>
  <c r="AG40" i="1"/>
  <c r="AH40" i="1" s="1"/>
  <c r="AF40" i="1"/>
  <c r="AG39" i="1"/>
  <c r="AH39" i="1" s="1"/>
  <c r="AF39" i="1"/>
  <c r="AG38" i="1"/>
  <c r="AH38" i="1" s="1"/>
  <c r="AF38" i="1"/>
  <c r="AG37" i="1"/>
  <c r="AH37" i="1" s="1"/>
  <c r="AF37" i="1"/>
  <c r="AG36" i="1"/>
  <c r="AH36" i="1" s="1"/>
  <c r="AF36" i="1"/>
  <c r="AG35" i="1"/>
  <c r="AH35" i="1" s="1"/>
  <c r="AF35" i="1"/>
  <c r="AG34" i="1"/>
  <c r="AH34" i="1" s="1"/>
  <c r="AF34" i="1"/>
  <c r="AG33" i="1"/>
  <c r="AH33" i="1" s="1"/>
  <c r="AF33" i="1"/>
  <c r="AG32" i="1"/>
  <c r="AH32" i="1" s="1"/>
  <c r="AF32" i="1"/>
  <c r="AG31" i="1"/>
  <c r="AH31" i="1" s="1"/>
  <c r="AF31" i="1"/>
  <c r="AG30" i="1"/>
  <c r="AH30" i="1" s="1"/>
  <c r="AF30" i="1"/>
  <c r="AG29" i="1"/>
  <c r="AH29" i="1" s="1"/>
  <c r="AF29" i="1"/>
  <c r="AG28" i="1"/>
  <c r="AH28" i="1" s="1"/>
  <c r="AF28" i="1"/>
  <c r="AG27" i="1"/>
  <c r="AH27" i="1" s="1"/>
  <c r="AF27" i="1"/>
  <c r="AG26" i="1"/>
  <c r="AH26" i="1" s="1"/>
  <c r="AF26" i="1"/>
  <c r="AG25" i="1"/>
  <c r="AH25" i="1" s="1"/>
  <c r="AF25" i="1"/>
  <c r="AG24" i="1"/>
  <c r="AH24" i="1" s="1"/>
  <c r="AF24" i="1"/>
  <c r="AG23" i="1"/>
  <c r="AH23" i="1" s="1"/>
  <c r="AF23" i="1"/>
  <c r="AG22" i="1"/>
  <c r="AH22" i="1" s="1"/>
  <c r="AF22" i="1"/>
  <c r="AG21" i="1"/>
  <c r="AH21" i="1" s="1"/>
  <c r="AF21" i="1"/>
  <c r="AF20" i="1"/>
  <c r="AG19" i="1"/>
  <c r="AH19" i="1" s="1"/>
  <c r="AF19" i="1"/>
  <c r="AG18" i="1"/>
  <c r="AH18" i="1" s="1"/>
  <c r="AF18" i="1"/>
  <c r="AG17" i="1"/>
  <c r="AH17" i="1" s="1"/>
  <c r="AF17" i="1"/>
  <c r="AG16" i="1"/>
  <c r="AH16" i="1" s="1"/>
  <c r="AF16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G9" i="1"/>
  <c r="AH9" i="1" s="1"/>
  <c r="AF9" i="1"/>
  <c r="V59" i="1" l="1"/>
  <c r="F17" i="36"/>
  <c r="K17" i="36" s="1"/>
  <c r="C12" i="36"/>
  <c r="F8" i="36"/>
  <c r="F33" i="36"/>
  <c r="K33" i="36" s="1"/>
  <c r="F12" i="36"/>
  <c r="K12" i="36" s="1"/>
  <c r="F25" i="36"/>
  <c r="K25" i="36" s="1"/>
  <c r="F41" i="36"/>
  <c r="K41" i="36" s="1"/>
  <c r="F10" i="36"/>
  <c r="K10" i="36" s="1"/>
  <c r="F14" i="36"/>
  <c r="K14" i="36" s="1"/>
  <c r="F21" i="36"/>
  <c r="K21" i="36" s="1"/>
  <c r="F29" i="36"/>
  <c r="K29" i="36" s="1"/>
  <c r="F37" i="36"/>
  <c r="K37" i="36" s="1"/>
  <c r="F45" i="36"/>
  <c r="K45" i="36" s="1"/>
  <c r="C23" i="36"/>
  <c r="C8" i="36"/>
  <c r="C16" i="36"/>
  <c r="C31" i="36"/>
  <c r="F9" i="36"/>
  <c r="K9" i="36" s="1"/>
  <c r="F11" i="36"/>
  <c r="K11" i="36" s="1"/>
  <c r="F13" i="36"/>
  <c r="K13" i="36" s="1"/>
  <c r="F15" i="36"/>
  <c r="K15" i="36" s="1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 s="1"/>
  <c r="AJ9" i="1" s="1"/>
  <c r="AK9" i="1" s="1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I11" i="1"/>
  <c r="AJ11" i="1" s="1"/>
  <c r="AK11" i="1" s="1"/>
  <c r="AF59" i="1"/>
  <c r="D8" i="1"/>
  <c r="E8" i="1" s="1"/>
  <c r="E59" i="1" s="1"/>
  <c r="K8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AI30" i="1" l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AO6" i="1" l="1"/>
  <c r="AM6" i="1"/>
  <c r="AN6" i="1"/>
  <c r="F59" i="1"/>
  <c r="AI59" i="1"/>
  <c r="J59" i="36"/>
  <c r="AJ59" i="1"/>
  <c r="AK8" i="1"/>
  <c r="AM57" i="1" l="1"/>
  <c r="AM55" i="1"/>
  <c r="AM53" i="1"/>
  <c r="AM51" i="1"/>
  <c r="AM49" i="1"/>
  <c r="AM47" i="1"/>
  <c r="AM45" i="1"/>
  <c r="AM43" i="1"/>
  <c r="AM41" i="1"/>
  <c r="AM39" i="1"/>
  <c r="AM37" i="1"/>
  <c r="AM35" i="1"/>
  <c r="AM33" i="1"/>
  <c r="AM31" i="1"/>
  <c r="AM29" i="1"/>
  <c r="AM27" i="1"/>
  <c r="AM25" i="1"/>
  <c r="AM23" i="1"/>
  <c r="AM21" i="1"/>
  <c r="AM19" i="1"/>
  <c r="AM17" i="1"/>
  <c r="AM15" i="1"/>
  <c r="AM13" i="1"/>
  <c r="AM11" i="1"/>
  <c r="AM9" i="1"/>
  <c r="AM58" i="1"/>
  <c r="AM56" i="1"/>
  <c r="AM54" i="1"/>
  <c r="AM52" i="1"/>
  <c r="AM50" i="1"/>
  <c r="AM48" i="1"/>
  <c r="AM46" i="1"/>
  <c r="AM44" i="1"/>
  <c r="AM42" i="1"/>
  <c r="AM40" i="1"/>
  <c r="AM38" i="1"/>
  <c r="AM36" i="1"/>
  <c r="AM34" i="1"/>
  <c r="AM32" i="1"/>
  <c r="AM30" i="1"/>
  <c r="AM28" i="1"/>
  <c r="AM26" i="1"/>
  <c r="AM24" i="1"/>
  <c r="AM22" i="1"/>
  <c r="AM20" i="1"/>
  <c r="AM18" i="1"/>
  <c r="AM16" i="1"/>
  <c r="AM14" i="1"/>
  <c r="AM12" i="1"/>
  <c r="AM10" i="1"/>
  <c r="AM8" i="1"/>
  <c r="AO58" i="1"/>
  <c r="AO56" i="1"/>
  <c r="AO54" i="1"/>
  <c r="AO52" i="1"/>
  <c r="AO50" i="1"/>
  <c r="AO48" i="1"/>
  <c r="AO46" i="1"/>
  <c r="AO44" i="1"/>
  <c r="AO42" i="1"/>
  <c r="AO40" i="1"/>
  <c r="AO38" i="1"/>
  <c r="AO36" i="1"/>
  <c r="AO34" i="1"/>
  <c r="AO32" i="1"/>
  <c r="AO30" i="1"/>
  <c r="AO28" i="1"/>
  <c r="AO26" i="1"/>
  <c r="AO24" i="1"/>
  <c r="AO22" i="1"/>
  <c r="AO20" i="1"/>
  <c r="AO18" i="1"/>
  <c r="AO16" i="1"/>
  <c r="AO14" i="1"/>
  <c r="AO12" i="1"/>
  <c r="AO10" i="1"/>
  <c r="AO13" i="1"/>
  <c r="AO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5" i="1"/>
  <c r="AO23" i="1"/>
  <c r="AO21" i="1"/>
  <c r="AO19" i="1"/>
  <c r="AO17" i="1"/>
  <c r="AO15" i="1"/>
  <c r="AO11" i="1"/>
  <c r="AK59" i="1"/>
  <c r="AO8" i="1"/>
  <c r="AO59" i="1" l="1"/>
  <c r="AM59" i="1"/>
  <c r="K59" i="36"/>
  <c r="J59" i="1" l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M53" i="1" s="1"/>
  <c r="AN53" i="1" s="1"/>
  <c r="AP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K55" i="1"/>
  <c r="L55" i="1" s="1"/>
  <c r="M55" i="1" s="1"/>
  <c r="AN55" i="1" s="1"/>
  <c r="AP55" i="1" s="1"/>
  <c r="K47" i="1"/>
  <c r="L47" i="1" s="1"/>
  <c r="M47" i="1" s="1"/>
  <c r="AN47" i="1" s="1"/>
  <c r="AP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M49" i="1" s="1"/>
  <c r="AN49" i="1" s="1"/>
  <c r="AP49" i="1" s="1"/>
  <c r="K45" i="1"/>
  <c r="L45" i="1" s="1"/>
  <c r="K41" i="1"/>
  <c r="L41" i="1" s="1"/>
  <c r="M41" i="1" s="1"/>
  <c r="AN41" i="1" s="1"/>
  <c r="AP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I10" i="1"/>
  <c r="I11" i="1"/>
  <c r="I19" i="1"/>
  <c r="M19" i="1" s="1"/>
  <c r="AN19" i="1" s="1"/>
  <c r="AP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37" i="1" l="1"/>
  <c r="AN37" i="1" s="1"/>
  <c r="AP37" i="1" s="1"/>
  <c r="M45" i="1"/>
  <c r="AN45" i="1" s="1"/>
  <c r="AP45" i="1" s="1"/>
  <c r="M35" i="1"/>
  <c r="AN35" i="1" s="1"/>
  <c r="AP35" i="1" s="1"/>
  <c r="M43" i="1"/>
  <c r="AN43" i="1" s="1"/>
  <c r="AP43" i="1" s="1"/>
  <c r="M15" i="1"/>
  <c r="AN15" i="1" s="1"/>
  <c r="AP15" i="1" s="1"/>
  <c r="M8" i="1"/>
  <c r="AN8" i="1" s="1"/>
  <c r="AP8" i="1" s="1"/>
  <c r="M28" i="1"/>
  <c r="AN28" i="1" s="1"/>
  <c r="AP28" i="1" s="1"/>
  <c r="M44" i="1"/>
  <c r="AN44" i="1" s="1"/>
  <c r="AP44" i="1" s="1"/>
  <c r="M31" i="1"/>
  <c r="AN31" i="1" s="1"/>
  <c r="AP31" i="1" s="1"/>
  <c r="M14" i="1"/>
  <c r="AN14" i="1" s="1"/>
  <c r="AP14" i="1" s="1"/>
  <c r="M46" i="1"/>
  <c r="AN46" i="1" s="1"/>
  <c r="AP46" i="1" s="1"/>
  <c r="M12" i="1"/>
  <c r="AN12" i="1" s="1"/>
  <c r="AP12" i="1" s="1"/>
  <c r="M22" i="1"/>
  <c r="AN22" i="1" s="1"/>
  <c r="AP22" i="1" s="1"/>
  <c r="M38" i="1"/>
  <c r="AN38" i="1" s="1"/>
  <c r="AP38" i="1" s="1"/>
  <c r="M54" i="1"/>
  <c r="AN54" i="1" s="1"/>
  <c r="AP54" i="1" s="1"/>
  <c r="M23" i="1"/>
  <c r="AN23" i="1" s="1"/>
  <c r="AP23" i="1" s="1"/>
  <c r="M18" i="1"/>
  <c r="AN18" i="1" s="1"/>
  <c r="AP18" i="1" s="1"/>
  <c r="M20" i="1"/>
  <c r="AN20" i="1" s="1"/>
  <c r="AP20" i="1" s="1"/>
  <c r="M36" i="1"/>
  <c r="AN36" i="1" s="1"/>
  <c r="AP36" i="1" s="1"/>
  <c r="M52" i="1"/>
  <c r="AN52" i="1" s="1"/>
  <c r="AP52" i="1" s="1"/>
  <c r="M30" i="1"/>
  <c r="AN30" i="1" s="1"/>
  <c r="AP30" i="1" s="1"/>
  <c r="M39" i="1"/>
  <c r="AN39" i="1" s="1"/>
  <c r="AP39" i="1" s="1"/>
  <c r="M51" i="1"/>
  <c r="AN51" i="1" s="1"/>
  <c r="AP51" i="1" s="1"/>
  <c r="M13" i="1"/>
  <c r="AN13" i="1" s="1"/>
  <c r="AP13" i="1" s="1"/>
  <c r="M27" i="1"/>
  <c r="AN27" i="1" s="1"/>
  <c r="AP27" i="1" s="1"/>
  <c r="M11" i="1"/>
  <c r="AN11" i="1" s="1"/>
  <c r="AP11" i="1" s="1"/>
  <c r="M33" i="1"/>
  <c r="AN33" i="1" s="1"/>
  <c r="AP33" i="1" s="1"/>
  <c r="M57" i="1"/>
  <c r="AN57" i="1" s="1"/>
  <c r="AP57" i="1" s="1"/>
  <c r="H59" i="1"/>
  <c r="M21" i="1"/>
  <c r="AN21" i="1" s="1"/>
  <c r="AP21" i="1" s="1"/>
  <c r="M29" i="1"/>
  <c r="AN29" i="1" s="1"/>
  <c r="AP29" i="1" s="1"/>
  <c r="M26" i="1"/>
  <c r="AN26" i="1" s="1"/>
  <c r="AP26" i="1" s="1"/>
  <c r="M34" i="1"/>
  <c r="AN34" i="1" s="1"/>
  <c r="AP34" i="1" s="1"/>
  <c r="M42" i="1"/>
  <c r="AN42" i="1" s="1"/>
  <c r="AP42" i="1" s="1"/>
  <c r="M50" i="1"/>
  <c r="AN50" i="1" s="1"/>
  <c r="AP50" i="1" s="1"/>
  <c r="M58" i="1"/>
  <c r="AN58" i="1" s="1"/>
  <c r="AP58" i="1" s="1"/>
  <c r="M25" i="1"/>
  <c r="AN25" i="1" s="1"/>
  <c r="AP25" i="1" s="1"/>
  <c r="M16" i="1"/>
  <c r="AN16" i="1" s="1"/>
  <c r="AP16" i="1" s="1"/>
  <c r="M24" i="1"/>
  <c r="AN24" i="1" s="1"/>
  <c r="AP24" i="1" s="1"/>
  <c r="M32" i="1"/>
  <c r="AN32" i="1" s="1"/>
  <c r="AP32" i="1" s="1"/>
  <c r="M40" i="1"/>
  <c r="AN40" i="1" s="1"/>
  <c r="AP40" i="1" s="1"/>
  <c r="M48" i="1"/>
  <c r="AN48" i="1" s="1"/>
  <c r="AP48" i="1" s="1"/>
  <c r="M56" i="1"/>
  <c r="AN56" i="1" s="1"/>
  <c r="AP56" i="1" s="1"/>
  <c r="M9" i="1"/>
  <c r="AN9" i="1" s="1"/>
  <c r="AP9" i="1" s="1"/>
  <c r="M17" i="1"/>
  <c r="AN17" i="1" s="1"/>
  <c r="AP17" i="1" s="1"/>
  <c r="L59" i="1"/>
  <c r="M10" i="1"/>
  <c r="AN10" i="1" s="1"/>
  <c r="AP10" i="1" s="1"/>
  <c r="I59" i="1"/>
  <c r="AP59" i="1" l="1"/>
  <c r="AN59" i="1"/>
  <c r="M59" i="1"/>
  <c r="AQ8" i="1" l="1"/>
  <c r="H8" i="36" s="1"/>
  <c r="AQ48" i="1"/>
  <c r="H48" i="36" s="1"/>
  <c r="L48" i="36" s="1"/>
  <c r="M48" i="36" s="1"/>
  <c r="AQ24" i="1"/>
  <c r="H24" i="36" s="1"/>
  <c r="L24" i="36" s="1"/>
  <c r="M24" i="36" s="1"/>
  <c r="AQ16" i="1"/>
  <c r="H16" i="36" s="1"/>
  <c r="L16" i="36" s="1"/>
  <c r="M16" i="36" s="1"/>
  <c r="AQ9" i="1"/>
  <c r="H9" i="36" s="1"/>
  <c r="L9" i="36" s="1"/>
  <c r="M9" i="36" s="1"/>
  <c r="AQ56" i="1"/>
  <c r="H56" i="36" s="1"/>
  <c r="L56" i="36" s="1"/>
  <c r="M56" i="36" s="1"/>
  <c r="AQ32" i="1"/>
  <c r="H32" i="36" s="1"/>
  <c r="L32" i="36" s="1"/>
  <c r="M32" i="36" s="1"/>
  <c r="AQ17" i="1"/>
  <c r="H17" i="36" s="1"/>
  <c r="L17" i="36" s="1"/>
  <c r="M17" i="36" s="1"/>
  <c r="AQ10" i="1"/>
  <c r="H10" i="36" s="1"/>
  <c r="L10" i="36" s="1"/>
  <c r="M10" i="36" s="1"/>
  <c r="AQ40" i="1"/>
  <c r="H40" i="36" s="1"/>
  <c r="L40" i="36" s="1"/>
  <c r="M40" i="36" s="1"/>
  <c r="AQ14" i="1"/>
  <c r="H14" i="36" s="1"/>
  <c r="L14" i="36" s="1"/>
  <c r="M14" i="36" s="1"/>
  <c r="AQ26" i="1"/>
  <c r="H26" i="36" s="1"/>
  <c r="L26" i="36" s="1"/>
  <c r="M26" i="36" s="1"/>
  <c r="AQ42" i="1"/>
  <c r="H42" i="36" s="1"/>
  <c r="L42" i="36" s="1"/>
  <c r="M42" i="36" s="1"/>
  <c r="AQ58" i="1"/>
  <c r="H58" i="36" s="1"/>
  <c r="L58" i="36" s="1"/>
  <c r="M58" i="36" s="1"/>
  <c r="AQ15" i="1"/>
  <c r="H15" i="36" s="1"/>
  <c r="L15" i="36" s="1"/>
  <c r="M15" i="36" s="1"/>
  <c r="AQ43" i="1"/>
  <c r="H43" i="36" s="1"/>
  <c r="L43" i="36" s="1"/>
  <c r="M43" i="36" s="1"/>
  <c r="AQ45" i="1"/>
  <c r="H45" i="36" s="1"/>
  <c r="L45" i="36" s="1"/>
  <c r="M45" i="36" s="1"/>
  <c r="AQ41" i="1"/>
  <c r="H41" i="36" s="1"/>
  <c r="L41" i="36" s="1"/>
  <c r="M41" i="36" s="1"/>
  <c r="AQ57" i="1"/>
  <c r="H57" i="36" s="1"/>
  <c r="L57" i="36" s="1"/>
  <c r="M57" i="36" s="1"/>
  <c r="AQ51" i="1"/>
  <c r="H51" i="36" s="1"/>
  <c r="L51" i="36" s="1"/>
  <c r="M51" i="36" s="1"/>
  <c r="AQ37" i="1"/>
  <c r="H37" i="36" s="1"/>
  <c r="L37" i="36" s="1"/>
  <c r="M37" i="36" s="1"/>
  <c r="AQ54" i="1"/>
  <c r="H54" i="36" s="1"/>
  <c r="L54" i="36" s="1"/>
  <c r="M54" i="36" s="1"/>
  <c r="AQ47" i="1"/>
  <c r="H47" i="36" s="1"/>
  <c r="L47" i="36" s="1"/>
  <c r="M47" i="36" s="1"/>
  <c r="AQ22" i="1"/>
  <c r="H22" i="36" s="1"/>
  <c r="L22" i="36" s="1"/>
  <c r="M22" i="36" s="1"/>
  <c r="AQ34" i="1"/>
  <c r="H34" i="36" s="1"/>
  <c r="L34" i="36" s="1"/>
  <c r="M34" i="36" s="1"/>
  <c r="AQ50" i="1"/>
  <c r="H50" i="36" s="1"/>
  <c r="L50" i="36" s="1"/>
  <c r="M50" i="36" s="1"/>
  <c r="AQ23" i="1"/>
  <c r="H23" i="36" s="1"/>
  <c r="L23" i="36" s="1"/>
  <c r="M23" i="36" s="1"/>
  <c r="AQ35" i="1"/>
  <c r="H35" i="36" s="1"/>
  <c r="L35" i="36" s="1"/>
  <c r="M35" i="36" s="1"/>
  <c r="AQ55" i="1"/>
  <c r="H55" i="36" s="1"/>
  <c r="L55" i="36" s="1"/>
  <c r="M55" i="36" s="1"/>
  <c r="AQ33" i="1"/>
  <c r="H33" i="36" s="1"/>
  <c r="L33" i="36" s="1"/>
  <c r="M33" i="36" s="1"/>
  <c r="AQ49" i="1"/>
  <c r="H49" i="36" s="1"/>
  <c r="L49" i="36" s="1"/>
  <c r="M49" i="36" s="1"/>
  <c r="AQ12" i="1"/>
  <c r="H12" i="36" s="1"/>
  <c r="L12" i="36" s="1"/>
  <c r="M12" i="36" s="1"/>
  <c r="AQ20" i="1"/>
  <c r="H20" i="36" s="1"/>
  <c r="L20" i="36" s="1"/>
  <c r="M20" i="36" s="1"/>
  <c r="AQ28" i="1"/>
  <c r="H28" i="36" s="1"/>
  <c r="L28" i="36" s="1"/>
  <c r="M28" i="36" s="1"/>
  <c r="AQ36" i="1"/>
  <c r="H36" i="36" s="1"/>
  <c r="L36" i="36" s="1"/>
  <c r="M36" i="36" s="1"/>
  <c r="AQ44" i="1"/>
  <c r="H44" i="36" s="1"/>
  <c r="L44" i="36" s="1"/>
  <c r="M44" i="36" s="1"/>
  <c r="AQ52" i="1"/>
  <c r="H52" i="36" s="1"/>
  <c r="L52" i="36" s="1"/>
  <c r="M52" i="36" s="1"/>
  <c r="AQ19" i="1"/>
  <c r="H19" i="36" s="1"/>
  <c r="L19" i="36" s="1"/>
  <c r="M19" i="36" s="1"/>
  <c r="AQ11" i="1"/>
  <c r="H11" i="36" s="1"/>
  <c r="L11" i="36" s="1"/>
  <c r="M11" i="36" s="1"/>
  <c r="AQ21" i="1"/>
  <c r="H21" i="36" s="1"/>
  <c r="L21" i="36" s="1"/>
  <c r="M21" i="36" s="1"/>
  <c r="D19" i="28" s="1"/>
  <c r="AQ39" i="1"/>
  <c r="H39" i="36" s="1"/>
  <c r="L39" i="36" s="1"/>
  <c r="M39" i="36" s="1"/>
  <c r="AQ53" i="1"/>
  <c r="H53" i="36" s="1"/>
  <c r="L53" i="36" s="1"/>
  <c r="M53" i="36" s="1"/>
  <c r="AQ30" i="1"/>
  <c r="H30" i="36" s="1"/>
  <c r="L30" i="36" s="1"/>
  <c r="M30" i="36" s="1"/>
  <c r="AQ46" i="1"/>
  <c r="H46" i="36" s="1"/>
  <c r="L46" i="36" s="1"/>
  <c r="M46" i="36" s="1"/>
  <c r="AQ13" i="1"/>
  <c r="H13" i="36" s="1"/>
  <c r="L13" i="36" s="1"/>
  <c r="M13" i="36" s="1"/>
  <c r="AQ25" i="1"/>
  <c r="H25" i="36" s="1"/>
  <c r="L25" i="36" s="1"/>
  <c r="M25" i="36" s="1"/>
  <c r="AQ27" i="1"/>
  <c r="H27" i="36" s="1"/>
  <c r="L27" i="36" s="1"/>
  <c r="M27" i="36" s="1"/>
  <c r="AQ29" i="1"/>
  <c r="H29" i="36" s="1"/>
  <c r="L29" i="36" s="1"/>
  <c r="M29" i="36" s="1"/>
  <c r="AQ18" i="1"/>
  <c r="H18" i="36" s="1"/>
  <c r="L18" i="36" s="1"/>
  <c r="M18" i="36" s="1"/>
  <c r="AQ38" i="1"/>
  <c r="H38" i="36" s="1"/>
  <c r="L38" i="36" s="1"/>
  <c r="M38" i="36" s="1"/>
  <c r="AQ31" i="1"/>
  <c r="H31" i="36" s="1"/>
  <c r="L31" i="36" s="1"/>
  <c r="M31" i="36" s="1"/>
  <c r="D29" i="28" l="1"/>
  <c r="D16" i="28"/>
  <c r="D25" i="28"/>
  <c r="D11" i="28"/>
  <c r="D28" i="28"/>
  <c r="D37" i="28"/>
  <c r="D9" i="28"/>
  <c r="D50" i="28"/>
  <c r="D34" i="28"/>
  <c r="D18" i="28"/>
  <c r="D47" i="28"/>
  <c r="D53" i="28"/>
  <c r="D21" i="28"/>
  <c r="D32" i="28"/>
  <c r="D45" i="28"/>
  <c r="D35" i="28"/>
  <c r="D55" i="28"/>
  <c r="D43" i="28"/>
  <c r="D13" i="28"/>
  <c r="D40" i="28"/>
  <c r="D12" i="28"/>
  <c r="D8" i="28"/>
  <c r="D30" i="28"/>
  <c r="D7" i="28"/>
  <c r="D22" i="28"/>
  <c r="D36" i="28"/>
  <c r="D27" i="28"/>
  <c r="D23" i="28"/>
  <c r="D44" i="28"/>
  <c r="D51" i="28"/>
  <c r="D17" i="28"/>
  <c r="D42" i="28"/>
  <c r="D26" i="28"/>
  <c r="D10" i="28"/>
  <c r="D31" i="28"/>
  <c r="D33" i="28"/>
  <c r="D48" i="28"/>
  <c r="D20" i="28"/>
  <c r="D52" i="28"/>
  <c r="D49" i="28"/>
  <c r="D39" i="28"/>
  <c r="D41" i="28"/>
  <c r="D56" i="28"/>
  <c r="D24" i="28"/>
  <c r="D38" i="28"/>
  <c r="D15" i="28"/>
  <c r="D54" i="28"/>
  <c r="D14" i="28"/>
  <c r="D46" i="28"/>
  <c r="AQ59" i="1"/>
  <c r="L8" i="36"/>
  <c r="H59" i="36"/>
  <c r="L59" i="36" l="1"/>
  <c r="M8" i="36"/>
  <c r="D6" i="28" s="1"/>
  <c r="D57" i="28" l="1"/>
  <c r="M59" i="36"/>
  <c r="N8" i="36" s="1"/>
  <c r="N16" i="36" l="1"/>
  <c r="N9" i="36"/>
  <c r="N40" i="36"/>
  <c r="N48" i="36"/>
  <c r="N24" i="36"/>
  <c r="N32" i="36"/>
  <c r="N10" i="36"/>
  <c r="N56" i="36"/>
  <c r="N17" i="36"/>
  <c r="N31" i="36"/>
  <c r="N27" i="36"/>
  <c r="N30" i="36"/>
  <c r="N11" i="36"/>
  <c r="N36" i="36"/>
  <c r="N49" i="36"/>
  <c r="N23" i="36"/>
  <c r="N47" i="36"/>
  <c r="N57" i="36"/>
  <c r="N15" i="36"/>
  <c r="N14" i="36"/>
  <c r="N29" i="36"/>
  <c r="N46" i="36"/>
  <c r="N21" i="36"/>
  <c r="N44" i="36"/>
  <c r="N12" i="36"/>
  <c r="N35" i="36"/>
  <c r="N22" i="36"/>
  <c r="N51" i="36"/>
  <c r="N43" i="36"/>
  <c r="N26" i="36"/>
  <c r="N18" i="36"/>
  <c r="N13" i="36"/>
  <c r="N39" i="36"/>
  <c r="N52" i="36"/>
  <c r="N20" i="36"/>
  <c r="N55" i="36"/>
  <c r="N34" i="36"/>
  <c r="N37" i="36"/>
  <c r="N45" i="36"/>
  <c r="N42" i="36"/>
  <c r="N38" i="36"/>
  <c r="N25" i="36"/>
  <c r="N53" i="36"/>
  <c r="N19" i="36"/>
  <c r="N28" i="36"/>
  <c r="N33" i="36"/>
  <c r="N50" i="36"/>
  <c r="N54" i="36"/>
  <c r="N41" i="36"/>
  <c r="N58" i="36"/>
  <c r="N59" i="36" l="1"/>
  <c r="B56" i="45"/>
  <c r="I5" i="45"/>
  <c r="I56" i="45" s="1"/>
  <c r="B6" i="28" l="1"/>
  <c r="B57" i="28" l="1"/>
  <c r="D58" i="28" s="1"/>
  <c r="G4" i="28" s="1"/>
  <c r="C41" i="28" l="1"/>
  <c r="C26" i="28"/>
  <c r="C21" i="28"/>
  <c r="C7" i="28"/>
  <c r="C30" i="28"/>
  <c r="C24" i="28"/>
  <c r="C29" i="28"/>
  <c r="C15" i="28"/>
  <c r="C13" i="28"/>
  <c r="C27" i="28"/>
  <c r="C33" i="28"/>
  <c r="C55" i="28"/>
  <c r="C50" i="28"/>
  <c r="C54" i="28"/>
  <c r="C56" i="28"/>
  <c r="C45" i="28"/>
  <c r="C17" i="28"/>
  <c r="C14" i="28"/>
  <c r="C46" i="28"/>
  <c r="C16" i="28"/>
  <c r="C23" i="28"/>
  <c r="C53" i="28"/>
  <c r="C12" i="28"/>
  <c r="C51" i="28"/>
  <c r="C31" i="28"/>
  <c r="C9" i="28"/>
  <c r="C32" i="28"/>
  <c r="C28" i="28"/>
  <c r="C37" i="28"/>
  <c r="C35" i="28"/>
  <c r="C18" i="28"/>
  <c r="C38" i="28"/>
  <c r="C10" i="28"/>
  <c r="C43" i="28"/>
  <c r="C48" i="28"/>
  <c r="C19" i="28"/>
  <c r="C49" i="28"/>
  <c r="C42" i="28"/>
  <c r="C36" i="28"/>
  <c r="C39" i="28"/>
  <c r="C22" i="28"/>
  <c r="C40" i="28"/>
  <c r="C52" i="28"/>
  <c r="C34" i="28"/>
  <c r="C47" i="28"/>
  <c r="C44" i="28"/>
  <c r="C11" i="28"/>
  <c r="C20" i="28"/>
  <c r="C25" i="28"/>
  <c r="C8" i="28"/>
  <c r="C6" i="28"/>
  <c r="E20" i="28" l="1"/>
  <c r="F20" i="28"/>
  <c r="I20" i="28"/>
  <c r="J20" i="28" s="1"/>
  <c r="I39" i="28"/>
  <c r="J39" i="28" s="1"/>
  <c r="E39" i="28"/>
  <c r="F39" i="28"/>
  <c r="E38" i="28"/>
  <c r="I38" i="28"/>
  <c r="J38" i="28" s="1"/>
  <c r="F38" i="28"/>
  <c r="F51" i="28"/>
  <c r="E51" i="28"/>
  <c r="I51" i="28"/>
  <c r="J51" i="28" s="1"/>
  <c r="E45" i="28"/>
  <c r="I45" i="28"/>
  <c r="J45" i="28" s="1"/>
  <c r="F45" i="28"/>
  <c r="I55" i="28"/>
  <c r="J55" i="28" s="1"/>
  <c r="E55" i="28"/>
  <c r="F55" i="28"/>
  <c r="E15" i="28"/>
  <c r="I15" i="28"/>
  <c r="J15" i="28" s="1"/>
  <c r="F15" i="28"/>
  <c r="I6" i="28"/>
  <c r="E6" i="28"/>
  <c r="C57" i="28"/>
  <c r="F57" i="28" s="1"/>
  <c r="F6" i="28"/>
  <c r="E11" i="28"/>
  <c r="I11" i="28"/>
  <c r="J11" i="28" s="1"/>
  <c r="F11" i="28"/>
  <c r="E52" i="28"/>
  <c r="I52" i="28"/>
  <c r="J52" i="28" s="1"/>
  <c r="F52" i="28"/>
  <c r="E36" i="28"/>
  <c r="I36" i="28"/>
  <c r="J36" i="28" s="1"/>
  <c r="F36" i="28"/>
  <c r="E48" i="28"/>
  <c r="F48" i="28"/>
  <c r="I48" i="28"/>
  <c r="J48" i="28" s="1"/>
  <c r="E18" i="28"/>
  <c r="F18" i="28"/>
  <c r="I18" i="28"/>
  <c r="J18" i="28" s="1"/>
  <c r="E32" i="28"/>
  <c r="F32" i="28"/>
  <c r="I32" i="28"/>
  <c r="J32" i="28" s="1"/>
  <c r="E12" i="28"/>
  <c r="I12" i="28"/>
  <c r="J12" i="28" s="1"/>
  <c r="F12" i="28"/>
  <c r="E46" i="28"/>
  <c r="I46" i="28"/>
  <c r="J46" i="28" s="1"/>
  <c r="F46" i="28"/>
  <c r="E56" i="28"/>
  <c r="I56" i="28"/>
  <c r="J56" i="28" s="1"/>
  <c r="F56" i="28"/>
  <c r="I33" i="28"/>
  <c r="J33" i="28" s="1"/>
  <c r="E33" i="28"/>
  <c r="F33" i="28"/>
  <c r="E29" i="28"/>
  <c r="I29" i="28"/>
  <c r="J29" i="28" s="1"/>
  <c r="F29" i="28"/>
  <c r="E21" i="28"/>
  <c r="F21" i="28"/>
  <c r="I21" i="28"/>
  <c r="J21" i="28" s="1"/>
  <c r="E8" i="28"/>
  <c r="F8" i="28"/>
  <c r="I8" i="28"/>
  <c r="J8" i="28" s="1"/>
  <c r="E44" i="28"/>
  <c r="F44" i="28"/>
  <c r="I44" i="28"/>
  <c r="J44" i="28" s="1"/>
  <c r="I40" i="28"/>
  <c r="J40" i="28" s="1"/>
  <c r="F40" i="28"/>
  <c r="E40" i="28"/>
  <c r="E42" i="28"/>
  <c r="F42" i="28"/>
  <c r="I42" i="28"/>
  <c r="J42" i="28" s="1"/>
  <c r="I43" i="28"/>
  <c r="J43" i="28" s="1"/>
  <c r="E43" i="28"/>
  <c r="F43" i="28"/>
  <c r="E35" i="28"/>
  <c r="I35" i="28"/>
  <c r="J35" i="28" s="1"/>
  <c r="F35" i="28"/>
  <c r="E9" i="28"/>
  <c r="I9" i="28"/>
  <c r="J9" i="28" s="1"/>
  <c r="F9" i="28"/>
  <c r="E53" i="28"/>
  <c r="F53" i="28"/>
  <c r="I53" i="28"/>
  <c r="J53" i="28" s="1"/>
  <c r="E14" i="28"/>
  <c r="I14" i="28"/>
  <c r="J14" i="28" s="1"/>
  <c r="F14" i="28"/>
  <c r="E54" i="28"/>
  <c r="I54" i="28"/>
  <c r="J54" i="28" s="1"/>
  <c r="F54" i="28"/>
  <c r="E27" i="28"/>
  <c r="I27" i="28"/>
  <c r="J27" i="28" s="1"/>
  <c r="F27" i="28"/>
  <c r="E24" i="28"/>
  <c r="I24" i="28"/>
  <c r="J24" i="28" s="1"/>
  <c r="F24" i="28"/>
  <c r="E26" i="28"/>
  <c r="I26" i="28"/>
  <c r="J26" i="28" s="1"/>
  <c r="F26" i="28"/>
  <c r="E34" i="28"/>
  <c r="I34" i="28"/>
  <c r="J34" i="28" s="1"/>
  <c r="F34" i="28"/>
  <c r="E19" i="28"/>
  <c r="I19" i="28"/>
  <c r="J19" i="28" s="1"/>
  <c r="F19" i="28"/>
  <c r="I28" i="28"/>
  <c r="J28" i="28" s="1"/>
  <c r="E28" i="28"/>
  <c r="F28" i="28"/>
  <c r="E16" i="28"/>
  <c r="F16" i="28"/>
  <c r="I16" i="28"/>
  <c r="J16" i="28" s="1"/>
  <c r="I7" i="28"/>
  <c r="J7" i="28" s="1"/>
  <c r="E7" i="28"/>
  <c r="F7" i="28"/>
  <c r="E25" i="28"/>
  <c r="F25" i="28"/>
  <c r="I25" i="28"/>
  <c r="J25" i="28" s="1"/>
  <c r="E47" i="28"/>
  <c r="F47" i="28"/>
  <c r="I47" i="28"/>
  <c r="J47" i="28" s="1"/>
  <c r="E22" i="28"/>
  <c r="I22" i="28"/>
  <c r="J22" i="28" s="1"/>
  <c r="F22" i="28"/>
  <c r="E49" i="28"/>
  <c r="F49" i="28"/>
  <c r="I49" i="28"/>
  <c r="J49" i="28" s="1"/>
  <c r="I10" i="28"/>
  <c r="J10" i="28" s="1"/>
  <c r="F10" i="28"/>
  <c r="E10" i="28"/>
  <c r="I37" i="28"/>
  <c r="J37" i="28" s="1"/>
  <c r="F37" i="28"/>
  <c r="E37" i="28"/>
  <c r="E31" i="28"/>
  <c r="I31" i="28"/>
  <c r="J31" i="28" s="1"/>
  <c r="F31" i="28"/>
  <c r="I23" i="28"/>
  <c r="J23" i="28" s="1"/>
  <c r="E23" i="28"/>
  <c r="F23" i="28"/>
  <c r="E17" i="28"/>
  <c r="I17" i="28"/>
  <c r="J17" i="28" s="1"/>
  <c r="F17" i="28"/>
  <c r="I50" i="28"/>
  <c r="J50" i="28" s="1"/>
  <c r="F50" i="28"/>
  <c r="E50" i="28"/>
  <c r="E13" i="28"/>
  <c r="F13" i="28"/>
  <c r="I13" i="28"/>
  <c r="J13" i="28" s="1"/>
  <c r="I30" i="28"/>
  <c r="J30" i="28" s="1"/>
  <c r="F30" i="28"/>
  <c r="E30" i="28"/>
  <c r="E41" i="28"/>
  <c r="I41" i="28"/>
  <c r="J41" i="28" s="1"/>
  <c r="F41" i="28"/>
  <c r="G41" i="28" l="1"/>
  <c r="H41" i="28" s="1"/>
  <c r="L41" i="28" s="1"/>
  <c r="G30" i="28"/>
  <c r="H30" i="28" s="1"/>
  <c r="G17" i="28"/>
  <c r="H17" i="28" s="1"/>
  <c r="L17" i="28" s="1"/>
  <c r="G49" i="28"/>
  <c r="H49" i="28" s="1"/>
  <c r="L49" i="28" s="1"/>
  <c r="G50" i="28"/>
  <c r="H50" i="28" s="1"/>
  <c r="L50" i="28" s="1"/>
  <c r="G31" i="28"/>
  <c r="H31" i="28" s="1"/>
  <c r="L31" i="28" s="1"/>
  <c r="G37" i="28"/>
  <c r="H37" i="28" s="1"/>
  <c r="L37" i="28" s="1"/>
  <c r="G22" i="28"/>
  <c r="H22" i="28" s="1"/>
  <c r="L22" i="28" s="1"/>
  <c r="G47" i="28"/>
  <c r="H47" i="28" s="1"/>
  <c r="L47" i="28" s="1"/>
  <c r="G26" i="28"/>
  <c r="H26" i="28" s="1"/>
  <c r="L26" i="28" s="1"/>
  <c r="G14" i="28"/>
  <c r="H14" i="28" s="1"/>
  <c r="L14" i="28" s="1"/>
  <c r="G53" i="28"/>
  <c r="H53" i="28"/>
  <c r="G43" i="28"/>
  <c r="H43" i="28" s="1"/>
  <c r="L43" i="28" s="1"/>
  <c r="G42" i="28"/>
  <c r="H42" i="28" s="1"/>
  <c r="L42" i="28" s="1"/>
  <c r="G21" i="28"/>
  <c r="H21" i="28" s="1"/>
  <c r="L21" i="28" s="1"/>
  <c r="G56" i="28"/>
  <c r="H56" i="28" s="1"/>
  <c r="L56" i="28" s="1"/>
  <c r="G48" i="28"/>
  <c r="H48" i="28" s="1"/>
  <c r="L48" i="28" s="1"/>
  <c r="G11" i="28"/>
  <c r="H11" i="28" s="1"/>
  <c r="G13" i="28"/>
  <c r="H13" i="28" s="1"/>
  <c r="L13" i="28" s="1"/>
  <c r="G23" i="28"/>
  <c r="H23" i="28"/>
  <c r="G7" i="28"/>
  <c r="H7" i="28" s="1"/>
  <c r="L7" i="28" s="1"/>
  <c r="G16" i="28"/>
  <c r="H16" i="28" s="1"/>
  <c r="G34" i="28"/>
  <c r="H34" i="28" s="1"/>
  <c r="L34" i="28" s="1"/>
  <c r="G54" i="28"/>
  <c r="H54" i="28"/>
  <c r="G35" i="28"/>
  <c r="H35" i="28" s="1"/>
  <c r="L35" i="28" s="1"/>
  <c r="G8" i="28"/>
  <c r="H8" i="28" s="1"/>
  <c r="G33" i="28"/>
  <c r="H33" i="28" s="1"/>
  <c r="G18" i="28"/>
  <c r="H18" i="28" s="1"/>
  <c r="L18" i="28" s="1"/>
  <c r="G52" i="28"/>
  <c r="H52" i="28"/>
  <c r="E57" i="28"/>
  <c r="G45" i="28"/>
  <c r="H45" i="28" s="1"/>
  <c r="L45" i="28" s="1"/>
  <c r="G19" i="28"/>
  <c r="H19" i="28" s="1"/>
  <c r="G27" i="28"/>
  <c r="H27" i="28" s="1"/>
  <c r="L27" i="28" s="1"/>
  <c r="G9" i="28"/>
  <c r="H9" i="28"/>
  <c r="G44" i="28"/>
  <c r="H44" i="28"/>
  <c r="G29" i="28"/>
  <c r="H29" i="28" s="1"/>
  <c r="L29" i="28" s="1"/>
  <c r="G12" i="28"/>
  <c r="H12" i="28" s="1"/>
  <c r="L12" i="28" s="1"/>
  <c r="G32" i="28"/>
  <c r="H32" i="28" s="1"/>
  <c r="L32" i="28" s="1"/>
  <c r="G36" i="28"/>
  <c r="H36" i="28" s="1"/>
  <c r="L36" i="28" s="1"/>
  <c r="I57" i="28"/>
  <c r="J6" i="28"/>
  <c r="G55" i="28"/>
  <c r="H55" i="28" s="1"/>
  <c r="L55" i="28" s="1"/>
  <c r="G51" i="28"/>
  <c r="H51" i="28" s="1"/>
  <c r="G39" i="28"/>
  <c r="H39" i="28" s="1"/>
  <c r="G20" i="28"/>
  <c r="H20" i="28" s="1"/>
  <c r="G10" i="28"/>
  <c r="H10" i="28" s="1"/>
  <c r="L10" i="28" s="1"/>
  <c r="G25" i="28"/>
  <c r="H25" i="28" s="1"/>
  <c r="G28" i="28"/>
  <c r="H28" i="28" s="1"/>
  <c r="L28" i="28" s="1"/>
  <c r="G24" i="28"/>
  <c r="H24" i="28" s="1"/>
  <c r="L24" i="28" s="1"/>
  <c r="G40" i="28"/>
  <c r="H40" i="28"/>
  <c r="G46" i="28"/>
  <c r="H46" i="28"/>
  <c r="G6" i="28"/>
  <c r="H6" i="28" s="1"/>
  <c r="G15" i="28"/>
  <c r="H15" i="28" s="1"/>
  <c r="L15" i="28" s="1"/>
  <c r="G38" i="28"/>
  <c r="H38" i="28" s="1"/>
  <c r="L38" i="28" s="1"/>
  <c r="M55" i="28" l="1"/>
  <c r="M34" i="28"/>
  <c r="M56" i="28"/>
  <c r="M26" i="28"/>
  <c r="M15" i="28"/>
  <c r="M10" i="28"/>
  <c r="M31" i="28"/>
  <c r="M17" i="28"/>
  <c r="M45" i="28"/>
  <c r="M14" i="28"/>
  <c r="M22" i="28"/>
  <c r="M29" i="28"/>
  <c r="M43" i="28"/>
  <c r="M32" i="28"/>
  <c r="M27" i="28"/>
  <c r="M21" i="28"/>
  <c r="M49" i="28"/>
  <c r="M41" i="28"/>
  <c r="M12" i="28"/>
  <c r="M18" i="28"/>
  <c r="M7" i="28"/>
  <c r="M42" i="28"/>
  <c r="M47" i="28"/>
  <c r="M38" i="28"/>
  <c r="M24" i="28"/>
  <c r="M35" i="28"/>
  <c r="M13" i="28"/>
  <c r="M37" i="28"/>
  <c r="M50" i="28"/>
  <c r="G57" i="28"/>
  <c r="M28" i="28"/>
  <c r="M36" i="28"/>
  <c r="H57" i="28"/>
  <c r="L6" i="28"/>
  <c r="J57" i="28"/>
  <c r="M48" i="28"/>
  <c r="M6" i="28" l="1"/>
  <c r="K4" i="28"/>
  <c r="K13" i="28" l="1"/>
  <c r="K16" i="28"/>
  <c r="L16" i="28" s="1"/>
  <c r="M16" i="28" s="1"/>
  <c r="K40" i="28"/>
  <c r="L40" i="28" s="1"/>
  <c r="K15" i="28"/>
  <c r="K39" i="28"/>
  <c r="L39" i="28" s="1"/>
  <c r="M39" i="28" s="1"/>
  <c r="K49" i="28"/>
  <c r="K14" i="28"/>
  <c r="K56" i="28"/>
  <c r="K35" i="28"/>
  <c r="K52" i="28"/>
  <c r="L52" i="28" s="1"/>
  <c r="K41" i="28"/>
  <c r="K19" i="28"/>
  <c r="L19" i="28" s="1"/>
  <c r="M19" i="28" s="1"/>
  <c r="K53" i="28"/>
  <c r="L53" i="28" s="1"/>
  <c r="K36" i="28"/>
  <c r="K51" i="28"/>
  <c r="L51" i="28" s="1"/>
  <c r="K28" i="28"/>
  <c r="K20" i="28"/>
  <c r="L20" i="28" s="1"/>
  <c r="M20" i="28" s="1"/>
  <c r="K34" i="28"/>
  <c r="K42" i="28"/>
  <c r="K29" i="28"/>
  <c r="K10" i="28"/>
  <c r="K24" i="28"/>
  <c r="K37" i="28"/>
  <c r="K25" i="28"/>
  <c r="L25" i="28" s="1"/>
  <c r="M25" i="28" s="1"/>
  <c r="K23" i="28"/>
  <c r="L23" i="28" s="1"/>
  <c r="K33" i="28"/>
  <c r="L33" i="28" s="1"/>
  <c r="M33" i="28" s="1"/>
  <c r="K8" i="28"/>
  <c r="L8" i="28" s="1"/>
  <c r="M8" i="28" s="1"/>
  <c r="K55" i="28"/>
  <c r="K22" i="28"/>
  <c r="K26" i="28"/>
  <c r="K32" i="28"/>
  <c r="K54" i="28"/>
  <c r="L54" i="28" s="1"/>
  <c r="K43" i="28"/>
  <c r="K45" i="28"/>
  <c r="K30" i="28"/>
  <c r="L30" i="28" s="1"/>
  <c r="M30" i="28" s="1"/>
  <c r="K7" i="28"/>
  <c r="K9" i="28"/>
  <c r="L9" i="28" s="1"/>
  <c r="K21" i="28"/>
  <c r="K46" i="28"/>
  <c r="L46" i="28" s="1"/>
  <c r="K31" i="28"/>
  <c r="K11" i="28"/>
  <c r="L11" i="28" s="1"/>
  <c r="K17" i="28"/>
  <c r="K47" i="28"/>
  <c r="K12" i="28"/>
  <c r="K18" i="28"/>
  <c r="K38" i="28"/>
  <c r="K50" i="28"/>
  <c r="K44" i="28"/>
  <c r="L44" i="28" s="1"/>
  <c r="K27" i="28"/>
  <c r="K48" i="28"/>
  <c r="K6" i="28"/>
  <c r="M44" i="28" l="1"/>
  <c r="K57" i="28"/>
  <c r="M46" i="28"/>
  <c r="M51" i="28"/>
  <c r="M40" i="28"/>
  <c r="M52" i="28"/>
  <c r="M54" i="28"/>
  <c r="M11" i="28"/>
  <c r="M9" i="28"/>
  <c r="L57" i="28"/>
  <c r="N51" i="28" s="1"/>
  <c r="M23" i="28"/>
  <c r="M53" i="28"/>
  <c r="F50" i="42" l="1"/>
  <c r="I50" i="42"/>
  <c r="E50" i="42"/>
  <c r="G50" i="42"/>
  <c r="B50" i="42"/>
  <c r="C50" i="42"/>
  <c r="D50" i="42"/>
  <c r="N53" i="28"/>
  <c r="N11" i="28"/>
  <c r="N23" i="28"/>
  <c r="M57" i="28"/>
  <c r="N21" i="28"/>
  <c r="N12" i="28"/>
  <c r="N47" i="28"/>
  <c r="N13" i="28"/>
  <c r="N38" i="28"/>
  <c r="N36" i="28"/>
  <c r="N33" i="28"/>
  <c r="N19" i="28"/>
  <c r="N8" i="28"/>
  <c r="N32" i="28"/>
  <c r="N49" i="28"/>
  <c r="N18" i="28"/>
  <c r="N42" i="28"/>
  <c r="N35" i="28"/>
  <c r="N30" i="28"/>
  <c r="N55" i="28"/>
  <c r="N56" i="28"/>
  <c r="N39" i="28"/>
  <c r="N10" i="28"/>
  <c r="N31" i="28"/>
  <c r="N45" i="28"/>
  <c r="N14" i="28"/>
  <c r="N29" i="28"/>
  <c r="N25" i="28"/>
  <c r="N27" i="28"/>
  <c r="N41" i="28"/>
  <c r="N7" i="28"/>
  <c r="N24" i="28"/>
  <c r="N50" i="28"/>
  <c r="N26" i="28"/>
  <c r="N17" i="28"/>
  <c r="N22" i="28"/>
  <c r="N48" i="28"/>
  <c r="N34" i="28"/>
  <c r="N15" i="28"/>
  <c r="N43" i="28"/>
  <c r="N16" i="28"/>
  <c r="N20" i="28"/>
  <c r="N37" i="28"/>
  <c r="N28" i="28"/>
  <c r="N6" i="28"/>
  <c r="N52" i="28"/>
  <c r="N44" i="28"/>
  <c r="N9" i="28"/>
  <c r="N54" i="28"/>
  <c r="N40" i="28"/>
  <c r="N46" i="28"/>
  <c r="I5" i="42" l="1"/>
  <c r="E45" i="42"/>
  <c r="G45" i="42"/>
  <c r="F45" i="42"/>
  <c r="D45" i="42"/>
  <c r="B45" i="42"/>
  <c r="I45" i="42"/>
  <c r="C45" i="42"/>
  <c r="D53" i="42"/>
  <c r="E53" i="42"/>
  <c r="F53" i="42"/>
  <c r="C53" i="42"/>
  <c r="I53" i="42"/>
  <c r="G53" i="42"/>
  <c r="B53" i="42"/>
  <c r="N57" i="28"/>
  <c r="E5" i="42"/>
  <c r="G5" i="42"/>
  <c r="C5" i="42"/>
  <c r="F5" i="42"/>
  <c r="D5" i="42"/>
  <c r="B5" i="42"/>
  <c r="C15" i="42"/>
  <c r="D15" i="42"/>
  <c r="G15" i="42"/>
  <c r="I15" i="42"/>
  <c r="F15" i="42"/>
  <c r="E15" i="42"/>
  <c r="B15" i="42"/>
  <c r="F47" i="42"/>
  <c r="I47" i="42"/>
  <c r="D47" i="42"/>
  <c r="C47" i="42"/>
  <c r="E47" i="42"/>
  <c r="G47" i="42"/>
  <c r="B47" i="42"/>
  <c r="D49" i="42"/>
  <c r="F49" i="42"/>
  <c r="E49" i="42"/>
  <c r="G49" i="42"/>
  <c r="I49" i="42"/>
  <c r="C49" i="42"/>
  <c r="B49" i="42"/>
  <c r="G26" i="42"/>
  <c r="D26" i="42"/>
  <c r="E26" i="42"/>
  <c r="F26" i="42"/>
  <c r="I26" i="42"/>
  <c r="C26" i="42"/>
  <c r="B26" i="42"/>
  <c r="F44" i="42"/>
  <c r="G44" i="42"/>
  <c r="E44" i="42"/>
  <c r="D44" i="42"/>
  <c r="C44" i="42"/>
  <c r="I44" i="42"/>
  <c r="B44" i="42"/>
  <c r="G55" i="42"/>
  <c r="F55" i="42"/>
  <c r="D55" i="42"/>
  <c r="B55" i="42"/>
  <c r="E55" i="42"/>
  <c r="I55" i="42"/>
  <c r="C55" i="42"/>
  <c r="D41" i="42"/>
  <c r="I41" i="42"/>
  <c r="E41" i="42"/>
  <c r="F41" i="42"/>
  <c r="C41" i="42"/>
  <c r="B41" i="42"/>
  <c r="G41" i="42"/>
  <c r="E7" i="42"/>
  <c r="G7" i="42"/>
  <c r="F7" i="42"/>
  <c r="C7" i="42"/>
  <c r="B7" i="42"/>
  <c r="I7" i="42"/>
  <c r="D7" i="42"/>
  <c r="C37" i="42"/>
  <c r="F37" i="42"/>
  <c r="E37" i="42"/>
  <c r="G37" i="42"/>
  <c r="I37" i="42"/>
  <c r="B37" i="42"/>
  <c r="D37" i="42"/>
  <c r="I20" i="42"/>
  <c r="E20" i="42"/>
  <c r="F20" i="42"/>
  <c r="D20" i="42"/>
  <c r="C20" i="42"/>
  <c r="B20" i="42"/>
  <c r="G20" i="42"/>
  <c r="F52" i="42"/>
  <c r="D52" i="42"/>
  <c r="E52" i="42"/>
  <c r="I52" i="42"/>
  <c r="G52" i="42"/>
  <c r="B52" i="42"/>
  <c r="C52" i="42"/>
  <c r="G8" i="42"/>
  <c r="D8" i="42"/>
  <c r="C8" i="42"/>
  <c r="E8" i="42"/>
  <c r="F8" i="42"/>
  <c r="I8" i="42"/>
  <c r="B8" i="42"/>
  <c r="I27" i="42"/>
  <c r="E27" i="42"/>
  <c r="D27" i="42"/>
  <c r="C27" i="42"/>
  <c r="G27" i="42"/>
  <c r="B27" i="42"/>
  <c r="F27" i="42"/>
  <c r="E42" i="42"/>
  <c r="C42" i="42"/>
  <c r="G42" i="42"/>
  <c r="I42" i="42"/>
  <c r="D42" i="42"/>
  <c r="F42" i="42"/>
  <c r="B42" i="42"/>
  <c r="I21" i="42"/>
  <c r="F21" i="42"/>
  <c r="E21" i="42"/>
  <c r="D21" i="42"/>
  <c r="B21" i="42"/>
  <c r="G21" i="42"/>
  <c r="C21" i="42"/>
  <c r="I23" i="42"/>
  <c r="C23" i="42"/>
  <c r="D23" i="42"/>
  <c r="F23" i="42"/>
  <c r="E23" i="42"/>
  <c r="G23" i="42"/>
  <c r="B23" i="42"/>
  <c r="I24" i="42"/>
  <c r="G24" i="42"/>
  <c r="F24" i="42"/>
  <c r="D24" i="42"/>
  <c r="C24" i="42"/>
  <c r="B24" i="42"/>
  <c r="E24" i="42"/>
  <c r="C30" i="42"/>
  <c r="G30" i="42"/>
  <c r="F30" i="42"/>
  <c r="B30" i="42"/>
  <c r="I30" i="42"/>
  <c r="E30" i="42"/>
  <c r="D30" i="42"/>
  <c r="D54" i="42"/>
  <c r="E54" i="42"/>
  <c r="G54" i="42"/>
  <c r="F54" i="42"/>
  <c r="C54" i="42"/>
  <c r="I54" i="42"/>
  <c r="B54" i="42"/>
  <c r="E17" i="42"/>
  <c r="D17" i="42"/>
  <c r="G17" i="42"/>
  <c r="I17" i="42"/>
  <c r="C17" i="42"/>
  <c r="B17" i="42"/>
  <c r="F17" i="42"/>
  <c r="D18" i="42"/>
  <c r="C18" i="42"/>
  <c r="G18" i="42"/>
  <c r="E18" i="42"/>
  <c r="B18" i="42"/>
  <c r="F18" i="42"/>
  <c r="I18" i="42"/>
  <c r="E12" i="42"/>
  <c r="G12" i="42"/>
  <c r="I12" i="42"/>
  <c r="D12" i="42"/>
  <c r="F12" i="42"/>
  <c r="B12" i="42"/>
  <c r="C12" i="42"/>
  <c r="I43" i="42"/>
  <c r="F43" i="42"/>
  <c r="C43" i="42"/>
  <c r="E43" i="42"/>
  <c r="G43" i="42"/>
  <c r="B43" i="42"/>
  <c r="D43" i="42"/>
  <c r="I36" i="42"/>
  <c r="F36" i="42"/>
  <c r="G36" i="42"/>
  <c r="C36" i="42"/>
  <c r="E36" i="42"/>
  <c r="D36" i="42"/>
  <c r="B36" i="42"/>
  <c r="G14" i="42"/>
  <c r="D14" i="42"/>
  <c r="F14" i="42"/>
  <c r="E14" i="42"/>
  <c r="B14" i="42"/>
  <c r="I14" i="42"/>
  <c r="C14" i="42"/>
  <c r="G16" i="42"/>
  <c r="E16" i="42"/>
  <c r="F16" i="42"/>
  <c r="D16" i="42"/>
  <c r="I16" i="42"/>
  <c r="B16" i="42"/>
  <c r="C16" i="42"/>
  <c r="C6" i="42"/>
  <c r="I6" i="42"/>
  <c r="F6" i="42"/>
  <c r="D6" i="42"/>
  <c r="G6" i="42"/>
  <c r="E6" i="42"/>
  <c r="B6" i="42"/>
  <c r="E28" i="42"/>
  <c r="C28" i="42"/>
  <c r="G28" i="42"/>
  <c r="F28" i="42"/>
  <c r="B28" i="42"/>
  <c r="I28" i="42"/>
  <c r="D28" i="42"/>
  <c r="I9" i="42"/>
  <c r="E9" i="42"/>
  <c r="D9" i="42"/>
  <c r="F9" i="42"/>
  <c r="C9" i="42"/>
  <c r="G9" i="42"/>
  <c r="B9" i="42"/>
  <c r="E29" i="42"/>
  <c r="I29" i="42"/>
  <c r="G29" i="42"/>
  <c r="F29" i="42"/>
  <c r="D29" i="42"/>
  <c r="C29" i="42"/>
  <c r="B29" i="42"/>
  <c r="G48" i="42"/>
  <c r="F48" i="42"/>
  <c r="I48" i="42"/>
  <c r="C48" i="42"/>
  <c r="E48" i="42"/>
  <c r="B48" i="42"/>
  <c r="D48" i="42"/>
  <c r="I32" i="42"/>
  <c r="C32" i="42"/>
  <c r="G32" i="42"/>
  <c r="D32" i="42"/>
  <c r="F32" i="42"/>
  <c r="B32" i="42"/>
  <c r="E32" i="42"/>
  <c r="D46" i="42"/>
  <c r="G46" i="42"/>
  <c r="C46" i="42"/>
  <c r="F46" i="42"/>
  <c r="B46" i="42"/>
  <c r="I46" i="42"/>
  <c r="E46" i="42"/>
  <c r="G22" i="42"/>
  <c r="I22" i="42"/>
  <c r="F22" i="42"/>
  <c r="E22" i="42"/>
  <c r="D22" i="42"/>
  <c r="B22" i="42"/>
  <c r="C22" i="42"/>
  <c r="G39" i="42"/>
  <c r="I39" i="42"/>
  <c r="E39" i="42"/>
  <c r="C39" i="42"/>
  <c r="D39" i="42"/>
  <c r="F39" i="42"/>
  <c r="B39" i="42"/>
  <c r="C51" i="42"/>
  <c r="E51" i="42"/>
  <c r="G51" i="42"/>
  <c r="B51" i="42"/>
  <c r="F51" i="42"/>
  <c r="D51" i="42"/>
  <c r="I51" i="42"/>
  <c r="G19" i="42"/>
  <c r="C19" i="42"/>
  <c r="I19" i="42"/>
  <c r="E19" i="42"/>
  <c r="F19" i="42"/>
  <c r="D19" i="42"/>
  <c r="B19" i="42"/>
  <c r="G33" i="42"/>
  <c r="I33" i="42"/>
  <c r="C33" i="42"/>
  <c r="B33" i="42"/>
  <c r="D33" i="42"/>
  <c r="E33" i="42"/>
  <c r="F33" i="42"/>
  <c r="E25" i="42"/>
  <c r="F25" i="42"/>
  <c r="D25" i="42"/>
  <c r="I25" i="42"/>
  <c r="B25" i="42"/>
  <c r="G25" i="42"/>
  <c r="C25" i="42"/>
  <c r="F40" i="42"/>
  <c r="D40" i="42"/>
  <c r="G40" i="42"/>
  <c r="C40" i="42"/>
  <c r="E40" i="42"/>
  <c r="B40" i="42"/>
  <c r="I40" i="42"/>
  <c r="I13" i="42"/>
  <c r="E13" i="42"/>
  <c r="F13" i="42"/>
  <c r="D13" i="42"/>
  <c r="G13" i="42"/>
  <c r="C13" i="42"/>
  <c r="B13" i="42"/>
  <c r="I38" i="42"/>
  <c r="F38" i="42"/>
  <c r="D38" i="42"/>
  <c r="C38" i="42"/>
  <c r="E38" i="42"/>
  <c r="G38" i="42"/>
  <c r="B38" i="42"/>
  <c r="I34" i="42"/>
  <c r="C34" i="42"/>
  <c r="F34" i="42"/>
  <c r="D34" i="42"/>
  <c r="G34" i="42"/>
  <c r="B34" i="42"/>
  <c r="E34" i="42"/>
  <c r="C31" i="42"/>
  <c r="E31" i="42"/>
  <c r="I31" i="42"/>
  <c r="F31" i="42"/>
  <c r="D31" i="42"/>
  <c r="G31" i="42"/>
  <c r="B31" i="42"/>
  <c r="I35" i="42"/>
  <c r="E35" i="42"/>
  <c r="F35" i="42"/>
  <c r="G35" i="42"/>
  <c r="D35" i="42"/>
  <c r="C35" i="42"/>
  <c r="B35" i="42"/>
  <c r="G11" i="42"/>
  <c r="E11" i="42"/>
  <c r="I11" i="42"/>
  <c r="B11" i="42"/>
  <c r="F11" i="42"/>
  <c r="D11" i="42"/>
  <c r="C11" i="42"/>
  <c r="C10" i="42"/>
  <c r="G10" i="42"/>
  <c r="E10" i="42"/>
  <c r="D10" i="42"/>
  <c r="I10" i="42"/>
  <c r="B10" i="42"/>
  <c r="F10" i="42"/>
  <c r="J50" i="42"/>
  <c r="J38" i="42" l="1"/>
  <c r="J29" i="42"/>
  <c r="J28" i="42"/>
  <c r="J24" i="42"/>
  <c r="J42" i="42"/>
  <c r="J27" i="42"/>
  <c r="J37" i="42"/>
  <c r="J7" i="42"/>
  <c r="J47" i="42"/>
  <c r="F56" i="42"/>
  <c r="E56" i="42"/>
  <c r="J51" i="42"/>
  <c r="J46" i="42"/>
  <c r="J14" i="42"/>
  <c r="J54" i="42"/>
  <c r="J20" i="42"/>
  <c r="J49" i="42"/>
  <c r="C56" i="42"/>
  <c r="J10" i="42"/>
  <c r="J31" i="42"/>
  <c r="J34" i="42"/>
  <c r="J48" i="42"/>
  <c r="J36" i="42"/>
  <c r="J43" i="42"/>
  <c r="J23" i="42"/>
  <c r="J8" i="42"/>
  <c r="J52" i="42"/>
  <c r="J41" i="42"/>
  <c r="J26" i="42"/>
  <c r="J5" i="42"/>
  <c r="B56" i="42"/>
  <c r="G56" i="42"/>
  <c r="J53" i="42"/>
  <c r="J39" i="42"/>
  <c r="J22" i="42"/>
  <c r="J6" i="42"/>
  <c r="J16" i="42"/>
  <c r="J12" i="42"/>
  <c r="J18" i="42"/>
  <c r="J11" i="42"/>
  <c r="J35" i="42"/>
  <c r="J13" i="42"/>
  <c r="J40" i="42"/>
  <c r="J25" i="42"/>
  <c r="J33" i="42"/>
  <c r="J19" i="42"/>
  <c r="J32" i="42"/>
  <c r="J9" i="42"/>
  <c r="J17" i="42"/>
  <c r="J30" i="42"/>
  <c r="J21" i="42"/>
  <c r="J55" i="42"/>
  <c r="J44" i="42"/>
  <c r="J15" i="42"/>
  <c r="D56" i="42"/>
  <c r="I56" i="42"/>
  <c r="J45" i="42"/>
  <c r="J56" i="42" l="1"/>
  <c r="K50" i="42" s="1"/>
  <c r="K51" i="42" l="1"/>
  <c r="K9" i="42"/>
  <c r="K49" i="42"/>
  <c r="K17" i="42"/>
  <c r="K5" i="42"/>
  <c r="K37" i="42"/>
  <c r="K43" i="42"/>
  <c r="K40" i="42"/>
  <c r="K26" i="42"/>
  <c r="K29" i="42"/>
  <c r="K13" i="42"/>
  <c r="K52" i="42"/>
  <c r="K41" i="42"/>
  <c r="K38" i="42"/>
  <c r="K53" i="42"/>
  <c r="K27" i="42"/>
  <c r="K19" i="42"/>
  <c r="K22" i="42"/>
  <c r="K7" i="42"/>
  <c r="K25" i="42"/>
  <c r="K46" i="42"/>
  <c r="K33" i="42"/>
  <c r="K8" i="42"/>
  <c r="K28" i="42"/>
  <c r="K21" i="42"/>
  <c r="K20" i="42"/>
  <c r="K6" i="42"/>
  <c r="K55" i="42"/>
  <c r="K42" i="42"/>
  <c r="K34" i="42"/>
  <c r="K16" i="42"/>
  <c r="K44" i="42"/>
  <c r="K14" i="42"/>
  <c r="K39" i="42"/>
  <c r="K30" i="42"/>
  <c r="K54" i="42"/>
  <c r="K18" i="42"/>
  <c r="K24" i="42"/>
  <c r="K31" i="42"/>
  <c r="K11" i="42"/>
  <c r="K10" i="42"/>
  <c r="K47" i="42"/>
  <c r="K23" i="42"/>
  <c r="K35" i="42"/>
  <c r="K45" i="42"/>
  <c r="K48" i="42"/>
  <c r="K12" i="42"/>
  <c r="K15" i="42"/>
  <c r="K36" i="42"/>
  <c r="K32" i="42"/>
  <c r="K56" i="42" l="1"/>
</calcChain>
</file>

<file path=xl/comments1.xml><?xml version="1.0" encoding="utf-8"?>
<comments xmlns="http://schemas.openxmlformats.org/spreadsheetml/2006/main">
  <authors>
    <author>César Gabriel Rivera Cantú</author>
  </authors>
  <commentList>
    <comment ref="N10" authorId="0">
      <text>
        <r>
          <rPr>
            <b/>
            <sz val="9"/>
            <color indexed="81"/>
            <rFont val="Tahoma"/>
            <family val="2"/>
          </rPr>
          <t>Incluye Compensación de ISAN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<sst xmlns="http://schemas.openxmlformats.org/spreadsheetml/2006/main" count="463" uniqueCount="216">
  <si>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</si>
  <si>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</si>
  <si>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</si>
  <si>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</si>
  <si>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</si>
  <si>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</si>
  <si>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</si>
  <si>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</si>
  <si>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</si>
  <si>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</si>
  <si>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</si>
  <si>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</si>
  <si>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</si>
  <si>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</si>
  <si>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</si>
  <si>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</si>
  <si>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</si>
  <si>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</si>
  <si>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</si>
  <si>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</si>
  <si>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</si>
  <si>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</si>
  <si>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</si>
  <si>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</si>
  <si>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</si>
  <si>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</si>
  <si>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</si>
  <si>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</si>
  <si>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</si>
  <si>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</si>
  <si>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</si>
  <si>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</si>
  <si>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</si>
  <si>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</si>
  <si>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</si>
  <si>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</si>
  <si>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</si>
  <si>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</si>
  <si>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</si>
  <si>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</si>
  <si>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</si>
  <si>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</si>
  <si>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</si>
  <si>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</si>
  <si>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</si>
  <si>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</si>
  <si>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</si>
  <si>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</si>
  <si>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</si>
  <si>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</si>
  <si>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</si>
  <si>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</si>
  <si>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</si>
  <si>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</si>
  <si>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</si>
  <si>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</si>
  <si>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</si>
  <si>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</si>
  <si>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</si>
  <si>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</si>
  <si>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</si>
  <si>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</si>
  <si>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</si>
  <si>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</si>
  <si>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</si>
  <si>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</si>
  <si>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</si>
  <si>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</si>
  <si>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</si>
  <si>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</si>
  <si>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</si>
  <si>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</si>
  <si>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</si>
  <si>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</si>
  <si>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MONTO ESTIMADO DE GASOLINAS</t>
  </si>
  <si>
    <t>MONTO ESTIMADO DE PARTICIPACIONES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</si>
  <si>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</si>
  <si>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</si>
  <si>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</si>
  <si>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</si>
  <si>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</si>
  <si>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</si>
  <si>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</si>
  <si>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</si>
  <si>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</si>
  <si>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</si>
  <si>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</si>
  <si>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</si>
  <si>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</si>
  <si>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</si>
  <si>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</si>
  <si>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</si>
  <si>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</si>
  <si>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</si>
  <si>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</si>
  <si>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</si>
  <si>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</si>
  <si>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</si>
  <si>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</si>
  <si>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</si>
  <si>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</si>
  <si>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</si>
  <si>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</si>
  <si>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</si>
  <si>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</si>
  <si>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</si>
  <si>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</si>
  <si>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</si>
  <si>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</si>
  <si>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</si>
  <si>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</si>
  <si>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</si>
  <si>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</si>
  <si>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</si>
  <si>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</si>
  <si>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</si>
  <si>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</si>
  <si>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</si>
  <si>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</si>
  <si>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</si>
  <si>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</si>
  <si>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</si>
  <si>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</si>
  <si>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</si>
  <si>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</si>
  <si>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</si>
  <si>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</si>
  <si>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</si>
  <si>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</si>
  <si>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</si>
  <si>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</si>
  <si>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PROYECCIÓN DE POBLACIÓN</t>
  </si>
  <si>
    <t>$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</si>
  <si>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</si>
  <si>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</si>
  <si>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</si>
  <si>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</si>
  <si>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</si>
  <si>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</si>
  <si>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</si>
  <si>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</si>
  <si>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</si>
  <si>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</si>
  <si>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</si>
  <si>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</si>
  <si>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</si>
  <si>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</si>
  <si>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</si>
  <si>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</si>
  <si>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</si>
  <si>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</si>
  <si>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</si>
  <si>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</si>
  <si>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</si>
  <si>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</si>
  <si>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</si>
  <si>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</si>
  <si>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</si>
  <si>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</si>
  <si>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</si>
  <si>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</si>
  <si>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</si>
  <si>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</si>
  <si>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</si>
  <si>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</si>
  <si>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</si>
  <si>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</si>
  <si>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</si>
  <si>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</si>
  <si>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</si>
  <si>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ART. 14 FRACC. I</t>
  </si>
  <si>
    <t>DETERMINACIÓN PRELIMINAR DE LOS COEFICIENTES DE PARTICIPACIÓN DE RECURSOS A MUNICIPIOS POR VARIABLES (ARTÍCULO14 FRACC II LCHNL)</t>
  </si>
  <si>
    <t>COEFICIENTE DE DISTRIBUCIÓN DE GASOLINAS ANTES DE GARANTÍA</t>
  </si>
  <si>
    <t>ANEXO I</t>
  </si>
  <si>
    <t>ANEXO II</t>
  </si>
  <si>
    <t>Estimación de Participaciones Federales 2018</t>
  </si>
  <si>
    <t>DISTRIBUCIÓN DE PARTICIPACIONES ENERO - DICIEMBRE DE 2017</t>
  </si>
  <si>
    <t>FACTURACIÓN  2015
(2011-2015)</t>
  </si>
  <si>
    <t>RECAUDACIÓN 2016</t>
  </si>
  <si>
    <t>PROYECCIÓN DE POBLACIÓN 2017</t>
  </si>
  <si>
    <t>PARTICIPACIONES PAGADAS 2017
FGP, FFM, FOFIR, IEPS, ISAN, FEXHI, IEPSGYD</t>
  </si>
  <si>
    <t>PARTICIPACIONES PAGADAS 2017 MÁS % CRECIMIENTO</t>
  </si>
  <si>
    <t>PARTICIPACIONES ESTIMADAS 2018</t>
  </si>
  <si>
    <t xml:space="preserve"> DIFERENCIA ENTRE PARTICIPACIONES ESTIMADAS 2018 MENOS PARTICIPACIONES 2017 MÁS % CRECIMIENTO</t>
  </si>
  <si>
    <t>MONTOS 2017 MÁS % CRECIMIENTO DE MUNICIPIOS CON PARTICIPACIÓN  INFERIOR EN 2018</t>
  </si>
  <si>
    <t>MONTO NECESARIO PARA ALCANZAR 2017 MÁS % CRECIMIENTO
"COMPENSACIÓN"</t>
  </si>
  <si>
    <t>MONTOS 2018 DE MUNICIPIOS CON PARTICIPACIÓN SUPERIOR A 2017 MÁS % CRECIMIENTO</t>
  </si>
  <si>
    <t>MONTO 2018 POR ENCIMA DE 2017 MÁS % CRECIMIENTO</t>
  </si>
  <si>
    <t>MONTO A DISMINUIR EN MUNICIPIOS CON CRECIMIENTO SUPERIOR A 2017 MÁS % CRECIMIENTO</t>
  </si>
  <si>
    <t>MONTO A DISTRIBUIR EN 2018 PARA GARANTIZAR AL MENOS EL PAGO DE 2017 MÁS % CRECIMIENTO</t>
  </si>
  <si>
    <t>DETERMINACIÓN INCREMENTO 2018 vs PAGO 2017 MÁS % CRECIMIENTO</t>
  </si>
  <si>
    <t>*6.77% INFLACIÓN ANUAL 2016</t>
  </si>
  <si>
    <t xml:space="preserve"> </t>
  </si>
  <si>
    <t>DISTRIBUCIÓN DE PARTICIPACIONES ESTIMADAS PARA 2018</t>
  </si>
  <si>
    <t>Acuerdo publicado en el DOF el 20 de diciembre de 2017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</si>
  <si>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</si>
  <si>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</si>
  <si>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</si>
  <si>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</si>
  <si>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</si>
  <si>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</si>
  <si>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</si>
  <si>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</si>
  <si>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</si>
  <si>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</si>
  <si>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</si>
  <si>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</si>
  <si>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*2.91%DE CRECIMIENTO DE ESTIMACIÓN 2018 RESPECTO A PARTICIPACIONES PAGADAS EN 2017</t>
  </si>
  <si>
    <t>Corresponde a las Participaciones de 2017 sin considerar el FEIEF 2016</t>
  </si>
  <si>
    <t>Monto anual a distribuir</t>
  </si>
  <si>
    <t>DETERMINACIÓN DEL COEFICIENTE DE DISTRIBUCIÓN MENSUAL DE PARTICIPACIÓNES PARA EL 1ER SEMESTRE 2018
 (ARTÍCULO 19 LCHNL)</t>
  </si>
  <si>
    <t>COEFICIENTE 1er SEM 2018</t>
  </si>
  <si>
    <t>Porcentaje Distribución</t>
  </si>
  <si>
    <t>Fondo de Compensancion ISAN</t>
  </si>
  <si>
    <t xml:space="preserve">Impuesto sobre Adquisición de Vehículos Nuevos (ISAN) </t>
  </si>
  <si>
    <t>FONDO DE COMPENSACION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</si>
</sst>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00_-;\-* #,##0.00000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9" fontId="2" fillId="0" borderId="0" applyFont="0" applyFill="0" applyBorder="0" applyAlignment="0" applyProtection="0"/>
    <xf numFmtId="0" fontId="16" fillId="3" borderId="0" applyNumberFormat="0" applyBorder="0" applyAlignment="0" applyProtection="0"/>
    <xf numFmtId="164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7" fillId="0" borderId="0"/>
    <xf numFmtId="0" fontId="4" fillId="0" borderId="0"/>
    <xf numFmtId="37" fontId="3" fillId="0" borderId="0"/>
    <xf numFmtId="0" fontId="8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87" fontId="2" fillId="0" borderId="0" applyFont="0" applyFill="0" applyBorder="0" applyAlignment="0" applyProtection="0"/>
    <xf numFmtId="0" fontId="16" fillId="3" borderId="0" applyNumberFormat="0" applyBorder="0" applyAlignment="0" applyProtection="0"/>
    <xf numFmtId="41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" fillId="0" borderId="0"/>
  </cellStyleXfs>
  <cellXfs count="237">
    <xf numFmtId="0" fontId="0" fillId="0" borderId="0" xfId="0"/>
    <xf numFmtId="37" fontId="7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6" fillId="0" borderId="13" xfId="37" applyFont="1" applyFill="1" applyBorder="1" applyAlignment="1" applyProtection="1">
      <alignment horizontal="left"/>
      <protection hidden="1"/>
    </xf>
    <xf numFmtId="37" fontId="6" fillId="0" borderId="14" xfId="37" applyFont="1" applyFill="1" applyBorder="1" applyAlignment="1" applyProtection="1">
      <alignment horizontal="right"/>
      <protection hidden="1"/>
    </xf>
    <xf numFmtId="37" fontId="6" fillId="0" borderId="10" xfId="37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9" fontId="6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29" fillId="0" borderId="0" xfId="37" applyFont="1" applyAlignment="1" applyProtection="1">
      <alignment horizontal="center" vertical="center"/>
      <protection hidden="1"/>
    </xf>
    <xf numFmtId="37" fontId="29" fillId="0" borderId="0" xfId="37" applyFont="1" applyFill="1" applyProtection="1">
      <protection hidden="1"/>
    </xf>
    <xf numFmtId="37" fontId="29" fillId="0" borderId="0" xfId="37" applyFont="1" applyProtection="1"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Protection="1">
      <protection hidden="1"/>
    </xf>
    <xf numFmtId="177" fontId="34" fillId="0" borderId="0" xfId="37" applyNumberFormat="1" applyFont="1" applyFill="1" applyProtection="1">
      <protection hidden="1"/>
    </xf>
    <xf numFmtId="178" fontId="35" fillId="0" borderId="0" xfId="0" applyNumberFormat="1" applyFont="1" applyFill="1" applyAlignment="1" applyProtection="1">
      <alignment horizontal="center" vertical="center" wrapText="1"/>
      <protection hidden="1"/>
    </xf>
    <xf numFmtId="177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Alignment="1" applyProtection="1">
      <alignment horizontal="center" vertical="center" wrapText="1"/>
      <protection hidden="1"/>
    </xf>
    <xf numFmtId="37" fontId="29" fillId="0" borderId="0" xfId="37" applyFont="1" applyAlignment="1" applyProtection="1">
      <alignment horizontal="center" vertical="center" wrapText="1"/>
      <protection hidden="1"/>
    </xf>
    <xf numFmtId="37" fontId="34" fillId="0" borderId="0" xfId="37" applyFont="1" applyProtection="1">
      <protection hidden="1"/>
    </xf>
    <xf numFmtId="3" fontId="28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28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28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28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28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28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0" fillId="0" borderId="14" xfId="0" applyNumberFormat="1" applyFont="1" applyBorder="1" applyProtection="1">
      <protection hidden="1"/>
    </xf>
    <xf numFmtId="175" fontId="6" fillId="0" borderId="14" xfId="40" applyNumberFormat="1" applyFont="1" applyFill="1" applyBorder="1" applyProtection="1">
      <protection hidden="1"/>
    </xf>
    <xf numFmtId="177" fontId="6" fillId="0" borderId="14" xfId="40" applyNumberFormat="1" applyFont="1" applyFill="1" applyBorder="1" applyProtection="1">
      <protection hidden="1"/>
    </xf>
    <xf numFmtId="165" fontId="6" fillId="0" borderId="14" xfId="33" applyNumberFormat="1" applyFont="1" applyFill="1" applyBorder="1" applyProtection="1">
      <protection hidden="1"/>
    </xf>
    <xf numFmtId="177" fontId="6" fillId="0" borderId="26" xfId="40" applyNumberFormat="1" applyFont="1" applyFill="1" applyBorder="1" applyProtection="1">
      <protection hidden="1"/>
    </xf>
    <xf numFmtId="37" fontId="36" fillId="0" borderId="13" xfId="37" applyFont="1" applyFill="1" applyBorder="1" applyAlignment="1" applyProtection="1">
      <protection hidden="1"/>
    </xf>
    <xf numFmtId="37" fontId="36" fillId="0" borderId="14" xfId="37" applyFont="1" applyFill="1" applyBorder="1" applyAlignment="1" applyProtection="1">
      <protection hidden="1"/>
    </xf>
    <xf numFmtId="173" fontId="36" fillId="0" borderId="14" xfId="37" applyNumberFormat="1" applyFont="1" applyFill="1" applyBorder="1" applyAlignment="1" applyProtection="1">
      <protection hidden="1"/>
    </xf>
    <xf numFmtId="175" fontId="30" fillId="0" borderId="14" xfId="40" applyNumberFormat="1" applyFont="1" applyBorder="1" applyProtection="1">
      <protection hidden="1"/>
    </xf>
    <xf numFmtId="173" fontId="36" fillId="0" borderId="25" xfId="37" applyNumberFormat="1" applyFont="1" applyFill="1" applyBorder="1" applyAlignment="1" applyProtection="1">
      <protection hidden="1"/>
    </xf>
    <xf numFmtId="177" fontId="30" fillId="0" borderId="14" xfId="40" applyNumberFormat="1" applyFont="1" applyBorder="1" applyProtection="1">
      <protection hidden="1"/>
    </xf>
    <xf numFmtId="168" fontId="6" fillId="0" borderId="14" xfId="40" applyNumberFormat="1" applyFont="1" applyFill="1" applyBorder="1" applyProtection="1">
      <protection hidden="1"/>
    </xf>
    <xf numFmtId="177" fontId="6" fillId="0" borderId="14" xfId="33" applyNumberFormat="1" applyFont="1" applyFill="1" applyBorder="1" applyProtection="1">
      <protection hidden="1"/>
    </xf>
    <xf numFmtId="174" fontId="6" fillId="0" borderId="14" xfId="33" applyNumberFormat="1" applyFont="1" applyFill="1" applyBorder="1" applyProtection="1">
      <protection hidden="1"/>
    </xf>
    <xf numFmtId="165" fontId="6" fillId="0" borderId="26" xfId="40" applyNumberFormat="1" applyFont="1" applyFill="1" applyBorder="1" applyProtection="1">
      <protection hidden="1"/>
    </xf>
    <xf numFmtId="37" fontId="6" fillId="0" borderId="13" xfId="37" applyFont="1" applyBorder="1" applyProtection="1">
      <protection hidden="1"/>
    </xf>
    <xf numFmtId="37" fontId="6" fillId="0" borderId="14" xfId="37" applyFont="1" applyBorder="1" applyProtection="1">
      <protection hidden="1"/>
    </xf>
    <xf numFmtId="178" fontId="6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6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39" fontId="2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Protection="1"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43" fillId="0" borderId="0" xfId="37" applyFont="1" applyProtection="1">
      <protection hidden="1"/>
    </xf>
    <xf numFmtId="37" fontId="6" fillId="0" borderId="29" xfId="37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9" fontId="6" fillId="0" borderId="29" xfId="40" applyFont="1" applyFill="1" applyBorder="1" applyAlignment="1" applyProtection="1">
      <alignment horizontal="center" vertical="center" wrapText="1"/>
      <protection hidden="1"/>
    </xf>
    <xf numFmtId="37" fontId="6" fillId="0" borderId="0" xfId="37" applyFont="1" applyFill="1" applyBorder="1" applyAlignment="1" applyProtection="1">
      <alignment horizontal="center" vertical="center" wrapText="1"/>
      <protection hidden="1"/>
    </xf>
    <xf numFmtId="9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3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7" fontId="29" fillId="0" borderId="0" xfId="37" applyFont="1" applyFill="1" applyBorder="1" applyAlignment="1" applyProtection="1">
      <alignment horizontal="center" vertical="center" wrapText="1"/>
      <protection hidden="1"/>
    </xf>
    <xf numFmtId="177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29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29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6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6" fillId="0" borderId="14" xfId="40" applyNumberFormat="1" applyFont="1" applyFill="1" applyBorder="1" applyProtection="1">
      <protection hidden="1"/>
    </xf>
    <xf numFmtId="39" fontId="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0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37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6" fillId="0" borderId="15" xfId="40" applyNumberFormat="1" applyFont="1" applyFill="1" applyBorder="1" applyProtection="1">
      <protection hidden="1"/>
    </xf>
    <xf numFmtId="37" fontId="39" fillId="0" borderId="0" xfId="37" applyFont="1" applyAlignment="1" applyProtection="1"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165" fontId="30" fillId="0" borderId="14" xfId="33" applyNumberFormat="1" applyFont="1" applyFill="1" applyBorder="1" applyProtection="1"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29" fillId="0" borderId="0" xfId="37" applyFont="1" applyFill="1" applyAlignment="1" applyProtection="1">
      <alignment horizontal="center" vertical="center"/>
      <protection hidden="1"/>
    </xf>
    <xf numFmtId="178" fontId="29" fillId="0" borderId="0" xfId="37" applyNumberFormat="1" applyFont="1" applyFill="1" applyProtection="1">
      <protection hidden="1"/>
    </xf>
    <xf numFmtId="37" fontId="29" fillId="0" borderId="0" xfId="37" applyFont="1" applyFill="1" applyAlignment="1" applyProtection="1">
      <alignment horizontal="center" vertical="center" wrapText="1"/>
      <protection hidden="1"/>
    </xf>
    <xf numFmtId="178" fontId="29" fillId="0" borderId="0" xfId="37" applyNumberFormat="1" applyFont="1" applyFill="1" applyAlignment="1" applyProtection="1">
      <alignment horizontal="center" vertical="center" wrapText="1"/>
      <protection hidden="1"/>
    </xf>
    <xf numFmtId="3" fontId="28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28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0" fillId="0" borderId="14" xfId="0" applyNumberFormat="1" applyFont="1" applyFill="1" applyBorder="1" applyProtection="1">
      <protection hidden="1"/>
    </xf>
    <xf numFmtId="37" fontId="6" fillId="0" borderId="13" xfId="37" applyNumberFormat="1" applyFont="1" applyFill="1" applyBorder="1" applyProtection="1">
      <protection hidden="1"/>
    </xf>
    <xf numFmtId="178" fontId="6" fillId="0" borderId="18" xfId="40" applyNumberFormat="1" applyFont="1" applyFill="1" applyBorder="1" applyProtection="1">
      <protection hidden="1"/>
    </xf>
    <xf numFmtId="37" fontId="6" fillId="0" borderId="13" xfId="37" applyFont="1" applyFill="1" applyBorder="1" applyProtection="1">
      <protection hidden="1"/>
    </xf>
    <xf numFmtId="37" fontId="6" fillId="0" borderId="14" xfId="37" applyFont="1" applyFill="1" applyBorder="1" applyProtection="1">
      <protection hidden="1"/>
    </xf>
    <xf numFmtId="178" fontId="6" fillId="0" borderId="15" xfId="37" applyNumberFormat="1" applyFont="1" applyFill="1" applyBorder="1" applyProtection="1">
      <protection hidden="1"/>
    </xf>
    <xf numFmtId="10" fontId="40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/>
    <xf numFmtId="0" fontId="6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3" fontId="2" fillId="0" borderId="38" xfId="53" applyNumberFormat="1" applyFont="1" applyBorder="1" applyAlignment="1">
      <alignment horizontal="center"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6" fillId="0" borderId="39" xfId="51" applyNumberFormat="1" applyFont="1" applyFill="1" applyBorder="1" applyAlignment="1">
      <alignment horizontal="center" vertical="center" wrapText="1"/>
    </xf>
    <xf numFmtId="188" fontId="6" fillId="0" borderId="40" xfId="51" applyNumberFormat="1" applyFont="1" applyFill="1" applyBorder="1" applyAlignment="1">
      <alignment horizontal="center" vertical="center" wrapText="1"/>
    </xf>
    <xf numFmtId="188" fontId="6" fillId="0" borderId="41" xfId="51" applyNumberFormat="1" applyFont="1" applyFill="1" applyBorder="1" applyAlignment="1">
      <alignment horizontal="center" vertical="center"/>
    </xf>
    <xf numFmtId="188" fontId="6" fillId="0" borderId="42" xfId="51" applyNumberFormat="1" applyFont="1" applyFill="1" applyBorder="1"/>
    <xf numFmtId="188" fontId="0" fillId="0" borderId="0" xfId="51" applyNumberFormat="1" applyFont="1" applyFill="1" applyBorder="1"/>
    <xf numFmtId="188" fontId="6" fillId="0" borderId="43" xfId="51" applyNumberFormat="1" applyFont="1" applyFill="1" applyBorder="1"/>
    <xf numFmtId="188" fontId="6" fillId="0" borderId="39" xfId="51" applyNumberFormat="1" applyFont="1" applyFill="1" applyBorder="1"/>
    <xf numFmtId="188" fontId="6" fillId="0" borderId="40" xfId="51" applyNumberFormat="1" applyFont="1" applyFill="1" applyBorder="1"/>
    <xf numFmtId="188" fontId="6" fillId="0" borderId="41" xfId="51" applyNumberFormat="1" applyFont="1" applyFill="1" applyBorder="1"/>
    <xf numFmtId="188" fontId="6" fillId="0" borderId="0" xfId="51" applyNumberFormat="1" applyFont="1" applyFill="1" applyBorder="1"/>
    <xf numFmtId="0" fontId="6" fillId="0" borderId="38" xfId="53" applyFont="1" applyBorder="1" applyAlignment="1">
      <alignment horizontal="center" vertical="center"/>
    </xf>
    <xf numFmtId="3" fontId="6" fillId="0" borderId="38" xfId="53" applyNumberFormat="1" applyFont="1" applyBorder="1" applyAlignment="1">
      <alignment horizontal="center" vertical="center"/>
    </xf>
    <xf numFmtId="10" fontId="40" fillId="0" borderId="33" xfId="56" applyNumberFormat="1" applyFont="1" applyFill="1" applyBorder="1" applyAlignment="1" applyProtection="1">
      <alignment horizontal="center" vertical="center" wrapText="1"/>
      <protection hidden="1"/>
    </xf>
    <xf numFmtId="165" fontId="2" fillId="0" borderId="38" xfId="33" applyNumberFormat="1" applyFont="1" applyBorder="1" applyAlignment="1">
      <alignment vertical="center" wrapText="1"/>
    </xf>
    <xf numFmtId="49" fontId="40" fillId="0" borderId="32" xfId="54" applyNumberFormat="1" applyFont="1" applyFill="1" applyBorder="1" applyAlignment="1" applyProtection="1">
      <alignment horizontal="center" vertical="center" wrapText="1"/>
      <protection hidden="1"/>
    </xf>
    <xf numFmtId="176" fontId="2" fillId="0" borderId="21" xfId="33" applyNumberFormat="1" applyFont="1" applyFill="1" applyBorder="1" applyProtection="1">
      <protection hidden="1"/>
    </xf>
    <xf numFmtId="176" fontId="2" fillId="0" borderId="19" xfId="33" applyNumberFormat="1" applyFont="1" applyFill="1" applyBorder="1" applyProtection="1">
      <protection hidden="1"/>
    </xf>
    <xf numFmtId="176" fontId="6" fillId="0" borderId="15" xfId="33" applyNumberFormat="1" applyFont="1" applyFill="1" applyBorder="1" applyProtection="1">
      <protection hidden="1"/>
    </xf>
    <xf numFmtId="182" fontId="2" fillId="0" borderId="20" xfId="40" applyNumberFormat="1" applyFont="1" applyFill="1" applyBorder="1" applyProtection="1">
      <protection hidden="1"/>
    </xf>
    <xf numFmtId="182" fontId="2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67" fontId="45" fillId="0" borderId="0" xfId="40" applyNumberFormat="1" applyFont="1" applyProtection="1">
      <protection hidden="1"/>
    </xf>
    <xf numFmtId="37" fontId="46" fillId="0" borderId="0" xfId="37" applyFont="1" applyBorder="1" applyAlignment="1" applyProtection="1">
      <alignment horizontal="center" vertical="center" wrapText="1"/>
      <protection hidden="1"/>
    </xf>
    <xf numFmtId="183" fontId="46" fillId="0" borderId="0" xfId="37" applyNumberFormat="1" applyFont="1" applyBorder="1" applyAlignment="1" applyProtection="1">
      <alignment horizontal="center" vertical="center" wrapText="1"/>
      <protection hidden="1"/>
    </xf>
    <xf numFmtId="37" fontId="6" fillId="0" borderId="0" xfId="37" applyFont="1" applyProtection="1">
      <protection hidden="1"/>
    </xf>
    <xf numFmtId="37" fontId="2" fillId="0" borderId="0" xfId="37" applyFont="1" applyBorder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2" fillId="0" borderId="0" xfId="33" applyFont="1" applyBorder="1" applyProtection="1">
      <protection hidden="1"/>
    </xf>
    <xf numFmtId="167" fontId="45" fillId="0" borderId="0" xfId="40" applyNumberFormat="1" applyFont="1" applyBorder="1" applyProtection="1">
      <protection hidden="1"/>
    </xf>
    <xf numFmtId="185" fontId="2" fillId="0" borderId="0" xfId="40" applyNumberFormat="1" applyFont="1" applyProtection="1">
      <protection hidden="1"/>
    </xf>
    <xf numFmtId="172" fontId="2" fillId="0" borderId="0" xfId="37" applyNumberFormat="1" applyFont="1" applyProtection="1">
      <protection hidden="1"/>
    </xf>
    <xf numFmtId="184" fontId="2" fillId="0" borderId="0" xfId="37" applyNumberFormat="1" applyFont="1" applyProtection="1">
      <protection hidden="1"/>
    </xf>
    <xf numFmtId="37" fontId="2" fillId="0" borderId="0" xfId="37" applyNumberFormat="1" applyFont="1" applyProtection="1">
      <protection hidden="1"/>
    </xf>
    <xf numFmtId="183" fontId="2" fillId="0" borderId="0" xfId="37" applyNumberFormat="1" applyFont="1" applyProtection="1">
      <protection hidden="1"/>
    </xf>
    <xf numFmtId="178" fontId="38" fillId="0" borderId="0" xfId="37" applyNumberFormat="1" applyFont="1" applyAlignment="1" applyProtection="1">
      <alignment horizontal="center" vertical="center" wrapText="1"/>
      <protection hidden="1"/>
    </xf>
    <xf numFmtId="178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0" xfId="40" applyNumberFormat="1" applyFont="1" applyProtection="1">
      <protection hidden="1"/>
    </xf>
    <xf numFmtId="188" fontId="6" fillId="0" borderId="0" xfId="51" applyNumberFormat="1" applyFont="1" applyAlignment="1"/>
    <xf numFmtId="0" fontId="6" fillId="0" borderId="0" xfId="53" applyFont="1"/>
    <xf numFmtId="0" fontId="6" fillId="0" borderId="0" xfId="53" applyFont="1" applyAlignment="1">
      <alignment horizontal="center" vertical="center"/>
    </xf>
    <xf numFmtId="3" fontId="28" fillId="0" borderId="20" xfId="40" applyNumberFormat="1" applyFont="1" applyBorder="1" applyProtection="1">
      <protection hidden="1"/>
    </xf>
    <xf numFmtId="3" fontId="28" fillId="0" borderId="23" xfId="40" applyNumberFormat="1" applyFont="1" applyBorder="1" applyProtection="1">
      <protection hidden="1"/>
    </xf>
    <xf numFmtId="3" fontId="30" fillId="0" borderId="14" xfId="40" applyNumberFormat="1" applyFont="1" applyBorder="1" applyProtection="1">
      <protection hidden="1"/>
    </xf>
    <xf numFmtId="3" fontId="2" fillId="0" borderId="0" xfId="53" applyNumberFormat="1"/>
    <xf numFmtId="3" fontId="47" fillId="0" borderId="38" xfId="0" applyNumberFormat="1" applyFont="1" applyBorder="1" applyAlignment="1">
      <alignment horizontal="right" vertical="center"/>
    </xf>
    <xf numFmtId="3" fontId="47" fillId="24" borderId="38" xfId="0" applyNumberFormat="1" applyFont="1" applyFill="1" applyBorder="1" applyAlignment="1">
      <alignment horizontal="right" vertical="center"/>
    </xf>
    <xf numFmtId="189" fontId="0" fillId="0" borderId="46" xfId="51" applyNumberFormat="1" applyFont="1" applyBorder="1"/>
    <xf numFmtId="189" fontId="0" fillId="0" borderId="45" xfId="51" applyNumberFormat="1" applyFont="1" applyBorder="1"/>
    <xf numFmtId="189" fontId="0" fillId="0" borderId="47" xfId="51" applyNumberFormat="1" applyFont="1" applyBorder="1"/>
    <xf numFmtId="188" fontId="6" fillId="0" borderId="46" xfId="51" applyNumberFormat="1" applyFont="1" applyBorder="1" applyAlignment="1">
      <alignment horizontal="center" vertical="center" wrapText="1"/>
    </xf>
    <xf numFmtId="188" fontId="6" fillId="0" borderId="0" xfId="51" applyNumberFormat="1" applyFont="1" applyAlignment="1">
      <alignment horizontal="center"/>
    </xf>
    <xf numFmtId="0" fontId="6" fillId="0" borderId="0" xfId="53" applyFont="1" applyAlignment="1">
      <alignment horizontal="center" vertical="center"/>
    </xf>
    <xf numFmtId="188" fontId="36" fillId="0" borderId="0" xfId="51" applyNumberFormat="1" applyFont="1" applyAlignment="1">
      <alignment horizontal="center"/>
    </xf>
    <xf numFmtId="37" fontId="2" fillId="0" borderId="0" xfId="37" applyFont="1" applyAlignment="1" applyProtection="1">
      <alignment horizontal="left" vertical="top" wrapText="1"/>
      <protection hidden="1"/>
    </xf>
    <xf numFmtId="0" fontId="38" fillId="0" borderId="30" xfId="0" applyFont="1" applyBorder="1" applyAlignment="1">
      <alignment horizontal="center"/>
    </xf>
    <xf numFmtId="37" fontId="38" fillId="0" borderId="30" xfId="37" applyFont="1" applyBorder="1" applyAlignment="1" applyProtection="1">
      <alignment horizontal="center"/>
      <protection hidden="1"/>
    </xf>
    <xf numFmtId="37" fontId="39" fillId="0" borderId="0" xfId="37" applyFont="1" applyAlignment="1" applyProtection="1">
      <alignment horizontal="center" wrapText="1"/>
      <protection hidden="1"/>
    </xf>
    <xf numFmtId="37" fontId="41" fillId="0" borderId="0" xfId="37" applyFont="1" applyAlignment="1" applyProtection="1">
      <alignment horizontal="center" wrapText="1"/>
      <protection hidden="1"/>
    </xf>
    <xf numFmtId="37" fontId="38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38" fillId="0" borderId="30" xfId="37" applyFont="1" applyBorder="1" applyAlignment="1" applyProtection="1">
      <alignment horizontal="center" vertical="center" wrapText="1"/>
      <protection hidden="1"/>
    </xf>
    <xf numFmtId="37" fontId="38" fillId="0" borderId="44" xfId="37" applyFont="1" applyBorder="1" applyAlignment="1" applyProtection="1">
      <alignment horizontal="center" wrapText="1"/>
      <protection hidden="1"/>
    </xf>
    <xf numFmtId="37" fontId="42" fillId="0" borderId="0" xfId="37" applyFont="1" applyAlignment="1" applyProtection="1">
      <alignment horizontal="center" wrapText="1"/>
      <protection hidden="1"/>
    </xf>
    <xf numFmtId="37" fontId="2" fillId="0" borderId="0" xfId="37" applyFont="1" applyAlignment="1" applyProtection="1">
      <alignment horizontal="center" wrapText="1"/>
      <protection hidden="1"/>
    </xf>
    <xf numFmtId="49" fontId="40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0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6" fillId="0" borderId="32" xfId="37" applyFont="1" applyFill="1" applyBorder="1" applyAlignment="1" applyProtection="1">
      <alignment horizontal="center" vertical="center" wrapText="1"/>
      <protection hidden="1"/>
    </xf>
    <xf numFmtId="37" fontId="6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0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0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0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0" fillId="0" borderId="37" xfId="54" applyNumberFormat="1" applyFont="1" applyFill="1" applyBorder="1" applyAlignment="1" applyProtection="1">
      <alignment horizontal="center" vertical="center" wrapText="1"/>
      <protection hidden="1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" xfId="46" builtinId="16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cesar.rivera/Desktop/Participaciones%202016/Participaciones%20mes/Part%20Ene-Dic.xls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externalLinkPath" Target="/Users/cesar.rivera/Desktop/Participaciones%202016/Participaciones%20mes/Part%20Ene-Dic.xlsx" TargetMode="External"/><Relationship Id="rId7" Type="http://schemas.openxmlformats.org/officeDocument/2006/relationships/externalLinkPath" Target="/Users/cesar.rivera/Desktop/Participaciones%202016/Participaciones%20mes/Part%20Ene-Dic.xlsx" TargetMode="External"/><Relationship Id="rId12" Type="http://schemas.openxmlformats.org/officeDocument/2006/relationships/externalLinkPath" Target="/Users/cesar.rivera/Desktop/Participaciones%202016/Participaciones%20mes/Part%20Ene-Dic.xlsx" TargetMode="External"/><Relationship Id="rId2" Type="http://schemas.openxmlformats.org/officeDocument/2006/relationships/externalLinkPath" Target="/Users/cesar.rivera/Desktop/Participaciones%202016/Participaciones%20mes/Part%20Ene-Dic.xlsx" TargetMode="External"/><Relationship Id="rId1" Type="http://schemas.openxmlformats.org/officeDocument/2006/relationships/externalLinkPath" Target="/Users/cesar.rivera/Desktop/Participaciones%202016/Participaciones%20mes/Part%20Ene-Dic.xlsx" TargetMode="External"/><Relationship Id="rId6" Type="http://schemas.openxmlformats.org/officeDocument/2006/relationships/externalLinkPath" Target="/Users/cesar.rivera/Desktop/Participaciones%202016/Participaciones%20mes/Part%20Ene-Dic.xlsx" TargetMode="External"/><Relationship Id="rId11" Type="http://schemas.openxmlformats.org/officeDocument/2006/relationships/externalLinkPath" Target="/Users/cesar.rivera/Desktop/Participaciones%202016/Participaciones%20mes/Part%20Ene-Dic.xlsx" TargetMode="External"/><Relationship Id="rId5" Type="http://schemas.openxmlformats.org/officeDocument/2006/relationships/externalLinkPath" Target="/Users/cesar.rivera/Desktop/Participaciones%202016/Participaciones%20mes/Part%20Ene-Dic.xlsx" TargetMode="External"/><Relationship Id="rId10" Type="http://schemas.openxmlformats.org/officeDocument/2006/relationships/externalLinkPath" Target="/Users/cesar.rivera/Desktop/Participaciones%202016/Participaciones%20mes/Part%20Ene-Dic.xlsx" TargetMode="External"/><Relationship Id="rId4" Type="http://schemas.openxmlformats.org/officeDocument/2006/relationships/externalLinkPath" Target="/Users/cesar.rivera/Desktop/Participaciones%202016/Participaciones%20mes/Part%20Ene-Dic.xlsx" TargetMode="External"/><Relationship Id="rId9" Type="http://schemas.openxmlformats.org/officeDocument/2006/relationships/externalLinkPath" Target="/Users/cesar.rivera/Desktop/Participaciones%202016/Participaciones%20mes/Part%20Ene-Dic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="130" zoomScaleNormal="130" zoomScaleSheetLayoutView="100" workbookViewId="0">
      <selection activeCell="E18" sqref="E18"/>
    </sheetView>
  </sheetViews>
  <sheetFormatPr baseColWidth="10" defaultRowHeight="12.75" x14ac:dyDescent="0.2"/>
  <cols>
    <col min="1" max="1" width="28" style="162" customWidth="1"/>
    <col min="2" max="2" width="15" style="162" bestFit="1" customWidth="1"/>
    <col min="3" max="8" width="13.42578125" style="162" customWidth="1"/>
    <col min="9" max="9" width="13.85546875" style="162" bestFit="1" customWidth="1"/>
    <col min="10" max="16384" width="11.42578125" style="162"/>
  </cols>
  <sheetData>
    <row r="1" spans="1:9" x14ac:dyDescent="0.2">
      <c r="A1" s="214"/>
      <c r="B1" s="214"/>
      <c r="C1" s="214"/>
      <c r="D1" s="214"/>
      <c r="E1" s="214"/>
      <c r="F1" s="214"/>
      <c r="G1" s="214"/>
      <c r="H1" s="214"/>
      <c r="I1" s="214"/>
    </row>
    <row r="2" spans="1:9" x14ac:dyDescent="0.2">
      <c r="A2" s="214" t="s">
        <v>176</v>
      </c>
      <c r="B2" s="214"/>
      <c r="C2" s="214"/>
      <c r="D2" s="214"/>
      <c r="E2" s="214"/>
      <c r="F2" s="214"/>
      <c r="G2" s="214"/>
      <c r="H2" s="214"/>
      <c r="I2" s="214"/>
    </row>
    <row r="3" spans="1:9" ht="13.5" customHeight="1" thickBot="1" x14ac:dyDescent="0.25">
      <c r="A3" s="163"/>
    </row>
    <row r="4" spans="1:9" ht="14.25" thickTop="1" thickBot="1" x14ac:dyDescent="0.25">
      <c r="A4" s="164" t="s">
        <v>0</v>
      </c>
      <c r="B4" s="165" t="s">
        <v>134</v>
      </c>
      <c r="C4" s="165" t="s">
        <v>135</v>
      </c>
      <c r="D4" s="165" t="s">
        <v>136</v>
      </c>
      <c r="E4" s="165" t="s">
        <v>159</v>
      </c>
      <c r="F4" s="165" t="s">
        <v>149</v>
      </c>
      <c r="G4" s="165" t="s">
        <v>137</v>
      </c>
      <c r="H4" s="165" t="s">
        <v>165</v>
      </c>
      <c r="I4" s="166" t="s">
        <v>53</v>
      </c>
    </row>
    <row r="5" spans="1:9" ht="13.5" thickTop="1" x14ac:dyDescent="0.2">
      <c r="A5" s="167" t="s">
        <v>1</v>
      </c>
      <c r="B5" s="168">
        <v>6965968.7903817743</v>
      </c>
      <c r="C5" s="168">
        <v>933599.3098769635</v>
      </c>
      <c r="D5" s="168">
        <v>294341.59939164529</v>
      </c>
      <c r="E5" s="168">
        <v>313342.41100568348</v>
      </c>
      <c r="F5" s="168">
        <v>25108.878245172578</v>
      </c>
      <c r="G5" s="168">
        <v>274762.04625944135</v>
      </c>
      <c r="H5" s="168">
        <v>334089.82286646165</v>
      </c>
      <c r="I5" s="169">
        <f t="shared" ref="I5:I36" si="0">SUM(B5:H5)</f>
        <v>9141212.8580271415</v>
      </c>
    </row>
    <row r="6" spans="1:9" x14ac:dyDescent="0.2">
      <c r="A6" s="167" t="s">
        <v>2</v>
      </c>
      <c r="B6" s="168">
        <v>13798033.361560397</v>
      </c>
      <c r="C6" s="168">
        <v>1849252.3885261489</v>
      </c>
      <c r="D6" s="168">
        <v>583025.18003075675</v>
      </c>
      <c r="E6" s="168">
        <v>620661.55774597393</v>
      </c>
      <c r="F6" s="168">
        <v>49735.097891425045</v>
      </c>
      <c r="G6" s="168">
        <v>544242.44421149557</v>
      </c>
      <c r="H6" s="168">
        <v>661757.5617097473</v>
      </c>
      <c r="I6" s="169">
        <f t="shared" si="0"/>
        <v>18106707.591675941</v>
      </c>
    </row>
    <row r="7" spans="1:9" x14ac:dyDescent="0.2">
      <c r="A7" s="167" t="s">
        <v>3</v>
      </c>
      <c r="B7" s="168">
        <v>13565068.473353693</v>
      </c>
      <c r="C7" s="168">
        <v>1818029.7595709849</v>
      </c>
      <c r="D7" s="168">
        <v>573181.42966949521</v>
      </c>
      <c r="E7" s="168">
        <v>610182.35780308163</v>
      </c>
      <c r="F7" s="168">
        <v>48895.374489066569</v>
      </c>
      <c r="G7" s="168">
        <v>535053.49845011684</v>
      </c>
      <c r="H7" s="168">
        <v>650584.5001332229</v>
      </c>
      <c r="I7" s="169">
        <f t="shared" si="0"/>
        <v>17800995.393469661</v>
      </c>
    </row>
    <row r="8" spans="1:9" x14ac:dyDescent="0.2">
      <c r="A8" s="167" t="s">
        <v>4</v>
      </c>
      <c r="B8" s="168">
        <v>37679894.711124569</v>
      </c>
      <c r="C8" s="168">
        <v>5049968.6055318359</v>
      </c>
      <c r="D8" s="168">
        <v>1592134.6775906766</v>
      </c>
      <c r="E8" s="168">
        <v>1694912.7121450966</v>
      </c>
      <c r="F8" s="168">
        <v>135817.4170833024</v>
      </c>
      <c r="G8" s="168">
        <v>1486226.1496152186</v>
      </c>
      <c r="H8" s="168">
        <v>1807138.3505260597</v>
      </c>
      <c r="I8" s="169">
        <f t="shared" si="0"/>
        <v>49446092.623616755</v>
      </c>
    </row>
    <row r="9" spans="1:9" x14ac:dyDescent="0.2">
      <c r="A9" s="167" t="s">
        <v>5</v>
      </c>
      <c r="B9" s="168">
        <v>50143051.318700314</v>
      </c>
      <c r="C9" s="168">
        <v>6720316.9458498433</v>
      </c>
      <c r="D9" s="168">
        <v>2118755.6774446461</v>
      </c>
      <c r="E9" s="168">
        <v>2255528.99649471</v>
      </c>
      <c r="F9" s="168">
        <v>180740.94333312166</v>
      </c>
      <c r="G9" s="168">
        <v>1977816.4101225031</v>
      </c>
      <c r="H9" s="168">
        <v>2404874.8475846048</v>
      </c>
      <c r="I9" s="169">
        <f t="shared" si="0"/>
        <v>65801085.139529742</v>
      </c>
    </row>
    <row r="10" spans="1:9" x14ac:dyDescent="0.2">
      <c r="A10" s="167" t="s">
        <v>6</v>
      </c>
      <c r="B10" s="168">
        <v>325496188.97496998</v>
      </c>
      <c r="C10" s="168">
        <v>43623941.843408562</v>
      </c>
      <c r="D10" s="168">
        <v>13753588.587859165</v>
      </c>
      <c r="E10" s="168">
        <v>14641432.325594574</v>
      </c>
      <c r="F10" s="168">
        <v>1173253.0569939988</v>
      </c>
      <c r="G10" s="168">
        <v>12838702.214098072</v>
      </c>
      <c r="H10" s="168">
        <v>15610888.792454122</v>
      </c>
      <c r="I10" s="169">
        <f t="shared" si="0"/>
        <v>427137995.79537851</v>
      </c>
    </row>
    <row r="11" spans="1:9" x14ac:dyDescent="0.2">
      <c r="A11" s="167" t="s">
        <v>7</v>
      </c>
      <c r="B11" s="168">
        <v>55893468.115829557</v>
      </c>
      <c r="C11" s="168">
        <v>7491004.4575018343</v>
      </c>
      <c r="D11" s="168">
        <v>2361735.0717210942</v>
      </c>
      <c r="E11" s="168">
        <v>2514193.5868368242</v>
      </c>
      <c r="F11" s="168">
        <v>201468.35678600339</v>
      </c>
      <c r="G11" s="168">
        <v>2204632.8564157258</v>
      </c>
      <c r="H11" s="168">
        <v>2680666.4548932482</v>
      </c>
      <c r="I11" s="169">
        <f t="shared" si="0"/>
        <v>73347168.89998427</v>
      </c>
    </row>
    <row r="12" spans="1:9" x14ac:dyDescent="0.2">
      <c r="A12" s="167" t="s">
        <v>8</v>
      </c>
      <c r="B12" s="168">
        <v>9101243.4391558897</v>
      </c>
      <c r="C12" s="168">
        <v>1219775.0017987809</v>
      </c>
      <c r="D12" s="168">
        <v>384565.97078538529</v>
      </c>
      <c r="E12" s="168">
        <v>409391.09091507574</v>
      </c>
      <c r="F12" s="168">
        <v>32805.489124351458</v>
      </c>
      <c r="G12" s="168">
        <v>358984.70781272859</v>
      </c>
      <c r="H12" s="168">
        <v>436498.19572124351</v>
      </c>
      <c r="I12" s="169">
        <f t="shared" si="0"/>
        <v>11943263.895313457</v>
      </c>
    </row>
    <row r="13" spans="1:9" x14ac:dyDescent="0.2">
      <c r="A13" s="167" t="s">
        <v>9</v>
      </c>
      <c r="B13" s="168">
        <v>90468140.687830791</v>
      </c>
      <c r="C13" s="168">
        <v>12124802.199606456</v>
      </c>
      <c r="D13" s="168">
        <v>3822661.0002634106</v>
      </c>
      <c r="E13" s="168">
        <v>4069427.5520537705</v>
      </c>
      <c r="F13" s="168">
        <v>326092.98117073427</v>
      </c>
      <c r="G13" s="168">
        <v>3568378.2406543186</v>
      </c>
      <c r="H13" s="168">
        <v>4338877.4780598814</v>
      </c>
      <c r="I13" s="169">
        <f t="shared" si="0"/>
        <v>118718380.13963936</v>
      </c>
    </row>
    <row r="14" spans="1:9" x14ac:dyDescent="0.2">
      <c r="A14" s="167" t="s">
        <v>10</v>
      </c>
      <c r="B14" s="168">
        <v>12924662.856574869</v>
      </c>
      <c r="C14" s="168">
        <v>1732200.7442742807</v>
      </c>
      <c r="D14" s="168">
        <v>546121.58786223084</v>
      </c>
      <c r="E14" s="168">
        <v>581375.70563143725</v>
      </c>
      <c r="F14" s="168">
        <v>46587.028422195537</v>
      </c>
      <c r="G14" s="168">
        <v>509793.67271774431</v>
      </c>
      <c r="H14" s="168">
        <v>619870.46659236948</v>
      </c>
      <c r="I14" s="169">
        <f t="shared" si="0"/>
        <v>16960612.062075127</v>
      </c>
    </row>
    <row r="15" spans="1:9" x14ac:dyDescent="0.2">
      <c r="A15" s="167" t="s">
        <v>11</v>
      </c>
      <c r="B15" s="168">
        <v>18801705.197092328</v>
      </c>
      <c r="C15" s="168">
        <v>2519858.9779431811</v>
      </c>
      <c r="D15" s="168">
        <v>794451.44609943975</v>
      </c>
      <c r="E15" s="168">
        <v>845736.15167634399</v>
      </c>
      <c r="F15" s="168">
        <v>67770.864441318656</v>
      </c>
      <c r="G15" s="168">
        <v>741604.67101902352</v>
      </c>
      <c r="H15" s="168">
        <v>901735.07058445318</v>
      </c>
      <c r="I15" s="169">
        <f t="shared" si="0"/>
        <v>24672862.378856096</v>
      </c>
    </row>
    <row r="16" spans="1:9" x14ac:dyDescent="0.2">
      <c r="A16" s="167" t="s">
        <v>12</v>
      </c>
      <c r="B16" s="168">
        <v>45928646.234378643</v>
      </c>
      <c r="C16" s="168">
        <v>6155490.1720495783</v>
      </c>
      <c r="D16" s="168">
        <v>1940679.2647687381</v>
      </c>
      <c r="E16" s="168">
        <v>2065957.10925064</v>
      </c>
      <c r="F16" s="168">
        <v>165550.093743876</v>
      </c>
      <c r="G16" s="168">
        <v>1811585.6101319462</v>
      </c>
      <c r="H16" s="168">
        <v>2202750.7941359854</v>
      </c>
      <c r="I16" s="169">
        <f t="shared" si="0"/>
        <v>60270659.278459407</v>
      </c>
    </row>
    <row r="17" spans="1:9" x14ac:dyDescent="0.2">
      <c r="A17" s="167" t="s">
        <v>13</v>
      </c>
      <c r="B17" s="168">
        <v>23368933.920498949</v>
      </c>
      <c r="C17" s="168">
        <v>3131972.1975875339</v>
      </c>
      <c r="D17" s="168">
        <v>987436.147536968</v>
      </c>
      <c r="E17" s="168">
        <v>1051178.711479746</v>
      </c>
      <c r="F17" s="168">
        <v>84233.469053072433</v>
      </c>
      <c r="G17" s="168">
        <v>921752.06293826341</v>
      </c>
      <c r="H17" s="168">
        <v>1120780.6450206125</v>
      </c>
      <c r="I17" s="169">
        <f t="shared" si="0"/>
        <v>30666287.15411514</v>
      </c>
    </row>
    <row r="18" spans="1:9" x14ac:dyDescent="0.2">
      <c r="A18" s="167" t="s">
        <v>14</v>
      </c>
      <c r="B18" s="168">
        <v>122036921.73935293</v>
      </c>
      <c r="C18" s="168">
        <v>16355741.655443836</v>
      </c>
      <c r="D18" s="168">
        <v>5156575.31787844</v>
      </c>
      <c r="E18" s="168">
        <v>5489450.8488639127</v>
      </c>
      <c r="F18" s="168">
        <v>439882.85069550696</v>
      </c>
      <c r="G18" s="168">
        <v>4813560.8047233615</v>
      </c>
      <c r="H18" s="168">
        <v>5852925.0982811488</v>
      </c>
      <c r="I18" s="169">
        <f t="shared" si="0"/>
        <v>160145058.31523913</v>
      </c>
    </row>
    <row r="19" spans="1:9" x14ac:dyDescent="0.2">
      <c r="A19" s="167" t="s">
        <v>15</v>
      </c>
      <c r="B19" s="168">
        <v>15404364.215451282</v>
      </c>
      <c r="C19" s="168">
        <v>2064537.5013014548</v>
      </c>
      <c r="D19" s="168">
        <v>650899.44230698457</v>
      </c>
      <c r="E19" s="168">
        <v>692917.34840153367</v>
      </c>
      <c r="F19" s="168">
        <v>55525.127540639114</v>
      </c>
      <c r="G19" s="168">
        <v>607601.72210463509</v>
      </c>
      <c r="H19" s="168">
        <v>738797.6413584426</v>
      </c>
      <c r="I19" s="169">
        <f t="shared" si="0"/>
        <v>20214642.998464976</v>
      </c>
    </row>
    <row r="20" spans="1:9" x14ac:dyDescent="0.2">
      <c r="A20" s="167" t="s">
        <v>16</v>
      </c>
      <c r="B20" s="168">
        <v>11379176.887872623</v>
      </c>
      <c r="C20" s="168">
        <v>1525070.2392112699</v>
      </c>
      <c r="D20" s="168">
        <v>480818.2789393905</v>
      </c>
      <c r="E20" s="168">
        <v>511856.83263888751</v>
      </c>
      <c r="F20" s="168">
        <v>41016.314543697015</v>
      </c>
      <c r="G20" s="168">
        <v>448834.32879817282</v>
      </c>
      <c r="H20" s="168">
        <v>545748.52475432155</v>
      </c>
      <c r="I20" s="169">
        <f t="shared" si="0"/>
        <v>14932521.406758362</v>
      </c>
    </row>
    <row r="21" spans="1:9" x14ac:dyDescent="0.2">
      <c r="A21" s="167" t="s">
        <v>17</v>
      </c>
      <c r="B21" s="168">
        <v>99796907.751136765</v>
      </c>
      <c r="C21" s="168">
        <v>13375070.576394299</v>
      </c>
      <c r="D21" s="168">
        <v>4216840.8050246509</v>
      </c>
      <c r="E21" s="168">
        <v>4489053.0845945934</v>
      </c>
      <c r="F21" s="168">
        <v>359718.5806269857</v>
      </c>
      <c r="G21" s="168">
        <v>3936337.2718418748</v>
      </c>
      <c r="H21" s="168">
        <v>4786287.7708027475</v>
      </c>
      <c r="I21" s="169">
        <f t="shared" si="0"/>
        <v>130960215.84042192</v>
      </c>
    </row>
    <row r="22" spans="1:9" x14ac:dyDescent="0.2">
      <c r="A22" s="167" t="s">
        <v>18</v>
      </c>
      <c r="B22" s="168">
        <v>107073346.96170937</v>
      </c>
      <c r="C22" s="168">
        <v>14350280.031069439</v>
      </c>
      <c r="D22" s="168">
        <v>4524301.0908176685</v>
      </c>
      <c r="E22" s="168">
        <v>4816361.0405138377</v>
      </c>
      <c r="F22" s="168">
        <v>385946.55145122105</v>
      </c>
      <c r="G22" s="168">
        <v>4223345.3517143931</v>
      </c>
      <c r="H22" s="168">
        <v>5135267.8423636975</v>
      </c>
      <c r="I22" s="169">
        <f t="shared" si="0"/>
        <v>140508848.86963964</v>
      </c>
    </row>
    <row r="23" spans="1:9" x14ac:dyDescent="0.2">
      <c r="A23" s="167" t="s">
        <v>19</v>
      </c>
      <c r="B23" s="168">
        <v>19181000.317925975</v>
      </c>
      <c r="C23" s="168">
        <v>2570693.2084293882</v>
      </c>
      <c r="D23" s="168">
        <v>810478.26675671467</v>
      </c>
      <c r="E23" s="168">
        <v>862797.5613985362</v>
      </c>
      <c r="F23" s="168">
        <v>69138.03608600788</v>
      </c>
      <c r="G23" s="168">
        <v>756565.39029189339</v>
      </c>
      <c r="H23" s="168">
        <v>919926.17128366849</v>
      </c>
      <c r="I23" s="169">
        <f t="shared" si="0"/>
        <v>25170598.952172183</v>
      </c>
    </row>
    <row r="24" spans="1:9" x14ac:dyDescent="0.2">
      <c r="A24" s="167" t="s">
        <v>20</v>
      </c>
      <c r="B24" s="168">
        <v>261413120.7892336</v>
      </c>
      <c r="C24" s="168">
        <v>35035343.468461931</v>
      </c>
      <c r="D24" s="168">
        <v>11045808.327666562</v>
      </c>
      <c r="E24" s="168">
        <v>11758855.08555791</v>
      </c>
      <c r="F24" s="168">
        <v>942265.23533243185</v>
      </c>
      <c r="G24" s="168">
        <v>10311043.036295291</v>
      </c>
      <c r="H24" s="168">
        <v>12537446.814294085</v>
      </c>
      <c r="I24" s="169">
        <f t="shared" si="0"/>
        <v>343043882.7568419</v>
      </c>
    </row>
    <row r="25" spans="1:9" x14ac:dyDescent="0.2">
      <c r="A25" s="167" t="s">
        <v>21</v>
      </c>
      <c r="B25" s="168">
        <v>38711793.981187262</v>
      </c>
      <c r="C25" s="168">
        <v>5188266.7339591775</v>
      </c>
      <c r="D25" s="168">
        <v>1635736.7795668868</v>
      </c>
      <c r="E25" s="168">
        <v>1741329.487029718</v>
      </c>
      <c r="F25" s="168">
        <v>139536.90448167568</v>
      </c>
      <c r="G25" s="168">
        <v>1526927.8471834776</v>
      </c>
      <c r="H25" s="168">
        <v>1856628.5298141558</v>
      </c>
      <c r="I25" s="169">
        <f t="shared" si="0"/>
        <v>50800220.263222352</v>
      </c>
    </row>
    <row r="26" spans="1:9" x14ac:dyDescent="0.2">
      <c r="A26" s="167" t="s">
        <v>22</v>
      </c>
      <c r="B26" s="168">
        <v>6209388.2307008188</v>
      </c>
      <c r="C26" s="168">
        <v>832200.19230415055</v>
      </c>
      <c r="D26" s="168">
        <v>262372.8756281106</v>
      </c>
      <c r="E26" s="168">
        <v>279309.99084643845</v>
      </c>
      <c r="F26" s="168">
        <v>22381.778867132944</v>
      </c>
      <c r="G26" s="168">
        <v>244919.87656366528</v>
      </c>
      <c r="H26" s="168">
        <v>297804.00638146332</v>
      </c>
      <c r="I26" s="169">
        <f t="shared" si="0"/>
        <v>8148376.95129178</v>
      </c>
    </row>
    <row r="27" spans="1:9" x14ac:dyDescent="0.2">
      <c r="A27" s="167" t="s">
        <v>23</v>
      </c>
      <c r="B27" s="168">
        <v>28414405.106226016</v>
      </c>
      <c r="C27" s="168">
        <v>3808180.8569635018</v>
      </c>
      <c r="D27" s="168">
        <v>1200628.6126743224</v>
      </c>
      <c r="E27" s="168">
        <v>1278133.5189974494</v>
      </c>
      <c r="F27" s="168">
        <v>102419.90162320806</v>
      </c>
      <c r="G27" s="168">
        <v>1120763.0015527962</v>
      </c>
      <c r="H27" s="168">
        <v>1362762.8624897506</v>
      </c>
      <c r="I27" s="169">
        <f t="shared" si="0"/>
        <v>37287293.860527039</v>
      </c>
    </row>
    <row r="28" spans="1:9" x14ac:dyDescent="0.2">
      <c r="A28" s="167" t="s">
        <v>24</v>
      </c>
      <c r="B28" s="168">
        <v>27368929.705940768</v>
      </c>
      <c r="C28" s="168">
        <v>3668063.2162489281</v>
      </c>
      <c r="D28" s="168">
        <v>1156452.8618628241</v>
      </c>
      <c r="E28" s="168">
        <v>1231106.0641766882</v>
      </c>
      <c r="F28" s="168">
        <v>98651.478978201267</v>
      </c>
      <c r="G28" s="168">
        <v>1079525.8141722109</v>
      </c>
      <c r="H28" s="168">
        <v>1312621.5681769177</v>
      </c>
      <c r="I28" s="169">
        <f t="shared" si="0"/>
        <v>35915350.709556542</v>
      </c>
    </row>
    <row r="29" spans="1:9" x14ac:dyDescent="0.2">
      <c r="A29" s="167" t="s">
        <v>25</v>
      </c>
      <c r="B29" s="168">
        <v>441298666.00029325</v>
      </c>
      <c r="C29" s="168">
        <v>59144125.164092027</v>
      </c>
      <c r="D29" s="168">
        <v>18646732.287872761</v>
      </c>
      <c r="E29" s="168">
        <v>19850446.095746193</v>
      </c>
      <c r="F29" s="168">
        <v>1590663.8125708813</v>
      </c>
      <c r="G29" s="168">
        <v>17406354.827374563</v>
      </c>
      <c r="H29" s="168">
        <v>21164808.168364421</v>
      </c>
      <c r="I29" s="169">
        <f t="shared" si="0"/>
        <v>579101796.35631406</v>
      </c>
    </row>
    <row r="30" spans="1:9" x14ac:dyDescent="0.2">
      <c r="A30" s="167" t="s">
        <v>26</v>
      </c>
      <c r="B30" s="168">
        <v>11546949.893564189</v>
      </c>
      <c r="C30" s="168">
        <v>1547555.6632840708</v>
      </c>
      <c r="D30" s="168">
        <v>487907.39695240598</v>
      </c>
      <c r="E30" s="168">
        <v>519403.57878246077</v>
      </c>
      <c r="F30" s="168">
        <v>41621.053396181211</v>
      </c>
      <c r="G30" s="168">
        <v>455451.87988662452</v>
      </c>
      <c r="H30" s="168">
        <v>553794.96530551394</v>
      </c>
      <c r="I30" s="169">
        <f t="shared" si="0"/>
        <v>15152684.431171449</v>
      </c>
    </row>
    <row r="31" spans="1:9" x14ac:dyDescent="0.2">
      <c r="A31" s="167" t="s">
        <v>27</v>
      </c>
      <c r="B31" s="168">
        <v>19876288.664757349</v>
      </c>
      <c r="C31" s="168">
        <v>2663877.7661413797</v>
      </c>
      <c r="D31" s="168">
        <v>839857.13568407646</v>
      </c>
      <c r="E31" s="168">
        <v>894072.94225311477</v>
      </c>
      <c r="F31" s="168">
        <v>71644.20729796926</v>
      </c>
      <c r="G31" s="168">
        <v>783989.98185473646</v>
      </c>
      <c r="H31" s="168">
        <v>953272.39599755756</v>
      </c>
      <c r="I31" s="169">
        <f t="shared" si="0"/>
        <v>26083003.093986187</v>
      </c>
    </row>
    <row r="32" spans="1:9" x14ac:dyDescent="0.2">
      <c r="A32" s="167" t="s">
        <v>28</v>
      </c>
      <c r="B32" s="168">
        <v>10823299.019183401</v>
      </c>
      <c r="C32" s="168">
        <v>1450569.8774955105</v>
      </c>
      <c r="D32" s="168">
        <v>457330.09145822935</v>
      </c>
      <c r="E32" s="168">
        <v>486852.39795920881</v>
      </c>
      <c r="F32" s="168">
        <v>39012.649275575895</v>
      </c>
      <c r="G32" s="168">
        <v>426908.57155357039</v>
      </c>
      <c r="H32" s="168">
        <v>519088.46579135419</v>
      </c>
      <c r="I32" s="169">
        <f t="shared" si="0"/>
        <v>14203061.072716851</v>
      </c>
    </row>
    <row r="33" spans="1:9" x14ac:dyDescent="0.2">
      <c r="A33" s="167" t="s">
        <v>29</v>
      </c>
      <c r="B33" s="168">
        <v>15912170.247211354</v>
      </c>
      <c r="C33" s="168">
        <v>2132595.1362218349</v>
      </c>
      <c r="D33" s="168">
        <v>672356.39166560979</v>
      </c>
      <c r="E33" s="168">
        <v>715759.42121337715</v>
      </c>
      <c r="F33" s="168">
        <v>57355.517570699689</v>
      </c>
      <c r="G33" s="168">
        <v>627631.35884115531</v>
      </c>
      <c r="H33" s="168">
        <v>763152.16149862634</v>
      </c>
      <c r="I33" s="169">
        <f t="shared" si="0"/>
        <v>20881020.234222658</v>
      </c>
    </row>
    <row r="34" spans="1:9" x14ac:dyDescent="0.2">
      <c r="A34" s="167" t="s">
        <v>30</v>
      </c>
      <c r="B34" s="168">
        <v>14631697.04414886</v>
      </c>
      <c r="C34" s="168">
        <v>1960982.4094542819</v>
      </c>
      <c r="D34" s="168">
        <v>618250.99126703839</v>
      </c>
      <c r="E34" s="168">
        <v>658161.32211914018</v>
      </c>
      <c r="F34" s="168">
        <v>52740.043869999943</v>
      </c>
      <c r="G34" s="168">
        <v>577125.04047527164</v>
      </c>
      <c r="H34" s="168">
        <v>701740.30645456235</v>
      </c>
      <c r="I34" s="169">
        <f t="shared" si="0"/>
        <v>19200697.157789152</v>
      </c>
    </row>
    <row r="35" spans="1:9" x14ac:dyDescent="0.2">
      <c r="A35" s="167" t="s">
        <v>31</v>
      </c>
      <c r="B35" s="168">
        <v>139128671.2814666</v>
      </c>
      <c r="C35" s="168">
        <v>18646427.424685229</v>
      </c>
      <c r="D35" s="168">
        <v>5878773.9162375685</v>
      </c>
      <c r="E35" s="168">
        <v>6258269.9709400628</v>
      </c>
      <c r="F35" s="168">
        <v>501490.16924141673</v>
      </c>
      <c r="G35" s="168">
        <v>5487718.8751455573</v>
      </c>
      <c r="H35" s="168">
        <v>6672650.214604808</v>
      </c>
      <c r="I35" s="169">
        <f t="shared" si="0"/>
        <v>182574001.85232124</v>
      </c>
    </row>
    <row r="36" spans="1:9" x14ac:dyDescent="0.2">
      <c r="A36" s="167" t="s">
        <v>32</v>
      </c>
      <c r="B36" s="168">
        <v>27113021.615882661</v>
      </c>
      <c r="C36" s="168">
        <v>3633765.6729409443</v>
      </c>
      <c r="D36" s="168">
        <v>1145639.6643318548</v>
      </c>
      <c r="E36" s="168">
        <v>1219594.8357535312</v>
      </c>
      <c r="F36" s="168">
        <v>97729.056660705974</v>
      </c>
      <c r="G36" s="168">
        <v>1069431.9087019772</v>
      </c>
      <c r="H36" s="168">
        <v>1300348.1441851743</v>
      </c>
      <c r="I36" s="169">
        <f t="shared" si="0"/>
        <v>35579530.898456842</v>
      </c>
    </row>
    <row r="37" spans="1:9" x14ac:dyDescent="0.2">
      <c r="A37" s="167" t="s">
        <v>33</v>
      </c>
      <c r="B37" s="168">
        <v>99407381.336642459</v>
      </c>
      <c r="C37" s="168">
        <v>13322865.118303122</v>
      </c>
      <c r="D37" s="168">
        <v>4200381.6690024156</v>
      </c>
      <c r="E37" s="168">
        <v>4471531.451991736</v>
      </c>
      <c r="F37" s="168">
        <v>358314.53022005298</v>
      </c>
      <c r="G37" s="168">
        <v>3920972.9947485961</v>
      </c>
      <c r="H37" s="168">
        <v>4767605.9743812801</v>
      </c>
      <c r="I37" s="169">
        <f t="shared" ref="I37:I55" si="1">SUM(B37:H37)</f>
        <v>130449053.07528965</v>
      </c>
    </row>
    <row r="38" spans="1:9" x14ac:dyDescent="0.2">
      <c r="A38" s="167" t="s">
        <v>34</v>
      </c>
      <c r="B38" s="168">
        <v>20000467.811336845</v>
      </c>
      <c r="C38" s="168">
        <v>2680520.6149735199</v>
      </c>
      <c r="D38" s="168">
        <v>845104.2290482854</v>
      </c>
      <c r="E38" s="168">
        <v>899658.75441460102</v>
      </c>
      <c r="F38" s="168">
        <v>72091.811811552383</v>
      </c>
      <c r="G38" s="168">
        <v>788888.03946074308</v>
      </c>
      <c r="H38" s="168">
        <v>959228.06280182686</v>
      </c>
      <c r="I38" s="169">
        <f t="shared" si="1"/>
        <v>26245959.323847372</v>
      </c>
    </row>
    <row r="39" spans="1:9" x14ac:dyDescent="0.2">
      <c r="A39" s="167" t="s">
        <v>35</v>
      </c>
      <c r="B39" s="168">
        <v>18834257.219014358</v>
      </c>
      <c r="C39" s="168">
        <v>2524221.6941878283</v>
      </c>
      <c r="D39" s="168">
        <v>795826.90649616031</v>
      </c>
      <c r="E39" s="168">
        <v>847200.40300147794</v>
      </c>
      <c r="F39" s="168">
        <v>67888.198408735072</v>
      </c>
      <c r="G39" s="168">
        <v>742888.63602408185</v>
      </c>
      <c r="H39" s="168">
        <v>903296.27471343114</v>
      </c>
      <c r="I39" s="169">
        <f t="shared" si="1"/>
        <v>24715579.331846066</v>
      </c>
    </row>
    <row r="40" spans="1:9" x14ac:dyDescent="0.2">
      <c r="A40" s="167" t="s">
        <v>36</v>
      </c>
      <c r="B40" s="168">
        <v>21406413.116953552</v>
      </c>
      <c r="C40" s="168">
        <v>2868949.4762771861</v>
      </c>
      <c r="D40" s="168">
        <v>904511.35566128267</v>
      </c>
      <c r="E40" s="168">
        <v>962900.82526802458</v>
      </c>
      <c r="F40" s="168">
        <v>77159.550493764764</v>
      </c>
      <c r="G40" s="168">
        <v>844343.41411494545</v>
      </c>
      <c r="H40" s="168">
        <v>1026657.5951824444</v>
      </c>
      <c r="I40" s="169">
        <f t="shared" si="1"/>
        <v>28090935.333951205</v>
      </c>
    </row>
    <row r="41" spans="1:9" x14ac:dyDescent="0.2">
      <c r="A41" s="167" t="s">
        <v>37</v>
      </c>
      <c r="B41" s="168">
        <v>30151860.774922267</v>
      </c>
      <c r="C41" s="168">
        <v>4041039.6971403807</v>
      </c>
      <c r="D41" s="168">
        <v>1274043.4521295689</v>
      </c>
      <c r="E41" s="168">
        <v>1356287.551067831</v>
      </c>
      <c r="F41" s="168">
        <v>108682.57149073816</v>
      </c>
      <c r="G41" s="168">
        <v>1189294.2983733041</v>
      </c>
      <c r="H41" s="168">
        <v>1446091.7251447968</v>
      </c>
      <c r="I41" s="169">
        <f t="shared" si="1"/>
        <v>39567300.070268884</v>
      </c>
    </row>
    <row r="42" spans="1:9" x14ac:dyDescent="0.2">
      <c r="A42" s="167" t="s">
        <v>38</v>
      </c>
      <c r="B42" s="168">
        <v>70739049.746635318</v>
      </c>
      <c r="C42" s="168">
        <v>9480652.2986433655</v>
      </c>
      <c r="D42" s="168">
        <v>2989023.5900308518</v>
      </c>
      <c r="E42" s="168">
        <v>3181975.8409579229</v>
      </c>
      <c r="F42" s="168">
        <v>254979.34899161782</v>
      </c>
      <c r="G42" s="168">
        <v>2790194.2491718675</v>
      </c>
      <c r="H42" s="168">
        <v>3392664.7262942991</v>
      </c>
      <c r="I42" s="169">
        <f t="shared" si="1"/>
        <v>92828539.800725237</v>
      </c>
    </row>
    <row r="43" spans="1:9" x14ac:dyDescent="0.2">
      <c r="A43" s="167" t="s">
        <v>39</v>
      </c>
      <c r="B43" s="168">
        <v>1316279575.0162199</v>
      </c>
      <c r="C43" s="168">
        <v>176411600.42764649</v>
      </c>
      <c r="D43" s="168">
        <v>55618370.827583857</v>
      </c>
      <c r="E43" s="168">
        <v>59208737.220098041</v>
      </c>
      <c r="F43" s="168">
        <v>4744537.9932399075</v>
      </c>
      <c r="G43" s="168">
        <v>51918646.259272598</v>
      </c>
      <c r="H43" s="168">
        <v>63129138.716082193</v>
      </c>
      <c r="I43" s="169">
        <f t="shared" si="1"/>
        <v>1727310606.4601426</v>
      </c>
    </row>
    <row r="44" spans="1:9" x14ac:dyDescent="0.2">
      <c r="A44" s="167" t="s">
        <v>40</v>
      </c>
      <c r="B44" s="168">
        <v>7560768.7383001726</v>
      </c>
      <c r="C44" s="168">
        <v>1013316.1213645779</v>
      </c>
      <c r="D44" s="168">
        <v>319474.40909215697</v>
      </c>
      <c r="E44" s="168">
        <v>340097.63419935375</v>
      </c>
      <c r="F44" s="168">
        <v>27252.838392272162</v>
      </c>
      <c r="G44" s="168">
        <v>298223.02573306765</v>
      </c>
      <c r="H44" s="168">
        <v>362616.59569889453</v>
      </c>
      <c r="I44" s="169">
        <f t="shared" si="1"/>
        <v>9921749.3627804946</v>
      </c>
    </row>
    <row r="45" spans="1:9" x14ac:dyDescent="0.2">
      <c r="A45" s="167" t="s">
        <v>41</v>
      </c>
      <c r="B45" s="168">
        <v>20779996.240420189</v>
      </c>
      <c r="C45" s="168">
        <v>2784995.272457852</v>
      </c>
      <c r="D45" s="168">
        <v>878042.59720526834</v>
      </c>
      <c r="E45" s="168">
        <v>934723.41300935496</v>
      </c>
      <c r="F45" s="168">
        <v>74901.626928945654</v>
      </c>
      <c r="G45" s="168">
        <v>819635.3529698248</v>
      </c>
      <c r="H45" s="168">
        <v>996614.46555910259</v>
      </c>
      <c r="I45" s="169">
        <f t="shared" si="1"/>
        <v>27268908.968550541</v>
      </c>
    </row>
    <row r="46" spans="1:9" x14ac:dyDescent="0.2">
      <c r="A46" s="167" t="s">
        <v>42</v>
      </c>
      <c r="B46" s="168">
        <v>16036160.68283342</v>
      </c>
      <c r="C46" s="168">
        <v>2149212.6934649763</v>
      </c>
      <c r="D46" s="168">
        <v>677595.51119492156</v>
      </c>
      <c r="E46" s="168">
        <v>721336.74480017065</v>
      </c>
      <c r="F46" s="168">
        <v>57802.441874451812</v>
      </c>
      <c r="G46" s="168">
        <v>632521.97303040605</v>
      </c>
      <c r="H46" s="168">
        <v>769098.77767228871</v>
      </c>
      <c r="I46" s="169">
        <f t="shared" si="1"/>
        <v>21043728.824870635</v>
      </c>
    </row>
    <row r="47" spans="1:9" x14ac:dyDescent="0.2">
      <c r="A47" s="167" t="s">
        <v>43</v>
      </c>
      <c r="B47" s="168">
        <v>17345826.908237744</v>
      </c>
      <c r="C47" s="168">
        <v>2324737.9536261884</v>
      </c>
      <c r="D47" s="168">
        <v>732934.4400725516</v>
      </c>
      <c r="E47" s="168">
        <v>780248.00108479906</v>
      </c>
      <c r="F47" s="168">
        <v>62523.142007489543</v>
      </c>
      <c r="G47" s="168">
        <v>684179.76577071054</v>
      </c>
      <c r="H47" s="168">
        <v>831910.73828050413</v>
      </c>
      <c r="I47" s="169">
        <f t="shared" si="1"/>
        <v>22762360.94907999</v>
      </c>
    </row>
    <row r="48" spans="1:9" x14ac:dyDescent="0.2">
      <c r="A48" s="167" t="s">
        <v>44</v>
      </c>
      <c r="B48" s="168">
        <v>51701673.778444238</v>
      </c>
      <c r="C48" s="168">
        <v>6929208.0414839247</v>
      </c>
      <c r="D48" s="168">
        <v>2184614.0585907414</v>
      </c>
      <c r="E48" s="168">
        <v>2325638.7736240737</v>
      </c>
      <c r="F48" s="168">
        <v>186359.0077760657</v>
      </c>
      <c r="G48" s="168">
        <v>2039293.902955441</v>
      </c>
      <c r="H48" s="168">
        <v>2479626.8192285947</v>
      </c>
      <c r="I48" s="169">
        <f t="shared" si="1"/>
        <v>67846414.382103071</v>
      </c>
    </row>
    <row r="49" spans="1:9" x14ac:dyDescent="0.2">
      <c r="A49" s="167" t="s">
        <v>45</v>
      </c>
      <c r="B49" s="168">
        <v>44492000.828340806</v>
      </c>
      <c r="C49" s="168">
        <v>5962946.7943837512</v>
      </c>
      <c r="D49" s="168">
        <v>1879974.9292632868</v>
      </c>
      <c r="E49" s="168">
        <v>2001334.0899931185</v>
      </c>
      <c r="F49" s="168">
        <v>160371.69635692568</v>
      </c>
      <c r="G49" s="168">
        <v>1754919.3167001966</v>
      </c>
      <c r="H49" s="168">
        <v>2133848.8763025589</v>
      </c>
      <c r="I49" s="169">
        <f t="shared" si="1"/>
        <v>58385396.531340644</v>
      </c>
    </row>
    <row r="50" spans="1:9" x14ac:dyDescent="0.2">
      <c r="A50" s="167" t="s">
        <v>46</v>
      </c>
      <c r="B50" s="168">
        <v>402588103.67669237</v>
      </c>
      <c r="C50" s="168">
        <v>53956023.5004493</v>
      </c>
      <c r="D50" s="168">
        <v>17011047.551040314</v>
      </c>
      <c r="E50" s="168">
        <v>18109172.010997083</v>
      </c>
      <c r="F50" s="168">
        <v>1451131.3476067092</v>
      </c>
      <c r="G50" s="168">
        <v>15879475.56105168</v>
      </c>
      <c r="H50" s="168">
        <v>19308238.709194601</v>
      </c>
      <c r="I50" s="169">
        <f t="shared" si="1"/>
        <v>528303192.357032</v>
      </c>
    </row>
    <row r="51" spans="1:9" x14ac:dyDescent="0.2">
      <c r="A51" s="167" t="s">
        <v>47</v>
      </c>
      <c r="B51" s="168">
        <v>673952059.26542425</v>
      </c>
      <c r="C51" s="168">
        <v>90325006.665135339</v>
      </c>
      <c r="D51" s="168">
        <v>28477320.672377862</v>
      </c>
      <c r="E51" s="168">
        <v>30315634.408821344</v>
      </c>
      <c r="F51" s="168">
        <v>2429264.4294565436</v>
      </c>
      <c r="G51" s="168">
        <v>26583014.144452341</v>
      </c>
      <c r="H51" s="168">
        <v>32322930.359860629</v>
      </c>
      <c r="I51" s="169">
        <f t="shared" si="1"/>
        <v>884405229.94552839</v>
      </c>
    </row>
    <row r="52" spans="1:9" x14ac:dyDescent="0.2">
      <c r="A52" s="167" t="s">
        <v>48</v>
      </c>
      <c r="B52" s="168">
        <v>208589472.59931976</v>
      </c>
      <c r="C52" s="168">
        <v>27955765.167252768</v>
      </c>
      <c r="D52" s="168">
        <v>8813786.1119786426</v>
      </c>
      <c r="E52" s="168">
        <v>9382747.7873458434</v>
      </c>
      <c r="F52" s="168">
        <v>751862.06374519796</v>
      </c>
      <c r="G52" s="168">
        <v>8227494.5587899657</v>
      </c>
      <c r="H52" s="168">
        <v>10004009.786655406</v>
      </c>
      <c r="I52" s="169">
        <f t="shared" si="1"/>
        <v>273725138.07508761</v>
      </c>
    </row>
    <row r="53" spans="1:9" x14ac:dyDescent="0.2">
      <c r="A53" s="167" t="s">
        <v>49</v>
      </c>
      <c r="B53" s="168">
        <v>55541681.169175945</v>
      </c>
      <c r="C53" s="168">
        <v>7443856.9521795288</v>
      </c>
      <c r="D53" s="168">
        <v>2346870.5875927559</v>
      </c>
      <c r="E53" s="168">
        <v>2498369.5466578086</v>
      </c>
      <c r="F53" s="168">
        <v>200200.33852787357</v>
      </c>
      <c r="G53" s="168">
        <v>2190757.1552435691</v>
      </c>
      <c r="H53" s="168">
        <v>2663794.6539663593</v>
      </c>
      <c r="I53" s="169">
        <f t="shared" si="1"/>
        <v>72885530.403343841</v>
      </c>
    </row>
    <row r="54" spans="1:9" x14ac:dyDescent="0.2">
      <c r="A54" s="167" t="s">
        <v>50</v>
      </c>
      <c r="B54" s="168">
        <v>13424847.696788816</v>
      </c>
      <c r="C54" s="168">
        <v>1799236.9650336143</v>
      </c>
      <c r="D54" s="168">
        <v>567256.50969296147</v>
      </c>
      <c r="E54" s="168">
        <v>603874.962877254</v>
      </c>
      <c r="F54" s="168">
        <v>48389.947819473629</v>
      </c>
      <c r="G54" s="168">
        <v>529522.70314275776</v>
      </c>
      <c r="H54" s="168">
        <v>643859.47224199271</v>
      </c>
      <c r="I54" s="169">
        <f t="shared" si="1"/>
        <v>17616988.257596869</v>
      </c>
    </row>
    <row r="55" spans="1:9" ht="13.5" thickBot="1" x14ac:dyDescent="0.25">
      <c r="A55" s="167" t="s">
        <v>51</v>
      </c>
      <c r="B55" s="168">
        <v>18495561.425282288</v>
      </c>
      <c r="C55" s="168">
        <v>2478828.7030904391</v>
      </c>
      <c r="D55" s="168">
        <v>781515.57886403403</v>
      </c>
      <c r="E55" s="168">
        <v>831965.22756514442</v>
      </c>
      <c r="F55" s="168">
        <v>66667.367293512041</v>
      </c>
      <c r="G55" s="168">
        <v>729529.29547208536</v>
      </c>
      <c r="H55" s="168">
        <v>887052.32916348835</v>
      </c>
      <c r="I55" s="169">
        <f t="shared" si="1"/>
        <v>24271119.92673099</v>
      </c>
    </row>
    <row r="56" spans="1:9" ht="14.25" thickTop="1" thickBot="1" x14ac:dyDescent="0.25">
      <c r="A56" s="170" t="s">
        <v>52</v>
      </c>
      <c r="B56" s="171">
        <f t="shared" ref="B56:I56" si="2">SUM(B5:B55)</f>
        <v>5228782283.5656824</v>
      </c>
      <c r="C56" s="171">
        <f t="shared" si="2"/>
        <v>700776543.55472302</v>
      </c>
      <c r="D56" s="171">
        <f t="shared" si="2"/>
        <v>220938133.1625337</v>
      </c>
      <c r="E56" s="171">
        <f t="shared" si="2"/>
        <v>235200486.3441945</v>
      </c>
      <c r="F56" s="171">
        <f t="shared" si="2"/>
        <v>18847178.573329605</v>
      </c>
      <c r="G56" s="171">
        <f t="shared" si="2"/>
        <v>206241366.11999997</v>
      </c>
      <c r="H56" s="171">
        <f t="shared" si="2"/>
        <v>250773869.29090911</v>
      </c>
      <c r="I56" s="172">
        <f t="shared" si="2"/>
        <v>6861559860.611372</v>
      </c>
    </row>
    <row r="57" spans="1:9" ht="13.5" thickTop="1" x14ac:dyDescent="0.2">
      <c r="A57" s="173"/>
      <c r="B57" s="173"/>
      <c r="C57" s="173"/>
      <c r="D57" s="173"/>
      <c r="E57" s="173"/>
      <c r="F57" s="173"/>
      <c r="G57" s="173"/>
      <c r="H57" s="173"/>
      <c r="I57" s="173"/>
    </row>
    <row r="58" spans="1:9" ht="16.5" customHeight="1" x14ac:dyDescent="0.2">
      <c r="A58" s="161" t="s">
        <v>208</v>
      </c>
    </row>
    <row r="61" spans="1:9" ht="16.5" customHeight="1" x14ac:dyDescent="0.2"/>
  </sheetData>
  <dataConsolidate>
    <dataRefs count="12">
      <dataRef ref="B7:H57" sheet="Dist Abril" r:id="rId1"/>
      <dataRef ref="B7:H57" sheet="Dist Enero" r:id="rId2"/>
      <dataRef ref="B7:H57" sheet="Dist Febrero" r:id="rId3"/>
      <dataRef ref="B7:H57" sheet="Dist Junio" r:id="rId4"/>
      <dataRef ref="B7:H57" sheet="Dist Marzo" r:id="rId5"/>
      <dataRef ref="B7:H57" sheet="Dist Mayo" r:id="rId6"/>
      <dataRef ref="B7:H57" sheet="Distribucion Agosto" r:id="rId7"/>
      <dataRef ref="B7:H57" sheet="Distribucion Estim Diciembre" r:id="rId8"/>
      <dataRef ref="B7:H57" sheet="Distribucion Estim Noviembre" r:id="rId9"/>
      <dataRef ref="B7:H57" sheet="Distribucion Julio" r:id="rId10"/>
      <dataRef ref="B7:H57" sheet="Distribucion octubre" r:id="rId11"/>
      <dataRef ref="B7:H57" sheet="Distribucion septiembre" r:id="rId12"/>
    </dataRefs>
  </dataConsolidate>
  <mergeCells count="2">
    <mergeCell ref="A1:I1"/>
    <mergeCell ref="A2:I2"/>
  </mergeCells>
  <printOptions horizontalCentered="1"/>
  <pageMargins left="0.39370078740157483" right="0.39370078740157483" top="0.15748031496062992" bottom="0.15748031496062992" header="0.15748031496062992" footer="0.15748031496062992"/>
  <pageSetup scale="80" orientation="landscape" r:id="rId13"/>
  <headerFooter alignWithMargins="0">
    <oddFooter xml:space="preserve">&amp;RMemoria de Calculo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15"/>
  <sheetViews>
    <sheetView showGridLines="0" zoomScaleNormal="100" zoomScaleSheetLayoutView="100" workbookViewId="0">
      <selection activeCell="P11" sqref="P11"/>
    </sheetView>
  </sheetViews>
  <sheetFormatPr baseColWidth="10" defaultRowHeight="12.75" x14ac:dyDescent="0.2"/>
  <cols>
    <col min="1" max="1" width="55" style="153" customWidth="1"/>
    <col min="2" max="13" width="16.5703125" style="153" hidden="1" customWidth="1"/>
    <col min="14" max="14" width="16.5703125" style="153" customWidth="1"/>
    <col min="15" max="16" width="17.28515625" style="153" customWidth="1"/>
    <col min="17" max="16384" width="11.42578125" style="153"/>
  </cols>
  <sheetData>
    <row r="1" spans="1:16" s="202" customFormat="1" x14ac:dyDescent="0.2">
      <c r="A1" s="202" t="s">
        <v>173</v>
      </c>
    </row>
    <row r="2" spans="1:16" ht="27.75" customHeight="1" x14ac:dyDescent="0.2">
      <c r="A2" s="215" t="s">
        <v>175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x14ac:dyDescent="0.2"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25.5" x14ac:dyDescent="0.2">
      <c r="A4" s="154" t="s">
        <v>143</v>
      </c>
      <c r="B4" s="154" t="s">
        <v>195</v>
      </c>
      <c r="C4" s="154" t="s">
        <v>196</v>
      </c>
      <c r="D4" s="154" t="s">
        <v>197</v>
      </c>
      <c r="E4" s="154" t="s">
        <v>198</v>
      </c>
      <c r="F4" s="154" t="s">
        <v>199</v>
      </c>
      <c r="G4" s="154" t="s">
        <v>200</v>
      </c>
      <c r="H4" s="154" t="s">
        <v>201</v>
      </c>
      <c r="I4" s="154" t="s">
        <v>202</v>
      </c>
      <c r="J4" s="154" t="s">
        <v>203</v>
      </c>
      <c r="K4" s="154" t="s">
        <v>204</v>
      </c>
      <c r="L4" s="154" t="s">
        <v>205</v>
      </c>
      <c r="M4" s="154" t="s">
        <v>206</v>
      </c>
      <c r="N4" s="154" t="s">
        <v>144</v>
      </c>
      <c r="O4" s="154" t="s">
        <v>145</v>
      </c>
      <c r="P4" s="154" t="s">
        <v>209</v>
      </c>
    </row>
    <row r="5" spans="1:16" ht="25.5" customHeight="1" x14ac:dyDescent="0.2">
      <c r="A5" s="155" t="s">
        <v>146</v>
      </c>
      <c r="B5" s="208">
        <v>1745967807</v>
      </c>
      <c r="C5" s="208">
        <v>2143346114</v>
      </c>
      <c r="D5" s="208">
        <v>1972753026</v>
      </c>
      <c r="E5" s="208">
        <v>2248583156</v>
      </c>
      <c r="F5" s="208">
        <v>2663954582</v>
      </c>
      <c r="G5" s="208">
        <v>3030567007</v>
      </c>
      <c r="H5" s="208">
        <v>2204837101</v>
      </c>
      <c r="I5" s="208">
        <v>2437065858</v>
      </c>
      <c r="J5" s="208">
        <v>2235471958</v>
      </c>
      <c r="K5" s="208">
        <v>1855508159</v>
      </c>
      <c r="L5" s="208">
        <v>2199546454</v>
      </c>
      <c r="M5" s="208">
        <v>2177361047</v>
      </c>
      <c r="N5" s="177">
        <f>SUM(B5:M5)</f>
        <v>26914962269</v>
      </c>
      <c r="O5" s="157">
        <v>20</v>
      </c>
      <c r="P5" s="156">
        <f t="shared" ref="P5:P12" si="0">+O5/100*N5</f>
        <v>5382992453.8000002</v>
      </c>
    </row>
    <row r="6" spans="1:16" ht="25.5" customHeight="1" x14ac:dyDescent="0.2">
      <c r="A6" s="155" t="s">
        <v>147</v>
      </c>
      <c r="B6" s="209">
        <v>48139627</v>
      </c>
      <c r="C6" s="209">
        <v>67548898</v>
      </c>
      <c r="D6" s="209">
        <v>54375441</v>
      </c>
      <c r="E6" s="209">
        <v>61959822</v>
      </c>
      <c r="F6" s="209">
        <v>73381109</v>
      </c>
      <c r="G6" s="209">
        <v>56054639</v>
      </c>
      <c r="H6" s="209">
        <v>60756956</v>
      </c>
      <c r="I6" s="209">
        <v>67142449</v>
      </c>
      <c r="J6" s="209">
        <v>61599309</v>
      </c>
      <c r="K6" s="209">
        <v>62425302</v>
      </c>
      <c r="L6" s="209">
        <v>60611481</v>
      </c>
      <c r="M6" s="209">
        <v>60001459</v>
      </c>
      <c r="N6" s="177">
        <f t="shared" ref="N6:N12" si="1">SUM(B6:M6)</f>
        <v>733996492</v>
      </c>
      <c r="O6" s="157">
        <v>100</v>
      </c>
      <c r="P6" s="156">
        <f t="shared" si="0"/>
        <v>733996492</v>
      </c>
    </row>
    <row r="7" spans="1:16" ht="25.5" customHeight="1" x14ac:dyDescent="0.2">
      <c r="A7" s="155" t="s">
        <v>148</v>
      </c>
      <c r="B7" s="208">
        <v>90809332</v>
      </c>
      <c r="C7" s="208">
        <v>115649646</v>
      </c>
      <c r="D7" s="208">
        <v>89291152</v>
      </c>
      <c r="E7" s="208">
        <v>90564673</v>
      </c>
      <c r="F7" s="208">
        <v>99898185</v>
      </c>
      <c r="G7" s="208">
        <v>98432962</v>
      </c>
      <c r="H7" s="208">
        <v>102341063</v>
      </c>
      <c r="I7" s="208">
        <v>104781035</v>
      </c>
      <c r="J7" s="208">
        <v>103483056</v>
      </c>
      <c r="K7" s="208">
        <v>101100105</v>
      </c>
      <c r="L7" s="208">
        <v>96729338</v>
      </c>
      <c r="M7" s="208">
        <v>98107839</v>
      </c>
      <c r="N7" s="177">
        <f t="shared" si="1"/>
        <v>1191188386</v>
      </c>
      <c r="O7" s="157">
        <v>20</v>
      </c>
      <c r="P7" s="156">
        <f t="shared" si="0"/>
        <v>238237677.20000002</v>
      </c>
    </row>
    <row r="8" spans="1:16" ht="25.5" customHeight="1" x14ac:dyDescent="0.2">
      <c r="A8" s="155" t="s">
        <v>169</v>
      </c>
      <c r="B8" s="209">
        <v>132505323</v>
      </c>
      <c r="C8" s="209">
        <v>75298111</v>
      </c>
      <c r="D8" s="209">
        <v>75298111</v>
      </c>
      <c r="E8" s="209">
        <v>158076349</v>
      </c>
      <c r="F8" s="209">
        <v>75298111</v>
      </c>
      <c r="G8" s="209">
        <v>75298111</v>
      </c>
      <c r="H8" s="209">
        <v>168737215</v>
      </c>
      <c r="I8" s="209">
        <v>75298111</v>
      </c>
      <c r="J8" s="209">
        <v>75298111</v>
      </c>
      <c r="K8" s="209">
        <v>170383790</v>
      </c>
      <c r="L8" s="209">
        <v>75298111</v>
      </c>
      <c r="M8" s="209">
        <v>75298111</v>
      </c>
      <c r="N8" s="177">
        <f t="shared" si="1"/>
        <v>1232087565</v>
      </c>
      <c r="O8" s="157">
        <v>20</v>
      </c>
      <c r="P8" s="156">
        <f t="shared" si="0"/>
        <v>246417513</v>
      </c>
    </row>
    <row r="9" spans="1:16" ht="25.5" customHeight="1" x14ac:dyDescent="0.2">
      <c r="A9" s="155" t="s">
        <v>168</v>
      </c>
      <c r="B9" s="208">
        <v>9462297</v>
      </c>
      <c r="C9" s="208">
        <v>9349182</v>
      </c>
      <c r="D9" s="208">
        <v>8386916</v>
      </c>
      <c r="E9" s="208">
        <v>9239103</v>
      </c>
      <c r="F9" s="208">
        <v>9091622</v>
      </c>
      <c r="G9" s="208">
        <v>9476093</v>
      </c>
      <c r="H9" s="208">
        <v>9304967</v>
      </c>
      <c r="I9" s="208">
        <v>9783151</v>
      </c>
      <c r="J9" s="208">
        <v>9873927</v>
      </c>
      <c r="K9" s="208">
        <v>9700936</v>
      </c>
      <c r="L9" s="208">
        <v>9959940</v>
      </c>
      <c r="M9" s="208">
        <v>9669978</v>
      </c>
      <c r="N9" s="177">
        <f t="shared" si="1"/>
        <v>113298112</v>
      </c>
      <c r="O9" s="157">
        <v>20</v>
      </c>
      <c r="P9" s="156">
        <f t="shared" si="0"/>
        <v>22659622.400000002</v>
      </c>
    </row>
    <row r="10" spans="1:16" ht="25.5" customHeight="1" x14ac:dyDescent="0.2">
      <c r="A10" s="155" t="s">
        <v>214</v>
      </c>
      <c r="B10" s="177">
        <f>14541786+91770103</f>
        <v>106311889</v>
      </c>
      <c r="C10" s="177">
        <f>14541786+68704667</f>
        <v>83246453</v>
      </c>
      <c r="D10" s="177">
        <f>14541786+61244183</f>
        <v>75785969</v>
      </c>
      <c r="E10" s="177">
        <f>14541786+66929219</f>
        <v>81471005</v>
      </c>
      <c r="F10" s="177">
        <f>14541786+60981493</f>
        <v>75523279</v>
      </c>
      <c r="G10" s="177">
        <f>14541786+66438309</f>
        <v>80980095</v>
      </c>
      <c r="H10" s="177">
        <f>14541786+65490437</f>
        <v>80032223</v>
      </c>
      <c r="I10" s="177">
        <f>14541786+63204566</f>
        <v>77746352</v>
      </c>
      <c r="J10" s="177">
        <f>14541786+64710356</f>
        <v>79252142</v>
      </c>
      <c r="K10" s="177">
        <f>14541786+60287979</f>
        <v>74829765</v>
      </c>
      <c r="L10" s="177">
        <f>14541786+64641321</f>
        <v>79183107</v>
      </c>
      <c r="M10" s="177">
        <f>14541786+69232698</f>
        <v>83774484</v>
      </c>
      <c r="N10" s="177">
        <v>803635331</v>
      </c>
      <c r="O10" s="157">
        <v>20</v>
      </c>
      <c r="P10" s="156">
        <f t="shared" si="0"/>
        <v>160727066.20000002</v>
      </c>
    </row>
    <row r="11" spans="1:16" ht="25.5" customHeight="1" x14ac:dyDescent="0.2">
      <c r="A11" s="155" t="s">
        <v>213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>
        <v>174501432</v>
      </c>
      <c r="O11" s="157">
        <v>20</v>
      </c>
      <c r="P11" s="156">
        <f t="shared" si="0"/>
        <v>34900286.399999999</v>
      </c>
    </row>
    <row r="12" spans="1:16" ht="25.5" customHeight="1" x14ac:dyDescent="0.2">
      <c r="A12" s="155" t="s">
        <v>164</v>
      </c>
      <c r="B12" s="209">
        <v>97923000</v>
      </c>
      <c r="C12" s="209">
        <v>90852142</v>
      </c>
      <c r="D12" s="209">
        <v>101958021</v>
      </c>
      <c r="E12" s="209">
        <v>97771084</v>
      </c>
      <c r="F12" s="209">
        <v>102216078</v>
      </c>
      <c r="G12" s="209">
        <v>101096819</v>
      </c>
      <c r="H12" s="209">
        <v>102826755</v>
      </c>
      <c r="I12" s="209">
        <v>103312524</v>
      </c>
      <c r="J12" s="209">
        <v>96755066</v>
      </c>
      <c r="K12" s="209">
        <v>102306960</v>
      </c>
      <c r="L12" s="209">
        <v>101106719</v>
      </c>
      <c r="M12" s="209">
        <v>106746020</v>
      </c>
      <c r="N12" s="177">
        <f t="shared" si="1"/>
        <v>1204871188</v>
      </c>
      <c r="O12" s="157">
        <v>20</v>
      </c>
      <c r="P12" s="156">
        <f t="shared" si="0"/>
        <v>240974237.60000002</v>
      </c>
    </row>
    <row r="13" spans="1:16" ht="25.5" customHeight="1" x14ac:dyDescent="0.2">
      <c r="A13" s="174" t="s">
        <v>53</v>
      </c>
      <c r="B13" s="175">
        <f t="shared" ref="B13:M13" si="2">SUM(B5:B12)</f>
        <v>2231119275</v>
      </c>
      <c r="C13" s="175">
        <f t="shared" si="2"/>
        <v>2585290546</v>
      </c>
      <c r="D13" s="175">
        <f t="shared" si="2"/>
        <v>2377848636</v>
      </c>
      <c r="E13" s="175">
        <f t="shared" si="2"/>
        <v>2747665192</v>
      </c>
      <c r="F13" s="175">
        <f t="shared" si="2"/>
        <v>3099362966</v>
      </c>
      <c r="G13" s="175">
        <f t="shared" si="2"/>
        <v>3451905726</v>
      </c>
      <c r="H13" s="175">
        <f t="shared" si="2"/>
        <v>2728836280</v>
      </c>
      <c r="I13" s="175">
        <f t="shared" si="2"/>
        <v>2875129480</v>
      </c>
      <c r="J13" s="175">
        <f t="shared" si="2"/>
        <v>2661733569</v>
      </c>
      <c r="K13" s="175">
        <f t="shared" si="2"/>
        <v>2376255017</v>
      </c>
      <c r="L13" s="175">
        <f t="shared" si="2"/>
        <v>2622435150</v>
      </c>
      <c r="M13" s="175">
        <f t="shared" si="2"/>
        <v>2610958938</v>
      </c>
      <c r="N13" s="175">
        <f>SUM(N5:N12)</f>
        <v>32368540775</v>
      </c>
      <c r="O13" s="174"/>
      <c r="P13" s="175">
        <f>SUM(P5:P12)</f>
        <v>7060905348.5999994</v>
      </c>
    </row>
    <row r="14" spans="1:16" x14ac:dyDescent="0.2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60"/>
      <c r="P14" s="159"/>
    </row>
    <row r="15" spans="1:16" x14ac:dyDescent="0.2">
      <c r="A15" s="161" t="s">
        <v>194</v>
      </c>
      <c r="P15" s="207" t="s">
        <v>192</v>
      </c>
    </row>
  </sheetData>
  <mergeCells count="1">
    <mergeCell ref="A2:P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&amp;RMemoria de cálculo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9"/>
  <sheetViews>
    <sheetView showGridLines="0" tabSelected="1" topLeftCell="A37" zoomScaleNormal="100" zoomScaleSheetLayoutView="100" workbookViewId="0">
      <selection activeCell="H56" sqref="H56"/>
    </sheetView>
  </sheetViews>
  <sheetFormatPr baseColWidth="10" defaultRowHeight="12.75" x14ac:dyDescent="0.2"/>
  <cols>
    <col min="1" max="1" width="28" style="162" customWidth="1"/>
    <col min="2" max="2" width="13.85546875" style="162" bestFit="1" customWidth="1"/>
    <col min="3" max="7" width="13.42578125" style="162" customWidth="1"/>
    <col min="8" max="8" width="17.140625" style="162" customWidth="1"/>
    <col min="9" max="9" width="13.42578125" style="162" customWidth="1"/>
    <col min="10" max="10" width="13.85546875" style="162" bestFit="1" customWidth="1"/>
    <col min="11" max="11" width="11.7109375" style="162" bestFit="1" customWidth="1"/>
    <col min="12" max="16384" width="11.42578125" style="162"/>
  </cols>
  <sheetData>
    <row r="1" spans="1:11" x14ac:dyDescent="0.2">
      <c r="A1" s="201" t="s">
        <v>174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 ht="15" x14ac:dyDescent="0.25">
      <c r="A2" s="216" t="s">
        <v>193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3.5" customHeight="1" thickBot="1" x14ac:dyDescent="0.25">
      <c r="A3" s="163"/>
    </row>
    <row r="4" spans="1:11" ht="39" customHeight="1" thickTop="1" thickBot="1" x14ac:dyDescent="0.25">
      <c r="A4" s="164" t="s">
        <v>0</v>
      </c>
      <c r="B4" s="165" t="s">
        <v>134</v>
      </c>
      <c r="C4" s="165" t="s">
        <v>135</v>
      </c>
      <c r="D4" s="165" t="s">
        <v>136</v>
      </c>
      <c r="E4" s="165" t="s">
        <v>159</v>
      </c>
      <c r="F4" s="165" t="s">
        <v>149</v>
      </c>
      <c r="G4" s="165" t="s">
        <v>137</v>
      </c>
      <c r="H4" s="165" t="s">
        <v>215</v>
      </c>
      <c r="I4" s="165" t="s">
        <v>165</v>
      </c>
      <c r="J4" s="166" t="s">
        <v>53</v>
      </c>
      <c r="K4" s="213" t="s">
        <v>212</v>
      </c>
    </row>
    <row r="5" spans="1:11" ht="13.5" thickTop="1" x14ac:dyDescent="0.2">
      <c r="A5" s="167" t="s">
        <v>1</v>
      </c>
      <c r="B5" s="168">
        <f>'Part Estim 2018'!P$5*'CALCULO GARANTIA'!$N6</f>
        <v>7171413.0362414736</v>
      </c>
      <c r="C5" s="168">
        <f>'Part Estim 2018'!P$6*'CALCULO GARANTIA'!$N6</f>
        <v>977856.10075831658</v>
      </c>
      <c r="D5" s="168">
        <f>'Part Estim 2018'!P$7*'CALCULO GARANTIA'!$N6</f>
        <v>317388.66414161352</v>
      </c>
      <c r="E5" s="168">
        <f>'Part Estim 2018'!P$8*'CALCULO GARANTIA'!$N6</f>
        <v>328286.13085625181</v>
      </c>
      <c r="F5" s="168">
        <f>'Part Estim 2018'!P$9*'CALCULO GARANTIA'!$N6</f>
        <v>30187.95082295817</v>
      </c>
      <c r="G5" s="168">
        <f>'Part Estim 2018'!P$10*'CALCULO GARANTIA'!$N6</f>
        <v>214126.28528019699</v>
      </c>
      <c r="H5" s="168">
        <f>'Part Estim 2018'!P$11*'CALCULO GARANTIA'!$N6</f>
        <v>46495.396567171199</v>
      </c>
      <c r="I5" s="168">
        <f>+'Part Estim 2018'!P$12*'CALCULO GARANTIA'!N6</f>
        <v>321034.40674583515</v>
      </c>
      <c r="J5" s="169">
        <f>SUM(B5:I5)</f>
        <v>9406787.9714138173</v>
      </c>
      <c r="K5" s="210">
        <f>+J5/J$56*100</f>
        <v>0.13322353872480308</v>
      </c>
    </row>
    <row r="6" spans="1:11" x14ac:dyDescent="0.2">
      <c r="A6" s="167" t="s">
        <v>2</v>
      </c>
      <c r="B6" s="168">
        <f>'Part Estim 2018'!P$5*'CALCULO GARANTIA'!$N7</f>
        <v>14204972.675188499</v>
      </c>
      <c r="C6" s="168">
        <f>'Part Estim 2018'!P$6*'CALCULO GARANTIA'!$N7</f>
        <v>1936915.2385090073</v>
      </c>
      <c r="D6" s="168">
        <f>'Part Estim 2018'!P$7*'CALCULO GARANTIA'!$N7</f>
        <v>628676.28440337279</v>
      </c>
      <c r="E6" s="168">
        <f>'Part Estim 2018'!P$8*'CALCULO GARANTIA'!$N7</f>
        <v>650261.73989560618</v>
      </c>
      <c r="F6" s="168">
        <f>'Part Estim 2018'!P$9*'CALCULO GARANTIA'!$N7</f>
        <v>59795.609929727085</v>
      </c>
      <c r="G6" s="168">
        <f>'Part Estim 2018'!P$10*'CALCULO GARANTIA'!$N7</f>
        <v>424136.50086440198</v>
      </c>
      <c r="H6" s="168">
        <f>'Part Estim 2018'!P$11*'CALCULO GARANTIA'!$N7</f>
        <v>92097.029472572278</v>
      </c>
      <c r="I6" s="168">
        <f>+'Part Estim 2018'!P$12*'CALCULO GARANTIA'!N7</f>
        <v>635897.68886188383</v>
      </c>
      <c r="J6" s="169">
        <f t="shared" ref="J6:J55" si="0">SUM(B6:I6)</f>
        <v>18632752.767125066</v>
      </c>
      <c r="K6" s="211">
        <f t="shared" ref="K6:K55" si="1">+J6/J$56*100</f>
        <v>0.26388617106755957</v>
      </c>
    </row>
    <row r="7" spans="1:11" x14ac:dyDescent="0.2">
      <c r="A7" s="167" t="s">
        <v>3</v>
      </c>
      <c r="B7" s="168">
        <f>'Part Estim 2018'!P$5*'CALCULO GARANTIA'!$N8</f>
        <v>13965137.056260824</v>
      </c>
      <c r="C7" s="168">
        <f>'Part Estim 2018'!P$6*'CALCULO GARANTIA'!$N8</f>
        <v>1904212.5170282645</v>
      </c>
      <c r="D7" s="168">
        <f>'Part Estim 2018'!P$7*'CALCULO GARANTIA'!$N8</f>
        <v>618061.76445864979</v>
      </c>
      <c r="E7" s="168">
        <f>'Part Estim 2018'!P$8*'CALCULO GARANTIA'!$N8</f>
        <v>639282.77285223734</v>
      </c>
      <c r="F7" s="168">
        <f>'Part Estim 2018'!P$9*'CALCULO GARANTIA'!$N8</f>
        <v>58786.025649307936</v>
      </c>
      <c r="G7" s="168">
        <f>'Part Estim 2018'!P$10*'CALCULO GARANTIA'!$N8</f>
        <v>416975.41421392857</v>
      </c>
      <c r="H7" s="168">
        <f>'Part Estim 2018'!P$11*'CALCULO GARANTIA'!$N8</f>
        <v>90542.070616260244</v>
      </c>
      <c r="I7" s="168">
        <f>+'Part Estim 2018'!P$12*'CALCULO GARANTIA'!N8</f>
        <v>625161.24330368475</v>
      </c>
      <c r="J7" s="169">
        <f t="shared" si="0"/>
        <v>18318158.864383161</v>
      </c>
      <c r="K7" s="211">
        <f t="shared" si="1"/>
        <v>0.25943073812786888</v>
      </c>
    </row>
    <row r="8" spans="1:11" x14ac:dyDescent="0.2">
      <c r="A8" s="167" t="s">
        <v>4</v>
      </c>
      <c r="B8" s="168">
        <f>'Part Estim 2018'!P$5*'CALCULO GARANTIA'!$N9</f>
        <v>38791171.230722018</v>
      </c>
      <c r="C8" s="168">
        <f>'Part Estim 2018'!P$6*'CALCULO GARANTIA'!$N9</f>
        <v>5289359.7470718566</v>
      </c>
      <c r="D8" s="168">
        <f>'Part Estim 2018'!P$7*'CALCULO GARANTIA'!$N9</f>
        <v>1716799.4585150944</v>
      </c>
      <c r="E8" s="168">
        <f>'Part Estim 2018'!P$8*'CALCULO GARANTIA'!$N9</f>
        <v>1775745.3726846366</v>
      </c>
      <c r="F8" s="168">
        <f>'Part Estim 2018'!P$9*'CALCULO GARANTIA'!$N9</f>
        <v>163290.8275621674</v>
      </c>
      <c r="G8" s="168">
        <f>'Part Estim 2018'!P$10*'CALCULO GARANTIA'!$N9</f>
        <v>1158238.8791896754</v>
      </c>
      <c r="H8" s="168">
        <f>'Part Estim 2018'!P$11*'CALCULO GARANTIA'!$N9</f>
        <v>251500.07126388195</v>
      </c>
      <c r="I8" s="168">
        <f>+'Part Estim 2018'!P$12*'CALCULO GARANTIA'!N9</f>
        <v>1736519.787676001</v>
      </c>
      <c r="J8" s="169">
        <f t="shared" si="0"/>
        <v>50882625.374685325</v>
      </c>
      <c r="K8" s="211">
        <f t="shared" si="1"/>
        <v>0.72062466302248418</v>
      </c>
    </row>
    <row r="9" spans="1:11" x14ac:dyDescent="0.2">
      <c r="A9" s="167" t="s">
        <v>5</v>
      </c>
      <c r="B9" s="168">
        <f>'Part Estim 2018'!P$5*'CALCULO GARANTIA'!$N10</f>
        <v>51621898.220440447</v>
      </c>
      <c r="C9" s="168">
        <f>'Part Estim 2018'!P$6*'CALCULO GARANTIA'!$N10</f>
        <v>7038890.0837928066</v>
      </c>
      <c r="D9" s="168">
        <f>'Part Estim 2018'!P$7*'CALCULO GARANTIA'!$N10</f>
        <v>2284655.0929141385</v>
      </c>
      <c r="E9" s="168">
        <f>'Part Estim 2018'!P$8*'CALCULO GARANTIA'!$N10</f>
        <v>2363098.1995600397</v>
      </c>
      <c r="F9" s="168">
        <f>'Part Estim 2018'!P$9*'CALCULO GARANTIA'!$N10</f>
        <v>217301.57180894181</v>
      </c>
      <c r="G9" s="168">
        <f>'Part Estim 2018'!P$10*'CALCULO GARANTIA'!$N10</f>
        <v>1541342.7241179377</v>
      </c>
      <c r="H9" s="168">
        <f>'Part Estim 2018'!P$11*'CALCULO GARANTIA'!$N10</f>
        <v>334687.26695561502</v>
      </c>
      <c r="I9" s="168">
        <f>+'Part Estim 2018'!P$12*'CALCULO GARANTIA'!N10</f>
        <v>2310898.1990777305</v>
      </c>
      <c r="J9" s="169">
        <f t="shared" si="0"/>
        <v>67712771.358667657</v>
      </c>
      <c r="K9" s="211">
        <f t="shared" si="1"/>
        <v>0.95898143390483725</v>
      </c>
    </row>
    <row r="10" spans="1:11" x14ac:dyDescent="0.2">
      <c r="A10" s="167" t="s">
        <v>6</v>
      </c>
      <c r="B10" s="168">
        <f>'Part Estim 2018'!P$5*'CALCULO GARANTIA'!$N11</f>
        <v>335095904.5474115</v>
      </c>
      <c r="C10" s="168">
        <f>'Part Estim 2018'!P$6*'CALCULO GARANTIA'!$N11</f>
        <v>45691912.171962567</v>
      </c>
      <c r="D10" s="168">
        <f>'Part Estim 2018'!P$7*'CALCULO GARANTIA'!$N11</f>
        <v>14830500.0654891</v>
      </c>
      <c r="E10" s="168">
        <f>'Part Estim 2018'!P$8*'CALCULO GARANTIA'!$N11</f>
        <v>15339701.870985841</v>
      </c>
      <c r="F10" s="168">
        <f>'Part Estim 2018'!P$9*'CALCULO GARANTIA'!$N11</f>
        <v>1410580.9603115048</v>
      </c>
      <c r="G10" s="168">
        <f>'Part Estim 2018'!P$10*'CALCULO GARANTIA'!$N11</f>
        <v>10005397.944691559</v>
      </c>
      <c r="H10" s="168">
        <f>'Part Estim 2018'!P$11*'CALCULO GARANTIA'!$N11</f>
        <v>2172572.8097419022</v>
      </c>
      <c r="I10" s="168">
        <f>+'Part Estim 2018'!P$12*'CALCULO GARANTIA'!N11</f>
        <v>15000853.301250983</v>
      </c>
      <c r="J10" s="169">
        <f t="shared" si="0"/>
        <v>439547423.67184502</v>
      </c>
      <c r="K10" s="211">
        <f t="shared" si="1"/>
        <v>6.2250859057188199</v>
      </c>
    </row>
    <row r="11" spans="1:11" x14ac:dyDescent="0.2">
      <c r="A11" s="167" t="s">
        <v>7</v>
      </c>
      <c r="B11" s="168">
        <f>'Part Estim 2018'!P$5*'CALCULO GARANTIA'!$N12</f>
        <v>57541909.524495475</v>
      </c>
      <c r="C11" s="168">
        <f>'Part Estim 2018'!P$6*'CALCULO GARANTIA'!$N12</f>
        <v>7846111.6370590189</v>
      </c>
      <c r="D11" s="168">
        <f>'Part Estim 2018'!P$7*'CALCULO GARANTIA'!$N12</f>
        <v>2546659.8707733746</v>
      </c>
      <c r="E11" s="168">
        <f>'Part Estim 2018'!P$8*'CALCULO GARANTIA'!$N12</f>
        <v>2634098.8511487902</v>
      </c>
      <c r="F11" s="168">
        <f>'Part Estim 2018'!P$9*'CALCULO GARANTIA'!$N12</f>
        <v>242221.76664572294</v>
      </c>
      <c r="G11" s="168">
        <f>'Part Estim 2018'!P$10*'CALCULO GARANTIA'!$N12</f>
        <v>1718104.2665012837</v>
      </c>
      <c r="H11" s="168">
        <f>'Part Estim 2018'!P$11*'CALCULO GARANTIA'!$N12</f>
        <v>373069.28063592518</v>
      </c>
      <c r="I11" s="168">
        <f>+'Part Estim 2018'!P$12*'CALCULO GARANTIA'!N12</f>
        <v>2575912.5424604691</v>
      </c>
      <c r="J11" s="169">
        <f t="shared" si="0"/>
        <v>75478087.739720047</v>
      </c>
      <c r="K11" s="211">
        <f t="shared" si="1"/>
        <v>1.0689576479691152</v>
      </c>
    </row>
    <row r="12" spans="1:11" x14ac:dyDescent="0.2">
      <c r="A12" s="167" t="s">
        <v>8</v>
      </c>
      <c r="B12" s="168">
        <f>'Part Estim 2018'!P$5*'CALCULO GARANTIA'!$N13</f>
        <v>9369662.3986729998</v>
      </c>
      <c r="C12" s="168">
        <f>'Part Estim 2018'!P$6*'CALCULO GARANTIA'!$N13</f>
        <v>1277597.8028717865</v>
      </c>
      <c r="D12" s="168">
        <f>'Part Estim 2018'!P$7*'CALCULO GARANTIA'!$N13</f>
        <v>414677.63983809057</v>
      </c>
      <c r="E12" s="168">
        <f>'Part Estim 2018'!P$8*'CALCULO GARANTIA'!$N13</f>
        <v>428915.5011355693</v>
      </c>
      <c r="F12" s="168">
        <f>'Part Estim 2018'!P$9*'CALCULO GARANTIA'!$N13</f>
        <v>39441.447074578551</v>
      </c>
      <c r="G12" s="168">
        <f>'Part Estim 2018'!P$10*'CALCULO GARANTIA'!$N13</f>
        <v>279762.29978923145</v>
      </c>
      <c r="H12" s="168">
        <f>'Part Estim 2018'!P$11*'CALCULO GARANTIA'!$N13</f>
        <v>60747.605349912337</v>
      </c>
      <c r="I12" s="168">
        <f>+'Part Estim 2018'!P$12*'CALCULO GARANTIA'!N13</f>
        <v>419440.90995255584</v>
      </c>
      <c r="J12" s="169">
        <f t="shared" si="0"/>
        <v>12290245.604684725</v>
      </c>
      <c r="K12" s="211">
        <f t="shared" si="1"/>
        <v>0.17406047805359079</v>
      </c>
    </row>
    <row r="13" spans="1:11" x14ac:dyDescent="0.2">
      <c r="A13" s="167" t="s">
        <v>9</v>
      </c>
      <c r="B13" s="168">
        <f>'Part Estim 2018'!P$5*'CALCULO GARANTIA'!$N14</f>
        <v>93136277.668806553</v>
      </c>
      <c r="C13" s="168">
        <f>'Part Estim 2018'!P$6*'CALCULO GARANTIA'!$N14</f>
        <v>12699572.156855537</v>
      </c>
      <c r="D13" s="168">
        <f>'Part Estim 2018'!P$7*'CALCULO GARANTIA'!$N14</f>
        <v>4121976.8828037633</v>
      </c>
      <c r="E13" s="168">
        <f>'Part Estim 2018'!P$8*'CALCULO GARANTIA'!$N14</f>
        <v>4263504.0101205101</v>
      </c>
      <c r="F13" s="168">
        <f>'Part Estim 2018'!P$9*'CALCULO GARANTIA'!$N14</f>
        <v>392055.70169932098</v>
      </c>
      <c r="G13" s="168">
        <f>'Part Estim 2018'!P$10*'CALCULO GARANTIA'!$N14</f>
        <v>2780892.0029097316</v>
      </c>
      <c r="H13" s="168">
        <f>'Part Estim 2018'!P$11*'CALCULO GARANTIA'!$N14</f>
        <v>603843.08407801483</v>
      </c>
      <c r="I13" s="168">
        <f>+'Part Estim 2018'!P$12*'CALCULO GARANTIA'!N14</f>
        <v>4169324.7198032257</v>
      </c>
      <c r="J13" s="169">
        <f t="shared" si="0"/>
        <v>122167446.22707666</v>
      </c>
      <c r="K13" s="211">
        <f t="shared" si="1"/>
        <v>1.7301952114582495</v>
      </c>
    </row>
    <row r="14" spans="1:11" x14ac:dyDescent="0.2">
      <c r="A14" s="167" t="s">
        <v>10</v>
      </c>
      <c r="B14" s="168">
        <f>'Part Estim 2018'!P$5*'CALCULO GARANTIA'!$N15</f>
        <v>13305844.239016058</v>
      </c>
      <c r="C14" s="168">
        <f>'Part Estim 2018'!P$6*'CALCULO GARANTIA'!$N15</f>
        <v>1814314.8217942978</v>
      </c>
      <c r="D14" s="168">
        <f>'Part Estim 2018'!P$7*'CALCULO GARANTIA'!$N15</f>
        <v>588883.12623407668</v>
      </c>
      <c r="E14" s="168">
        <f>'Part Estim 2018'!P$8*'CALCULO GARANTIA'!$N15</f>
        <v>609102.29280167876</v>
      </c>
      <c r="F14" s="168">
        <f>'Part Estim 2018'!P$9*'CALCULO GARANTIA'!$N15</f>
        <v>56010.742864125408</v>
      </c>
      <c r="G14" s="168">
        <f>'Part Estim 2018'!P$10*'CALCULO GARANTIA'!$N15</f>
        <v>397290.04381968261</v>
      </c>
      <c r="H14" s="168">
        <f>'Part Estim 2018'!P$11*'CALCULO GARANTIA'!$N15</f>
        <v>86267.587911559051</v>
      </c>
      <c r="I14" s="168">
        <f>+'Part Estim 2018'!P$12*'CALCULO GARANTIA'!N15</f>
        <v>595647.43934533792</v>
      </c>
      <c r="J14" s="169">
        <f t="shared" si="0"/>
        <v>17453360.293786816</v>
      </c>
      <c r="K14" s="211">
        <f t="shared" si="1"/>
        <v>0.24718303719008741</v>
      </c>
    </row>
    <row r="15" spans="1:11" x14ac:dyDescent="0.2">
      <c r="A15" s="167" t="s">
        <v>11</v>
      </c>
      <c r="B15" s="168">
        <f>'Part Estim 2018'!P$5*'CALCULO GARANTIA'!$N16</f>
        <v>19356215.59777436</v>
      </c>
      <c r="C15" s="168">
        <f>'Part Estim 2018'!P$6*'CALCULO GARANTIA'!$N16</f>
        <v>2639311.5853492753</v>
      </c>
      <c r="D15" s="168">
        <f>'Part Estim 2018'!P$7*'CALCULO GARANTIA'!$N16</f>
        <v>856657.31151840556</v>
      </c>
      <c r="E15" s="168">
        <f>'Part Estim 2018'!P$8*'CALCULO GARANTIA'!$N16</f>
        <v>886070.44309123978</v>
      </c>
      <c r="F15" s="168">
        <f>'Part Estim 2018'!P$9*'CALCULO GARANTIA'!$N16</f>
        <v>81479.686308854929</v>
      </c>
      <c r="G15" s="168">
        <f>'Part Estim 2018'!P$10*'CALCULO GARANTIA'!$N16</f>
        <v>577943.91734076559</v>
      </c>
      <c r="H15" s="168">
        <f>'Part Estim 2018'!P$11*'CALCULO GARANTIA'!$N16</f>
        <v>125494.78264744587</v>
      </c>
      <c r="I15" s="168">
        <f>+'Part Estim 2018'!P$12*'CALCULO GARANTIA'!N16</f>
        <v>866497.46150065924</v>
      </c>
      <c r="J15" s="169">
        <f t="shared" si="0"/>
        <v>25389670.785531007</v>
      </c>
      <c r="K15" s="211">
        <f t="shared" si="1"/>
        <v>0.35958095360342329</v>
      </c>
    </row>
    <row r="16" spans="1:11" x14ac:dyDescent="0.2">
      <c r="A16" s="167" t="s">
        <v>12</v>
      </c>
      <c r="B16" s="168">
        <f>'Part Estim 2018'!P$5*'CALCULO GARANTIA'!$N17</f>
        <v>47283199.545327619</v>
      </c>
      <c r="C16" s="168">
        <f>'Part Estim 2018'!P$6*'CALCULO GARANTIA'!$N17</f>
        <v>6447287.9898441564</v>
      </c>
      <c r="D16" s="168">
        <f>'Part Estim 2018'!P$7*'CALCULO GARANTIA'!$N17</f>
        <v>2092635.2260276596</v>
      </c>
      <c r="E16" s="168">
        <f>'Part Estim 2018'!P$8*'CALCULO GARANTIA'!$N17</f>
        <v>2164485.3747504917</v>
      </c>
      <c r="F16" s="168">
        <f>'Part Estim 2018'!P$9*'CALCULO GARANTIA'!$N17</f>
        <v>199037.88770958272</v>
      </c>
      <c r="G16" s="168">
        <f>'Part Estim 2018'!P$10*'CALCULO GARANTIA'!$N17</f>
        <v>1411796.5069976749</v>
      </c>
      <c r="H16" s="168">
        <f>'Part Estim 2018'!P$11*'CALCULO GARANTIA'!$N17</f>
        <v>306557.59230636945</v>
      </c>
      <c r="I16" s="168">
        <f>+'Part Estim 2018'!P$12*'CALCULO GARANTIA'!N17</f>
        <v>2116672.6610736069</v>
      </c>
      <c r="J16" s="169">
        <f t="shared" si="0"/>
        <v>62021672.784037165</v>
      </c>
      <c r="K16" s="211">
        <f t="shared" si="1"/>
        <v>0.8783813083733587</v>
      </c>
    </row>
    <row r="17" spans="1:11" x14ac:dyDescent="0.2">
      <c r="A17" s="167" t="s">
        <v>13</v>
      </c>
      <c r="B17" s="168">
        <f>'Part Estim 2018'!P$5*'CALCULO GARANTIA'!$N18</f>
        <v>24058143.583980504</v>
      </c>
      <c r="C17" s="168">
        <f>'Part Estim 2018'!P$6*'CALCULO GARANTIA'!$N18</f>
        <v>3280441.7145724064</v>
      </c>
      <c r="D17" s="168">
        <f>'Part Estim 2018'!P$7*'CALCULO GARANTIA'!$N18</f>
        <v>1064752.7921287606</v>
      </c>
      <c r="E17" s="168">
        <f>'Part Estim 2018'!P$8*'CALCULO GARANTIA'!$N18</f>
        <v>1101310.8341209732</v>
      </c>
      <c r="F17" s="168">
        <f>'Part Estim 2018'!P$9*'CALCULO GARANTIA'!$N18</f>
        <v>101272.37850262002</v>
      </c>
      <c r="G17" s="168">
        <f>'Part Estim 2018'!P$10*'CALCULO GARANTIA'!$N18</f>
        <v>718335.5484256465</v>
      </c>
      <c r="H17" s="168">
        <f>'Part Estim 2018'!P$11*'CALCULO GARANTIA'!$N18</f>
        <v>155979.43124377224</v>
      </c>
      <c r="I17" s="168">
        <f>+'Part Estim 2018'!P$12*'CALCULO GARANTIA'!N18</f>
        <v>1076983.2686888678</v>
      </c>
      <c r="J17" s="169">
        <f t="shared" si="0"/>
        <v>31557219.551663555</v>
      </c>
      <c r="K17" s="211">
        <f t="shared" si="1"/>
        <v>0.44692880011372121</v>
      </c>
    </row>
    <row r="18" spans="1:11" x14ac:dyDescent="0.2">
      <c r="A18" s="167" t="s">
        <v>14</v>
      </c>
      <c r="B18" s="168">
        <f>'Part Estim 2018'!P$5*'CALCULO GARANTIA'!$N19</f>
        <v>125636102.85948633</v>
      </c>
      <c r="C18" s="168">
        <f>'Part Estim 2018'!P$6*'CALCULO GARANTIA'!$N19</f>
        <v>17131077.10234965</v>
      </c>
      <c r="D18" s="168">
        <f>'Part Estim 2018'!P$7*'CALCULO GARANTIA'!$N19</f>
        <v>5560337.2240611296</v>
      </c>
      <c r="E18" s="168">
        <f>'Part Estim 2018'!P$8*'CALCULO GARANTIA'!$N19</f>
        <v>5751250.122558143</v>
      </c>
      <c r="F18" s="168">
        <f>'Part Estim 2018'!P$9*'CALCULO GARANTIA'!$N19</f>
        <v>528863.2066711965</v>
      </c>
      <c r="G18" s="168">
        <f>'Part Estim 2018'!P$10*'CALCULO GARANTIA'!$N19</f>
        <v>3751281.9114490487</v>
      </c>
      <c r="H18" s="168">
        <f>'Part Estim 2018'!P$11*'CALCULO GARANTIA'!$N19</f>
        <v>814553.61671195133</v>
      </c>
      <c r="I18" s="168">
        <f>+'Part Estim 2018'!P$12*'CALCULO GARANTIA'!N19</f>
        <v>5624207.0486700963</v>
      </c>
      <c r="J18" s="169">
        <f t="shared" si="0"/>
        <v>164797673.09195754</v>
      </c>
      <c r="K18" s="211">
        <f t="shared" si="1"/>
        <v>2.3339453647347463</v>
      </c>
    </row>
    <row r="19" spans="1:11" x14ac:dyDescent="0.2">
      <c r="A19" s="167" t="s">
        <v>15</v>
      </c>
      <c r="B19" s="168">
        <f>'Part Estim 2018'!P$5*'CALCULO GARANTIA'!$N20</f>
        <v>15858678.336634435</v>
      </c>
      <c r="C19" s="168">
        <f>'Part Estim 2018'!P$6*'CALCULO GARANTIA'!$N20</f>
        <v>2162405.8303535106</v>
      </c>
      <c r="D19" s="168">
        <f>'Part Estim 2018'!P$7*'CALCULO GARANTIA'!$N20</f>
        <v>701865.12851502514</v>
      </c>
      <c r="E19" s="168">
        <f>'Part Estim 2018'!P$8*'CALCULO GARANTIA'!$N20</f>
        <v>725963.50612042425</v>
      </c>
      <c r="F19" s="168">
        <f>'Part Estim 2018'!P$9*'CALCULO GARANTIA'!$N20</f>
        <v>66756.858003306392</v>
      </c>
      <c r="G19" s="168">
        <f>'Part Estim 2018'!P$10*'CALCULO GARANTIA'!$N20</f>
        <v>473513.35985199054</v>
      </c>
      <c r="H19" s="168">
        <f>'Part Estim 2018'!P$11*'CALCULO GARANTIA'!$N20</f>
        <v>102818.72408780848</v>
      </c>
      <c r="I19" s="168">
        <f>+'Part Estim 2018'!P$12*'CALCULO GARANTIA'!N20</f>
        <v>709927.22993999289</v>
      </c>
      <c r="J19" s="169">
        <f t="shared" si="0"/>
        <v>20801928.973506492</v>
      </c>
      <c r="K19" s="211">
        <f t="shared" si="1"/>
        <v>0.29460710697150166</v>
      </c>
    </row>
    <row r="20" spans="1:11" x14ac:dyDescent="0.2">
      <c r="A20" s="167" t="s">
        <v>16</v>
      </c>
      <c r="B20" s="168">
        <f>'Part Estim 2018'!P$5*'CALCULO GARANTIA'!$N21</f>
        <v>11714777.934127811</v>
      </c>
      <c r="C20" s="168">
        <f>'Part Estim 2018'!P$6*'CALCULO GARANTIA'!$N21</f>
        <v>1597365.402609627</v>
      </c>
      <c r="D20" s="168">
        <f>'Part Estim 2018'!P$7*'CALCULO GARANTIA'!$N21</f>
        <v>518466.54214985046</v>
      </c>
      <c r="E20" s="168">
        <f>'Part Estim 2018'!P$8*'CALCULO GARANTIA'!$N21</f>
        <v>536267.97151410358</v>
      </c>
      <c r="F20" s="168">
        <f>'Part Estim 2018'!P$9*'CALCULO GARANTIA'!$N21</f>
        <v>49313.174180617374</v>
      </c>
      <c r="G20" s="168">
        <f>'Part Estim 2018'!P$10*'CALCULO GARANTIA'!$N21</f>
        <v>349783.49026064173</v>
      </c>
      <c r="H20" s="168">
        <f>'Part Estim 2018'!P$11*'CALCULO GARANTIA'!$N21</f>
        <v>75952.011547934322</v>
      </c>
      <c r="I20" s="168">
        <f>+'Part Estim 2018'!P$12*'CALCULO GARANTIA'!N21</f>
        <v>524422.00236356433</v>
      </c>
      <c r="J20" s="169">
        <f t="shared" si="0"/>
        <v>15366348.528754152</v>
      </c>
      <c r="K20" s="211">
        <f t="shared" si="1"/>
        <v>0.21762575434892223</v>
      </c>
    </row>
    <row r="21" spans="1:11" x14ac:dyDescent="0.2">
      <c r="A21" s="167" t="s">
        <v>17</v>
      </c>
      <c r="B21" s="168">
        <f>'Part Estim 2018'!P$5*'CALCULO GARANTIA'!$N22</f>
        <v>102740173.94554913</v>
      </c>
      <c r="C21" s="168">
        <f>'Part Estim 2018'!P$6*'CALCULO GARANTIA'!$N22</f>
        <v>14009108.85733608</v>
      </c>
      <c r="D21" s="168">
        <f>'Part Estim 2018'!P$7*'CALCULO GARANTIA'!$N22</f>
        <v>4547021.1236563977</v>
      </c>
      <c r="E21" s="168">
        <f>'Part Estim 2018'!P$8*'CALCULO GARANTIA'!$N22</f>
        <v>4703142.0471298778</v>
      </c>
      <c r="F21" s="168">
        <f>'Part Estim 2018'!P$9*'CALCULO GARANTIA'!$N22</f>
        <v>432483.15261393797</v>
      </c>
      <c r="G21" s="168">
        <f>'Part Estim 2018'!P$10*'CALCULO GARANTIA'!$N22</f>
        <v>3067648.1308252122</v>
      </c>
      <c r="H21" s="168">
        <f>'Part Estim 2018'!P$11*'CALCULO GARANTIA'!$N22</f>
        <v>666109.32975658681</v>
      </c>
      <c r="I21" s="168">
        <f>+'Part Estim 2018'!P$12*'CALCULO GARANTIA'!N22</f>
        <v>4599251.308617929</v>
      </c>
      <c r="J21" s="169">
        <f t="shared" si="0"/>
        <v>134764937.89548513</v>
      </c>
      <c r="K21" s="211">
        <f t="shared" si="1"/>
        <v>1.9086070587563615</v>
      </c>
    </row>
    <row r="22" spans="1:11" x14ac:dyDescent="0.2">
      <c r="A22" s="167" t="s">
        <v>18</v>
      </c>
      <c r="B22" s="168">
        <f>'Part Estim 2018'!P$5*'CALCULO GARANTIA'!$N23</f>
        <v>110231213.96918082</v>
      </c>
      <c r="C22" s="168">
        <f>'Part Estim 2018'!P$6*'CALCULO GARANTIA'!$N23</f>
        <v>15030547.610217072</v>
      </c>
      <c r="D22" s="168">
        <f>'Part Estim 2018'!P$7*'CALCULO GARANTIA'!$N23</f>
        <v>4878555.6725823237</v>
      </c>
      <c r="E22" s="168">
        <f>'Part Estim 2018'!P$8*'CALCULO GARANTIA'!$N23</f>
        <v>5046059.7584678708</v>
      </c>
      <c r="F22" s="168">
        <f>'Part Estim 2018'!P$9*'CALCULO GARANTIA'!$N23</f>
        <v>464016.56823278288</v>
      </c>
      <c r="G22" s="168">
        <f>'Part Estim 2018'!P$10*'CALCULO GARANTIA'!$N23</f>
        <v>3291317.9383010068</v>
      </c>
      <c r="H22" s="168">
        <f>'Part Estim 2018'!P$11*'CALCULO GARANTIA'!$N23</f>
        <v>714677.00740102632</v>
      </c>
      <c r="I22" s="168">
        <f>+'Part Estim 2018'!P$12*'CALCULO GARANTIA'!N23</f>
        <v>4934594.0894259224</v>
      </c>
      <c r="J22" s="169">
        <f t="shared" si="0"/>
        <v>144590982.61380881</v>
      </c>
      <c r="K22" s="211">
        <f t="shared" si="1"/>
        <v>2.0477683168841447</v>
      </c>
    </row>
    <row r="23" spans="1:11" x14ac:dyDescent="0.2">
      <c r="A23" s="167" t="s">
        <v>19</v>
      </c>
      <c r="B23" s="168">
        <f>'Part Estim 2018'!P$5*'CALCULO GARANTIA'!$N24</f>
        <v>19746697.102354862</v>
      </c>
      <c r="C23" s="168">
        <f>'Part Estim 2018'!P$6*'CALCULO GARANTIA'!$N24</f>
        <v>2692555.5861560465</v>
      </c>
      <c r="D23" s="168">
        <f>'Part Estim 2018'!P$7*'CALCULO GARANTIA'!$N24</f>
        <v>873939.0386319462</v>
      </c>
      <c r="E23" s="168">
        <f>'Part Estim 2018'!P$8*'CALCULO GARANTIA'!$N24</f>
        <v>903945.53432665474</v>
      </c>
      <c r="F23" s="168">
        <f>'Part Estim 2018'!P$9*'CALCULO GARANTIA'!$N24</f>
        <v>83123.412084790572</v>
      </c>
      <c r="G23" s="168">
        <f>'Part Estim 2018'!P$10*'CALCULO GARANTIA'!$N24</f>
        <v>589603.03579118836</v>
      </c>
      <c r="H23" s="168">
        <f>'Part Estim 2018'!P$11*'CALCULO GARANTIA'!$N24</f>
        <v>128026.44444350545</v>
      </c>
      <c r="I23" s="168">
        <f>+'Part Estim 2018'!P$12*'CALCULO GARANTIA'!N24</f>
        <v>883977.69831517735</v>
      </c>
      <c r="J23" s="169">
        <f t="shared" si="0"/>
        <v>25901867.852104172</v>
      </c>
      <c r="K23" s="211">
        <f t="shared" si="1"/>
        <v>0.36683493933592881</v>
      </c>
    </row>
    <row r="24" spans="1:11" x14ac:dyDescent="0.2">
      <c r="A24" s="167" t="s">
        <v>20</v>
      </c>
      <c r="B24" s="168">
        <f>'Part Estim 2018'!P$5*'CALCULO GARANTIA'!$N25</f>
        <v>269122862.68938816</v>
      </c>
      <c r="C24" s="168">
        <f>'Part Estim 2018'!P$6*'CALCULO GARANTIA'!$N25</f>
        <v>36696175.747295193</v>
      </c>
      <c r="D24" s="168">
        <f>'Part Estim 2018'!P$7*'CALCULO GARANTIA'!$N25</f>
        <v>11910699.529826337</v>
      </c>
      <c r="E24" s="168">
        <f>'Part Estim 2018'!P$8*'CALCULO GARANTIA'!$N25</f>
        <v>12319650.656122478</v>
      </c>
      <c r="F24" s="168">
        <f>'Part Estim 2018'!P$9*'CALCULO GARANTIA'!$N25</f>
        <v>1132868.4741966682</v>
      </c>
      <c r="G24" s="168">
        <f>'Part Estim 2018'!P$10*'CALCULO GARANTIA'!$N25</f>
        <v>8035554.3015624508</v>
      </c>
      <c r="H24" s="168">
        <f>'Part Estim 2018'!P$11*'CALCULO GARANTIA'!$N25</f>
        <v>1744840.8232519676</v>
      </c>
      <c r="I24" s="168">
        <f>+'Part Estim 2018'!P$12*'CALCULO GARANTIA'!N25</f>
        <v>12047513.945802441</v>
      </c>
      <c r="J24" s="169">
        <f t="shared" si="0"/>
        <v>353010166.16744572</v>
      </c>
      <c r="K24" s="211">
        <f t="shared" si="1"/>
        <v>4.9995028787269984</v>
      </c>
    </row>
    <row r="25" spans="1:11" x14ac:dyDescent="0.2">
      <c r="A25" s="167" t="s">
        <v>21</v>
      </c>
      <c r="B25" s="168">
        <f>'Part Estim 2018'!P$5*'CALCULO GARANTIA'!$N26</f>
        <v>39853503.85093607</v>
      </c>
      <c r="C25" s="168">
        <f>'Part Estim 2018'!P$6*'CALCULO GARANTIA'!$N26</f>
        <v>5434213.8265205175</v>
      </c>
      <c r="D25" s="168">
        <f>'Part Estim 2018'!P$7*'CALCULO GARANTIA'!$N26</f>
        <v>1763815.6224844353</v>
      </c>
      <c r="E25" s="168">
        <f>'Part Estim 2018'!P$8*'CALCULO GARANTIA'!$N26</f>
        <v>1824375.8258198861</v>
      </c>
      <c r="F25" s="168">
        <f>'Part Estim 2018'!P$9*'CALCULO GARANTIA'!$N26</f>
        <v>167762.70008360481</v>
      </c>
      <c r="G25" s="168">
        <f>'Part Estim 2018'!P$10*'CALCULO GARANTIA'!$N26</f>
        <v>1189958.3376212085</v>
      </c>
      <c r="H25" s="168">
        <f>'Part Estim 2018'!P$11*'CALCULO GARANTIA'!$N26</f>
        <v>258387.63668696929</v>
      </c>
      <c r="I25" s="168">
        <f>+'Part Estim 2018'!P$12*'CALCULO GARANTIA'!N26</f>
        <v>1784076.0113621368</v>
      </c>
      <c r="J25" s="169">
        <f t="shared" si="0"/>
        <v>52276093.811514832</v>
      </c>
      <c r="K25" s="211">
        <f t="shared" si="1"/>
        <v>0.7403596455499839</v>
      </c>
    </row>
    <row r="26" spans="1:11" x14ac:dyDescent="0.2">
      <c r="A26" s="167" t="s">
        <v>22</v>
      </c>
      <c r="B26" s="168">
        <f>'Part Estim 2018'!P$5*'CALCULO GARANTIA'!$N27</f>
        <v>6392518.9797314219</v>
      </c>
      <c r="C26" s="168">
        <f>'Part Estim 2018'!P$6*'CALCULO GARANTIA'!$N27</f>
        <v>871650.2106284789</v>
      </c>
      <c r="D26" s="168">
        <f>'Part Estim 2018'!P$7*'CALCULO GARANTIA'!$N27</f>
        <v>282916.77654369443</v>
      </c>
      <c r="E26" s="168">
        <f>'Part Estim 2018'!P$8*'CALCULO GARANTIA'!$N27</f>
        <v>292630.65893371589</v>
      </c>
      <c r="F26" s="168">
        <f>'Part Estim 2018'!P$9*'CALCULO GARANTIA'!$N27</f>
        <v>26909.208494857223</v>
      </c>
      <c r="G26" s="168">
        <f>'Part Estim 2018'!P$10*'CALCULO GARANTIA'!$N27</f>
        <v>190869.82381235616</v>
      </c>
      <c r="H26" s="168">
        <f>'Part Estim 2018'!P$11*'CALCULO GARANTIA'!$N27</f>
        <v>41445.486896896829</v>
      </c>
      <c r="I26" s="168">
        <f>+'Part Estim 2018'!P$12*'CALCULO GARANTIA'!N27</f>
        <v>286166.55154269747</v>
      </c>
      <c r="J26" s="169">
        <f t="shared" si="0"/>
        <v>8385107.6965841185</v>
      </c>
      <c r="K26" s="211">
        <f t="shared" si="1"/>
        <v>0.11875400225052828</v>
      </c>
    </row>
    <row r="27" spans="1:11" x14ac:dyDescent="0.2">
      <c r="A27" s="167" t="s">
        <v>23</v>
      </c>
      <c r="B27" s="168">
        <f>'Part Estim 2018'!P$5*'CALCULO GARANTIA'!$N28</f>
        <v>29252418.626565181</v>
      </c>
      <c r="C27" s="168">
        <f>'Part Estim 2018'!P$6*'CALCULO GARANTIA'!$N28</f>
        <v>3988705.6945913457</v>
      </c>
      <c r="D27" s="168">
        <f>'Part Estim 2018'!P$7*'CALCULO GARANTIA'!$N28</f>
        <v>1294638.3124047068</v>
      </c>
      <c r="E27" s="168">
        <f>'Part Estim 2018'!P$8*'CALCULO GARANTIA'!$N28</f>
        <v>1339089.4208117509</v>
      </c>
      <c r="F27" s="168">
        <f>'Part Estim 2018'!P$9*'CALCULO GARANTIA'!$N28</f>
        <v>123137.59791670724</v>
      </c>
      <c r="G27" s="168">
        <f>'Part Estim 2018'!P$10*'CALCULO GARANTIA'!$N28</f>
        <v>873427.83135113434</v>
      </c>
      <c r="H27" s="168">
        <f>'Part Estim 2018'!P$11*'CALCULO GARANTIA'!$N28</f>
        <v>189656.18040930486</v>
      </c>
      <c r="I27" s="168">
        <f>+'Part Estim 2018'!P$12*'CALCULO GARANTIA'!N28</f>
        <v>1309509.4107955601</v>
      </c>
      <c r="J27" s="169">
        <f t="shared" si="0"/>
        <v>38370583.074845687</v>
      </c>
      <c r="K27" s="211">
        <f t="shared" si="1"/>
        <v>0.54342299153540696</v>
      </c>
    </row>
    <row r="28" spans="1:11" x14ac:dyDescent="0.2">
      <c r="A28" s="167" t="s">
        <v>24</v>
      </c>
      <c r="B28" s="168">
        <f>'Part Estim 2018'!P$5*'CALCULO GARANTIA'!$N29</f>
        <v>28176109.48130637</v>
      </c>
      <c r="C28" s="168">
        <f>'Part Estim 2018'!P$6*'CALCULO GARANTIA'!$N29</f>
        <v>3841945.8498195405</v>
      </c>
      <c r="D28" s="168">
        <f>'Part Estim 2018'!P$7*'CALCULO GARANTIA'!$N29</f>
        <v>1247003.5826672418</v>
      </c>
      <c r="E28" s="168">
        <f>'Part Estim 2018'!P$8*'CALCULO GARANTIA'!$N29</f>
        <v>1289819.1635951344</v>
      </c>
      <c r="F28" s="168">
        <f>'Part Estim 2018'!P$9*'CALCULO GARANTIA'!$N29</f>
        <v>118606.89143206137</v>
      </c>
      <c r="G28" s="168">
        <f>'Part Estim 2018'!P$10*'CALCULO GARANTIA'!$N29</f>
        <v>841291.0574792783</v>
      </c>
      <c r="H28" s="168">
        <f>'Part Estim 2018'!P$11*'CALCULO GARANTIA'!$N29</f>
        <v>182677.99908230809</v>
      </c>
      <c r="I28" s="168">
        <f>+'Part Estim 2018'!P$12*'CALCULO GARANTIA'!N29</f>
        <v>1261327.5160731259</v>
      </c>
      <c r="J28" s="169">
        <f t="shared" si="0"/>
        <v>36958781.541455053</v>
      </c>
      <c r="K28" s="211">
        <f t="shared" si="1"/>
        <v>0.52342836671480153</v>
      </c>
    </row>
    <row r="29" spans="1:11" x14ac:dyDescent="0.2">
      <c r="A29" s="167" t="s">
        <v>25</v>
      </c>
      <c r="B29" s="168">
        <f>'Part Estim 2018'!P$5*'CALCULO GARANTIA'!$N30</f>
        <v>454313692.96402341</v>
      </c>
      <c r="C29" s="168">
        <f>'Part Estim 2018'!P$6*'CALCULO GARANTIA'!$N30</f>
        <v>61947821.730226755</v>
      </c>
      <c r="D29" s="168">
        <f>'Part Estim 2018'!P$7*'CALCULO GARANTIA'!$N30</f>
        <v>20106778.870829955</v>
      </c>
      <c r="E29" s="168">
        <f>'Part Estim 2018'!P$8*'CALCULO GARANTIA'!$N30</f>
        <v>20797140.494412381</v>
      </c>
      <c r="F29" s="168">
        <f>'Part Estim 2018'!P$9*'CALCULO GARANTIA'!$N30</f>
        <v>1912426.3728898761</v>
      </c>
      <c r="G29" s="168">
        <f>'Part Estim 2018'!P$10*'CALCULO GARANTIA'!$N30</f>
        <v>13565039.823351029</v>
      </c>
      <c r="H29" s="168">
        <f>'Part Estim 2018'!P$11*'CALCULO GARANTIA'!$N30</f>
        <v>2945513.6963257543</v>
      </c>
      <c r="I29" s="168">
        <f>+'Part Estim 2018'!P$12*'CALCULO GARANTIA'!N30</f>
        <v>20337739.042521346</v>
      </c>
      <c r="J29" s="169">
        <f t="shared" si="0"/>
        <v>595926152.99458051</v>
      </c>
      <c r="K29" s="211">
        <f t="shared" si="1"/>
        <v>8.4397980651693274</v>
      </c>
    </row>
    <row r="30" spans="1:11" x14ac:dyDescent="0.2">
      <c r="A30" s="167" t="s">
        <v>26</v>
      </c>
      <c r="B30" s="168">
        <f>'Part Estim 2018'!P$5*'CALCULO GARANTIA'!$N31</f>
        <v>11887498.995095985</v>
      </c>
      <c r="C30" s="168">
        <f>'Part Estim 2018'!P$6*'CALCULO GARANTIA'!$N31</f>
        <v>1620916.7365439078</v>
      </c>
      <c r="D30" s="168">
        <f>'Part Estim 2018'!P$7*'CALCULO GARANTIA'!$N31</f>
        <v>526110.74093365693</v>
      </c>
      <c r="E30" s="168">
        <f>'Part Estim 2018'!P$8*'CALCULO GARANTIA'!$N31</f>
        <v>544174.632103318</v>
      </c>
      <c r="F30" s="168">
        <f>'Part Estim 2018'!P$9*'CALCULO GARANTIA'!$N31</f>
        <v>50040.240780776425</v>
      </c>
      <c r="G30" s="168">
        <f>'Part Estim 2018'!P$10*'CALCULO GARANTIA'!$N31</f>
        <v>354940.64952449483</v>
      </c>
      <c r="H30" s="168">
        <f>'Part Estim 2018'!P$11*'CALCULO GARANTIA'!$N31</f>
        <v>77071.837471310049</v>
      </c>
      <c r="I30" s="168">
        <f>+'Part Estim 2018'!P$12*'CALCULO GARANTIA'!N31</f>
        <v>532154.00762671256</v>
      </c>
      <c r="J30" s="169">
        <f t="shared" si="0"/>
        <v>15592907.840080161</v>
      </c>
      <c r="K30" s="211">
        <f t="shared" si="1"/>
        <v>0.22083439828536772</v>
      </c>
    </row>
    <row r="31" spans="1:11" x14ac:dyDescent="0.2">
      <c r="A31" s="167" t="s">
        <v>27</v>
      </c>
      <c r="B31" s="168">
        <f>'Part Estim 2018'!P$5*'CALCULO GARANTIA'!$N32</f>
        <v>20462491.281808838</v>
      </c>
      <c r="C31" s="168">
        <f>'Part Estim 2018'!P$6*'CALCULO GARANTIA'!$N32</f>
        <v>2790157.5094770328</v>
      </c>
      <c r="D31" s="168">
        <f>'Part Estim 2018'!P$7*'CALCULO GARANTIA'!$N32</f>
        <v>905618.28472600563</v>
      </c>
      <c r="E31" s="168">
        <f>'Part Estim 2018'!P$8*'CALCULO GARANTIA'!$N32</f>
        <v>936712.48004221299</v>
      </c>
      <c r="F31" s="168">
        <f>'Part Estim 2018'!P$9*'CALCULO GARANTIA'!$N32</f>
        <v>86136.536468997176</v>
      </c>
      <c r="G31" s="168">
        <f>'Part Estim 2018'!P$10*'CALCULO GARANTIA'!$N32</f>
        <v>610975.44146592764</v>
      </c>
      <c r="H31" s="168">
        <f>'Part Estim 2018'!P$11*'CALCULO GARANTIA'!$N32</f>
        <v>132667.25010704703</v>
      </c>
      <c r="I31" s="168">
        <f>+'Part Estim 2018'!P$12*'CALCULO GARANTIA'!N32</f>
        <v>916020.83383001073</v>
      </c>
      <c r="J31" s="169">
        <f t="shared" si="0"/>
        <v>26840779.617926072</v>
      </c>
      <c r="K31" s="211">
        <f t="shared" si="1"/>
        <v>0.38013226764536528</v>
      </c>
    </row>
    <row r="32" spans="1:11" x14ac:dyDescent="0.2">
      <c r="A32" s="167" t="s">
        <v>28</v>
      </c>
      <c r="B32" s="168">
        <f>'Part Estim 2018'!P$5*'CALCULO GARANTIA'!$N33</f>
        <v>11142505.804574169</v>
      </c>
      <c r="C32" s="168">
        <f>'Part Estim 2018'!P$6*'CALCULO GARANTIA'!$N33</f>
        <v>1519333.3899016727</v>
      </c>
      <c r="D32" s="168">
        <f>'Part Estim 2018'!P$7*'CALCULO GARANTIA'!$N33</f>
        <v>493139.22021111846</v>
      </c>
      <c r="E32" s="168">
        <f>'Part Estim 2018'!P$8*'CALCULO GARANTIA'!$N33</f>
        <v>510071.04180741712</v>
      </c>
      <c r="F32" s="168">
        <f>'Part Estim 2018'!P$9*'CALCULO GARANTIA'!$N33</f>
        <v>46904.203616934836</v>
      </c>
      <c r="G32" s="168">
        <f>'Part Estim 2018'!P$10*'CALCULO GARANTIA'!$N33</f>
        <v>332696.41067793628</v>
      </c>
      <c r="H32" s="168">
        <f>'Part Estim 2018'!P$11*'CALCULO GARANTIA'!$N33</f>
        <v>72241.721891841473</v>
      </c>
      <c r="I32" s="168">
        <f>+'Part Estim 2018'!P$12*'CALCULO GARANTIA'!N33</f>
        <v>498803.7535358945</v>
      </c>
      <c r="J32" s="169">
        <f t="shared" si="0"/>
        <v>14615695.546216985</v>
      </c>
      <c r="K32" s="211">
        <f t="shared" si="1"/>
        <v>0.20699463913809446</v>
      </c>
    </row>
    <row r="33" spans="1:11" x14ac:dyDescent="0.2">
      <c r="A33" s="167" t="s">
        <v>29</v>
      </c>
      <c r="B33" s="168">
        <f>'Part Estim 2018'!P$5*'CALCULO GARANTIA'!$N34</f>
        <v>16381460.867769865</v>
      </c>
      <c r="C33" s="168">
        <f>'Part Estim 2018'!P$6*'CALCULO GARANTIA'!$N34</f>
        <v>2233689.7021451956</v>
      </c>
      <c r="D33" s="168">
        <f>'Part Estim 2018'!P$7*'CALCULO GARANTIA'!$N34</f>
        <v>725002.1655752426</v>
      </c>
      <c r="E33" s="168">
        <f>'Part Estim 2018'!P$8*'CALCULO GARANTIA'!$N34</f>
        <v>749894.94802153611</v>
      </c>
      <c r="F33" s="168">
        <f>'Part Estim 2018'!P$9*'CALCULO GARANTIA'!$N34</f>
        <v>68957.50287779115</v>
      </c>
      <c r="G33" s="168">
        <f>'Part Estim 2018'!P$10*'CALCULO GARANTIA'!$N34</f>
        <v>489122.76358256652</v>
      </c>
      <c r="H33" s="168">
        <f>'Part Estim 2018'!P$11*'CALCULO GARANTIA'!$N34</f>
        <v>106208.15110598378</v>
      </c>
      <c r="I33" s="168">
        <f>+'Part Estim 2018'!P$12*'CALCULO GARANTIA'!N34</f>
        <v>733330.03478361259</v>
      </c>
      <c r="J33" s="169">
        <f t="shared" si="0"/>
        <v>21487666.135861792</v>
      </c>
      <c r="K33" s="211">
        <f t="shared" si="1"/>
        <v>0.30431885254094571</v>
      </c>
    </row>
    <row r="34" spans="1:11" x14ac:dyDescent="0.2">
      <c r="A34" s="167" t="s">
        <v>30</v>
      </c>
      <c r="B34" s="168">
        <f>'Part Estim 2018'!P$5*'CALCULO GARANTIA'!$N35</f>
        <v>15063223.233159823</v>
      </c>
      <c r="C34" s="168">
        <f>'Part Estim 2018'!P$6*'CALCULO GARANTIA'!$N35</f>
        <v>2053941.7631074756</v>
      </c>
      <c r="D34" s="168">
        <f>'Part Estim 2018'!P$7*'CALCULO GARANTIA'!$N35</f>
        <v>666660.29072356608</v>
      </c>
      <c r="E34" s="168">
        <f>'Part Estim 2018'!P$8*'CALCULO GARANTIA'!$N35</f>
        <v>689549.91832819174</v>
      </c>
      <c r="F34" s="168">
        <f>'Part Estim 2018'!P$9*'CALCULO GARANTIA'!$N35</f>
        <v>63408.402207466752</v>
      </c>
      <c r="G34" s="168">
        <f>'Part Estim 2018'!P$10*'CALCULO GARANTIA'!$N35</f>
        <v>449762.41348292434</v>
      </c>
      <c r="H34" s="168">
        <f>'Part Estim 2018'!P$11*'CALCULO GARANTIA'!$N35</f>
        <v>97661.441931485213</v>
      </c>
      <c r="I34" s="168">
        <f>+'Part Estim 2018'!P$12*'CALCULO GARANTIA'!N35</f>
        <v>674318.0053776385</v>
      </c>
      <c r="J34" s="169">
        <f t="shared" si="0"/>
        <v>19758525.468318574</v>
      </c>
      <c r="K34" s="211">
        <f t="shared" si="1"/>
        <v>0.27982991546878883</v>
      </c>
    </row>
    <row r="35" spans="1:11" x14ac:dyDescent="0.2">
      <c r="A35" s="167" t="s">
        <v>31</v>
      </c>
      <c r="B35" s="168">
        <f>'Part Estim 2018'!P$5*'CALCULO GARANTIA'!$N36</f>
        <v>143231931.83416229</v>
      </c>
      <c r="C35" s="168">
        <f>'Part Estim 2018'!P$6*'CALCULO GARANTIA'!$N36</f>
        <v>19530351.641946461</v>
      </c>
      <c r="D35" s="168">
        <f>'Part Estim 2018'!P$7*'CALCULO GARANTIA'!$N36</f>
        <v>6339084.2610137863</v>
      </c>
      <c r="E35" s="168">
        <f>'Part Estim 2018'!P$8*'CALCULO GARANTIA'!$N36</f>
        <v>6556735.2597427862</v>
      </c>
      <c r="F35" s="168">
        <f>'Part Estim 2018'!P$9*'CALCULO GARANTIA'!$N36</f>
        <v>602932.57306974556</v>
      </c>
      <c r="G35" s="168">
        <f>'Part Estim 2018'!P$10*'CALCULO GARANTIA'!$N36</f>
        <v>4276663.6564039709</v>
      </c>
      <c r="H35" s="168">
        <f>'Part Estim 2018'!P$11*'CALCULO GARANTIA'!$N36</f>
        <v>928635.04557000217</v>
      </c>
      <c r="I35" s="168">
        <f>+'Part Estim 2018'!P$12*'CALCULO GARANTIA'!N36</f>
        <v>6411899.3050691001</v>
      </c>
      <c r="J35" s="169">
        <f t="shared" si="0"/>
        <v>187878233.57697815</v>
      </c>
      <c r="K35" s="211">
        <f t="shared" si="1"/>
        <v>2.6608235672530243</v>
      </c>
    </row>
    <row r="36" spans="1:11" x14ac:dyDescent="0.2">
      <c r="A36" s="167" t="s">
        <v>32</v>
      </c>
      <c r="B36" s="168">
        <f>'Part Estim 2018'!P$5*'CALCULO GARANTIA'!$N37</f>
        <v>27912654.006791987</v>
      </c>
      <c r="C36" s="168">
        <f>'Part Estim 2018'!P$6*'CALCULO GARANTIA'!$N37</f>
        <v>3806022.4492665185</v>
      </c>
      <c r="D36" s="168">
        <f>'Part Estim 2018'!P$7*'CALCULO GARANTIA'!$N37</f>
        <v>1235343.7074523652</v>
      </c>
      <c r="E36" s="168">
        <f>'Part Estim 2018'!P$8*'CALCULO GARANTIA'!$N37</f>
        <v>1277758.9492490708</v>
      </c>
      <c r="F36" s="168">
        <f>'Part Estim 2018'!P$9*'CALCULO GARANTIA'!$N37</f>
        <v>117497.87973959754</v>
      </c>
      <c r="G36" s="168">
        <f>'Part Estim 2018'!P$10*'CALCULO GARANTIA'!$N37</f>
        <v>833424.72181998647</v>
      </c>
      <c r="H36" s="168">
        <f>'Part Estim 2018'!P$11*'CALCULO GARANTIA'!$N37</f>
        <v>180969.90240687819</v>
      </c>
      <c r="I36" s="168">
        <f>+'Part Estim 2018'!P$12*'CALCULO GARANTIA'!N37</f>
        <v>1249533.7075813764</v>
      </c>
      <c r="J36" s="169">
        <f t="shared" si="0"/>
        <v>36613205.324307784</v>
      </c>
      <c r="K36" s="211">
        <f t="shared" si="1"/>
        <v>0.51853414706326928</v>
      </c>
    </row>
    <row r="37" spans="1:11" x14ac:dyDescent="0.2">
      <c r="A37" s="167" t="s">
        <v>33</v>
      </c>
      <c r="B37" s="168">
        <f>'Part Estim 2018'!P$5*'CALCULO GARANTIA'!$N38</f>
        <v>102339159.40027556</v>
      </c>
      <c r="C37" s="168">
        <f>'Part Estim 2018'!P$6*'CALCULO GARANTIA'!$N38</f>
        <v>13954428.626591191</v>
      </c>
      <c r="D37" s="168">
        <f>'Part Estim 2018'!P$7*'CALCULO GARANTIA'!$N38</f>
        <v>4529273.2307122136</v>
      </c>
      <c r="E37" s="168">
        <f>'Part Estim 2018'!P$8*'CALCULO GARANTIA'!$N38</f>
        <v>4684784.7843673434</v>
      </c>
      <c r="F37" s="168">
        <f>'Part Estim 2018'!P$9*'CALCULO GARANTIA'!$N38</f>
        <v>430795.08816822385</v>
      </c>
      <c r="G37" s="168">
        <f>'Part Estim 2018'!P$10*'CALCULO GARANTIA'!$N38</f>
        <v>3055674.5135633396</v>
      </c>
      <c r="H37" s="168">
        <f>'Part Estim 2018'!P$11*'CALCULO GARANTIA'!$N38</f>
        <v>663509.37766660494</v>
      </c>
      <c r="I37" s="168">
        <f>+'Part Estim 2018'!P$12*'CALCULO GARANTIA'!N38</f>
        <v>4581299.5512741869</v>
      </c>
      <c r="J37" s="169">
        <f t="shared" si="0"/>
        <v>134238924.57261866</v>
      </c>
      <c r="K37" s="211">
        <f t="shared" si="1"/>
        <v>1.9011574004349856</v>
      </c>
    </row>
    <row r="38" spans="1:11" x14ac:dyDescent="0.2">
      <c r="A38" s="167" t="s">
        <v>34</v>
      </c>
      <c r="B38" s="168">
        <f>'Part Estim 2018'!P$5*'CALCULO GARANTIA'!$N39</f>
        <v>20590332.789201051</v>
      </c>
      <c r="C38" s="168">
        <f>'Part Estim 2018'!P$6*'CALCULO GARANTIA'!$N39</f>
        <v>2807589.3039228222</v>
      </c>
      <c r="D38" s="168">
        <f>'Part Estim 2018'!P$7*'CALCULO GARANTIA'!$N39</f>
        <v>911276.22759556468</v>
      </c>
      <c r="E38" s="168">
        <f>'Part Estim 2018'!P$8*'CALCULO GARANTIA'!$N39</f>
        <v>942564.6870776366</v>
      </c>
      <c r="F38" s="168">
        <f>'Part Estim 2018'!P$9*'CALCULO GARANTIA'!$N39</f>
        <v>86674.683291497247</v>
      </c>
      <c r="G38" s="168">
        <f>'Part Estim 2018'!P$10*'CALCULO GARANTIA'!$N39</f>
        <v>614792.57303319022</v>
      </c>
      <c r="H38" s="168">
        <f>'Part Estim 2018'!P$11*'CALCULO GARANTIA'!$N39</f>
        <v>133496.10232262954</v>
      </c>
      <c r="I38" s="168">
        <f>+'Part Estim 2018'!P$12*'CALCULO GARANTIA'!N39</f>
        <v>921743.76768917427</v>
      </c>
      <c r="J38" s="169">
        <f t="shared" si="0"/>
        <v>27008470.13413357</v>
      </c>
      <c r="K38" s="211">
        <f t="shared" si="1"/>
        <v>0.38250718287122576</v>
      </c>
    </row>
    <row r="39" spans="1:11" x14ac:dyDescent="0.2">
      <c r="A39" s="167" t="s">
        <v>35</v>
      </c>
      <c r="B39" s="168">
        <f>'Part Estim 2018'!P$5*'CALCULO GARANTIA'!$N40</f>
        <v>19389727.662124962</v>
      </c>
      <c r="C39" s="168">
        <f>'Part Estim 2018'!P$6*'CALCULO GARANTIA'!$N40</f>
        <v>2643881.1138938782</v>
      </c>
      <c r="D39" s="168">
        <f>'Part Estim 2018'!P$7*'CALCULO GARANTIA'!$N40</f>
        <v>858140.47101334948</v>
      </c>
      <c r="E39" s="168">
        <f>'Part Estim 2018'!P$8*'CALCULO GARANTIA'!$N40</f>
        <v>887604.52652599209</v>
      </c>
      <c r="F39" s="168">
        <f>'Part Estim 2018'!P$9*'CALCULO GARANTIA'!$N40</f>
        <v>81620.754818711954</v>
      </c>
      <c r="G39" s="168">
        <f>'Part Estim 2018'!P$10*'CALCULO GARANTIA'!$N40</f>
        <v>578944.53100158833</v>
      </c>
      <c r="H39" s="168">
        <f>'Part Estim 2018'!P$11*'CALCULO GARANTIA'!$N40</f>
        <v>125712.05596776525</v>
      </c>
      <c r="I39" s="168">
        <f>+'Part Estim 2018'!P$12*'CALCULO GARANTIA'!N40</f>
        <v>867997.65757683769</v>
      </c>
      <c r="J39" s="169">
        <f t="shared" si="0"/>
        <v>25433628.772923086</v>
      </c>
      <c r="K39" s="211">
        <f t="shared" si="1"/>
        <v>0.36020350815162716</v>
      </c>
    </row>
    <row r="40" spans="1:11" x14ac:dyDescent="0.2">
      <c r="A40" s="167" t="s">
        <v>36</v>
      </c>
      <c r="B40" s="168">
        <f>'Part Estim 2018'!P$5*'CALCULO GARANTIA'!$N41</f>
        <v>22037743.019758459</v>
      </c>
      <c r="C40" s="168">
        <f>'Part Estim 2018'!P$6*'CALCULO GARANTIA'!$N41</f>
        <v>3004950.5376291922</v>
      </c>
      <c r="D40" s="168">
        <f>'Part Estim 2018'!P$7*'CALCULO GARANTIA'!$N41</f>
        <v>975334.955941002</v>
      </c>
      <c r="E40" s="168">
        <f>'Part Estim 2018'!P$8*'CALCULO GARANTIA'!$N41</f>
        <v>1008822.857113326</v>
      </c>
      <c r="F40" s="168">
        <f>'Part Estim 2018'!P$9*'CALCULO GARANTIA'!$N41</f>
        <v>92767.533980740729</v>
      </c>
      <c r="G40" s="168">
        <f>'Part Estim 2018'!P$10*'CALCULO GARANTIA'!$N41</f>
        <v>658009.79875698488</v>
      </c>
      <c r="H40" s="168">
        <f>'Part Estim 2018'!P$11*'CALCULO GARANTIA'!$N41</f>
        <v>142880.29374000439</v>
      </c>
      <c r="I40" s="168">
        <f>+'Part Estim 2018'!P$12*'CALCULO GARANTIA'!N41</f>
        <v>986538.31826611073</v>
      </c>
      <c r="J40" s="169">
        <f t="shared" si="0"/>
        <v>28907047.315185823</v>
      </c>
      <c r="K40" s="211">
        <f t="shared" si="1"/>
        <v>0.40939576283822232</v>
      </c>
    </row>
    <row r="41" spans="1:11" x14ac:dyDescent="0.2">
      <c r="A41" s="167" t="s">
        <v>37</v>
      </c>
      <c r="B41" s="168">
        <f>'Part Estim 2018'!P$5*'CALCULO GARANTIA'!$N42</f>
        <v>31041116.309159458</v>
      </c>
      <c r="C41" s="168">
        <f>'Part Estim 2018'!P$6*'CALCULO GARANTIA'!$N42</f>
        <v>4232603.0872666631</v>
      </c>
      <c r="D41" s="168">
        <f>'Part Estim 2018'!P$7*'CALCULO GARANTIA'!$N42</f>
        <v>1373801.5631006022</v>
      </c>
      <c r="E41" s="168">
        <f>'Part Estim 2018'!P$8*'CALCULO GARANTIA'!$N42</f>
        <v>1420970.7234954645</v>
      </c>
      <c r="F41" s="168">
        <f>'Part Estim 2018'!P$9*'CALCULO GARANTIA'!$N42</f>
        <v>130667.09278841736</v>
      </c>
      <c r="G41" s="168">
        <f>'Part Estim 2018'!P$10*'CALCULO GARANTIA'!$N42</f>
        <v>926835.3241740471</v>
      </c>
      <c r="H41" s="168">
        <f>'Part Estim 2018'!P$11*'CALCULO GARANTIA'!$N42</f>
        <v>201253.08713754822</v>
      </c>
      <c r="I41" s="168">
        <f>+'Part Estim 2018'!P$12*'CALCULO GARANTIA'!N42</f>
        <v>1389581.9845655209</v>
      </c>
      <c r="J41" s="169">
        <f t="shared" si="0"/>
        <v>40716829.171687715</v>
      </c>
      <c r="K41" s="211">
        <f t="shared" si="1"/>
        <v>0.57665167795742833</v>
      </c>
    </row>
    <row r="42" spans="1:11" x14ac:dyDescent="0.2">
      <c r="A42" s="167" t="s">
        <v>38</v>
      </c>
      <c r="B42" s="168">
        <f>'Part Estim 2018'!P$5*'CALCULO GARANTIA'!$N43</f>
        <v>72825325.348113105</v>
      </c>
      <c r="C42" s="168">
        <f>'Part Estim 2018'!P$6*'CALCULO GARANTIA'!$N43</f>
        <v>9930077.7017696537</v>
      </c>
      <c r="D42" s="168">
        <f>'Part Estim 2018'!P$7*'CALCULO GARANTIA'!$N43</f>
        <v>3223065.3305153903</v>
      </c>
      <c r="E42" s="168">
        <f>'Part Estim 2018'!P$8*'CALCULO GARANTIA'!$N43</f>
        <v>3333728.5366301639</v>
      </c>
      <c r="F42" s="168">
        <f>'Part Estim 2018'!P$9*'CALCULO GARANTIA'!$N43</f>
        <v>306557.06611300836</v>
      </c>
      <c r="G42" s="168">
        <f>'Part Estim 2018'!P$10*'CALCULO GARANTIA'!$N43</f>
        <v>2174441.2589692259</v>
      </c>
      <c r="H42" s="168">
        <f>'Part Estim 2018'!P$11*'CALCULO GARANTIA'!$N43</f>
        <v>472158.32710821007</v>
      </c>
      <c r="I42" s="168">
        <f>+'Part Estim 2018'!P$12*'CALCULO GARANTIA'!N43</f>
        <v>3260087.6565125366</v>
      </c>
      <c r="J42" s="169">
        <f t="shared" si="0"/>
        <v>95525441.225731298</v>
      </c>
      <c r="K42" s="211">
        <f t="shared" si="1"/>
        <v>1.3528780872933179</v>
      </c>
    </row>
    <row r="43" spans="1:11" x14ac:dyDescent="0.2">
      <c r="A43" s="167" t="s">
        <v>39</v>
      </c>
      <c r="B43" s="168">
        <f>'Part Estim 2018'!P$5*'CALCULO GARANTIA'!$N44</f>
        <v>1355100028.1028202</v>
      </c>
      <c r="C43" s="168">
        <f>'Part Estim 2018'!P$6*'CALCULO GARANTIA'!$N44</f>
        <v>184774300.81374702</v>
      </c>
      <c r="D43" s="168">
        <f>'Part Estim 2018'!P$7*'CALCULO GARANTIA'!$N44</f>
        <v>59973311.469343044</v>
      </c>
      <c r="E43" s="168">
        <f>'Part Estim 2018'!P$8*'CALCULO GARANTIA'!$N44</f>
        <v>62032481.311691903</v>
      </c>
      <c r="F43" s="168">
        <f>'Part Estim 2018'!P$9*'CALCULO GARANTIA'!$N44</f>
        <v>5704272.3382164612</v>
      </c>
      <c r="G43" s="168">
        <f>'Part Estim 2018'!P$10*'CALCULO GARANTIA'!$N44</f>
        <v>40460998.93206279</v>
      </c>
      <c r="H43" s="168">
        <f>'Part Estim 2018'!P$11*'CALCULO GARANTIA'!$N44</f>
        <v>8785704.1389777157</v>
      </c>
      <c r="I43" s="168">
        <f>+'Part Estim 2018'!P$12*'CALCULO GARANTIA'!N44</f>
        <v>60662205.81700784</v>
      </c>
      <c r="J43" s="169">
        <f t="shared" si="0"/>
        <v>1777493302.923867</v>
      </c>
      <c r="K43" s="211">
        <f t="shared" si="1"/>
        <v>25.173730777687009</v>
      </c>
    </row>
    <row r="44" spans="1:11" x14ac:dyDescent="0.2">
      <c r="A44" s="167" t="s">
        <v>40</v>
      </c>
      <c r="B44" s="168">
        <f>'Part Estim 2018'!P$5*'CALCULO GARANTIA'!$N45</f>
        <v>7783755.1567441374</v>
      </c>
      <c r="C44" s="168">
        <f>'Part Estim 2018'!P$6*'CALCULO GARANTIA'!$N45</f>
        <v>1061351.8463329759</v>
      </c>
      <c r="D44" s="168">
        <f>'Part Estim 2018'!P$7*'CALCULO GARANTIA'!$N45</f>
        <v>344489.38287609629</v>
      </c>
      <c r="E44" s="168">
        <f>'Part Estim 2018'!P$8*'CALCULO GARANTIA'!$N45</f>
        <v>356317.34652940289</v>
      </c>
      <c r="F44" s="168">
        <f>'Part Estim 2018'!P$9*'CALCULO GARANTIA'!$N45</f>
        <v>32765.595385772038</v>
      </c>
      <c r="G44" s="168">
        <f>'Part Estim 2018'!P$10*'CALCULO GARANTIA'!$N45</f>
        <v>232409.7871397626</v>
      </c>
      <c r="H44" s="168">
        <f>'Part Estim 2018'!P$11*'CALCULO GARANTIA'!$N45</f>
        <v>50465.477440169627</v>
      </c>
      <c r="I44" s="168">
        <f>+'Part Estim 2018'!P$12*'CALCULO GARANTIA'!N45</f>
        <v>348446.42281402246</v>
      </c>
      <c r="J44" s="169">
        <f t="shared" si="0"/>
        <v>10210001.015262339</v>
      </c>
      <c r="K44" s="211">
        <f t="shared" si="1"/>
        <v>0.14459903526800175</v>
      </c>
    </row>
    <row r="45" spans="1:11" x14ac:dyDescent="0.2">
      <c r="A45" s="167" t="s">
        <v>41</v>
      </c>
      <c r="B45" s="168">
        <f>'Part Estim 2018'!P$5*'CALCULO GARANTIA'!$N46</f>
        <v>21392851.506506816</v>
      </c>
      <c r="C45" s="168">
        <f>'Part Estim 2018'!P$6*'CALCULO GARANTIA'!$N46</f>
        <v>2917016.5283379238</v>
      </c>
      <c r="D45" s="168">
        <f>'Part Estim 2018'!P$7*'CALCULO GARANTIA'!$N46</f>
        <v>946793.68313007546</v>
      </c>
      <c r="E45" s="168">
        <f>'Part Estim 2018'!P$8*'CALCULO GARANTIA'!$N46</f>
        <v>979301.62627115822</v>
      </c>
      <c r="F45" s="168">
        <f>'Part Estim 2018'!P$9*'CALCULO GARANTIA'!$N46</f>
        <v>90052.873259094893</v>
      </c>
      <c r="G45" s="168">
        <f>'Part Estim 2018'!P$10*'CALCULO GARANTIA'!$N46</f>
        <v>638754.42698527733</v>
      </c>
      <c r="H45" s="168">
        <f>'Part Estim 2018'!P$11*'CALCULO GARANTIA'!$N46</f>
        <v>138699.18096628622</v>
      </c>
      <c r="I45" s="168">
        <f>+'Part Estim 2018'!P$12*'CALCULO GARANTIA'!N46</f>
        <v>957669.20093513199</v>
      </c>
      <c r="J45" s="169">
        <f t="shared" si="0"/>
        <v>28061139.026391767</v>
      </c>
      <c r="K45" s="211">
        <f t="shared" si="1"/>
        <v>0.39741559532384291</v>
      </c>
    </row>
    <row r="46" spans="1:11" x14ac:dyDescent="0.2">
      <c r="A46" s="167" t="s">
        <v>42</v>
      </c>
      <c r="B46" s="168">
        <f>'Part Estim 2018'!P$5*'CALCULO GARANTIA'!$N47</f>
        <v>16509108.098635595</v>
      </c>
      <c r="C46" s="168">
        <f>'Part Estim 2018'!P$6*'CALCULO GARANTIA'!$N47</f>
        <v>2251095.0060673328</v>
      </c>
      <c r="D46" s="168">
        <f>'Part Estim 2018'!P$7*'CALCULO GARANTIA'!$N47</f>
        <v>730651.51025544852</v>
      </c>
      <c r="E46" s="168">
        <f>'Part Estim 2018'!P$8*'CALCULO GARANTIA'!$N47</f>
        <v>755738.2616507546</v>
      </c>
      <c r="F46" s="168">
        <f>'Part Estim 2018'!P$9*'CALCULO GARANTIA'!$N47</f>
        <v>69494.831896296673</v>
      </c>
      <c r="G46" s="168">
        <f>'Part Estim 2018'!P$10*'CALCULO GARANTIA'!$N47</f>
        <v>492934.09438075841</v>
      </c>
      <c r="H46" s="168">
        <f>'Part Estim 2018'!P$11*'CALCULO GARANTIA'!$N47</f>
        <v>107035.74374216443</v>
      </c>
      <c r="I46" s="168">
        <f>+'Part Estim 2018'!P$12*'CALCULO GARANTIA'!N47</f>
        <v>739044.27168875746</v>
      </c>
      <c r="J46" s="169">
        <f t="shared" si="0"/>
        <v>21655101.818317108</v>
      </c>
      <c r="K46" s="211">
        <f t="shared" si="1"/>
        <v>0.30669015868638949</v>
      </c>
    </row>
    <row r="47" spans="1:11" x14ac:dyDescent="0.2">
      <c r="A47" s="167" t="s">
        <v>43</v>
      </c>
      <c r="B47" s="168">
        <f>'Part Estim 2018'!P$5*'CALCULO GARANTIA'!$N48</f>
        <v>17857399.732522607</v>
      </c>
      <c r="C47" s="168">
        <f>'Part Estim 2018'!P$6*'CALCULO GARANTIA'!$N48</f>
        <v>2434940.950114198</v>
      </c>
      <c r="D47" s="168">
        <f>'Part Estim 2018'!P$7*'CALCULO GARANTIA'!$N48</f>
        <v>790323.49935858778</v>
      </c>
      <c r="E47" s="168">
        <f>'Part Estim 2018'!P$8*'CALCULO GARANTIA'!$N48</f>
        <v>817459.07476216892</v>
      </c>
      <c r="F47" s="168">
        <f>'Part Estim 2018'!P$9*'CALCULO GARANTIA'!$N48</f>
        <v>75170.444405727438</v>
      </c>
      <c r="G47" s="168">
        <f>'Part Estim 2018'!P$10*'CALCULO GARANTIA'!$N48</f>
        <v>533191.80615660991</v>
      </c>
      <c r="H47" s="168">
        <f>'Part Estim 2018'!P$11*'CALCULO GARANTIA'!$N48</f>
        <v>115777.30609381934</v>
      </c>
      <c r="I47" s="168">
        <f>+'Part Estim 2018'!P$12*'CALCULO GARANTIA'!N48</f>
        <v>799401.69394540996</v>
      </c>
      <c r="J47" s="169">
        <f t="shared" si="0"/>
        <v>23423664.507359128</v>
      </c>
      <c r="K47" s="211">
        <f t="shared" si="1"/>
        <v>0.33173740973603966</v>
      </c>
    </row>
    <row r="48" spans="1:11" x14ac:dyDescent="0.2">
      <c r="A48" s="167" t="s">
        <v>44</v>
      </c>
      <c r="B48" s="168">
        <f>'Part Estim 2018'!P$5*'CALCULO GARANTIA'!$N49</f>
        <v>53226488.445108071</v>
      </c>
      <c r="C48" s="168">
        <f>'Part Estim 2018'!P$6*'CALCULO GARANTIA'!$N49</f>
        <v>7257683.5534310769</v>
      </c>
      <c r="D48" s="168">
        <f>'Part Estim 2018'!P$7*'CALCULO GARANTIA'!$N49</f>
        <v>2355670.2115983167</v>
      </c>
      <c r="E48" s="168">
        <f>'Part Estim 2018'!P$8*'CALCULO GARANTIA'!$N49</f>
        <v>2436551.605995262</v>
      </c>
      <c r="F48" s="168">
        <f>'Part Estim 2018'!P$9*'CALCULO GARANTIA'!$N49</f>
        <v>224056.06922088456</v>
      </c>
      <c r="G48" s="168">
        <f>'Part Estim 2018'!P$10*'CALCULO GARANTIA'!$N49</f>
        <v>1589253.0790882418</v>
      </c>
      <c r="H48" s="168">
        <f>'Part Estim 2018'!P$11*'CALCULO GARANTIA'!$N49</f>
        <v>345090.52478593355</v>
      </c>
      <c r="I48" s="168">
        <f>+'Part Estim 2018'!P$12*'CALCULO GARANTIA'!N49</f>
        <v>2382729.0458359751</v>
      </c>
      <c r="J48" s="169">
        <f t="shared" si="0"/>
        <v>69817522.535063758</v>
      </c>
      <c r="K48" s="211">
        <f t="shared" si="1"/>
        <v>0.98878995097854971</v>
      </c>
    </row>
    <row r="49" spans="1:11" x14ac:dyDescent="0.2">
      <c r="A49" s="167" t="s">
        <v>45</v>
      </c>
      <c r="B49" s="168">
        <f>'Part Estim 2018'!P$5*'CALCULO GARANTIA'!$N50</f>
        <v>45804183.789824709</v>
      </c>
      <c r="C49" s="168">
        <f>'Part Estim 2018'!P$6*'CALCULO GARANTIA'!$N50</f>
        <v>6245617.1932623191</v>
      </c>
      <c r="D49" s="168">
        <f>'Part Estim 2018'!P$7*'CALCULO GARANTIA'!$N50</f>
        <v>2027177.7168155711</v>
      </c>
      <c r="E49" s="168">
        <f>'Part Estim 2018'!P$8*'CALCULO GARANTIA'!$N50</f>
        <v>2096780.3970291198</v>
      </c>
      <c r="F49" s="168">
        <f>'Part Estim 2018'!P$9*'CALCULO GARANTIA'!$N50</f>
        <v>192811.99405823863</v>
      </c>
      <c r="G49" s="168">
        <f>'Part Estim 2018'!P$10*'CALCULO GARANTIA'!$N50</f>
        <v>1367635.5936607544</v>
      </c>
      <c r="H49" s="168">
        <f>'Part Estim 2018'!P$11*'CALCULO GARANTIA'!$N50</f>
        <v>296968.48849465494</v>
      </c>
      <c r="I49" s="168">
        <f>+'Part Estim 2018'!P$12*'CALCULO GARANTIA'!N50</f>
        <v>2050463.2622792418</v>
      </c>
      <c r="J49" s="169">
        <f t="shared" si="0"/>
        <v>60081638.435424604</v>
      </c>
      <c r="K49" s="211">
        <f t="shared" si="1"/>
        <v>0.85090559169352498</v>
      </c>
    </row>
    <row r="50" spans="1:11" x14ac:dyDescent="0.2">
      <c r="A50" s="167" t="s">
        <v>46</v>
      </c>
      <c r="B50" s="168">
        <f>'Part Estim 2018'!P$5*'CALCULO GARANTIA'!$N51</f>
        <v>414461457.09540784</v>
      </c>
      <c r="C50" s="168">
        <f>'Part Estim 2018'!P$6*'CALCULO GARANTIA'!$N51</f>
        <v>56513780.7990954</v>
      </c>
      <c r="D50" s="168">
        <f>'Part Estim 2018'!P$7*'CALCULO GARANTIA'!$N51</f>
        <v>18343019.366046846</v>
      </c>
      <c r="E50" s="168">
        <f>'Part Estim 2018'!P$8*'CALCULO GARANTIA'!$N51</f>
        <v>18972822.713082179</v>
      </c>
      <c r="F50" s="168">
        <f>'Part Estim 2018'!P$9*'CALCULO GARANTIA'!$N51</f>
        <v>1744669.0103579843</v>
      </c>
      <c r="G50" s="168">
        <f>'Part Estim 2018'!P$10*'CALCULO GARANTIA'!$N51</f>
        <v>12375119.34554109</v>
      </c>
      <c r="H50" s="168">
        <f>'Part Estim 2018'!P$11*'CALCULO GARANTIA'!$N51</f>
        <v>2687134.2805208531</v>
      </c>
      <c r="I50" s="168">
        <f>+'Part Estim 2018'!P$12*'CALCULO GARANTIA'!N51</f>
        <v>18553719.793466717</v>
      </c>
      <c r="J50" s="169">
        <f t="shared" si="0"/>
        <v>543651722.40351892</v>
      </c>
      <c r="K50" s="211">
        <f t="shared" si="1"/>
        <v>7.6994619749620519</v>
      </c>
    </row>
    <row r="51" spans="1:11" x14ac:dyDescent="0.2">
      <c r="A51" s="167" t="s">
        <v>47</v>
      </c>
      <c r="B51" s="168">
        <f>'Part Estim 2018'!P$5*'CALCULO GARANTIA'!$N52</f>
        <v>693828630.16717184</v>
      </c>
      <c r="C51" s="168">
        <f>'Part Estim 2018'!P$6*'CALCULO GARANTIA'!$N52</f>
        <v>94606816.7404477</v>
      </c>
      <c r="D51" s="168">
        <f>'Part Estim 2018'!P$7*'CALCULO GARANTIA'!$N52</f>
        <v>30707106.250761669</v>
      </c>
      <c r="E51" s="168">
        <f>'Part Estim 2018'!P$8*'CALCULO GARANTIA'!$N52</f>
        <v>31761427.674545191</v>
      </c>
      <c r="F51" s="168">
        <f>'Part Estim 2018'!P$9*'CALCULO GARANTIA'!$N52</f>
        <v>2920660.7486136924</v>
      </c>
      <c r="G51" s="168">
        <f>'Part Estim 2018'!P$10*'CALCULO GARANTIA'!$N52</f>
        <v>20716551.458958752</v>
      </c>
      <c r="H51" s="168">
        <f>'Part Estim 2018'!P$11*'CALCULO GARANTIA'!$N52</f>
        <v>4498393.4332399219</v>
      </c>
      <c r="I51" s="168">
        <f>+'Part Estim 2018'!P$12*'CALCULO GARANTIA'!N52</f>
        <v>31059829.01045296</v>
      </c>
      <c r="J51" s="169">
        <f t="shared" si="0"/>
        <v>910099415.48419166</v>
      </c>
      <c r="K51" s="211">
        <f t="shared" si="1"/>
        <v>12.889273691576125</v>
      </c>
    </row>
    <row r="52" spans="1:11" x14ac:dyDescent="0.2">
      <c r="A52" s="167" t="s">
        <v>48</v>
      </c>
      <c r="B52" s="168">
        <f>'Part Estim 2018'!P$5*'CALCULO GARANTIA'!$N53</f>
        <v>214741309.9362326</v>
      </c>
      <c r="C52" s="168">
        <f>'Part Estim 2018'!P$6*'CALCULO GARANTIA'!$N53</f>
        <v>29280993.709997062</v>
      </c>
      <c r="D52" s="168">
        <f>'Part Estim 2018'!P$7*'CALCULO GARANTIA'!$N53</f>
        <v>9503909.0835021473</v>
      </c>
      <c r="E52" s="168">
        <f>'Part Estim 2018'!P$8*'CALCULO GARANTIA'!$N53</f>
        <v>9830223.6139108408</v>
      </c>
      <c r="F52" s="168">
        <f>'Part Estim 2018'!P$9*'CALCULO GARANTIA'!$N53</f>
        <v>903950.17986722011</v>
      </c>
      <c r="G52" s="168">
        <f>'Part Estim 2018'!P$10*'CALCULO GARANTIA'!$N53</f>
        <v>6411812.9524091538</v>
      </c>
      <c r="H52" s="168">
        <f>'Part Estim 2018'!P$11*'CALCULO GARANTIA'!$N53</f>
        <v>1392261.5130911225</v>
      </c>
      <c r="I52" s="168">
        <f>+'Part Estim 2018'!P$12*'CALCULO GARANTIA'!N53</f>
        <v>9613077.4633687735</v>
      </c>
      <c r="J52" s="169">
        <f t="shared" si="0"/>
        <v>281677538.45237893</v>
      </c>
      <c r="K52" s="211">
        <f t="shared" si="1"/>
        <v>3.9892552660860754</v>
      </c>
    </row>
    <row r="53" spans="1:11" x14ac:dyDescent="0.2">
      <c r="A53" s="167" t="s">
        <v>49</v>
      </c>
      <c r="B53" s="168">
        <f>'Part Estim 2018'!P$5*'CALCULO GARANTIA'!$N54</f>
        <v>57179747.480546258</v>
      </c>
      <c r="C53" s="168">
        <f>'Part Estim 2018'!P$6*'CALCULO GARANTIA'!$N54</f>
        <v>7796729.1287096674</v>
      </c>
      <c r="D53" s="168">
        <f>'Part Estim 2018'!P$7*'CALCULO GARANTIA'!$N54</f>
        <v>2530631.4916030569</v>
      </c>
      <c r="E53" s="168">
        <f>'Part Estim 2018'!P$8*'CALCULO GARANTIA'!$N54</f>
        <v>2617520.1412696848</v>
      </c>
      <c r="F53" s="168">
        <f>'Part Estim 2018'!P$9*'CALCULO GARANTIA'!$N54</f>
        <v>240697.25119563934</v>
      </c>
      <c r="G53" s="168">
        <f>'Part Estim 2018'!P$10*'CALCULO GARANTIA'!$N54</f>
        <v>1707290.7193316494</v>
      </c>
      <c r="H53" s="168">
        <f>'Part Estim 2018'!P$11*'CALCULO GARANTIA'!$N54</f>
        <v>370721.22624693665</v>
      </c>
      <c r="I53" s="168">
        <f>+'Part Estim 2018'!P$12*'CALCULO GARANTIA'!N54</f>
        <v>2559700.0503982306</v>
      </c>
      <c r="J53" s="169">
        <f t="shared" si="0"/>
        <v>75003037.48930113</v>
      </c>
      <c r="K53" s="211">
        <f t="shared" si="1"/>
        <v>1.0622297536416108</v>
      </c>
    </row>
    <row r="54" spans="1:11" x14ac:dyDescent="0.2">
      <c r="A54" s="167" t="s">
        <v>50</v>
      </c>
      <c r="B54" s="168">
        <f>'Part Estim 2018'!P$5*'CALCULO GARANTIA'!$N55</f>
        <v>13820780.810163697</v>
      </c>
      <c r="C54" s="168">
        <f>'Part Estim 2018'!P$6*'CALCULO GARANTIA'!$N55</f>
        <v>1884528.8598165992</v>
      </c>
      <c r="D54" s="168">
        <f>'Part Estim 2018'!P$7*'CALCULO GARANTIA'!$N55</f>
        <v>611672.92088239442</v>
      </c>
      <c r="E54" s="168">
        <f>'Part Estim 2018'!P$8*'CALCULO GARANTIA'!$N55</f>
        <v>632674.56980261975</v>
      </c>
      <c r="F54" s="168">
        <f>'Part Estim 2018'!P$9*'CALCULO GARANTIA'!$N55</f>
        <v>58178.36029296265</v>
      </c>
      <c r="G54" s="168">
        <f>'Part Estim 2018'!P$10*'CALCULO GARANTIA'!$N55</f>
        <v>412665.18043188838</v>
      </c>
      <c r="H54" s="168">
        <f>'Part Estim 2018'!P$11*'CALCULO GARANTIA'!$N55</f>
        <v>89606.146151260851</v>
      </c>
      <c r="I54" s="168">
        <f>+'Part Estim 2018'!P$12*'CALCULO GARANTIA'!N55</f>
        <v>618699.01311395143</v>
      </c>
      <c r="J54" s="169">
        <f t="shared" si="0"/>
        <v>18128805.860655375</v>
      </c>
      <c r="K54" s="211">
        <f t="shared" si="1"/>
        <v>0.25674902814339318</v>
      </c>
    </row>
    <row r="55" spans="1:11" ht="13.5" thickBot="1" x14ac:dyDescent="0.25">
      <c r="A55" s="167" t="s">
        <v>51</v>
      </c>
      <c r="B55" s="168">
        <f>'Part Estim 2018'!P$5*'CALCULO GARANTIA'!$N56</f>
        <v>19041042.862697773</v>
      </c>
      <c r="C55" s="168">
        <f>'Part Estim 2018'!P$6*'CALCULO GARANTIA'!$N56</f>
        <v>2596336.2916059308</v>
      </c>
      <c r="D55" s="168">
        <f>'Part Estim 2018'!P$7*'CALCULO GARANTIA'!$N56</f>
        <v>842708.56071374647</v>
      </c>
      <c r="E55" s="168">
        <f>'Part Estim 2018'!P$8*'CALCULO GARANTIA'!$N56</f>
        <v>871642.76513895963</v>
      </c>
      <c r="F55" s="168">
        <f>'Part Estim 2018'!P$9*'CALCULO GARANTIA'!$N56</f>
        <v>80152.971618298543</v>
      </c>
      <c r="G55" s="168">
        <f>'Part Estim 2018'!P$10*'CALCULO GARANTIA'!$N56</f>
        <v>568533.39159883757</v>
      </c>
      <c r="H55" s="168">
        <f>'Part Estim 2018'!P$11*'CALCULO GARANTIA'!$N56</f>
        <v>123451.38042943249</v>
      </c>
      <c r="I55" s="168">
        <f>+'Part Estim 2018'!P$12*'CALCULO GARANTIA'!N56</f>
        <v>852388.48583345895</v>
      </c>
      <c r="J55" s="169">
        <f t="shared" si="0"/>
        <v>24976256.709636439</v>
      </c>
      <c r="K55" s="212">
        <f t="shared" si="1"/>
        <v>0.35372598096912028</v>
      </c>
    </row>
    <row r="56" spans="1:11" ht="14.25" thickTop="1" thickBot="1" x14ac:dyDescent="0.25">
      <c r="A56" s="170" t="s">
        <v>52</v>
      </c>
      <c r="B56" s="171">
        <f t="shared" ref="B56:J56" si="2">SUM(B5:B55)</f>
        <v>5382992453.7999983</v>
      </c>
      <c r="C56" s="171">
        <f t="shared" si="2"/>
        <v>733996492</v>
      </c>
      <c r="D56" s="171">
        <f>SUM(D5:D55)</f>
        <v>238237677.19999999</v>
      </c>
      <c r="E56" s="171">
        <f>SUM(E5:E55)</f>
        <v>246417513.00000003</v>
      </c>
      <c r="F56" s="171">
        <f>SUM(F5:F55)</f>
        <v>22659622.399999999</v>
      </c>
      <c r="G56" s="171">
        <f t="shared" si="2"/>
        <v>160727066.20000005</v>
      </c>
      <c r="H56" s="171">
        <f t="shared" si="2"/>
        <v>34900286.399999999</v>
      </c>
      <c r="I56" s="171">
        <f t="shared" si="2"/>
        <v>240974237.59999999</v>
      </c>
      <c r="J56" s="172">
        <f t="shared" si="2"/>
        <v>7060905348.6000023</v>
      </c>
      <c r="K56" s="212">
        <f>SUM(K5:K55)</f>
        <v>99.999999999999957</v>
      </c>
    </row>
    <row r="57" spans="1:11" ht="13.5" thickTop="1" x14ac:dyDescent="0.2"/>
    <row r="59" spans="1:11" ht="16.5" customHeight="1" x14ac:dyDescent="0.2"/>
  </sheetData>
  <mergeCells count="1">
    <mergeCell ref="A2:K2"/>
  </mergeCells>
  <printOptions horizontalCentered="1"/>
  <pageMargins left="0.39370078740157483" right="0.39370078740157483" top="0.15748031496062992" bottom="0.35433070866141736" header="0.15748031496062992" footer="0.15748031496062992"/>
  <pageSetup scale="77" orientation="landscape" r:id="rId1"/>
  <headerFooter alignWithMargins="0">
    <oddFooter>&amp;RMontos Estimados Participaciones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workbookViewId="0">
      <selection activeCell="C9" sqref="C9"/>
    </sheetView>
  </sheetViews>
  <sheetFormatPr baseColWidth="10" defaultColWidth="9.7109375" defaultRowHeight="12.75" x14ac:dyDescent="0.2"/>
  <cols>
    <col min="1" max="1" width="28.85546875" style="14" customWidth="1"/>
    <col min="2" max="3" width="16.5703125" style="14" customWidth="1"/>
    <col min="4" max="6" width="15.7109375" style="14" customWidth="1"/>
    <col min="7" max="7" width="12.42578125" style="14" customWidth="1"/>
    <col min="8" max="8" width="15.42578125" style="14" customWidth="1"/>
    <col min="9" max="9" width="12.5703125" style="76" customWidth="1"/>
    <col min="10" max="10" width="12.28515625" style="14" customWidth="1"/>
    <col min="11" max="11" width="15.5703125" style="14" customWidth="1"/>
    <col min="12" max="12" width="12" style="76" customWidth="1"/>
    <col min="13" max="13" width="17.7109375" style="78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6" customWidth="1"/>
    <col min="33" max="33" width="18.42578125" style="14" bestFit="1" customWidth="1"/>
    <col min="34" max="34" width="16.85546875" style="14" bestFit="1" customWidth="1"/>
    <col min="35" max="35" width="13.85546875" style="76" customWidth="1"/>
    <col min="36" max="36" width="15.140625" style="76" customWidth="1"/>
    <col min="37" max="37" width="17.5703125" style="78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 x14ac:dyDescent="0.4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</row>
    <row r="2" spans="1:43" ht="26.25" x14ac:dyDescent="0.4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1:43" ht="18.75" thickBot="1" x14ac:dyDescent="0.3">
      <c r="B3" s="218" t="s">
        <v>139</v>
      </c>
      <c r="C3" s="218"/>
      <c r="D3" s="218"/>
      <c r="E3" s="218"/>
      <c r="F3" s="218"/>
      <c r="G3" s="219" t="s">
        <v>69</v>
      </c>
      <c r="H3" s="219"/>
      <c r="I3" s="219"/>
      <c r="J3" s="219"/>
      <c r="K3" s="219"/>
      <c r="L3" s="219"/>
      <c r="M3" s="219"/>
      <c r="N3" s="219" t="s">
        <v>126</v>
      </c>
      <c r="O3" s="219"/>
      <c r="P3" s="219"/>
      <c r="Q3" s="219"/>
      <c r="R3" s="219"/>
      <c r="S3" s="219"/>
      <c r="T3" s="219" t="s">
        <v>126</v>
      </c>
      <c r="U3" s="219"/>
      <c r="V3" s="219"/>
      <c r="W3" s="219"/>
      <c r="X3" s="219"/>
      <c r="Y3" s="219"/>
      <c r="Z3" s="130"/>
      <c r="AA3" s="219" t="s">
        <v>126</v>
      </c>
      <c r="AB3" s="219"/>
      <c r="AC3" s="219"/>
      <c r="AD3" s="219"/>
      <c r="AE3" s="219"/>
      <c r="AF3" s="219"/>
      <c r="AG3" s="218" t="s">
        <v>126</v>
      </c>
      <c r="AH3" s="218"/>
      <c r="AI3" s="218"/>
      <c r="AJ3" s="218"/>
      <c r="AK3" s="218"/>
      <c r="AM3" s="218" t="s">
        <v>163</v>
      </c>
      <c r="AN3" s="218"/>
      <c r="AO3" s="218"/>
      <c r="AP3" s="218"/>
      <c r="AQ3" s="218"/>
    </row>
    <row r="4" spans="1:43" ht="64.5" thickBot="1" x14ac:dyDescent="0.25">
      <c r="A4" s="8" t="s">
        <v>0</v>
      </c>
      <c r="B4" s="9" t="s">
        <v>177</v>
      </c>
      <c r="C4" s="8" t="s">
        <v>178</v>
      </c>
      <c r="D4" s="9" t="s">
        <v>160</v>
      </c>
      <c r="E4" s="12" t="s">
        <v>161</v>
      </c>
      <c r="F4" s="127" t="s">
        <v>116</v>
      </c>
      <c r="G4" s="8" t="s">
        <v>100</v>
      </c>
      <c r="H4" s="9" t="s">
        <v>101</v>
      </c>
      <c r="I4" s="10">
        <v>0.85</v>
      </c>
      <c r="J4" s="8" t="s">
        <v>58</v>
      </c>
      <c r="K4" s="9" t="s">
        <v>102</v>
      </c>
      <c r="L4" s="10">
        <v>0.15</v>
      </c>
      <c r="M4" s="122" t="s">
        <v>103</v>
      </c>
      <c r="N4" s="8" t="s">
        <v>86</v>
      </c>
      <c r="O4" s="8" t="s">
        <v>87</v>
      </c>
      <c r="P4" s="8" t="s">
        <v>104</v>
      </c>
      <c r="Q4" s="8" t="s">
        <v>105</v>
      </c>
      <c r="R4" s="8" t="s">
        <v>88</v>
      </c>
      <c r="S4" s="8" t="s">
        <v>112</v>
      </c>
      <c r="T4" s="8" t="s">
        <v>113</v>
      </c>
      <c r="U4" s="8" t="s">
        <v>108</v>
      </c>
      <c r="V4" s="8" t="s">
        <v>63</v>
      </c>
      <c r="W4" s="8" t="s">
        <v>97</v>
      </c>
      <c r="X4" s="8" t="s">
        <v>98</v>
      </c>
      <c r="Y4" s="8" t="s">
        <v>115</v>
      </c>
      <c r="Z4" s="8" t="s">
        <v>114</v>
      </c>
      <c r="AA4" s="8" t="s">
        <v>88</v>
      </c>
      <c r="AB4" s="8" t="s">
        <v>107</v>
      </c>
      <c r="AC4" s="8" t="s">
        <v>110</v>
      </c>
      <c r="AD4" s="8" t="s">
        <v>109</v>
      </c>
      <c r="AE4" s="8" t="s">
        <v>62</v>
      </c>
      <c r="AF4" s="10">
        <v>0.85</v>
      </c>
      <c r="AG4" s="8" t="s">
        <v>111</v>
      </c>
      <c r="AH4" s="12" t="s">
        <v>64</v>
      </c>
      <c r="AI4" s="13" t="s">
        <v>66</v>
      </c>
      <c r="AJ4" s="10">
        <v>0.15</v>
      </c>
      <c r="AK4" s="122" t="s">
        <v>106</v>
      </c>
      <c r="AM4" s="129" t="s">
        <v>129</v>
      </c>
      <c r="AN4" s="129" t="s">
        <v>127</v>
      </c>
      <c r="AO4" s="129" t="s">
        <v>128</v>
      </c>
      <c r="AP4" s="129" t="s">
        <v>75</v>
      </c>
      <c r="AQ4" s="129" t="s">
        <v>117</v>
      </c>
    </row>
    <row r="5" spans="1:43" x14ac:dyDescent="0.2">
      <c r="A5" s="96"/>
      <c r="B5" s="97" t="s">
        <v>132</v>
      </c>
      <c r="C5" s="96" t="s">
        <v>132</v>
      </c>
      <c r="D5" s="97"/>
      <c r="E5" s="100"/>
      <c r="F5" s="103"/>
      <c r="G5" s="96"/>
      <c r="H5" s="97"/>
      <c r="I5" s="98"/>
      <c r="J5" s="99"/>
      <c r="K5" s="97"/>
      <c r="L5" s="98"/>
      <c r="M5" s="102"/>
      <c r="N5" s="99"/>
      <c r="O5" s="99"/>
      <c r="P5" s="99"/>
      <c r="Q5" s="99"/>
      <c r="R5" s="99"/>
      <c r="S5" s="99"/>
      <c r="T5" s="99"/>
      <c r="U5" s="99"/>
      <c r="V5" s="96"/>
      <c r="W5" s="99"/>
      <c r="X5" s="99"/>
      <c r="Y5" s="99"/>
      <c r="Z5" s="99"/>
      <c r="AA5" s="99"/>
      <c r="AB5" s="99"/>
      <c r="AC5" s="99"/>
      <c r="AD5" s="99"/>
      <c r="AE5" s="96"/>
      <c r="AF5" s="98"/>
      <c r="AG5" s="96"/>
      <c r="AH5" s="100"/>
      <c r="AI5" s="101"/>
      <c r="AJ5" s="98"/>
      <c r="AK5" s="102"/>
      <c r="AL5" s="111"/>
      <c r="AM5" s="104" t="s">
        <v>132</v>
      </c>
      <c r="AN5" s="104" t="s">
        <v>132</v>
      </c>
      <c r="AO5" s="104" t="s">
        <v>132</v>
      </c>
      <c r="AP5" s="104" t="s">
        <v>132</v>
      </c>
      <c r="AQ5" s="104"/>
    </row>
    <row r="6" spans="1:43" s="17" customFormat="1" ht="22.5" x14ac:dyDescent="0.2">
      <c r="A6" s="105"/>
      <c r="B6" s="109" t="s">
        <v>157</v>
      </c>
      <c r="C6" s="91" t="s">
        <v>158</v>
      </c>
      <c r="D6" s="91" t="s">
        <v>54</v>
      </c>
      <c r="E6" s="91" t="s">
        <v>55</v>
      </c>
      <c r="F6" s="110" t="s">
        <v>79</v>
      </c>
      <c r="G6" s="105" t="s">
        <v>57</v>
      </c>
      <c r="H6" s="91" t="s">
        <v>77</v>
      </c>
      <c r="I6" s="106" t="s">
        <v>80</v>
      </c>
      <c r="J6" s="15" t="s">
        <v>68</v>
      </c>
      <c r="K6" s="91" t="s">
        <v>81</v>
      </c>
      <c r="L6" s="106" t="s">
        <v>82</v>
      </c>
      <c r="M6" s="107" t="s">
        <v>70</v>
      </c>
      <c r="N6" s="15" t="s">
        <v>89</v>
      </c>
      <c r="O6" s="15" t="s">
        <v>90</v>
      </c>
      <c r="P6" s="15" t="s">
        <v>91</v>
      </c>
      <c r="Q6" s="15" t="s">
        <v>92</v>
      </c>
      <c r="R6" s="15" t="s">
        <v>93</v>
      </c>
      <c r="S6" s="15" t="s">
        <v>94</v>
      </c>
      <c r="T6" s="15" t="s">
        <v>95</v>
      </c>
      <c r="U6" s="15" t="s">
        <v>96</v>
      </c>
      <c r="V6" s="105" t="s">
        <v>60</v>
      </c>
      <c r="W6" s="15" t="s">
        <v>89</v>
      </c>
      <c r="X6" s="15" t="s">
        <v>90</v>
      </c>
      <c r="Y6" s="15" t="s">
        <v>91</v>
      </c>
      <c r="Z6" s="15" t="s">
        <v>92</v>
      </c>
      <c r="AA6" s="15" t="s">
        <v>93</v>
      </c>
      <c r="AB6" s="15" t="s">
        <v>94</v>
      </c>
      <c r="AC6" s="15" t="s">
        <v>95</v>
      </c>
      <c r="AD6" s="15" t="s">
        <v>96</v>
      </c>
      <c r="AE6" s="91" t="s">
        <v>59</v>
      </c>
      <c r="AF6" s="106" t="s">
        <v>83</v>
      </c>
      <c r="AG6" s="91" t="s">
        <v>65</v>
      </c>
      <c r="AH6" s="91" t="s">
        <v>61</v>
      </c>
      <c r="AI6" s="106" t="s">
        <v>84</v>
      </c>
      <c r="AJ6" s="106" t="s">
        <v>85</v>
      </c>
      <c r="AK6" s="108" t="s">
        <v>67</v>
      </c>
      <c r="AL6" s="16"/>
      <c r="AM6" s="15">
        <f>+AP6*0.5</f>
        <v>3392515412.2999997</v>
      </c>
      <c r="AN6" s="15">
        <f>+AP6*0.25</f>
        <v>1696257706.1499999</v>
      </c>
      <c r="AO6" s="15">
        <f>+AP6*0.25</f>
        <v>1696257706.1499999</v>
      </c>
      <c r="AP6" s="15">
        <f>SUM('Part Estim 2018'!P5:P10)</f>
        <v>6785030824.5999994</v>
      </c>
    </row>
    <row r="7" spans="1:43" s="25" customFormat="1" ht="23.25" customHeight="1" thickBot="1" x14ac:dyDescent="0.25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140</v>
      </c>
      <c r="AN7" s="15" t="s">
        <v>141</v>
      </c>
      <c r="AO7" s="15" t="s">
        <v>76</v>
      </c>
      <c r="AP7" s="24" t="s">
        <v>142</v>
      </c>
      <c r="AQ7" s="24" t="s">
        <v>72</v>
      </c>
    </row>
    <row r="8" spans="1:43" ht="13.5" thickTop="1" x14ac:dyDescent="0.2">
      <c r="A8" s="2" t="s">
        <v>1</v>
      </c>
      <c r="B8" s="29">
        <v>459163</v>
      </c>
      <c r="C8" s="29">
        <v>116264</v>
      </c>
      <c r="D8" s="37">
        <f t="shared" ref="D8:D39" si="0">+C8/B8</f>
        <v>0.2532085555674129</v>
      </c>
      <c r="E8" s="38">
        <f>+D8*C8</f>
        <v>29439.039504489694</v>
      </c>
      <c r="F8" s="123">
        <f t="shared" ref="F8:F39" si="1">+E8/E$59</f>
        <v>1.9511252385927292E-5</v>
      </c>
      <c r="G8" s="26">
        <v>2791</v>
      </c>
      <c r="H8" s="115">
        <f t="shared" ref="H8:H39" si="2">+G8/$G$59</f>
        <v>5.9976903197579094E-4</v>
      </c>
      <c r="I8" s="28">
        <f>+H8*I$4</f>
        <v>5.0980367717942232E-4</v>
      </c>
      <c r="J8" s="29">
        <v>47.45</v>
      </c>
      <c r="K8" s="112">
        <f t="shared" ref="K8:K39" si="3">+J8/$J$59</f>
        <v>7.3886478603129777E-4</v>
      </c>
      <c r="L8" s="30">
        <f>+K8*L$4</f>
        <v>1.1082971790469465E-4</v>
      </c>
      <c r="M8" s="123">
        <f>+L8+I8</f>
        <v>6.20633395084117E-4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204">
        <v>194.999999997044</v>
      </c>
      <c r="X8" s="204">
        <v>51</v>
      </c>
      <c r="Y8" s="204">
        <v>69</v>
      </c>
      <c r="Z8" s="204">
        <v>52</v>
      </c>
      <c r="AA8" s="35">
        <f>+W8/W$59*0.25</f>
        <v>1.5336072329640257E-4</v>
      </c>
      <c r="AB8" s="35">
        <f t="shared" ref="AB8:AD58" si="5">+X8/X$59*0.25</f>
        <v>1.7408044564594084E-4</v>
      </c>
      <c r="AC8" s="35">
        <f t="shared" si="5"/>
        <v>1.4011176451476657E-4</v>
      </c>
      <c r="AD8" s="35">
        <f t="shared" si="5"/>
        <v>9.4710767885764239E-4</v>
      </c>
      <c r="AE8" s="27">
        <f>SUM(AA8:AD8)</f>
        <v>1.4146606123147524E-3</v>
      </c>
      <c r="AF8" s="36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3">
        <f t="shared" ref="AK8:AK58" si="10">+AJ8+AF8</f>
        <v>1.2024615204675394E-3</v>
      </c>
      <c r="AM8" s="39">
        <f t="shared" ref="AM8:AM39" si="11">+F8*AM$6</f>
        <v>66192.224432533476</v>
      </c>
      <c r="AN8" s="40">
        <f t="shared" ref="AN8:AN39" si="12">+M8*AN$6</f>
        <v>1052754.1791054709</v>
      </c>
      <c r="AO8" s="40">
        <f t="shared" ref="AO8:AO39" si="13">+AK8*AO$6</f>
        <v>2039684.6204419096</v>
      </c>
      <c r="AP8" s="40">
        <f>SUM(AM8:AO8)</f>
        <v>3158631.0239799139</v>
      </c>
      <c r="AQ8" s="41">
        <f>+AP8/AP$59</f>
        <v>4.6552935508087779E-4</v>
      </c>
    </row>
    <row r="9" spans="1:43" x14ac:dyDescent="0.2">
      <c r="A9" s="4" t="s">
        <v>2</v>
      </c>
      <c r="B9" s="45">
        <v>2505034</v>
      </c>
      <c r="C9" s="45">
        <v>1059958</v>
      </c>
      <c r="D9" s="53">
        <f t="shared" si="0"/>
        <v>0.4231311830498109</v>
      </c>
      <c r="E9" s="54">
        <f t="shared" ref="E9:E58" si="14">+D9*C9</f>
        <v>448501.28252311144</v>
      </c>
      <c r="F9" s="124">
        <f t="shared" si="1"/>
        <v>2.9725228356672226E-4</v>
      </c>
      <c r="G9" s="42">
        <v>3443</v>
      </c>
      <c r="H9" s="116">
        <f t="shared" si="2"/>
        <v>7.3987989146995627E-4</v>
      </c>
      <c r="I9" s="44">
        <f t="shared" ref="I9:I58" si="15">+H9*I$4</f>
        <v>6.2889790774946284E-4</v>
      </c>
      <c r="J9" s="45">
        <v>978.99</v>
      </c>
      <c r="K9" s="113">
        <f t="shared" si="3"/>
        <v>1.524428317970032E-2</v>
      </c>
      <c r="L9" s="46">
        <f t="shared" ref="L9:L58" si="16">+K9*L$4</f>
        <v>2.2866424769550477E-3</v>
      </c>
      <c r="M9" s="124">
        <f t="shared" ref="M9:M58" si="17">+L9+I9</f>
        <v>2.9155403847045108E-3</v>
      </c>
      <c r="N9" s="47">
        <v>768</v>
      </c>
      <c r="O9" s="48">
        <v>191</v>
      </c>
      <c r="P9" s="48">
        <v>961</v>
      </c>
      <c r="Q9" s="48">
        <v>102</v>
      </c>
      <c r="R9" s="49">
        <f t="shared" ref="R9:U58" si="18">+N9/N$59*0.25</f>
        <v>4.4911125093857236E-4</v>
      </c>
      <c r="S9" s="49">
        <f t="shared" si="4"/>
        <v>5.4284187669815717E-4</v>
      </c>
      <c r="T9" s="49">
        <f t="shared" si="4"/>
        <v>7.1910038371974692E-4</v>
      </c>
      <c r="U9" s="49">
        <f t="shared" si="4"/>
        <v>6.514574764325678E-4</v>
      </c>
      <c r="V9" s="50">
        <f t="shared" ref="V9:V58" si="19">SUM(R9:U9)</f>
        <v>2.3625109877890441E-3</v>
      </c>
      <c r="W9" s="205">
        <v>468.99999999269994</v>
      </c>
      <c r="X9" s="205">
        <v>120</v>
      </c>
      <c r="Y9" s="205">
        <v>175</v>
      </c>
      <c r="Z9" s="205">
        <v>44</v>
      </c>
      <c r="AA9" s="51">
        <f t="shared" ref="AA9:AA58" si="20">+W9/W$59*0.25</f>
        <v>3.6885220115889019E-4</v>
      </c>
      <c r="AB9" s="51">
        <f t="shared" si="5"/>
        <v>4.0960104857868437E-4</v>
      </c>
      <c r="AC9" s="51">
        <f t="shared" si="5"/>
        <v>3.5535592449397314E-4</v>
      </c>
      <c r="AD9" s="51">
        <f t="shared" si="5"/>
        <v>8.0139880518723594E-4</v>
      </c>
      <c r="AE9" s="43">
        <f t="shared" ref="AE9:AE58" si="21">SUM(AA9:AD9)</f>
        <v>1.9352079794187835E-3</v>
      </c>
      <c r="AF9" s="52">
        <f t="shared" si="6"/>
        <v>1.644926782505966E-3</v>
      </c>
      <c r="AG9" s="43">
        <f t="shared" si="7"/>
        <v>-0.1808681570493571</v>
      </c>
      <c r="AH9" s="43">
        <f t="shared" si="8"/>
        <v>-0.1808681570493571</v>
      </c>
      <c r="AI9" s="44">
        <f t="shared" ref="AI9:AI58" si="22">+AH9/AH$59</f>
        <v>3.3703048799913031E-2</v>
      </c>
      <c r="AJ9" s="44">
        <f t="shared" si="9"/>
        <v>5.0554573199869546E-3</v>
      </c>
      <c r="AK9" s="124">
        <f t="shared" si="10"/>
        <v>6.7003841024929206E-3</v>
      </c>
      <c r="AM9" s="55">
        <f t="shared" si="11"/>
        <v>1008432.9533414752</v>
      </c>
      <c r="AN9" s="56">
        <f t="shared" si="12"/>
        <v>4945507.845146562</v>
      </c>
      <c r="AO9" s="56">
        <f t="shared" si="13"/>
        <v>11365578.168018566</v>
      </c>
      <c r="AP9" s="56">
        <f t="shared" ref="AP9:AP58" si="23">SUM(AM9:AO9)</f>
        <v>17319518.966506604</v>
      </c>
      <c r="AQ9" s="57">
        <f t="shared" ref="AQ9:AQ58" si="24">+AP9/AP$59</f>
        <v>2.5526072635827196E-3</v>
      </c>
    </row>
    <row r="10" spans="1:43" x14ac:dyDescent="0.2">
      <c r="A10" s="4" t="s">
        <v>3</v>
      </c>
      <c r="B10" s="45">
        <v>942330</v>
      </c>
      <c r="C10" s="45">
        <v>256046</v>
      </c>
      <c r="D10" s="53">
        <f t="shared" si="0"/>
        <v>0.27171585325735148</v>
      </c>
      <c r="E10" s="54">
        <f t="shared" si="14"/>
        <v>69571.757363131823</v>
      </c>
      <c r="F10" s="124">
        <f t="shared" si="1"/>
        <v>4.6109932242780579E-5</v>
      </c>
      <c r="G10" s="42">
        <v>1374</v>
      </c>
      <c r="H10" s="116">
        <f t="shared" si="2"/>
        <v>2.9526429592788847E-4</v>
      </c>
      <c r="I10" s="44">
        <f t="shared" si="15"/>
        <v>2.509746515387052E-4</v>
      </c>
      <c r="J10" s="45">
        <v>696.75</v>
      </c>
      <c r="K10" s="113">
        <f t="shared" si="3"/>
        <v>1.0849400203736705E-2</v>
      </c>
      <c r="L10" s="46">
        <f t="shared" si="16"/>
        <v>1.6274100305605057E-3</v>
      </c>
      <c r="M10" s="124">
        <f t="shared" si="17"/>
        <v>1.8783846820992108E-3</v>
      </c>
      <c r="N10" s="47">
        <v>363</v>
      </c>
      <c r="O10" s="48">
        <v>91</v>
      </c>
      <c r="P10" s="48">
        <v>728</v>
      </c>
      <c r="Q10" s="48">
        <v>81</v>
      </c>
      <c r="R10" s="49">
        <f t="shared" si="18"/>
        <v>2.1227523970143459E-4</v>
      </c>
      <c r="S10" s="49">
        <f t="shared" si="4"/>
        <v>2.5863147004990736E-4</v>
      </c>
      <c r="T10" s="49">
        <f t="shared" si="4"/>
        <v>5.4475034271381456E-4</v>
      </c>
      <c r="U10" s="49">
        <f t="shared" si="4"/>
        <v>5.1733387834350972E-4</v>
      </c>
      <c r="V10" s="50">
        <f t="shared" si="19"/>
        <v>1.5329909308086662E-3</v>
      </c>
      <c r="W10" s="205">
        <v>209.00000000199</v>
      </c>
      <c r="X10" s="205">
        <v>60</v>
      </c>
      <c r="Y10" s="205">
        <v>193</v>
      </c>
      <c r="Z10" s="205">
        <v>19</v>
      </c>
      <c r="AA10" s="51">
        <f t="shared" si="20"/>
        <v>1.6437123676789337E-4</v>
      </c>
      <c r="AB10" s="51">
        <f t="shared" si="5"/>
        <v>2.0480052428934218E-4</v>
      </c>
      <c r="AC10" s="51">
        <f t="shared" si="5"/>
        <v>3.9190681958478185E-4</v>
      </c>
      <c r="AD10" s="51">
        <f t="shared" si="5"/>
        <v>3.4605857496721549E-4</v>
      </c>
      <c r="AE10" s="43">
        <f t="shared" si="21"/>
        <v>1.107137155609233E-3</v>
      </c>
      <c r="AF10" s="52">
        <f t="shared" si="6"/>
        <v>9.4106658226784804E-4</v>
      </c>
      <c r="AG10" s="43">
        <f t="shared" si="7"/>
        <v>-0.27779275574369616</v>
      </c>
      <c r="AH10" s="43">
        <f t="shared" si="8"/>
        <v>-0.27779275574369616</v>
      </c>
      <c r="AI10" s="44">
        <f t="shared" si="22"/>
        <v>5.1764019470476444E-2</v>
      </c>
      <c r="AJ10" s="44">
        <f t="shared" si="9"/>
        <v>7.7646029205714661E-3</v>
      </c>
      <c r="AK10" s="124">
        <f t="shared" si="10"/>
        <v>8.7056695028393145E-3</v>
      </c>
      <c r="AM10" s="55">
        <f t="shared" si="11"/>
        <v>156428.65579374181</v>
      </c>
      <c r="AN10" s="56">
        <f t="shared" si="12"/>
        <v>3186224.4921249039</v>
      </c>
      <c r="AO10" s="56">
        <f t="shared" si="13"/>
        <v>14767058.981386226</v>
      </c>
      <c r="AP10" s="56">
        <f t="shared" si="23"/>
        <v>18109712.129304871</v>
      </c>
      <c r="AQ10" s="57">
        <f t="shared" si="24"/>
        <v>2.6690685123560219E-3</v>
      </c>
    </row>
    <row r="11" spans="1:43" ht="13.5" customHeight="1" x14ac:dyDescent="0.2">
      <c r="A11" s="4" t="s">
        <v>4</v>
      </c>
      <c r="B11" s="45">
        <v>32303497</v>
      </c>
      <c r="C11" s="45">
        <v>13944811</v>
      </c>
      <c r="D11" s="53">
        <f t="shared" si="0"/>
        <v>0.43168115823497377</v>
      </c>
      <c r="E11" s="54">
        <f t="shared" si="14"/>
        <v>6019712.1638478031</v>
      </c>
      <c r="F11" s="124">
        <f t="shared" si="1"/>
        <v>3.9896723974828935E-3</v>
      </c>
      <c r="G11" s="42">
        <v>32593</v>
      </c>
      <c r="H11" s="116">
        <f t="shared" si="2"/>
        <v>7.0040387170143149E-3</v>
      </c>
      <c r="I11" s="44">
        <f t="shared" si="15"/>
        <v>5.9534329094621677E-3</v>
      </c>
      <c r="J11" s="45">
        <v>190.52</v>
      </c>
      <c r="K11" s="113">
        <f t="shared" si="3"/>
        <v>2.9666705802883636E-3</v>
      </c>
      <c r="L11" s="46">
        <f t="shared" si="16"/>
        <v>4.4500058704325453E-4</v>
      </c>
      <c r="M11" s="124">
        <f t="shared" si="17"/>
        <v>6.3984334965054221E-3</v>
      </c>
      <c r="N11" s="47">
        <v>3420</v>
      </c>
      <c r="O11" s="48">
        <v>773</v>
      </c>
      <c r="P11" s="48">
        <v>6993</v>
      </c>
      <c r="Q11" s="48">
        <v>216</v>
      </c>
      <c r="R11" s="49">
        <f t="shared" si="18"/>
        <v>1.99994853933583E-3</v>
      </c>
      <c r="S11" s="49">
        <f t="shared" si="4"/>
        <v>2.196946443390971E-3</v>
      </c>
      <c r="T11" s="49">
        <f t="shared" si="4"/>
        <v>5.2327460804913531E-3</v>
      </c>
      <c r="U11" s="49">
        <f t="shared" si="4"/>
        <v>1.3795570089160259E-3</v>
      </c>
      <c r="V11" s="50">
        <f t="shared" si="19"/>
        <v>1.080919807213418E-2</v>
      </c>
      <c r="W11" s="205">
        <v>2055.0000000045479</v>
      </c>
      <c r="X11" s="205">
        <v>629</v>
      </c>
      <c r="Y11" s="205">
        <v>1238</v>
      </c>
      <c r="Z11" s="205">
        <v>59</v>
      </c>
      <c r="AA11" s="51">
        <f t="shared" si="20"/>
        <v>1.6161860839978574E-3</v>
      </c>
      <c r="AB11" s="51">
        <f t="shared" si="5"/>
        <v>2.1469921629666037E-3</v>
      </c>
      <c r="AC11" s="51">
        <f t="shared" si="5"/>
        <v>2.5138893401345074E-3</v>
      </c>
      <c r="AD11" s="51">
        <f t="shared" si="5"/>
        <v>1.074602943319248E-3</v>
      </c>
      <c r="AE11" s="43">
        <f t="shared" si="21"/>
        <v>7.3516705304182165E-3</v>
      </c>
      <c r="AF11" s="52">
        <f t="shared" si="6"/>
        <v>6.2489199508554841E-3</v>
      </c>
      <c r="AG11" s="43">
        <f t="shared" si="7"/>
        <v>-0.31986901513345156</v>
      </c>
      <c r="AH11" s="43">
        <f t="shared" si="8"/>
        <v>-0.31986901513345156</v>
      </c>
      <c r="AI11" s="44">
        <f t="shared" si="22"/>
        <v>5.9604527422043294E-2</v>
      </c>
      <c r="AJ11" s="44">
        <f t="shared" si="9"/>
        <v>8.9406791133064944E-3</v>
      </c>
      <c r="AK11" s="124">
        <f t="shared" si="10"/>
        <v>1.5189599064161979E-2</v>
      </c>
      <c r="AM11" s="55">
        <f t="shared" si="11"/>
        <v>13535025.098488607</v>
      </c>
      <c r="AN11" s="56">
        <f t="shared" si="12"/>
        <v>10853392.125735611</v>
      </c>
      <c r="AO11" s="56">
        <f t="shared" si="13"/>
        <v>25765474.465913583</v>
      </c>
      <c r="AP11" s="56">
        <f t="shared" si="23"/>
        <v>50153891.690137804</v>
      </c>
      <c r="AQ11" s="57">
        <f t="shared" si="24"/>
        <v>7.3918443389082988E-3</v>
      </c>
    </row>
    <row r="12" spans="1:43" x14ac:dyDescent="0.2">
      <c r="A12" s="4" t="s">
        <v>5</v>
      </c>
      <c r="B12" s="45">
        <v>10850067</v>
      </c>
      <c r="C12" s="45">
        <v>2843242.55</v>
      </c>
      <c r="D12" s="53">
        <f t="shared" si="0"/>
        <v>0.26204838642931882</v>
      </c>
      <c r="E12" s="54">
        <f t="shared" si="14"/>
        <v>745067.12245468178</v>
      </c>
      <c r="F12" s="124">
        <f t="shared" si="1"/>
        <v>4.9380662261256356E-4</v>
      </c>
      <c r="G12" s="42">
        <v>18480</v>
      </c>
      <c r="H12" s="116">
        <f t="shared" si="2"/>
        <v>3.9712403120432159E-3</v>
      </c>
      <c r="I12" s="44">
        <f t="shared" si="15"/>
        <v>3.3755542652367334E-3</v>
      </c>
      <c r="J12" s="45">
        <v>4572.87</v>
      </c>
      <c r="K12" s="113">
        <f t="shared" si="3"/>
        <v>7.1206166788175776E-2</v>
      </c>
      <c r="L12" s="46">
        <f t="shared" si="16"/>
        <v>1.0680925018226366E-2</v>
      </c>
      <c r="M12" s="124">
        <f t="shared" si="17"/>
        <v>1.4056479283463099E-2</v>
      </c>
      <c r="N12" s="47">
        <v>3207</v>
      </c>
      <c r="O12" s="48">
        <v>706</v>
      </c>
      <c r="P12" s="48">
        <v>5696</v>
      </c>
      <c r="Q12" s="48">
        <v>1464</v>
      </c>
      <c r="R12" s="49">
        <f t="shared" si="18"/>
        <v>1.8753903408333353E-3</v>
      </c>
      <c r="S12" s="49">
        <f t="shared" si="4"/>
        <v>2.0065254709366437E-3</v>
      </c>
      <c r="T12" s="49">
        <f t="shared" si="4"/>
        <v>4.2622224616729225E-3</v>
      </c>
      <c r="U12" s="49">
        <f t="shared" si="4"/>
        <v>9.3503308382086193E-3</v>
      </c>
      <c r="V12" s="50">
        <f t="shared" si="19"/>
        <v>1.749446911165152E-2</v>
      </c>
      <c r="W12" s="205">
        <v>2802.0000000077798</v>
      </c>
      <c r="X12" s="205">
        <v>510</v>
      </c>
      <c r="Y12" s="205">
        <v>1865</v>
      </c>
      <c r="Z12" s="205">
        <v>534</v>
      </c>
      <c r="AA12" s="51">
        <f t="shared" si="20"/>
        <v>2.2036756240216781E-3</v>
      </c>
      <c r="AB12" s="51">
        <f t="shared" si="5"/>
        <v>1.7408044564594086E-3</v>
      </c>
      <c r="AC12" s="51">
        <f t="shared" si="5"/>
        <v>3.7870788524643428E-3</v>
      </c>
      <c r="AD12" s="51">
        <f t="shared" si="5"/>
        <v>9.7260673174996357E-3</v>
      </c>
      <c r="AE12" s="43">
        <f t="shared" si="21"/>
        <v>1.7457626250445064E-2</v>
      </c>
      <c r="AF12" s="52">
        <f t="shared" si="6"/>
        <v>1.4838982312878304E-2</v>
      </c>
      <c r="AG12" s="43">
        <f t="shared" si="7"/>
        <v>-2.1059719486953626E-3</v>
      </c>
      <c r="AH12" s="43">
        <f t="shared" si="8"/>
        <v>-2.1059719486953626E-3</v>
      </c>
      <c r="AI12" s="44">
        <f t="shared" si="22"/>
        <v>3.9242770267603632E-4</v>
      </c>
      <c r="AJ12" s="44">
        <f t="shared" si="9"/>
        <v>5.8864155401405446E-5</v>
      </c>
      <c r="AK12" s="124">
        <f t="shared" si="10"/>
        <v>1.4897846468279709E-2</v>
      </c>
      <c r="AM12" s="55">
        <f t="shared" si="11"/>
        <v>1675246.5779089315</v>
      </c>
      <c r="AN12" s="56">
        <f t="shared" si="12"/>
        <v>23843411.305912111</v>
      </c>
      <c r="AO12" s="56">
        <f t="shared" si="13"/>
        <v>25270586.876859017</v>
      </c>
      <c r="AP12" s="56">
        <f t="shared" si="23"/>
        <v>50789244.760680065</v>
      </c>
      <c r="AQ12" s="57">
        <f t="shared" si="24"/>
        <v>7.4854847492419859E-3</v>
      </c>
    </row>
    <row r="13" spans="1:43" x14ac:dyDescent="0.2">
      <c r="A13" s="4" t="s">
        <v>6</v>
      </c>
      <c r="B13" s="45">
        <v>375880549</v>
      </c>
      <c r="C13" s="45">
        <v>178481790</v>
      </c>
      <c r="D13" s="53">
        <f t="shared" si="0"/>
        <v>0.47483646194206236</v>
      </c>
      <c r="E13" s="54">
        <f t="shared" si="14"/>
        <v>84749661.684686169</v>
      </c>
      <c r="F13" s="124">
        <f t="shared" si="1"/>
        <v>5.6169361045209393E-2</v>
      </c>
      <c r="G13" s="42">
        <v>523370</v>
      </c>
      <c r="H13" s="116">
        <f t="shared" si="2"/>
        <v>0.11246904989794686</v>
      </c>
      <c r="I13" s="44">
        <f t="shared" si="15"/>
        <v>9.5598692413254832E-2</v>
      </c>
      <c r="J13" s="45">
        <v>238.03</v>
      </c>
      <c r="K13" s="113">
        <f t="shared" si="3"/>
        <v>3.7064696526665922E-3</v>
      </c>
      <c r="L13" s="46">
        <f t="shared" si="16"/>
        <v>5.5597044789998883E-4</v>
      </c>
      <c r="M13" s="124">
        <f t="shared" si="17"/>
        <v>9.6154662861154816E-2</v>
      </c>
      <c r="N13" s="47">
        <v>27572</v>
      </c>
      <c r="O13" s="48">
        <v>4134</v>
      </c>
      <c r="P13" s="48">
        <v>4960</v>
      </c>
      <c r="Q13" s="48">
        <v>1244</v>
      </c>
      <c r="R13" s="49">
        <f t="shared" si="18"/>
        <v>1.6123561732914474E-2</v>
      </c>
      <c r="S13" s="49">
        <f t="shared" si="4"/>
        <v>1.1749258210838649E-2</v>
      </c>
      <c r="T13" s="49">
        <f t="shared" si="4"/>
        <v>3.711485851456758E-3</v>
      </c>
      <c r="U13" s="49">
        <f t="shared" si="4"/>
        <v>7.9452264772756302E-3</v>
      </c>
      <c r="V13" s="50">
        <f t="shared" si="19"/>
        <v>3.9529532272485512E-2</v>
      </c>
      <c r="W13" s="205">
        <v>34239.000000084088</v>
      </c>
      <c r="X13" s="205">
        <v>3826</v>
      </c>
      <c r="Y13" s="205">
        <v>1071</v>
      </c>
      <c r="Z13" s="205">
        <v>267</v>
      </c>
      <c r="AA13" s="51">
        <f t="shared" si="20"/>
        <v>2.6927783615579601E-2</v>
      </c>
      <c r="AB13" s="51">
        <f t="shared" si="5"/>
        <v>1.3059446765517053E-2</v>
      </c>
      <c r="AC13" s="51">
        <f t="shared" si="5"/>
        <v>2.1747782579031156E-3</v>
      </c>
      <c r="AD13" s="51">
        <f t="shared" si="5"/>
        <v>4.8630336587498178E-3</v>
      </c>
      <c r="AE13" s="43">
        <f t="shared" si="21"/>
        <v>4.7025042297749592E-2</v>
      </c>
      <c r="AF13" s="52">
        <f t="shared" si="6"/>
        <v>3.9971285953087153E-2</v>
      </c>
      <c r="AG13" s="43">
        <f t="shared" si="7"/>
        <v>0.18961797912497236</v>
      </c>
      <c r="AH13" s="43">
        <f t="shared" si="8"/>
        <v>0</v>
      </c>
      <c r="AI13" s="44">
        <f t="shared" si="22"/>
        <v>0</v>
      </c>
      <c r="AJ13" s="44">
        <f t="shared" si="9"/>
        <v>0</v>
      </c>
      <c r="AK13" s="124">
        <f t="shared" si="10"/>
        <v>3.9971285953087153E-2</v>
      </c>
      <c r="AM13" s="55">
        <f t="shared" si="11"/>
        <v>190555423.04491609</v>
      </c>
      <c r="AN13" s="56">
        <f t="shared" si="12"/>
        <v>163103087.86048904</v>
      </c>
      <c r="AO13" s="56">
        <f t="shared" si="13"/>
        <v>67801601.82264933</v>
      </c>
      <c r="AP13" s="56">
        <f t="shared" si="23"/>
        <v>421460112.72805452</v>
      </c>
      <c r="AQ13" s="57">
        <f t="shared" si="24"/>
        <v>6.2116167726165204E-2</v>
      </c>
    </row>
    <row r="14" spans="1:43" x14ac:dyDescent="0.2">
      <c r="A14" s="4" t="s">
        <v>7</v>
      </c>
      <c r="B14" s="45">
        <v>1362445</v>
      </c>
      <c r="C14" s="45">
        <v>667953</v>
      </c>
      <c r="D14" s="53">
        <f t="shared" si="0"/>
        <v>0.49026052427804423</v>
      </c>
      <c r="E14" s="54">
        <f t="shared" si="14"/>
        <v>327470.98797309247</v>
      </c>
      <c r="F14" s="124">
        <f t="shared" si="1"/>
        <v>2.1703728120740955E-4</v>
      </c>
      <c r="G14" s="42">
        <v>15470</v>
      </c>
      <c r="H14" s="116">
        <f t="shared" si="2"/>
        <v>3.3244095036422377E-3</v>
      </c>
      <c r="I14" s="44">
        <f t="shared" si="15"/>
        <v>2.825748078095902E-3</v>
      </c>
      <c r="J14" s="45">
        <v>2664.8</v>
      </c>
      <c r="K14" s="113">
        <f t="shared" si="3"/>
        <v>4.149477095503061E-2</v>
      </c>
      <c r="L14" s="46">
        <f t="shared" si="16"/>
        <v>6.224215643254591E-3</v>
      </c>
      <c r="M14" s="124">
        <f t="shared" si="17"/>
        <v>9.0499637213504926E-3</v>
      </c>
      <c r="N14" s="47">
        <v>3888</v>
      </c>
      <c r="O14" s="48">
        <v>1372</v>
      </c>
      <c r="P14" s="48">
        <v>11340</v>
      </c>
      <c r="Q14" s="48">
        <v>3122</v>
      </c>
      <c r="R14" s="49">
        <f t="shared" si="18"/>
        <v>2.2736257078765226E-3</v>
      </c>
      <c r="S14" s="49">
        <f t="shared" si="4"/>
        <v>3.8993667792139876E-3</v>
      </c>
      <c r="T14" s="49">
        <f t="shared" si="4"/>
        <v>8.4855341845805725E-3</v>
      </c>
      <c r="U14" s="49">
        <f t="shared" si="4"/>
        <v>1.9939708249239966E-2</v>
      </c>
      <c r="V14" s="50">
        <f t="shared" si="19"/>
        <v>3.4598234920911047E-2</v>
      </c>
      <c r="W14" s="205">
        <v>3560.0000000065597</v>
      </c>
      <c r="X14" s="205">
        <v>1140</v>
      </c>
      <c r="Y14" s="205">
        <v>7405</v>
      </c>
      <c r="Z14" s="205">
        <v>920</v>
      </c>
      <c r="AA14" s="51">
        <f t="shared" si="20"/>
        <v>2.7998162817665408E-3</v>
      </c>
      <c r="AB14" s="51">
        <f t="shared" si="5"/>
        <v>3.8912099614975015E-3</v>
      </c>
      <c r="AC14" s="51">
        <f t="shared" si="5"/>
        <v>1.5036632119302121E-2</v>
      </c>
      <c r="AD14" s="51">
        <f t="shared" si="5"/>
        <v>1.6756520472096751E-2</v>
      </c>
      <c r="AE14" s="43">
        <f t="shared" si="21"/>
        <v>3.8484178834662916E-2</v>
      </c>
      <c r="AF14" s="52">
        <f t="shared" si="6"/>
        <v>3.2711552009463477E-2</v>
      </c>
      <c r="AG14" s="43">
        <f t="shared" si="7"/>
        <v>0.11231624742229894</v>
      </c>
      <c r="AH14" s="43">
        <f t="shared" si="8"/>
        <v>0</v>
      </c>
      <c r="AI14" s="44">
        <f t="shared" si="22"/>
        <v>0</v>
      </c>
      <c r="AJ14" s="44">
        <f t="shared" si="9"/>
        <v>0</v>
      </c>
      <c r="AK14" s="124">
        <f t="shared" si="10"/>
        <v>3.2711552009463477E-2</v>
      </c>
      <c r="AM14" s="55">
        <f t="shared" si="11"/>
        <v>736302.32153982599</v>
      </c>
      <c r="AN14" s="56">
        <f t="shared" si="12"/>
        <v>15351070.702718703</v>
      </c>
      <c r="AO14" s="56">
        <f t="shared" si="13"/>
        <v>55487222.176178932</v>
      </c>
      <c r="AP14" s="56">
        <f t="shared" si="23"/>
        <v>71574595.200437456</v>
      </c>
      <c r="AQ14" s="57">
        <f t="shared" si="24"/>
        <v>1.0548897573307197E-2</v>
      </c>
    </row>
    <row r="15" spans="1:43" x14ac:dyDescent="0.2">
      <c r="A15" s="4" t="s">
        <v>8</v>
      </c>
      <c r="B15" s="45">
        <v>7756774</v>
      </c>
      <c r="C15" s="45">
        <v>753974</v>
      </c>
      <c r="D15" s="53">
        <f t="shared" si="0"/>
        <v>9.7202006916792982E-2</v>
      </c>
      <c r="E15" s="54">
        <f t="shared" si="14"/>
        <v>73287.785963082075</v>
      </c>
      <c r="F15" s="124">
        <f t="shared" si="1"/>
        <v>4.857279696619983E-5</v>
      </c>
      <c r="G15" s="42">
        <v>3773</v>
      </c>
      <c r="H15" s="116">
        <f t="shared" si="2"/>
        <v>8.1079489704215658E-4</v>
      </c>
      <c r="I15" s="44">
        <f t="shared" si="15"/>
        <v>6.8917566248583311E-4</v>
      </c>
      <c r="J15" s="45">
        <v>465.62</v>
      </c>
      <c r="K15" s="113">
        <f t="shared" si="3"/>
        <v>7.2503734809671837E-3</v>
      </c>
      <c r="L15" s="46">
        <f t="shared" si="16"/>
        <v>1.0875560221450776E-3</v>
      </c>
      <c r="M15" s="124">
        <f t="shared" si="17"/>
        <v>1.7767316846309107E-3</v>
      </c>
      <c r="N15" s="47">
        <v>739</v>
      </c>
      <c r="O15" s="48">
        <v>153</v>
      </c>
      <c r="P15" s="48">
        <v>789</v>
      </c>
      <c r="Q15" s="48">
        <v>57</v>
      </c>
      <c r="R15" s="49">
        <f t="shared" si="18"/>
        <v>4.3215262297344398E-4</v>
      </c>
      <c r="S15" s="49">
        <f t="shared" si="4"/>
        <v>4.3484192217182224E-4</v>
      </c>
      <c r="T15" s="49">
        <f t="shared" si="4"/>
        <v>5.9039563241923033E-4</v>
      </c>
      <c r="U15" s="49">
        <f t="shared" si="4"/>
        <v>3.6404976624172905E-4</v>
      </c>
      <c r="V15" s="50">
        <f t="shared" si="19"/>
        <v>1.8214399438062257E-3</v>
      </c>
      <c r="W15" s="205">
        <v>518.99999999744</v>
      </c>
      <c r="X15" s="205">
        <v>104</v>
      </c>
      <c r="Y15" s="205">
        <v>89</v>
      </c>
      <c r="Z15" s="205">
        <v>41</v>
      </c>
      <c r="AA15" s="51">
        <f t="shared" si="20"/>
        <v>4.0817546354690717E-4</v>
      </c>
      <c r="AB15" s="51">
        <f t="shared" si="5"/>
        <v>3.5498757543485978E-4</v>
      </c>
      <c r="AC15" s="51">
        <f t="shared" si="5"/>
        <v>1.8072387017122063E-4</v>
      </c>
      <c r="AD15" s="51">
        <f t="shared" si="5"/>
        <v>7.4675797756083341E-4</v>
      </c>
      <c r="AE15" s="43">
        <f t="shared" si="21"/>
        <v>1.6906448867138209E-3</v>
      </c>
      <c r="AF15" s="52">
        <f t="shared" si="6"/>
        <v>1.4370481537067476E-3</v>
      </c>
      <c r="AG15" s="43">
        <f t="shared" si="7"/>
        <v>-7.1808602604313709E-2</v>
      </c>
      <c r="AH15" s="43">
        <f t="shared" si="8"/>
        <v>-7.1808602604313709E-2</v>
      </c>
      <c r="AI15" s="44">
        <f t="shared" si="22"/>
        <v>1.3380845347842557E-2</v>
      </c>
      <c r="AJ15" s="44">
        <f t="shared" si="9"/>
        <v>2.0071268021763836E-3</v>
      </c>
      <c r="AK15" s="124">
        <f t="shared" si="10"/>
        <v>3.4441749558831313E-3</v>
      </c>
      <c r="AM15" s="55">
        <f t="shared" si="11"/>
        <v>164783.96232635158</v>
      </c>
      <c r="AN15" s="56">
        <f t="shared" si="12"/>
        <v>3013794.8118160535</v>
      </c>
      <c r="AO15" s="56">
        <f t="shared" si="13"/>
        <v>5842208.3102455968</v>
      </c>
      <c r="AP15" s="56">
        <f t="shared" si="23"/>
        <v>9020787.0843880028</v>
      </c>
      <c r="AQ15" s="57">
        <f t="shared" si="24"/>
        <v>1.3295130586116106E-3</v>
      </c>
    </row>
    <row r="16" spans="1:43" x14ac:dyDescent="0.2">
      <c r="A16" s="4" t="s">
        <v>9</v>
      </c>
      <c r="B16" s="45">
        <v>60416595</v>
      </c>
      <c r="C16" s="45">
        <v>19853892.740000002</v>
      </c>
      <c r="D16" s="53">
        <f t="shared" si="0"/>
        <v>0.32861654550376435</v>
      </c>
      <c r="E16" s="54">
        <f t="shared" si="14"/>
        <v>6524317.6470210673</v>
      </c>
      <c r="F16" s="124">
        <f t="shared" si="1"/>
        <v>4.3241087480987081E-3</v>
      </c>
      <c r="G16" s="42">
        <v>86445</v>
      </c>
      <c r="H16" s="116">
        <f t="shared" si="2"/>
        <v>1.8576508050572284E-2</v>
      </c>
      <c r="I16" s="44">
        <f t="shared" si="15"/>
        <v>1.5790031842986441E-2</v>
      </c>
      <c r="J16" s="45">
        <v>1140.97</v>
      </c>
      <c r="K16" s="113">
        <f t="shared" si="3"/>
        <v>1.7766544887631817E-2</v>
      </c>
      <c r="L16" s="46">
        <f t="shared" si="16"/>
        <v>2.6649817331447726E-3</v>
      </c>
      <c r="M16" s="124">
        <f t="shared" si="17"/>
        <v>1.8455013576131211E-2</v>
      </c>
      <c r="N16" s="47">
        <v>6662</v>
      </c>
      <c r="O16" s="48">
        <v>2055</v>
      </c>
      <c r="P16" s="48">
        <v>14558</v>
      </c>
      <c r="Q16" s="48">
        <v>683</v>
      </c>
      <c r="R16" s="49">
        <f t="shared" si="18"/>
        <v>3.895806189782251E-3</v>
      </c>
      <c r="S16" s="49">
        <f t="shared" si="4"/>
        <v>5.8405238566215344E-3</v>
      </c>
      <c r="T16" s="49">
        <f t="shared" si="4"/>
        <v>1.0893510287400703E-2</v>
      </c>
      <c r="U16" s="49">
        <f t="shared" si="4"/>
        <v>4.3622103568965081E-3</v>
      </c>
      <c r="V16" s="50">
        <f t="shared" si="19"/>
        <v>2.4992050690700995E-2</v>
      </c>
      <c r="W16" s="205">
        <v>5056.9999999440479</v>
      </c>
      <c r="X16" s="205">
        <v>1587</v>
      </c>
      <c r="Y16" s="205">
        <v>3489</v>
      </c>
      <c r="Z16" s="205">
        <v>461</v>
      </c>
      <c r="AA16" s="51">
        <f t="shared" si="20"/>
        <v>3.9771547575029919E-3</v>
      </c>
      <c r="AB16" s="51">
        <f t="shared" si="5"/>
        <v>5.4169738674531009E-3</v>
      </c>
      <c r="AC16" s="51">
        <f t="shared" si="5"/>
        <v>7.0847818317684138E-3</v>
      </c>
      <c r="AD16" s="51">
        <f t="shared" si="5"/>
        <v>8.3964738452571765E-3</v>
      </c>
      <c r="AE16" s="43">
        <f t="shared" si="21"/>
        <v>2.4875384301981683E-2</v>
      </c>
      <c r="AF16" s="52">
        <f t="shared" si="6"/>
        <v>2.114407665668443E-2</v>
      </c>
      <c r="AG16" s="43">
        <f t="shared" si="7"/>
        <v>-4.6681398882853836E-3</v>
      </c>
      <c r="AH16" s="43">
        <f t="shared" si="8"/>
        <v>-4.6681398882853836E-3</v>
      </c>
      <c r="AI16" s="44">
        <f t="shared" si="22"/>
        <v>8.6986315903450563E-4</v>
      </c>
      <c r="AJ16" s="44">
        <f t="shared" si="9"/>
        <v>1.3047947385517585E-4</v>
      </c>
      <c r="AK16" s="124">
        <f t="shared" si="10"/>
        <v>2.1274556130539607E-2</v>
      </c>
      <c r="AM16" s="55">
        <f t="shared" si="11"/>
        <v>14669605.572386125</v>
      </c>
      <c r="AN16" s="56">
        <f t="shared" si="12"/>
        <v>31304458.995615434</v>
      </c>
      <c r="AO16" s="56">
        <f t="shared" si="13"/>
        <v>36087129.781348534</v>
      </c>
      <c r="AP16" s="56">
        <f t="shared" si="23"/>
        <v>82061194.349350095</v>
      </c>
      <c r="AQ16" s="57">
        <f t="shared" si="24"/>
        <v>1.209444680071706E-2</v>
      </c>
    </row>
    <row r="17" spans="1:43" x14ac:dyDescent="0.2">
      <c r="A17" s="4" t="s">
        <v>10</v>
      </c>
      <c r="B17" s="45">
        <v>15931615</v>
      </c>
      <c r="C17" s="45">
        <v>3568427</v>
      </c>
      <c r="D17" s="53">
        <f t="shared" si="0"/>
        <v>0.22398400915412531</v>
      </c>
      <c r="E17" s="54">
        <f t="shared" si="14"/>
        <v>799270.58583382796</v>
      </c>
      <c r="F17" s="124">
        <f t="shared" si="1"/>
        <v>5.2973094188325852E-4</v>
      </c>
      <c r="G17" s="42">
        <v>16092</v>
      </c>
      <c r="H17" s="116">
        <f t="shared" si="2"/>
        <v>3.4580735444480213E-3</v>
      </c>
      <c r="I17" s="44">
        <f t="shared" si="15"/>
        <v>2.9393625127808179E-3</v>
      </c>
      <c r="J17" s="45">
        <v>102.38</v>
      </c>
      <c r="K17" s="113">
        <f t="shared" si="3"/>
        <v>1.5942039366466652E-3</v>
      </c>
      <c r="L17" s="46">
        <f t="shared" si="16"/>
        <v>2.3913059049699976E-4</v>
      </c>
      <c r="M17" s="124">
        <f t="shared" si="17"/>
        <v>3.1784931032778178E-3</v>
      </c>
      <c r="N17" s="47">
        <v>981</v>
      </c>
      <c r="O17" s="48">
        <v>219</v>
      </c>
      <c r="P17" s="48">
        <v>1075</v>
      </c>
      <c r="Q17" s="48">
        <v>108</v>
      </c>
      <c r="R17" s="49">
        <f t="shared" si="18"/>
        <v>5.73669449441067E-4</v>
      </c>
      <c r="S17" s="49">
        <f t="shared" si="4"/>
        <v>6.2242079055966715E-4</v>
      </c>
      <c r="T17" s="49">
        <f t="shared" si="4"/>
        <v>8.0440469562822884E-4</v>
      </c>
      <c r="U17" s="49">
        <f t="shared" si="4"/>
        <v>6.8977850445801295E-4</v>
      </c>
      <c r="V17" s="50">
        <f t="shared" si="19"/>
        <v>2.6902734400869759E-3</v>
      </c>
      <c r="W17" s="205">
        <v>716.99999998365001</v>
      </c>
      <c r="X17" s="205">
        <v>253</v>
      </c>
      <c r="Y17" s="205">
        <v>273</v>
      </c>
      <c r="Z17" s="205">
        <v>153</v>
      </c>
      <c r="AA17" s="51">
        <f t="shared" si="20"/>
        <v>5.6389558257784655E-4</v>
      </c>
      <c r="AB17" s="51">
        <f t="shared" si="5"/>
        <v>8.6357554408672619E-4</v>
      </c>
      <c r="AC17" s="51">
        <f t="shared" si="5"/>
        <v>5.5435524221059812E-4</v>
      </c>
      <c r="AD17" s="51">
        <f t="shared" si="5"/>
        <v>2.786682208946525E-3</v>
      </c>
      <c r="AE17" s="43">
        <f t="shared" si="21"/>
        <v>4.7685085778216962E-3</v>
      </c>
      <c r="AF17" s="52">
        <f t="shared" si="6"/>
        <v>4.0532322911484417E-3</v>
      </c>
      <c r="AG17" s="43">
        <f t="shared" si="7"/>
        <v>0.77249959307762084</v>
      </c>
      <c r="AH17" s="43">
        <f t="shared" si="8"/>
        <v>0</v>
      </c>
      <c r="AI17" s="44">
        <f t="shared" si="22"/>
        <v>0</v>
      </c>
      <c r="AJ17" s="44">
        <f t="shared" si="9"/>
        <v>0</v>
      </c>
      <c r="AK17" s="124">
        <f t="shared" si="10"/>
        <v>4.0532322911484417E-3</v>
      </c>
      <c r="AM17" s="55">
        <f t="shared" si="11"/>
        <v>1797120.3847111498</v>
      </c>
      <c r="AN17" s="56">
        <f t="shared" si="12"/>
        <v>5391543.4203796256</v>
      </c>
      <c r="AO17" s="56">
        <f t="shared" si="13"/>
        <v>6875326.5086765643</v>
      </c>
      <c r="AP17" s="56">
        <f t="shared" si="23"/>
        <v>14063990.31376734</v>
      </c>
      <c r="AQ17" s="57">
        <f t="shared" si="24"/>
        <v>2.0727968195481945E-3</v>
      </c>
    </row>
    <row r="18" spans="1:43" x14ac:dyDescent="0.2">
      <c r="A18" s="4" t="s">
        <v>11</v>
      </c>
      <c r="B18" s="45">
        <v>4349277</v>
      </c>
      <c r="C18" s="45">
        <v>3072497</v>
      </c>
      <c r="D18" s="53">
        <f t="shared" si="0"/>
        <v>0.70643856438667851</v>
      </c>
      <c r="E18" s="54">
        <f t="shared" si="14"/>
        <v>2170530.3697623764</v>
      </c>
      <c r="F18" s="124">
        <f t="shared" si="1"/>
        <v>1.4385580021826164E-3</v>
      </c>
      <c r="G18" s="42">
        <v>7855</v>
      </c>
      <c r="H18" s="116">
        <f t="shared" si="2"/>
        <v>1.6879920265746463E-3</v>
      </c>
      <c r="I18" s="44">
        <f t="shared" si="15"/>
        <v>1.4347932225884494E-3</v>
      </c>
      <c r="J18" s="45">
        <v>1006.89</v>
      </c>
      <c r="K18" s="113">
        <f t="shared" si="3"/>
        <v>1.5678726331023254E-2</v>
      </c>
      <c r="L18" s="46">
        <f t="shared" si="16"/>
        <v>2.3518089496534882E-3</v>
      </c>
      <c r="M18" s="124">
        <f t="shared" si="17"/>
        <v>3.7866021722419377E-3</v>
      </c>
      <c r="N18" s="47">
        <v>1343</v>
      </c>
      <c r="O18" s="48">
        <v>344</v>
      </c>
      <c r="P18" s="48">
        <v>1532</v>
      </c>
      <c r="Q18" s="48">
        <v>359</v>
      </c>
      <c r="R18" s="49">
        <f t="shared" si="18"/>
        <v>7.85359908867842E-4</v>
      </c>
      <c r="S18" s="49">
        <f t="shared" si="4"/>
        <v>9.7768379886997952E-4</v>
      </c>
      <c r="T18" s="49">
        <f t="shared" si="4"/>
        <v>1.1463702266999503E-3</v>
      </c>
      <c r="U18" s="49">
        <f t="shared" si="4"/>
        <v>2.2928748435224688E-3</v>
      </c>
      <c r="V18" s="50">
        <f t="shared" si="19"/>
        <v>5.2022887779602407E-3</v>
      </c>
      <c r="W18" s="205">
        <v>655.00000000354908</v>
      </c>
      <c r="X18" s="205">
        <v>319</v>
      </c>
      <c r="Y18" s="205">
        <v>345</v>
      </c>
      <c r="Z18" s="205">
        <v>110</v>
      </c>
      <c r="AA18" s="51">
        <f t="shared" si="20"/>
        <v>5.1513473723697805E-4</v>
      </c>
      <c r="AB18" s="51">
        <f t="shared" si="5"/>
        <v>1.0888561208050025E-3</v>
      </c>
      <c r="AC18" s="51">
        <f t="shared" si="5"/>
        <v>7.0055882257383283E-4</v>
      </c>
      <c r="AD18" s="51">
        <f t="shared" si="5"/>
        <v>2.0034970129680896E-3</v>
      </c>
      <c r="AE18" s="43">
        <f t="shared" si="21"/>
        <v>4.3080466935839033E-3</v>
      </c>
      <c r="AF18" s="52">
        <f t="shared" si="6"/>
        <v>3.6618396895463177E-3</v>
      </c>
      <c r="AG18" s="43">
        <f t="shared" si="7"/>
        <v>-0.17189397254624528</v>
      </c>
      <c r="AH18" s="43">
        <f t="shared" si="8"/>
        <v>-0.17189397254624528</v>
      </c>
      <c r="AI18" s="44">
        <f t="shared" si="22"/>
        <v>3.2030795468082691E-2</v>
      </c>
      <c r="AJ18" s="44">
        <f t="shared" si="9"/>
        <v>4.8046193202124039E-3</v>
      </c>
      <c r="AK18" s="124">
        <f t="shared" si="10"/>
        <v>8.4664590097587207E-3</v>
      </c>
      <c r="AM18" s="55">
        <f t="shared" si="11"/>
        <v>4880330.1938920226</v>
      </c>
      <c r="AN18" s="56">
        <f t="shared" si="12"/>
        <v>6423053.114789716</v>
      </c>
      <c r="AO18" s="56">
        <f t="shared" si="13"/>
        <v>14361296.339106327</v>
      </c>
      <c r="AP18" s="56">
        <f t="shared" si="23"/>
        <v>25664679.647788063</v>
      </c>
      <c r="AQ18" s="57">
        <f t="shared" si="24"/>
        <v>3.7825442965914728E-3</v>
      </c>
    </row>
    <row r="19" spans="1:43" x14ac:dyDescent="0.2">
      <c r="A19" s="4" t="s">
        <v>12</v>
      </c>
      <c r="B19" s="45">
        <v>3771418</v>
      </c>
      <c r="C19" s="45">
        <v>1206088</v>
      </c>
      <c r="D19" s="53">
        <f t="shared" si="0"/>
        <v>0.31979695700662192</v>
      </c>
      <c r="E19" s="54">
        <f t="shared" si="14"/>
        <v>385703.27228220261</v>
      </c>
      <c r="F19" s="124">
        <f t="shared" si="1"/>
        <v>2.5563177393842559E-4</v>
      </c>
      <c r="G19" s="42">
        <v>10864</v>
      </c>
      <c r="H19" s="116">
        <f t="shared" si="2"/>
        <v>2.3346079410193452E-3</v>
      </c>
      <c r="I19" s="44">
        <f t="shared" si="15"/>
        <v>1.9844167498664434E-3</v>
      </c>
      <c r="J19" s="45">
        <v>4292.05</v>
      </c>
      <c r="K19" s="113">
        <f t="shared" si="3"/>
        <v>6.6833395255756198E-2</v>
      </c>
      <c r="L19" s="46">
        <f t="shared" si="16"/>
        <v>1.002500928836343E-2</v>
      </c>
      <c r="M19" s="124">
        <f t="shared" si="17"/>
        <v>1.2009426038229874E-2</v>
      </c>
      <c r="N19" s="47">
        <v>2046</v>
      </c>
      <c r="O19" s="48">
        <v>494</v>
      </c>
      <c r="P19" s="48">
        <v>4758</v>
      </c>
      <c r="Q19" s="48">
        <v>898</v>
      </c>
      <c r="R19" s="49">
        <f t="shared" si="18"/>
        <v>1.1964604419535403E-3</v>
      </c>
      <c r="S19" s="49">
        <f t="shared" si="4"/>
        <v>1.4039994088423542E-3</v>
      </c>
      <c r="T19" s="49">
        <f t="shared" si="4"/>
        <v>3.5603325970224304E-3</v>
      </c>
      <c r="U19" s="49">
        <f t="shared" si="4"/>
        <v>5.7353805278082927E-3</v>
      </c>
      <c r="V19" s="50">
        <f t="shared" si="19"/>
        <v>1.1896172975626618E-2</v>
      </c>
      <c r="W19" s="205">
        <v>787.99999998764804</v>
      </c>
      <c r="X19" s="205">
        <v>378</v>
      </c>
      <c r="Y19" s="205">
        <v>1925</v>
      </c>
      <c r="Z19" s="205">
        <v>123</v>
      </c>
      <c r="AA19" s="51">
        <f t="shared" si="20"/>
        <v>6.1973461516668131E-4</v>
      </c>
      <c r="AB19" s="51">
        <f t="shared" si="5"/>
        <v>1.2902433030228557E-3</v>
      </c>
      <c r="AC19" s="51">
        <f t="shared" si="5"/>
        <v>3.9089151694337047E-3</v>
      </c>
      <c r="AD19" s="51">
        <f t="shared" si="5"/>
        <v>2.2402739326825003E-3</v>
      </c>
      <c r="AE19" s="43">
        <f t="shared" si="21"/>
        <v>8.0591670203057422E-3</v>
      </c>
      <c r="AF19" s="52">
        <f t="shared" si="6"/>
        <v>6.8502919672598804E-3</v>
      </c>
      <c r="AG19" s="43">
        <f t="shared" si="7"/>
        <v>-0.32254120406472697</v>
      </c>
      <c r="AH19" s="43">
        <f t="shared" si="8"/>
        <v>-0.32254120406472697</v>
      </c>
      <c r="AI19" s="44">
        <f t="shared" si="22"/>
        <v>6.0102464236475396E-2</v>
      </c>
      <c r="AJ19" s="44">
        <f t="shared" si="9"/>
        <v>9.0153696354713098E-3</v>
      </c>
      <c r="AK19" s="124">
        <f t="shared" si="10"/>
        <v>1.5865661602731191E-2</v>
      </c>
      <c r="AM19" s="55">
        <f t="shared" si="11"/>
        <v>867234.73295969819</v>
      </c>
      <c r="AN19" s="56">
        <f t="shared" si="12"/>
        <v>20371081.463785887</v>
      </c>
      <c r="AO19" s="56">
        <f t="shared" si="13"/>
        <v>26912250.756800942</v>
      </c>
      <c r="AP19" s="56">
        <f t="shared" si="23"/>
        <v>48150566.953546524</v>
      </c>
      <c r="AQ19" s="57">
        <f t="shared" si="24"/>
        <v>7.0965877972094795E-3</v>
      </c>
    </row>
    <row r="20" spans="1:43" x14ac:dyDescent="0.2">
      <c r="A20" s="4" t="s">
        <v>13</v>
      </c>
      <c r="B20" s="45">
        <v>33239703</v>
      </c>
      <c r="C20" s="45">
        <v>12740082</v>
      </c>
      <c r="D20" s="53">
        <f t="shared" si="0"/>
        <v>0.38327905637424015</v>
      </c>
      <c r="E20" s="54">
        <f t="shared" si="14"/>
        <v>4883006.6070904424</v>
      </c>
      <c r="F20" s="124">
        <f t="shared" si="1"/>
        <v>3.2363003656611191E-3</v>
      </c>
      <c r="G20" s="42">
        <v>24526</v>
      </c>
      <c r="H20" s="116">
        <f t="shared" si="2"/>
        <v>5.2704891717084371E-3</v>
      </c>
      <c r="I20" s="44">
        <f t="shared" si="15"/>
        <v>4.4799157959521715E-3</v>
      </c>
      <c r="J20" s="45">
        <v>146.56</v>
      </c>
      <c r="K20" s="113">
        <f t="shared" si="3"/>
        <v>2.2821501167702212E-3</v>
      </c>
      <c r="L20" s="46">
        <f t="shared" si="16"/>
        <v>3.4232251751553319E-4</v>
      </c>
      <c r="M20" s="124">
        <f t="shared" si="17"/>
        <v>4.8222383134677044E-3</v>
      </c>
      <c r="N20" s="47">
        <v>1162</v>
      </c>
      <c r="O20" s="48">
        <v>349</v>
      </c>
      <c r="P20" s="48">
        <v>489</v>
      </c>
      <c r="Q20" s="48">
        <v>43</v>
      </c>
      <c r="R20" s="49">
        <f t="shared" si="18"/>
        <v>6.7951467915445456E-4</v>
      </c>
      <c r="S20" s="49">
        <f t="shared" si="4"/>
        <v>9.9189431920239184E-4</v>
      </c>
      <c r="T20" s="49">
        <f t="shared" si="4"/>
        <v>3.6591060108111993E-4</v>
      </c>
      <c r="U20" s="49">
        <f t="shared" si="4"/>
        <v>2.7463403418235698E-4</v>
      </c>
      <c r="V20" s="50">
        <f t="shared" si="19"/>
        <v>2.3119536336203231E-3</v>
      </c>
      <c r="W20" s="205">
        <v>2032.9999999577099</v>
      </c>
      <c r="X20" s="205">
        <v>358</v>
      </c>
      <c r="Y20" s="205">
        <v>131</v>
      </c>
      <c r="Z20" s="205">
        <v>31</v>
      </c>
      <c r="AA20" s="51">
        <f t="shared" si="20"/>
        <v>1.5988838485119338E-3</v>
      </c>
      <c r="AB20" s="51">
        <f t="shared" si="5"/>
        <v>1.221976461593075E-3</v>
      </c>
      <c r="AC20" s="51">
        <f t="shared" si="5"/>
        <v>2.6600929204977422E-4</v>
      </c>
      <c r="AD20" s="51">
        <f t="shared" si="5"/>
        <v>5.6462188547282534E-4</v>
      </c>
      <c r="AE20" s="43">
        <f t="shared" si="21"/>
        <v>3.6514914876276086E-3</v>
      </c>
      <c r="AF20" s="52">
        <f t="shared" si="6"/>
        <v>3.1037677644834673E-3</v>
      </c>
      <c r="AG20" s="43">
        <f t="shared" si="7"/>
        <v>0.57939650455259473</v>
      </c>
      <c r="AH20" s="43">
        <f t="shared" si="8"/>
        <v>0</v>
      </c>
      <c r="AI20" s="44">
        <f t="shared" si="22"/>
        <v>0</v>
      </c>
      <c r="AJ20" s="44">
        <f t="shared" si="9"/>
        <v>0</v>
      </c>
      <c r="AK20" s="124">
        <f t="shared" si="10"/>
        <v>3.1037677644834673E-3</v>
      </c>
      <c r="AM20" s="55">
        <f t="shared" si="11"/>
        <v>10979198.869337471</v>
      </c>
      <c r="AN20" s="56">
        <f t="shared" si="12"/>
        <v>8179758.9001113726</v>
      </c>
      <c r="AO20" s="56">
        <f t="shared" si="13"/>
        <v>5264789.9886050392</v>
      </c>
      <c r="AP20" s="56">
        <f t="shared" si="23"/>
        <v>24423747.758053884</v>
      </c>
      <c r="AQ20" s="57">
        <f t="shared" si="24"/>
        <v>3.5996517023183534E-3</v>
      </c>
    </row>
    <row r="21" spans="1:43" x14ac:dyDescent="0.2">
      <c r="A21" s="4" t="s">
        <v>14</v>
      </c>
      <c r="B21" s="45">
        <v>5335452</v>
      </c>
      <c r="C21" s="45">
        <v>659999</v>
      </c>
      <c r="D21" s="53">
        <f t="shared" si="0"/>
        <v>0.12370067240788597</v>
      </c>
      <c r="E21" s="54">
        <f t="shared" si="14"/>
        <v>81642.320088532331</v>
      </c>
      <c r="F21" s="124">
        <f t="shared" si="1"/>
        <v>5.4109914570313314E-5</v>
      </c>
      <c r="G21" s="42">
        <v>35445</v>
      </c>
      <c r="H21" s="116">
        <f t="shared" si="2"/>
        <v>7.6169162803231489E-3</v>
      </c>
      <c r="I21" s="44">
        <f t="shared" si="15"/>
        <v>6.4743788382746765E-3</v>
      </c>
      <c r="J21" s="45">
        <v>5091.18</v>
      </c>
      <c r="K21" s="113">
        <f t="shared" si="3"/>
        <v>7.9276999396139566E-2</v>
      </c>
      <c r="L21" s="46">
        <f t="shared" si="16"/>
        <v>1.1891549909420934E-2</v>
      </c>
      <c r="M21" s="124">
        <f t="shared" si="17"/>
        <v>1.836592874769561E-2</v>
      </c>
      <c r="N21" s="47">
        <v>7369</v>
      </c>
      <c r="O21" s="48">
        <v>3474</v>
      </c>
      <c r="P21" s="48">
        <v>27910</v>
      </c>
      <c r="Q21" s="48">
        <v>2988</v>
      </c>
      <c r="R21" s="49">
        <f t="shared" si="18"/>
        <v>4.3092458439665882E-3</v>
      </c>
      <c r="S21" s="49">
        <f t="shared" si="4"/>
        <v>9.8734695269601987E-3</v>
      </c>
      <c r="T21" s="49">
        <f t="shared" si="4"/>
        <v>2.08845907488222E-2</v>
      </c>
      <c r="U21" s="49">
        <f t="shared" si="4"/>
        <v>1.9083871956671692E-2</v>
      </c>
      <c r="V21" s="50">
        <f t="shared" si="19"/>
        <v>5.4151178076420683E-2</v>
      </c>
      <c r="W21" s="205">
        <v>7387.0000000238397</v>
      </c>
      <c r="X21" s="205">
        <v>3170</v>
      </c>
      <c r="Y21" s="205">
        <v>23798</v>
      </c>
      <c r="Z21" s="205">
        <v>1385</v>
      </c>
      <c r="AA21" s="51">
        <f t="shared" si="20"/>
        <v>5.8096187846736159E-3</v>
      </c>
      <c r="AB21" s="51">
        <f t="shared" si="5"/>
        <v>1.0820294366620246E-2</v>
      </c>
      <c r="AC21" s="51">
        <f t="shared" si="5"/>
        <v>4.8324344520614702E-2</v>
      </c>
      <c r="AD21" s="51">
        <f t="shared" si="5"/>
        <v>2.522584875418913E-2</v>
      </c>
      <c r="AE21" s="43">
        <f t="shared" si="21"/>
        <v>9.0180106426097695E-2</v>
      </c>
      <c r="AF21" s="52">
        <f t="shared" si="6"/>
        <v>7.6653090462183035E-2</v>
      </c>
      <c r="AG21" s="43">
        <f t="shared" si="7"/>
        <v>0.66533969582030694</v>
      </c>
      <c r="AH21" s="43">
        <f t="shared" si="8"/>
        <v>0</v>
      </c>
      <c r="AI21" s="44">
        <f t="shared" si="22"/>
        <v>0</v>
      </c>
      <c r="AJ21" s="44">
        <f t="shared" si="9"/>
        <v>0</v>
      </c>
      <c r="AK21" s="124">
        <f t="shared" si="10"/>
        <v>7.6653090462183035E-2</v>
      </c>
      <c r="AM21" s="55">
        <f t="shared" si="11"/>
        <v>183568.71913802423</v>
      </c>
      <c r="AN21" s="56">
        <f t="shared" si="12"/>
        <v>31153348.168880496</v>
      </c>
      <c r="AO21" s="56">
        <f t="shared" si="13"/>
        <v>130023395.39669102</v>
      </c>
      <c r="AP21" s="56">
        <f t="shared" si="23"/>
        <v>161360312.28470954</v>
      </c>
      <c r="AQ21" s="57">
        <f t="shared" si="24"/>
        <v>2.3781809759754819E-2</v>
      </c>
    </row>
    <row r="22" spans="1:43" x14ac:dyDescent="0.2">
      <c r="A22" s="4" t="s">
        <v>15</v>
      </c>
      <c r="B22" s="45">
        <v>1280849</v>
      </c>
      <c r="C22" s="45">
        <v>374826</v>
      </c>
      <c r="D22" s="53">
        <f t="shared" si="0"/>
        <v>0.29263871073014852</v>
      </c>
      <c r="E22" s="54">
        <f t="shared" si="14"/>
        <v>109688.59738813865</v>
      </c>
      <c r="F22" s="124">
        <f t="shared" si="1"/>
        <v>7.269808878010256E-5</v>
      </c>
      <c r="G22" s="42">
        <v>1716</v>
      </c>
      <c r="H22" s="116">
        <f t="shared" si="2"/>
        <v>3.6875802897544147E-4</v>
      </c>
      <c r="I22" s="44">
        <f t="shared" si="15"/>
        <v>3.1344432462912525E-4</v>
      </c>
      <c r="J22" s="45">
        <v>720.74</v>
      </c>
      <c r="K22" s="113">
        <f t="shared" si="3"/>
        <v>1.1222959028117967E-2</v>
      </c>
      <c r="L22" s="46">
        <f t="shared" si="16"/>
        <v>1.683443854217695E-3</v>
      </c>
      <c r="M22" s="124">
        <f t="shared" si="17"/>
        <v>1.9968881788468202E-3</v>
      </c>
      <c r="N22" s="47">
        <v>381</v>
      </c>
      <c r="O22" s="48">
        <v>111</v>
      </c>
      <c r="P22" s="48">
        <v>881</v>
      </c>
      <c r="Q22" s="48">
        <v>100</v>
      </c>
      <c r="R22" s="49">
        <f t="shared" si="18"/>
        <v>2.2280128464530736E-4</v>
      </c>
      <c r="S22" s="49">
        <f t="shared" si="4"/>
        <v>3.1547355137955733E-4</v>
      </c>
      <c r="T22" s="49">
        <f t="shared" si="4"/>
        <v>6.5923770869625079E-4</v>
      </c>
      <c r="U22" s="49">
        <f t="shared" si="4"/>
        <v>6.3868380042408609E-4</v>
      </c>
      <c r="V22" s="50">
        <f t="shared" si="19"/>
        <v>1.8361963451452015E-3</v>
      </c>
      <c r="W22" s="205">
        <v>157.99999999728001</v>
      </c>
      <c r="X22" s="205">
        <v>83</v>
      </c>
      <c r="Y22" s="205">
        <v>189</v>
      </c>
      <c r="Z22" s="205">
        <v>25</v>
      </c>
      <c r="AA22" s="51">
        <f t="shared" si="20"/>
        <v>1.2426150913221427E-4</v>
      </c>
      <c r="AB22" s="51">
        <f t="shared" si="5"/>
        <v>2.8330739193359002E-4</v>
      </c>
      <c r="AC22" s="51">
        <f t="shared" si="5"/>
        <v>3.8378439845349104E-4</v>
      </c>
      <c r="AD22" s="51">
        <f t="shared" si="5"/>
        <v>4.5534023022002039E-4</v>
      </c>
      <c r="AE22" s="43">
        <f t="shared" si="21"/>
        <v>1.2466935297393157E-3</v>
      </c>
      <c r="AF22" s="52">
        <f t="shared" si="6"/>
        <v>1.0596895002784182E-3</v>
      </c>
      <c r="AG22" s="43">
        <f t="shared" si="7"/>
        <v>-0.32104563162022282</v>
      </c>
      <c r="AH22" s="43">
        <f t="shared" si="8"/>
        <v>-0.32104563162022282</v>
      </c>
      <c r="AI22" s="44">
        <f t="shared" si="22"/>
        <v>5.982377863529921E-2</v>
      </c>
      <c r="AJ22" s="44">
        <f t="shared" si="9"/>
        <v>8.9735667952948808E-3</v>
      </c>
      <c r="AK22" s="124">
        <f t="shared" si="10"/>
        <v>1.0033256295573299E-2</v>
      </c>
      <c r="AM22" s="55">
        <f t="shared" si="11"/>
        <v>246629.38663125163</v>
      </c>
      <c r="AN22" s="56">
        <f t="shared" si="12"/>
        <v>3387236.9616887579</v>
      </c>
      <c r="AO22" s="56">
        <f t="shared" si="13"/>
        <v>17018988.30914421</v>
      </c>
      <c r="AP22" s="56">
        <f t="shared" si="23"/>
        <v>20652854.657464221</v>
      </c>
      <c r="AQ22" s="57">
        <f t="shared" si="24"/>
        <v>3.0438851629950819E-3</v>
      </c>
    </row>
    <row r="23" spans="1:43" x14ac:dyDescent="0.2">
      <c r="A23" s="4" t="s">
        <v>16</v>
      </c>
      <c r="B23" s="45">
        <v>1393406</v>
      </c>
      <c r="C23" s="45">
        <v>551980</v>
      </c>
      <c r="D23" s="53">
        <f t="shared" si="0"/>
        <v>0.39613723494803382</v>
      </c>
      <c r="E23" s="54">
        <f t="shared" si="14"/>
        <v>218659.83094661572</v>
      </c>
      <c r="F23" s="124">
        <f t="shared" si="1"/>
        <v>1.4492073179265801E-4</v>
      </c>
      <c r="G23" s="42">
        <v>3345</v>
      </c>
      <c r="H23" s="116">
        <f t="shared" si="2"/>
        <v>7.1882028375457561E-4</v>
      </c>
      <c r="I23" s="44">
        <f t="shared" si="15"/>
        <v>6.1099724119138929E-4</v>
      </c>
      <c r="J23" s="45">
        <v>615.78</v>
      </c>
      <c r="K23" s="113">
        <f t="shared" si="3"/>
        <v>9.5885807785532663E-3</v>
      </c>
      <c r="L23" s="46">
        <f t="shared" si="16"/>
        <v>1.4382871167829899E-3</v>
      </c>
      <c r="M23" s="124">
        <f t="shared" si="17"/>
        <v>2.049284357974379E-3</v>
      </c>
      <c r="N23" s="47">
        <v>519</v>
      </c>
      <c r="O23" s="48">
        <v>176</v>
      </c>
      <c r="P23" s="48">
        <v>1034</v>
      </c>
      <c r="Q23" s="48">
        <v>145</v>
      </c>
      <c r="R23" s="49">
        <f t="shared" si="18"/>
        <v>3.0350096254833211E-4</v>
      </c>
      <c r="S23" s="49">
        <f t="shared" si="4"/>
        <v>5.0021031570091968E-4</v>
      </c>
      <c r="T23" s="49">
        <f t="shared" si="4"/>
        <v>7.7372507467868713E-4</v>
      </c>
      <c r="U23" s="49">
        <f t="shared" si="4"/>
        <v>9.2609151061492478E-4</v>
      </c>
      <c r="V23" s="50">
        <f t="shared" si="19"/>
        <v>2.5035278635428637E-3</v>
      </c>
      <c r="W23" s="205">
        <v>277.00000000287605</v>
      </c>
      <c r="X23" s="205">
        <v>136</v>
      </c>
      <c r="Y23" s="205">
        <v>317</v>
      </c>
      <c r="Z23" s="205">
        <v>84</v>
      </c>
      <c r="AA23" s="51">
        <f t="shared" si="20"/>
        <v>2.1785087361122336E-4</v>
      </c>
      <c r="AB23" s="51">
        <f t="shared" si="5"/>
        <v>4.6421452172250896E-4</v>
      </c>
      <c r="AC23" s="51">
        <f t="shared" si="5"/>
        <v>6.4370187465479715E-4</v>
      </c>
      <c r="AD23" s="51">
        <f t="shared" si="5"/>
        <v>1.5299431735392686E-3</v>
      </c>
      <c r="AE23" s="43">
        <f t="shared" si="21"/>
        <v>2.8557104435277978E-3</v>
      </c>
      <c r="AF23" s="52">
        <f t="shared" si="6"/>
        <v>2.4273538769986279E-3</v>
      </c>
      <c r="AG23" s="43">
        <f t="shared" si="7"/>
        <v>0.14067451979006276</v>
      </c>
      <c r="AH23" s="43">
        <f t="shared" si="8"/>
        <v>0</v>
      </c>
      <c r="AI23" s="44">
        <f t="shared" si="22"/>
        <v>0</v>
      </c>
      <c r="AJ23" s="44">
        <f t="shared" si="9"/>
        <v>0</v>
      </c>
      <c r="AK23" s="124">
        <f t="shared" si="10"/>
        <v>2.4273538769986279E-3</v>
      </c>
      <c r="AM23" s="55">
        <f t="shared" si="11"/>
        <v>491645.81616838684</v>
      </c>
      <c r="AN23" s="56">
        <f t="shared" si="12"/>
        <v>3476114.3843066953</v>
      </c>
      <c r="AO23" s="56">
        <f t="shared" si="13"/>
        <v>4117417.7194120013</v>
      </c>
      <c r="AP23" s="56">
        <f t="shared" si="23"/>
        <v>8085177.9198870836</v>
      </c>
      <c r="AQ23" s="57">
        <f t="shared" si="24"/>
        <v>1.1916199246395809E-3</v>
      </c>
    </row>
    <row r="24" spans="1:43" x14ac:dyDescent="0.2">
      <c r="A24" s="4" t="s">
        <v>17</v>
      </c>
      <c r="B24" s="45">
        <v>8959128</v>
      </c>
      <c r="C24" s="45">
        <v>830194</v>
      </c>
      <c r="D24" s="53">
        <f t="shared" si="0"/>
        <v>9.2664598608257417E-2</v>
      </c>
      <c r="E24" s="54">
        <f t="shared" si="14"/>
        <v>76929.59377698366</v>
      </c>
      <c r="F24" s="124">
        <f t="shared" si="1"/>
        <v>5.0986470530082212E-5</v>
      </c>
      <c r="G24" s="42">
        <v>39991</v>
      </c>
      <c r="H24" s="116">
        <f t="shared" si="2"/>
        <v>8.5938242055692785E-3</v>
      </c>
      <c r="I24" s="44">
        <f t="shared" si="15"/>
        <v>7.3047505747338868E-3</v>
      </c>
      <c r="J24" s="45">
        <v>7010.79</v>
      </c>
      <c r="K24" s="113">
        <f t="shared" si="3"/>
        <v>0.1091680896366778</v>
      </c>
      <c r="L24" s="46">
        <f t="shared" si="16"/>
        <v>1.637521344550167E-2</v>
      </c>
      <c r="M24" s="124">
        <f t="shared" si="17"/>
        <v>2.3679964020235558E-2</v>
      </c>
      <c r="N24" s="47">
        <v>6824</v>
      </c>
      <c r="O24" s="48">
        <v>2866</v>
      </c>
      <c r="P24" s="48">
        <v>26645</v>
      </c>
      <c r="Q24" s="48">
        <v>2369</v>
      </c>
      <c r="R24" s="49">
        <f t="shared" si="18"/>
        <v>3.9905405942771066E-3</v>
      </c>
      <c r="S24" s="49">
        <f t="shared" si="18"/>
        <v>8.1454702545388398E-3</v>
      </c>
      <c r="T24" s="49">
        <f t="shared" si="18"/>
        <v>1.9938012200013171E-2</v>
      </c>
      <c r="U24" s="49">
        <f t="shared" si="18"/>
        <v>1.5130419232046598E-2</v>
      </c>
      <c r="V24" s="50">
        <f t="shared" si="19"/>
        <v>4.7204442280875711E-2</v>
      </c>
      <c r="W24" s="205">
        <v>7532.9999999958</v>
      </c>
      <c r="X24" s="205">
        <v>2466</v>
      </c>
      <c r="Y24" s="205">
        <v>13627</v>
      </c>
      <c r="Z24" s="205">
        <v>715</v>
      </c>
      <c r="AA24" s="51">
        <f t="shared" si="20"/>
        <v>5.9244427108136877E-3</v>
      </c>
      <c r="AB24" s="51">
        <f t="shared" si="5"/>
        <v>8.4173015482919642E-3</v>
      </c>
      <c r="AC24" s="51">
        <f t="shared" si="5"/>
        <v>2.7671058189024985E-2</v>
      </c>
      <c r="AD24" s="51">
        <f t="shared" si="5"/>
        <v>1.3022730584292583E-2</v>
      </c>
      <c r="AE24" s="43">
        <f t="shared" si="21"/>
        <v>5.5035533032423221E-2</v>
      </c>
      <c r="AF24" s="52">
        <f t="shared" si="6"/>
        <v>4.6780203077559736E-2</v>
      </c>
      <c r="AG24" s="43">
        <f t="shared" si="7"/>
        <v>0.16589732603874402</v>
      </c>
      <c r="AH24" s="43">
        <f t="shared" si="8"/>
        <v>0</v>
      </c>
      <c r="AI24" s="44">
        <f t="shared" si="22"/>
        <v>0</v>
      </c>
      <c r="AJ24" s="44">
        <f t="shared" si="9"/>
        <v>0</v>
      </c>
      <c r="AK24" s="124">
        <f t="shared" si="10"/>
        <v>4.6780203077559736E-2</v>
      </c>
      <c r="AM24" s="55">
        <f t="shared" si="11"/>
        <v>172972.38709208363</v>
      </c>
      <c r="AN24" s="56">
        <f t="shared" si="12"/>
        <v>40167321.450679295</v>
      </c>
      <c r="AO24" s="56">
        <f t="shared" si="13"/>
        <v>79351279.96557264</v>
      </c>
      <c r="AP24" s="56">
        <f t="shared" si="23"/>
        <v>119691573.80334401</v>
      </c>
      <c r="AQ24" s="57">
        <f t="shared" si="24"/>
        <v>1.7640535009713864E-2</v>
      </c>
    </row>
    <row r="25" spans="1:43" x14ac:dyDescent="0.2">
      <c r="A25" s="4" t="s">
        <v>18</v>
      </c>
      <c r="B25" s="45">
        <v>310826336</v>
      </c>
      <c r="C25" s="45">
        <v>75022966.480000004</v>
      </c>
      <c r="D25" s="53">
        <f t="shared" si="0"/>
        <v>0.24136618359134152</v>
      </c>
      <c r="E25" s="54">
        <f t="shared" si="14"/>
        <v>18108007.100978743</v>
      </c>
      <c r="F25" s="124">
        <f t="shared" si="1"/>
        <v>1.2001407066948541E-2</v>
      </c>
      <c r="G25" s="42">
        <v>143668</v>
      </c>
      <c r="H25" s="116">
        <f t="shared" si="2"/>
        <v>3.0873384910748092E-2</v>
      </c>
      <c r="I25" s="44">
        <f t="shared" si="15"/>
        <v>2.6242377174135877E-2</v>
      </c>
      <c r="J25" s="45">
        <v>1040.01</v>
      </c>
      <c r="K25" s="113">
        <f t="shared" si="3"/>
        <v>1.6194452394529189E-2</v>
      </c>
      <c r="L25" s="46">
        <f t="shared" si="16"/>
        <v>2.4291678591793781E-3</v>
      </c>
      <c r="M25" s="124">
        <f t="shared" si="17"/>
        <v>2.8671545033315253E-2</v>
      </c>
      <c r="N25" s="47">
        <v>3671</v>
      </c>
      <c r="O25" s="48">
        <v>1263</v>
      </c>
      <c r="P25" s="48">
        <v>9334</v>
      </c>
      <c r="Q25" s="48">
        <v>932</v>
      </c>
      <c r="R25" s="49">
        <f t="shared" si="18"/>
        <v>2.1467283882753894E-3</v>
      </c>
      <c r="S25" s="49">
        <f t="shared" si="18"/>
        <v>3.5895774359673955E-3</v>
      </c>
      <c r="T25" s="49">
        <f t="shared" si="18"/>
        <v>6.9844776083664078E-3</v>
      </c>
      <c r="U25" s="49">
        <f t="shared" si="18"/>
        <v>5.9525330199524818E-3</v>
      </c>
      <c r="V25" s="50">
        <f t="shared" si="19"/>
        <v>1.8673316452561674E-2</v>
      </c>
      <c r="W25" s="205">
        <v>8688.9999999445354</v>
      </c>
      <c r="X25" s="205">
        <v>1809</v>
      </c>
      <c r="Y25" s="205">
        <v>2369</v>
      </c>
      <c r="Z25" s="205">
        <v>783</v>
      </c>
      <c r="AA25" s="51">
        <f t="shared" si="20"/>
        <v>6.8335965370981333E-3</v>
      </c>
      <c r="AB25" s="51">
        <f t="shared" si="5"/>
        <v>6.1747358073236669E-3</v>
      </c>
      <c r="AC25" s="51">
        <f t="shared" si="5"/>
        <v>4.8105039150069849E-3</v>
      </c>
      <c r="AD25" s="51">
        <f t="shared" si="5"/>
        <v>1.4261256010491039E-2</v>
      </c>
      <c r="AE25" s="43">
        <f t="shared" si="21"/>
        <v>3.2080092269919827E-2</v>
      </c>
      <c r="AF25" s="52">
        <f t="shared" si="6"/>
        <v>2.7268078429431852E-2</v>
      </c>
      <c r="AG25" s="43">
        <f t="shared" si="7"/>
        <v>0.71796436650217865</v>
      </c>
      <c r="AH25" s="43">
        <f t="shared" si="8"/>
        <v>0</v>
      </c>
      <c r="AI25" s="44">
        <f t="shared" si="22"/>
        <v>0</v>
      </c>
      <c r="AJ25" s="44">
        <f t="shared" si="9"/>
        <v>0</v>
      </c>
      <c r="AK25" s="124">
        <f t="shared" si="10"/>
        <v>2.7268078429431852E-2</v>
      </c>
      <c r="AM25" s="55">
        <f t="shared" si="11"/>
        <v>40714958.443909056</v>
      </c>
      <c r="AN25" s="56">
        <f t="shared" si="12"/>
        <v>48634329.209987752</v>
      </c>
      <c r="AO25" s="56">
        <f t="shared" si="13"/>
        <v>46253688.167826362</v>
      </c>
      <c r="AP25" s="56">
        <f t="shared" si="23"/>
        <v>135602975.82172316</v>
      </c>
      <c r="AQ25" s="57">
        <f t="shared" si="24"/>
        <v>1.9985609399161049E-2</v>
      </c>
    </row>
    <row r="26" spans="1:43" x14ac:dyDescent="0.2">
      <c r="A26" s="4" t="s">
        <v>19</v>
      </c>
      <c r="B26" s="45">
        <v>4493191</v>
      </c>
      <c r="C26" s="45">
        <v>969965</v>
      </c>
      <c r="D26" s="53">
        <f t="shared" si="0"/>
        <v>0.2158744197609227</v>
      </c>
      <c r="E26" s="54">
        <f t="shared" si="14"/>
        <v>209390.63156340338</v>
      </c>
      <c r="F26" s="124">
        <f t="shared" si="1"/>
        <v>1.3877740335445417E-4</v>
      </c>
      <c r="G26" s="42">
        <v>5527</v>
      </c>
      <c r="H26" s="116">
        <f t="shared" si="2"/>
        <v>1.1877188963562151E-3</v>
      </c>
      <c r="I26" s="44">
        <f t="shared" si="15"/>
        <v>1.0095610619027828E-3</v>
      </c>
      <c r="J26" s="45">
        <v>1894.8</v>
      </c>
      <c r="K26" s="113">
        <f t="shared" si="3"/>
        <v>2.9504762836082252E-2</v>
      </c>
      <c r="L26" s="46">
        <f t="shared" si="16"/>
        <v>4.425714425412338E-3</v>
      </c>
      <c r="M26" s="124">
        <f t="shared" si="17"/>
        <v>5.4352754873151204E-3</v>
      </c>
      <c r="N26" s="47">
        <v>814</v>
      </c>
      <c r="O26" s="48">
        <v>270</v>
      </c>
      <c r="P26" s="48">
        <v>1738</v>
      </c>
      <c r="Q26" s="48">
        <v>531</v>
      </c>
      <c r="R26" s="49">
        <f t="shared" si="18"/>
        <v>4.760111435729139E-4</v>
      </c>
      <c r="S26" s="49">
        <f t="shared" si="18"/>
        <v>7.6736809795027456E-4</v>
      </c>
      <c r="T26" s="49">
        <f t="shared" si="18"/>
        <v>1.3005166148854527E-3</v>
      </c>
      <c r="U26" s="49">
        <f t="shared" si="18"/>
        <v>3.3914109802518971E-3</v>
      </c>
      <c r="V26" s="50">
        <f t="shared" si="19"/>
        <v>5.9353068366605382E-3</v>
      </c>
      <c r="W26" s="205">
        <v>320.00000000721394</v>
      </c>
      <c r="X26" s="205">
        <v>216</v>
      </c>
      <c r="Y26" s="205">
        <v>671</v>
      </c>
      <c r="Z26" s="205">
        <v>199</v>
      </c>
      <c r="AA26" s="51">
        <f t="shared" si="20"/>
        <v>2.5166887926512352E-4</v>
      </c>
      <c r="AB26" s="51">
        <f t="shared" si="5"/>
        <v>7.372818874416319E-4</v>
      </c>
      <c r="AC26" s="51">
        <f t="shared" si="5"/>
        <v>1.3625361447740343E-3</v>
      </c>
      <c r="AD26" s="51">
        <f t="shared" si="5"/>
        <v>3.6245082325513625E-3</v>
      </c>
      <c r="AE26" s="43">
        <f t="shared" si="21"/>
        <v>5.9759951440321521E-3</v>
      </c>
      <c r="AF26" s="52">
        <f t="shared" si="6"/>
        <v>5.0795958724273293E-3</v>
      </c>
      <c r="AG26" s="43">
        <f t="shared" si="7"/>
        <v>6.8552997328284624E-3</v>
      </c>
      <c r="AH26" s="43">
        <f t="shared" si="8"/>
        <v>0</v>
      </c>
      <c r="AI26" s="44">
        <f t="shared" si="22"/>
        <v>0</v>
      </c>
      <c r="AJ26" s="44">
        <f t="shared" si="9"/>
        <v>0</v>
      </c>
      <c r="AK26" s="124">
        <f t="shared" si="10"/>
        <v>5.0795958724273293E-3</v>
      </c>
      <c r="AM26" s="55">
        <f t="shared" si="11"/>
        <v>470804.47975895944</v>
      </c>
      <c r="AN26" s="56">
        <f t="shared" si="12"/>
        <v>9219627.930406468</v>
      </c>
      <c r="AO26" s="56">
        <f t="shared" si="13"/>
        <v>8616303.6427325886</v>
      </c>
      <c r="AP26" s="56">
        <f t="shared" si="23"/>
        <v>18306736.052898016</v>
      </c>
      <c r="AQ26" s="57">
        <f t="shared" si="24"/>
        <v>2.6981065416128397E-3</v>
      </c>
    </row>
    <row r="27" spans="1:43" x14ac:dyDescent="0.2">
      <c r="A27" s="4" t="s">
        <v>20</v>
      </c>
      <c r="B27" s="45">
        <v>282954134</v>
      </c>
      <c r="C27" s="45">
        <v>123570423.94</v>
      </c>
      <c r="D27" s="53">
        <f t="shared" si="0"/>
        <v>0.43671538631769907</v>
      </c>
      <c r="E27" s="54">
        <f t="shared" si="14"/>
        <v>53965105.428398952</v>
      </c>
      <c r="F27" s="124">
        <f t="shared" si="1"/>
        <v>3.5766343256072843E-2</v>
      </c>
      <c r="G27" s="42">
        <v>357937</v>
      </c>
      <c r="H27" s="116">
        <f t="shared" si="2"/>
        <v>7.6918498028777746E-2</v>
      </c>
      <c r="I27" s="44">
        <f t="shared" si="15"/>
        <v>6.5380723324461085E-2</v>
      </c>
      <c r="J27" s="45">
        <v>151.27000000000001</v>
      </c>
      <c r="K27" s="113">
        <f t="shared" si="3"/>
        <v>2.3554915950043079E-3</v>
      </c>
      <c r="L27" s="46">
        <f t="shared" si="16"/>
        <v>3.5332373925064616E-4</v>
      </c>
      <c r="M27" s="124">
        <f t="shared" si="17"/>
        <v>6.5734047063711734E-2</v>
      </c>
      <c r="N27" s="47">
        <v>25525</v>
      </c>
      <c r="O27" s="48">
        <v>4815</v>
      </c>
      <c r="P27" s="48">
        <v>33044</v>
      </c>
      <c r="Q27" s="48">
        <v>5258</v>
      </c>
      <c r="R27" s="49">
        <f t="shared" si="18"/>
        <v>1.4926516510686275E-2</v>
      </c>
      <c r="S27" s="49">
        <f t="shared" si="18"/>
        <v>1.3684731080113229E-2</v>
      </c>
      <c r="T27" s="49">
        <f t="shared" si="18"/>
        <v>2.4726277918455063E-2</v>
      </c>
      <c r="U27" s="49">
        <f t="shared" si="18"/>
        <v>3.3581994226298442E-2</v>
      </c>
      <c r="V27" s="50">
        <f t="shared" si="19"/>
        <v>8.6919519735553008E-2</v>
      </c>
      <c r="W27" s="205">
        <v>20136.00000070727</v>
      </c>
      <c r="X27" s="205">
        <v>4791</v>
      </c>
      <c r="Y27" s="205">
        <v>5994</v>
      </c>
      <c r="Z27" s="205">
        <v>875</v>
      </c>
      <c r="AA27" s="51">
        <f t="shared" si="20"/>
        <v>1.5836264227957138E-2</v>
      </c>
      <c r="AB27" s="51">
        <f t="shared" si="5"/>
        <v>1.6353321864503972E-2</v>
      </c>
      <c r="AC27" s="51">
        <f t="shared" si="5"/>
        <v>1.2171448065239286E-2</v>
      </c>
      <c r="AD27" s="51">
        <f t="shared" si="5"/>
        <v>1.5936908057700715E-2</v>
      </c>
      <c r="AE27" s="43">
        <f t="shared" si="21"/>
        <v>6.0297942215401121E-2</v>
      </c>
      <c r="AF27" s="52">
        <f t="shared" si="6"/>
        <v>5.1253250883090955E-2</v>
      </c>
      <c r="AG27" s="43">
        <f t="shared" si="7"/>
        <v>-0.30627847002774872</v>
      </c>
      <c r="AH27" s="43">
        <f t="shared" si="8"/>
        <v>-0.30627847002774872</v>
      </c>
      <c r="AI27" s="44">
        <f t="shared" si="22"/>
        <v>5.7072059505151061E-2</v>
      </c>
      <c r="AJ27" s="44">
        <f t="shared" si="9"/>
        <v>8.5608089257726595E-3</v>
      </c>
      <c r="AK27" s="124">
        <f t="shared" si="10"/>
        <v>5.9814059808863618E-2</v>
      </c>
      <c r="AM27" s="55">
        <f t="shared" si="11"/>
        <v>121337870.73783927</v>
      </c>
      <c r="AN27" s="56">
        <f t="shared" si="12"/>
        <v>111501883.8882478</v>
      </c>
      <c r="AO27" s="56">
        <f t="shared" si="13"/>
        <v>101460059.8869019</v>
      </c>
      <c r="AP27" s="56">
        <f t="shared" si="23"/>
        <v>334299814.51298898</v>
      </c>
      <c r="AQ27" s="57">
        <f t="shared" si="24"/>
        <v>4.9270198346180266E-2</v>
      </c>
    </row>
    <row r="28" spans="1:43" x14ac:dyDescent="0.2">
      <c r="A28" s="4" t="s">
        <v>21</v>
      </c>
      <c r="B28" s="45">
        <v>11979301</v>
      </c>
      <c r="C28" s="45">
        <v>4187938</v>
      </c>
      <c r="D28" s="53">
        <f t="shared" si="0"/>
        <v>0.34959786050955727</v>
      </c>
      <c r="E28" s="54">
        <f t="shared" si="14"/>
        <v>1464094.1647466742</v>
      </c>
      <c r="F28" s="124">
        <f t="shared" si="1"/>
        <v>9.7035471421474809E-4</v>
      </c>
      <c r="G28" s="42">
        <v>14437</v>
      </c>
      <c r="H28" s="116">
        <f t="shared" si="2"/>
        <v>3.1024240468056226E-3</v>
      </c>
      <c r="I28" s="44">
        <f t="shared" si="15"/>
        <v>2.637060439784779E-3</v>
      </c>
      <c r="J28" s="45">
        <v>2479.16</v>
      </c>
      <c r="K28" s="113">
        <f t="shared" si="3"/>
        <v>3.8604088997625963E-2</v>
      </c>
      <c r="L28" s="46">
        <f t="shared" si="16"/>
        <v>5.7906133496438946E-3</v>
      </c>
      <c r="M28" s="124">
        <f t="shared" si="17"/>
        <v>8.4276737894286736E-3</v>
      </c>
      <c r="N28" s="47">
        <v>3166</v>
      </c>
      <c r="O28" s="48">
        <v>724</v>
      </c>
      <c r="P28" s="48">
        <v>6502</v>
      </c>
      <c r="Q28" s="48">
        <v>971</v>
      </c>
      <c r="R28" s="49">
        <f t="shared" si="18"/>
        <v>1.8514143495722917E-3</v>
      </c>
      <c r="S28" s="49">
        <f t="shared" si="18"/>
        <v>2.0576833441333289E-3</v>
      </c>
      <c r="T28" s="49">
        <f t="shared" si="18"/>
        <v>4.8653389125346454E-3</v>
      </c>
      <c r="U28" s="49">
        <f t="shared" si="18"/>
        <v>6.2016197021178754E-3</v>
      </c>
      <c r="V28" s="50">
        <f t="shared" si="19"/>
        <v>1.4976056308358143E-2</v>
      </c>
      <c r="W28" s="205">
        <v>1684.0000000044001</v>
      </c>
      <c r="X28" s="205">
        <v>572</v>
      </c>
      <c r="Y28" s="205">
        <v>3480</v>
      </c>
      <c r="Z28" s="205">
        <v>459</v>
      </c>
      <c r="AA28" s="51">
        <f t="shared" si="20"/>
        <v>1.3244074771063164E-3</v>
      </c>
      <c r="AB28" s="51">
        <f t="shared" si="5"/>
        <v>1.9524316648917288E-3</v>
      </c>
      <c r="AC28" s="51">
        <f t="shared" si="5"/>
        <v>7.0665063842230095E-3</v>
      </c>
      <c r="AD28" s="51">
        <f t="shared" si="5"/>
        <v>8.3600466268395745E-3</v>
      </c>
      <c r="AE28" s="43">
        <f t="shared" si="21"/>
        <v>1.8703392153060629E-2</v>
      </c>
      <c r="AF28" s="52">
        <f t="shared" si="6"/>
        <v>1.5897883330101534E-2</v>
      </c>
      <c r="AG28" s="43">
        <f t="shared" si="7"/>
        <v>0.24888634016568562</v>
      </c>
      <c r="AH28" s="43">
        <f t="shared" si="8"/>
        <v>0</v>
      </c>
      <c r="AI28" s="44">
        <f t="shared" si="22"/>
        <v>0</v>
      </c>
      <c r="AJ28" s="44">
        <f t="shared" si="9"/>
        <v>0</v>
      </c>
      <c r="AK28" s="124">
        <f t="shared" si="10"/>
        <v>1.5897883330101534E-2</v>
      </c>
      <c r="AM28" s="55">
        <f t="shared" si="11"/>
        <v>3291943.3233714947</v>
      </c>
      <c r="AN28" s="56">
        <f t="shared" si="12"/>
        <v>14295506.610236758</v>
      </c>
      <c r="AO28" s="56">
        <f t="shared" si="13"/>
        <v>26966907.11015835</v>
      </c>
      <c r="AP28" s="56">
        <f t="shared" si="23"/>
        <v>44554357.043766603</v>
      </c>
      <c r="AQ28" s="57">
        <f t="shared" si="24"/>
        <v>6.5665666369899272E-3</v>
      </c>
    </row>
    <row r="29" spans="1:43" x14ac:dyDescent="0.2">
      <c r="A29" s="4" t="s">
        <v>22</v>
      </c>
      <c r="B29" s="45">
        <v>970638</v>
      </c>
      <c r="C29" s="45">
        <v>279017</v>
      </c>
      <c r="D29" s="53">
        <f t="shared" si="0"/>
        <v>0.28745732188519302</v>
      </c>
      <c r="E29" s="54">
        <f t="shared" si="14"/>
        <v>80205.479580440893</v>
      </c>
      <c r="F29" s="124">
        <f t="shared" si="1"/>
        <v>5.3157622706734666E-5</v>
      </c>
      <c r="G29" s="42">
        <v>1277</v>
      </c>
      <c r="H29" s="116">
        <f t="shared" si="2"/>
        <v>2.7441958216878717E-4</v>
      </c>
      <c r="I29" s="44">
        <f t="shared" si="15"/>
        <v>2.3325664484346909E-4</v>
      </c>
      <c r="J29" s="45">
        <v>388.05</v>
      </c>
      <c r="K29" s="113">
        <f t="shared" si="3"/>
        <v>6.0424969487765032E-3</v>
      </c>
      <c r="L29" s="46">
        <f t="shared" si="16"/>
        <v>9.0637454231647541E-4</v>
      </c>
      <c r="M29" s="124">
        <f t="shared" si="17"/>
        <v>1.1396311871599446E-3</v>
      </c>
      <c r="N29" s="47">
        <v>248</v>
      </c>
      <c r="O29" s="48">
        <v>63</v>
      </c>
      <c r="P29" s="48">
        <v>357</v>
      </c>
      <c r="Q29" s="48">
        <v>74</v>
      </c>
      <c r="R29" s="49">
        <f t="shared" si="18"/>
        <v>1.4502550811558066E-4</v>
      </c>
      <c r="S29" s="49">
        <f t="shared" si="18"/>
        <v>1.7905255618839739E-4</v>
      </c>
      <c r="T29" s="49">
        <f t="shared" si="18"/>
        <v>2.6713718729235136E-4</v>
      </c>
      <c r="U29" s="49">
        <f t="shared" si="18"/>
        <v>4.7262601231382365E-4</v>
      </c>
      <c r="V29" s="50">
        <f t="shared" si="19"/>
        <v>1.0638412639101531E-3</v>
      </c>
      <c r="W29" s="205">
        <v>138</v>
      </c>
      <c r="X29" s="205">
        <v>45</v>
      </c>
      <c r="Y29" s="205">
        <v>165</v>
      </c>
      <c r="Z29" s="205">
        <v>30</v>
      </c>
      <c r="AA29" s="51">
        <f t="shared" si="20"/>
        <v>1.0853220418063782E-4</v>
      </c>
      <c r="AB29" s="51">
        <f t="shared" si="5"/>
        <v>1.5360039321700664E-4</v>
      </c>
      <c r="AC29" s="51">
        <f t="shared" si="5"/>
        <v>3.3504987166574612E-4</v>
      </c>
      <c r="AD29" s="51">
        <f t="shared" si="5"/>
        <v>5.4640827626402453E-4</v>
      </c>
      <c r="AE29" s="43">
        <f t="shared" si="21"/>
        <v>1.1435907453274151E-3</v>
      </c>
      <c r="AF29" s="52">
        <f t="shared" si="6"/>
        <v>9.7205213352830283E-4</v>
      </c>
      <c r="AG29" s="43">
        <f t="shared" si="7"/>
        <v>7.4963703818126448E-2</v>
      </c>
      <c r="AH29" s="43">
        <f t="shared" si="8"/>
        <v>0</v>
      </c>
      <c r="AI29" s="44">
        <f t="shared" si="22"/>
        <v>0</v>
      </c>
      <c r="AJ29" s="44">
        <f t="shared" si="9"/>
        <v>0</v>
      </c>
      <c r="AK29" s="124">
        <f t="shared" si="10"/>
        <v>9.7205213352830283E-4</v>
      </c>
      <c r="AM29" s="55">
        <f t="shared" si="11"/>
        <v>180338.05431382579</v>
      </c>
      <c r="AN29" s="56">
        <f t="shared" si="12"/>
        <v>1933108.1833889286</v>
      </c>
      <c r="AO29" s="56">
        <f t="shared" si="13"/>
        <v>1648850.9222769323</v>
      </c>
      <c r="AP29" s="56">
        <f t="shared" si="23"/>
        <v>3762297.1599796866</v>
      </c>
      <c r="AQ29" s="57">
        <f t="shared" si="24"/>
        <v>5.5449964152542921E-4</v>
      </c>
    </row>
    <row r="30" spans="1:43" x14ac:dyDescent="0.2">
      <c r="A30" s="4" t="s">
        <v>23</v>
      </c>
      <c r="B30" s="45">
        <v>1011806</v>
      </c>
      <c r="C30" s="45">
        <v>175822</v>
      </c>
      <c r="D30" s="53">
        <f t="shared" si="0"/>
        <v>0.17377046587982281</v>
      </c>
      <c r="E30" s="54">
        <f t="shared" si="14"/>
        <v>30552.670851922205</v>
      </c>
      <c r="F30" s="124">
        <f t="shared" si="1"/>
        <v>2.0249331570926594E-5</v>
      </c>
      <c r="G30" s="42">
        <v>5942</v>
      </c>
      <c r="H30" s="116">
        <f t="shared" si="2"/>
        <v>1.2768998882121639E-3</v>
      </c>
      <c r="I30" s="44">
        <f t="shared" si="15"/>
        <v>1.0853649049803393E-3</v>
      </c>
      <c r="J30" s="45">
        <v>1314.52</v>
      </c>
      <c r="K30" s="113">
        <f t="shared" si="3"/>
        <v>2.0468968146129852E-2</v>
      </c>
      <c r="L30" s="46">
        <f t="shared" si="16"/>
        <v>3.0703452219194775E-3</v>
      </c>
      <c r="M30" s="124">
        <f t="shared" si="17"/>
        <v>4.155710126899817E-3</v>
      </c>
      <c r="N30" s="47">
        <v>1391</v>
      </c>
      <c r="O30" s="48">
        <v>407</v>
      </c>
      <c r="P30" s="48">
        <v>3581</v>
      </c>
      <c r="Q30" s="48">
        <v>1264</v>
      </c>
      <c r="R30" s="49">
        <f t="shared" si="18"/>
        <v>8.1342936205150277E-4</v>
      </c>
      <c r="S30" s="49">
        <f t="shared" si="18"/>
        <v>1.1567363550583768E-3</v>
      </c>
      <c r="T30" s="49">
        <f t="shared" si="18"/>
        <v>2.6796029907392442E-3</v>
      </c>
      <c r="U30" s="49">
        <f t="shared" si="18"/>
        <v>8.072963237360448E-3</v>
      </c>
      <c r="V30" s="50">
        <f t="shared" si="19"/>
        <v>1.2722731945209571E-2</v>
      </c>
      <c r="W30" s="205">
        <v>1108.99999999377</v>
      </c>
      <c r="X30" s="205">
        <v>288</v>
      </c>
      <c r="Y30" s="205">
        <v>3319</v>
      </c>
      <c r="Z30" s="205">
        <v>607</v>
      </c>
      <c r="AA30" s="51">
        <f t="shared" si="20"/>
        <v>8.721899596786318E-4</v>
      </c>
      <c r="AB30" s="51">
        <f t="shared" si="5"/>
        <v>9.8304251658884239E-4</v>
      </c>
      <c r="AC30" s="51">
        <f t="shared" si="5"/>
        <v>6.739578933688554E-3</v>
      </c>
      <c r="AD30" s="51">
        <f t="shared" si="5"/>
        <v>1.1055660789742095E-2</v>
      </c>
      <c r="AE30" s="43">
        <f t="shared" si="21"/>
        <v>1.9650472199698121E-2</v>
      </c>
      <c r="AF30" s="52">
        <f t="shared" si="6"/>
        <v>1.6702901369743402E-2</v>
      </c>
      <c r="AG30" s="43">
        <f t="shared" si="7"/>
        <v>0.54451671891877107</v>
      </c>
      <c r="AH30" s="43">
        <f t="shared" si="8"/>
        <v>0</v>
      </c>
      <c r="AI30" s="44">
        <f t="shared" si="22"/>
        <v>0</v>
      </c>
      <c r="AJ30" s="44">
        <f t="shared" si="9"/>
        <v>0</v>
      </c>
      <c r="AK30" s="124">
        <f t="shared" si="10"/>
        <v>1.6702901369743402E-2</v>
      </c>
      <c r="AM30" s="55">
        <f t="shared" si="11"/>
        <v>68696.169443141436</v>
      </c>
      <c r="AN30" s="56">
        <f t="shared" si="12"/>
        <v>7049155.3272794085</v>
      </c>
      <c r="AO30" s="56">
        <f t="shared" si="13"/>
        <v>28332425.163490634</v>
      </c>
      <c r="AP30" s="56">
        <f t="shared" si="23"/>
        <v>35450276.660213187</v>
      </c>
      <c r="AQ30" s="57">
        <f t="shared" si="24"/>
        <v>5.224777539946269E-3</v>
      </c>
    </row>
    <row r="31" spans="1:43" x14ac:dyDescent="0.2">
      <c r="A31" s="4" t="s">
        <v>24</v>
      </c>
      <c r="B31" s="45">
        <v>57379472</v>
      </c>
      <c r="C31" s="45">
        <v>9058162</v>
      </c>
      <c r="D31" s="53">
        <f t="shared" si="0"/>
        <v>0.15786415741155652</v>
      </c>
      <c r="E31" s="54">
        <f t="shared" si="14"/>
        <v>1429959.1118273796</v>
      </c>
      <c r="F31" s="124">
        <f t="shared" si="1"/>
        <v>9.4773109456120028E-4</v>
      </c>
      <c r="G31" s="42">
        <v>55213</v>
      </c>
      <c r="H31" s="116">
        <f t="shared" si="2"/>
        <v>1.1864940008054225E-2</v>
      </c>
      <c r="I31" s="44">
        <f t="shared" si="15"/>
        <v>1.0085199006846091E-2</v>
      </c>
      <c r="J31" s="45">
        <v>184.87</v>
      </c>
      <c r="K31" s="113">
        <f t="shared" si="3"/>
        <v>2.8786919492856905E-3</v>
      </c>
      <c r="L31" s="46">
        <f t="shared" si="16"/>
        <v>4.3180379239285356E-4</v>
      </c>
      <c r="M31" s="124">
        <f t="shared" si="17"/>
        <v>1.0517002799238945E-2</v>
      </c>
      <c r="N31" s="47">
        <v>870</v>
      </c>
      <c r="O31" s="48">
        <v>295</v>
      </c>
      <c r="P31" s="48">
        <v>1873</v>
      </c>
      <c r="Q31" s="48">
        <v>57</v>
      </c>
      <c r="R31" s="49">
        <f t="shared" si="18"/>
        <v>5.0875883895385148E-4</v>
      </c>
      <c r="S31" s="49">
        <f t="shared" si="18"/>
        <v>8.3842069961233702E-4</v>
      </c>
      <c r="T31" s="49">
        <f t="shared" si="18"/>
        <v>1.4015348789876024E-3</v>
      </c>
      <c r="U31" s="49">
        <f t="shared" si="18"/>
        <v>3.6404976624172905E-4</v>
      </c>
      <c r="V31" s="50">
        <f t="shared" si="19"/>
        <v>3.1127641837955201E-3</v>
      </c>
      <c r="W31" s="205">
        <v>2629.9999999954803</v>
      </c>
      <c r="X31" s="205">
        <v>513</v>
      </c>
      <c r="Y31" s="205">
        <v>350</v>
      </c>
      <c r="Z31" s="205">
        <v>123</v>
      </c>
      <c r="AA31" s="51">
        <f t="shared" si="20"/>
        <v>2.0684036014100501E-3</v>
      </c>
      <c r="AB31" s="51">
        <f t="shared" si="5"/>
        <v>1.7510444826738757E-3</v>
      </c>
      <c r="AC31" s="51">
        <f t="shared" si="5"/>
        <v>7.1071184898794629E-4</v>
      </c>
      <c r="AD31" s="51">
        <f t="shared" si="5"/>
        <v>2.2402739326825003E-3</v>
      </c>
      <c r="AE31" s="43">
        <f t="shared" si="21"/>
        <v>6.770433865754372E-3</v>
      </c>
      <c r="AF31" s="52">
        <f t="shared" si="6"/>
        <v>5.7548687858912165E-3</v>
      </c>
      <c r="AG31" s="43">
        <f t="shared" si="7"/>
        <v>1.1750551811794834</v>
      </c>
      <c r="AH31" s="43">
        <f t="shared" si="8"/>
        <v>0</v>
      </c>
      <c r="AI31" s="44">
        <f t="shared" si="22"/>
        <v>0</v>
      </c>
      <c r="AJ31" s="44">
        <f t="shared" si="9"/>
        <v>0</v>
      </c>
      <c r="AK31" s="124">
        <f t="shared" si="10"/>
        <v>5.7548687858912165E-3</v>
      </c>
      <c r="AM31" s="55">
        <f t="shared" si="11"/>
        <v>3215192.3450148203</v>
      </c>
      <c r="AN31" s="56">
        <f t="shared" si="12"/>
        <v>17839547.043810181</v>
      </c>
      <c r="AO31" s="56">
        <f t="shared" si="13"/>
        <v>9761740.5259500686</v>
      </c>
      <c r="AP31" s="56">
        <f t="shared" si="23"/>
        <v>30816479.914775074</v>
      </c>
      <c r="AQ31" s="57">
        <f t="shared" si="24"/>
        <v>4.5418334435631414E-3</v>
      </c>
    </row>
    <row r="32" spans="1:43" x14ac:dyDescent="0.2">
      <c r="A32" s="4" t="s">
        <v>25</v>
      </c>
      <c r="B32" s="45">
        <v>417298417</v>
      </c>
      <c r="C32" s="45">
        <v>208569677.81</v>
      </c>
      <c r="D32" s="53">
        <f t="shared" si="0"/>
        <v>0.49980941530866146</v>
      </c>
      <c r="E32" s="54">
        <f t="shared" si="14"/>
        <v>104245088.71733201</v>
      </c>
      <c r="F32" s="124">
        <f t="shared" si="1"/>
        <v>6.9090305600733065E-2</v>
      </c>
      <c r="G32" s="42">
        <v>678006</v>
      </c>
      <c r="H32" s="116">
        <f t="shared" si="2"/>
        <v>0.14569939172116736</v>
      </c>
      <c r="I32" s="44">
        <f t="shared" si="15"/>
        <v>0.12384448296299225</v>
      </c>
      <c r="J32" s="45">
        <v>117.79</v>
      </c>
      <c r="K32" s="113">
        <f t="shared" si="3"/>
        <v>1.8341598134167874E-3</v>
      </c>
      <c r="L32" s="46">
        <f t="shared" si="16"/>
        <v>2.7512397201251811E-4</v>
      </c>
      <c r="M32" s="124">
        <f t="shared" si="17"/>
        <v>0.12411960693500476</v>
      </c>
      <c r="N32" s="47">
        <v>69698</v>
      </c>
      <c r="O32" s="48">
        <v>12447</v>
      </c>
      <c r="P32" s="48">
        <v>14729</v>
      </c>
      <c r="Q32" s="48">
        <v>1417</v>
      </c>
      <c r="R32" s="49">
        <f t="shared" si="18"/>
        <v>4.0758015583224762E-2</v>
      </c>
      <c r="S32" s="49">
        <f t="shared" si="18"/>
        <v>3.5375669315507653E-2</v>
      </c>
      <c r="T32" s="49">
        <f t="shared" si="18"/>
        <v>1.1021466755263425E-2</v>
      </c>
      <c r="U32" s="49">
        <f t="shared" si="18"/>
        <v>9.0501494520092984E-3</v>
      </c>
      <c r="V32" s="50">
        <f t="shared" si="19"/>
        <v>9.6205301106005142E-2</v>
      </c>
      <c r="W32" s="205">
        <v>32769.999999791457</v>
      </c>
      <c r="X32" s="205">
        <v>9468</v>
      </c>
      <c r="Y32" s="205">
        <v>3881</v>
      </c>
      <c r="Z32" s="205">
        <v>299</v>
      </c>
      <c r="AA32" s="51">
        <f t="shared" si="20"/>
        <v>2.5772466166499041E-2</v>
      </c>
      <c r="AB32" s="51">
        <f t="shared" si="5"/>
        <v>3.2317522732858199E-2</v>
      </c>
      <c r="AC32" s="51">
        <f t="shared" si="5"/>
        <v>7.8807791026349137E-3</v>
      </c>
      <c r="AD32" s="51">
        <f t="shared" si="5"/>
        <v>5.4458691534314436E-3</v>
      </c>
      <c r="AE32" s="43">
        <f t="shared" si="21"/>
        <v>7.1416637155423596E-2</v>
      </c>
      <c r="AF32" s="52">
        <f t="shared" si="6"/>
        <v>6.0704141582110058E-2</v>
      </c>
      <c r="AG32" s="43">
        <f t="shared" si="7"/>
        <v>-0.25766422084441909</v>
      </c>
      <c r="AH32" s="43">
        <f t="shared" si="8"/>
        <v>-0.25766422084441909</v>
      </c>
      <c r="AI32" s="44">
        <f t="shared" si="22"/>
        <v>4.80132597732017E-2</v>
      </c>
      <c r="AJ32" s="44">
        <f t="shared" si="9"/>
        <v>7.2019889659802544E-3</v>
      </c>
      <c r="AK32" s="124">
        <f t="shared" si="10"/>
        <v>6.7906130548090318E-2</v>
      </c>
      <c r="AM32" s="55">
        <f t="shared" si="11"/>
        <v>234389926.59100392</v>
      </c>
      <c r="AN32" s="56">
        <f t="shared" si="12"/>
        <v>210538839.74781078</v>
      </c>
      <c r="AO32" s="56">
        <f t="shared" si="13"/>
        <v>115186297.23702611</v>
      </c>
      <c r="AP32" s="56">
        <f t="shared" si="23"/>
        <v>560115063.57584083</v>
      </c>
      <c r="AQ32" s="57">
        <f t="shared" si="24"/>
        <v>8.255158717114032E-2</v>
      </c>
    </row>
    <row r="33" spans="1:43" x14ac:dyDescent="0.2">
      <c r="A33" s="4" t="s">
        <v>26</v>
      </c>
      <c r="B33" s="45">
        <v>763686</v>
      </c>
      <c r="C33" s="45">
        <v>226223</v>
      </c>
      <c r="D33" s="53">
        <f t="shared" si="0"/>
        <v>0.29622515012714651</v>
      </c>
      <c r="E33" s="54">
        <f t="shared" si="14"/>
        <v>67012.942137213468</v>
      </c>
      <c r="F33" s="124">
        <f t="shared" si="1"/>
        <v>4.4414031475561847E-5</v>
      </c>
      <c r="G33" s="42">
        <v>2030</v>
      </c>
      <c r="H33" s="116">
        <f t="shared" si="2"/>
        <v>4.3623473124717146E-4</v>
      </c>
      <c r="I33" s="44">
        <f t="shared" si="15"/>
        <v>3.7079952156009573E-4</v>
      </c>
      <c r="J33" s="45">
        <v>497.27</v>
      </c>
      <c r="K33" s="113">
        <f t="shared" si="3"/>
        <v>7.743209528973307E-3</v>
      </c>
      <c r="L33" s="46">
        <f t="shared" si="16"/>
        <v>1.1614814293459961E-3</v>
      </c>
      <c r="M33" s="124">
        <f t="shared" si="17"/>
        <v>1.5322809509060917E-3</v>
      </c>
      <c r="N33" s="47">
        <v>525</v>
      </c>
      <c r="O33" s="48">
        <v>111</v>
      </c>
      <c r="P33" s="48">
        <v>654</v>
      </c>
      <c r="Q33" s="48">
        <v>69</v>
      </c>
      <c r="R33" s="49">
        <f t="shared" si="18"/>
        <v>3.070096441962897E-4</v>
      </c>
      <c r="S33" s="49">
        <f t="shared" si="18"/>
        <v>3.1547355137955733E-4</v>
      </c>
      <c r="T33" s="49">
        <f t="shared" si="18"/>
        <v>4.8937736831708065E-4</v>
      </c>
      <c r="U33" s="49">
        <f t="shared" si="18"/>
        <v>4.4069182229261936E-4</v>
      </c>
      <c r="V33" s="50">
        <f t="shared" si="19"/>
        <v>1.5525523861855471E-3</v>
      </c>
      <c r="W33" s="205">
        <v>374.99999999594002</v>
      </c>
      <c r="X33" s="205">
        <v>98</v>
      </c>
      <c r="Y33" s="205">
        <v>163</v>
      </c>
      <c r="Z33" s="205">
        <v>24</v>
      </c>
      <c r="AA33" s="51">
        <f t="shared" si="20"/>
        <v>2.9492446787897499E-4</v>
      </c>
      <c r="AB33" s="51">
        <f t="shared" si="5"/>
        <v>3.3450752300592557E-4</v>
      </c>
      <c r="AC33" s="51">
        <f t="shared" si="5"/>
        <v>3.3098866110010071E-4</v>
      </c>
      <c r="AD33" s="51">
        <f t="shared" si="5"/>
        <v>4.3712662101121958E-4</v>
      </c>
      <c r="AE33" s="43">
        <f t="shared" si="21"/>
        <v>1.397547272996221E-3</v>
      </c>
      <c r="AF33" s="52">
        <f t="shared" si="6"/>
        <v>1.1879151820467877E-3</v>
      </c>
      <c r="AG33" s="43">
        <f t="shared" si="7"/>
        <v>-9.983889404862975E-2</v>
      </c>
      <c r="AH33" s="43">
        <f t="shared" si="8"/>
        <v>-9.983889404862975E-2</v>
      </c>
      <c r="AI33" s="44">
        <f t="shared" si="22"/>
        <v>1.8604021698148197E-2</v>
      </c>
      <c r="AJ33" s="44">
        <f t="shared" si="9"/>
        <v>2.7906032547222294E-3</v>
      </c>
      <c r="AK33" s="124">
        <f t="shared" si="10"/>
        <v>3.9785184367690171E-3</v>
      </c>
      <c r="AM33" s="55">
        <f t="shared" si="11"/>
        <v>150675.28630322087</v>
      </c>
      <c r="AN33" s="56">
        <f t="shared" si="12"/>
        <v>2599143.3709613075</v>
      </c>
      <c r="AO33" s="56">
        <f t="shared" si="13"/>
        <v>6748592.557429296</v>
      </c>
      <c r="AP33" s="56">
        <f t="shared" si="23"/>
        <v>9498411.2146938238</v>
      </c>
      <c r="AQ33" s="57">
        <f t="shared" si="24"/>
        <v>1.3999068626565582E-3</v>
      </c>
    </row>
    <row r="34" spans="1:43" x14ac:dyDescent="0.2">
      <c r="A34" s="4" t="s">
        <v>27</v>
      </c>
      <c r="B34" s="45">
        <v>2014488</v>
      </c>
      <c r="C34" s="45">
        <v>534031</v>
      </c>
      <c r="D34" s="53">
        <f t="shared" si="0"/>
        <v>0.26509515072812545</v>
      </c>
      <c r="E34" s="54">
        <f t="shared" si="14"/>
        <v>141569.02843849157</v>
      </c>
      <c r="F34" s="124">
        <f t="shared" si="1"/>
        <v>9.3827417279448646E-5</v>
      </c>
      <c r="G34" s="42">
        <v>16604</v>
      </c>
      <c r="H34" s="116">
        <f t="shared" si="2"/>
        <v>3.5680992500630713E-3</v>
      </c>
      <c r="I34" s="44">
        <f t="shared" si="15"/>
        <v>3.0328843625536104E-3</v>
      </c>
      <c r="J34" s="45">
        <v>170.12</v>
      </c>
      <c r="K34" s="113">
        <f t="shared" si="3"/>
        <v>2.6490132223318096E-3</v>
      </c>
      <c r="L34" s="46">
        <f t="shared" si="16"/>
        <v>3.9735198334977145E-4</v>
      </c>
      <c r="M34" s="124">
        <f t="shared" si="17"/>
        <v>3.430236345903382E-3</v>
      </c>
      <c r="N34" s="47">
        <v>1777</v>
      </c>
      <c r="O34" s="48">
        <v>482</v>
      </c>
      <c r="P34" s="48">
        <v>1571</v>
      </c>
      <c r="Q34" s="48">
        <v>193</v>
      </c>
      <c r="R34" s="49">
        <f t="shared" si="18"/>
        <v>1.0391545480701082E-3</v>
      </c>
      <c r="S34" s="49">
        <f t="shared" si="18"/>
        <v>1.3698941600445642E-3</v>
      </c>
      <c r="T34" s="49">
        <f t="shared" si="18"/>
        <v>1.1755532807739047E-3</v>
      </c>
      <c r="U34" s="49">
        <f t="shared" si="18"/>
        <v>1.2326597348184861E-3</v>
      </c>
      <c r="V34" s="50">
        <f t="shared" si="19"/>
        <v>4.8172617237070628E-3</v>
      </c>
      <c r="W34" s="205">
        <v>887.9999999826681</v>
      </c>
      <c r="X34" s="205">
        <v>349</v>
      </c>
      <c r="Y34" s="205">
        <v>145</v>
      </c>
      <c r="Z34" s="205">
        <v>79</v>
      </c>
      <c r="AA34" s="51">
        <f t="shared" si="20"/>
        <v>6.9838113993134286E-4</v>
      </c>
      <c r="AB34" s="51">
        <f t="shared" si="5"/>
        <v>1.1912563829496736E-3</v>
      </c>
      <c r="AC34" s="51">
        <f t="shared" si="5"/>
        <v>2.9443776600929206E-4</v>
      </c>
      <c r="AD34" s="51">
        <f t="shared" si="5"/>
        <v>1.4388751274952644E-3</v>
      </c>
      <c r="AE34" s="43">
        <f t="shared" si="21"/>
        <v>3.6229504163855729E-3</v>
      </c>
      <c r="AF34" s="52">
        <f t="shared" si="6"/>
        <v>3.0795078539277371E-3</v>
      </c>
      <c r="AG34" s="43">
        <f t="shared" si="7"/>
        <v>-0.24792327588180588</v>
      </c>
      <c r="AH34" s="43">
        <f t="shared" si="8"/>
        <v>-0.24792327588180588</v>
      </c>
      <c r="AI34" s="44">
        <f t="shared" si="22"/>
        <v>4.6198127973397771E-2</v>
      </c>
      <c r="AJ34" s="44">
        <f t="shared" si="9"/>
        <v>6.9297191960096651E-3</v>
      </c>
      <c r="AK34" s="124">
        <f t="shared" si="10"/>
        <v>1.0009227049937402E-2</v>
      </c>
      <c r="AM34" s="55">
        <f t="shared" si="11"/>
        <v>318310.95921683282</v>
      </c>
      <c r="AN34" s="56">
        <f t="shared" si="12"/>
        <v>5818564.8356544282</v>
      </c>
      <c r="AO34" s="56">
        <f t="shared" si="13"/>
        <v>16978228.516061347</v>
      </c>
      <c r="AP34" s="56">
        <f t="shared" si="23"/>
        <v>23115104.310932606</v>
      </c>
      <c r="AQ34" s="57">
        <f t="shared" si="24"/>
        <v>3.4067795575999206E-3</v>
      </c>
    </row>
    <row r="35" spans="1:43" x14ac:dyDescent="0.2">
      <c r="A35" s="4" t="s">
        <v>28</v>
      </c>
      <c r="B35" s="45">
        <v>676722</v>
      </c>
      <c r="C35" s="45">
        <v>328007</v>
      </c>
      <c r="D35" s="53">
        <f t="shared" si="0"/>
        <v>0.48469977331902908</v>
      </c>
      <c r="E35" s="54">
        <f t="shared" si="14"/>
        <v>158984.91854705478</v>
      </c>
      <c r="F35" s="124">
        <f t="shared" si="1"/>
        <v>1.053701113738646E-4</v>
      </c>
      <c r="G35" s="42">
        <v>1594</v>
      </c>
      <c r="H35" s="116">
        <f t="shared" si="2"/>
        <v>3.425409663093553E-4</v>
      </c>
      <c r="I35" s="44">
        <f t="shared" si="15"/>
        <v>2.9115982136295197E-4</v>
      </c>
      <c r="J35" s="45">
        <v>444.11</v>
      </c>
      <c r="K35" s="113">
        <f t="shared" si="3"/>
        <v>6.9154318255924057E-3</v>
      </c>
      <c r="L35" s="46">
        <f t="shared" si="16"/>
        <v>1.0373147738388607E-3</v>
      </c>
      <c r="M35" s="124">
        <f t="shared" si="17"/>
        <v>1.3284745952018128E-3</v>
      </c>
      <c r="N35" s="47">
        <v>236</v>
      </c>
      <c r="O35" s="48">
        <v>70</v>
      </c>
      <c r="P35" s="48">
        <v>392</v>
      </c>
      <c r="Q35" s="48">
        <v>106</v>
      </c>
      <c r="R35" s="49">
        <f t="shared" si="18"/>
        <v>1.3800814481966547E-4</v>
      </c>
      <c r="S35" s="49">
        <f t="shared" si="18"/>
        <v>1.9894728465377488E-4</v>
      </c>
      <c r="T35" s="49">
        <f t="shared" si="18"/>
        <v>2.9332710761513091E-4</v>
      </c>
      <c r="U35" s="49">
        <f t="shared" si="18"/>
        <v>6.7700482844953124E-4</v>
      </c>
      <c r="V35" s="50">
        <f t="shared" si="19"/>
        <v>1.3072873655381025E-3</v>
      </c>
      <c r="W35" s="205">
        <v>156.00000000186</v>
      </c>
      <c r="X35" s="205">
        <v>60</v>
      </c>
      <c r="Y35" s="205">
        <v>117</v>
      </c>
      <c r="Z35" s="205">
        <v>25</v>
      </c>
      <c r="AA35" s="51">
        <f t="shared" si="20"/>
        <v>1.2268857864044472E-4</v>
      </c>
      <c r="AB35" s="51">
        <f t="shared" si="5"/>
        <v>2.0480052428934218E-4</v>
      </c>
      <c r="AC35" s="51">
        <f t="shared" si="5"/>
        <v>2.3758081809025633E-4</v>
      </c>
      <c r="AD35" s="51">
        <f t="shared" si="5"/>
        <v>4.5534023022002039E-4</v>
      </c>
      <c r="AE35" s="43">
        <f t="shared" si="21"/>
        <v>1.0204101512400637E-3</v>
      </c>
      <c r="AF35" s="52">
        <f t="shared" si="6"/>
        <v>8.6734862855405406E-4</v>
      </c>
      <c r="AG35" s="43">
        <f t="shared" si="7"/>
        <v>-0.21944464687758616</v>
      </c>
      <c r="AH35" s="43">
        <f t="shared" si="8"/>
        <v>-0.21944464687758616</v>
      </c>
      <c r="AI35" s="44">
        <f t="shared" si="22"/>
        <v>4.0891408212760681E-2</v>
      </c>
      <c r="AJ35" s="44">
        <f t="shared" si="9"/>
        <v>6.1337112319141017E-3</v>
      </c>
      <c r="AK35" s="124">
        <f t="shared" si="10"/>
        <v>7.0010598604681555E-3</v>
      </c>
      <c r="AM35" s="55">
        <f t="shared" si="11"/>
        <v>357469.72683160316</v>
      </c>
      <c r="AN35" s="56">
        <f t="shared" si="12"/>
        <v>2253435.2695355765</v>
      </c>
      <c r="AO35" s="56">
        <f t="shared" si="13"/>
        <v>11875601.739536552</v>
      </c>
      <c r="AP35" s="56">
        <f t="shared" si="23"/>
        <v>14486506.735903732</v>
      </c>
      <c r="AQ35" s="57">
        <f t="shared" si="24"/>
        <v>2.1350686696044248E-3</v>
      </c>
    </row>
    <row r="36" spans="1:43" x14ac:dyDescent="0.2">
      <c r="A36" s="4" t="s">
        <v>29</v>
      </c>
      <c r="B36" s="45">
        <v>1626003</v>
      </c>
      <c r="C36" s="45">
        <v>533517</v>
      </c>
      <c r="D36" s="53">
        <f t="shared" si="0"/>
        <v>0.32811563078296901</v>
      </c>
      <c r="E36" s="54">
        <f t="shared" si="14"/>
        <v>175055.26698843727</v>
      </c>
      <c r="F36" s="124">
        <f t="shared" si="1"/>
        <v>1.1602102355195343E-4</v>
      </c>
      <c r="G36" s="42">
        <v>6914</v>
      </c>
      <c r="H36" s="116">
        <f t="shared" si="2"/>
        <v>1.4857768137157357E-3</v>
      </c>
      <c r="I36" s="44">
        <f t="shared" si="15"/>
        <v>1.2629102916583753E-3</v>
      </c>
      <c r="J36" s="45">
        <v>127.8</v>
      </c>
      <c r="K36" s="113">
        <f t="shared" si="3"/>
        <v>1.990029918963116E-3</v>
      </c>
      <c r="L36" s="46">
        <f t="shared" si="16"/>
        <v>2.9850448784446741E-4</v>
      </c>
      <c r="M36" s="124">
        <f t="shared" si="17"/>
        <v>1.5614147795028426E-3</v>
      </c>
      <c r="N36" s="47">
        <v>1201</v>
      </c>
      <c r="O36" s="48">
        <v>234</v>
      </c>
      <c r="P36" s="48">
        <v>2745</v>
      </c>
      <c r="Q36" s="48">
        <v>176</v>
      </c>
      <c r="R36" s="49">
        <f t="shared" si="18"/>
        <v>7.0232110986617887E-4</v>
      </c>
      <c r="S36" s="49">
        <f t="shared" si="18"/>
        <v>6.6505235155690464E-4</v>
      </c>
      <c r="T36" s="49">
        <f t="shared" si="18"/>
        <v>2.0540380367437099E-3</v>
      </c>
      <c r="U36" s="49">
        <f t="shared" si="18"/>
        <v>1.1240834887463913E-3</v>
      </c>
      <c r="V36" s="50">
        <f t="shared" si="19"/>
        <v>4.5454949869131846E-3</v>
      </c>
      <c r="W36" s="205">
        <v>649.99999999475995</v>
      </c>
      <c r="X36" s="205">
        <v>185</v>
      </c>
      <c r="Y36" s="205">
        <v>941</v>
      </c>
      <c r="Z36" s="205">
        <v>42</v>
      </c>
      <c r="AA36" s="51">
        <f t="shared" si="20"/>
        <v>5.1120241099163676E-4</v>
      </c>
      <c r="AB36" s="51">
        <f t="shared" si="5"/>
        <v>6.3146828322547177E-4</v>
      </c>
      <c r="AC36" s="51">
        <f t="shared" si="5"/>
        <v>1.9107995711361643E-3</v>
      </c>
      <c r="AD36" s="51">
        <f t="shared" si="5"/>
        <v>7.6497158676963432E-4</v>
      </c>
      <c r="AE36" s="43">
        <f t="shared" si="21"/>
        <v>3.8184418521229071E-3</v>
      </c>
      <c r="AF36" s="52">
        <f t="shared" si="6"/>
        <v>3.2456755743044711E-3</v>
      </c>
      <c r="AG36" s="43">
        <f t="shared" si="7"/>
        <v>-0.15995026655700142</v>
      </c>
      <c r="AH36" s="43">
        <f t="shared" si="8"/>
        <v>-0.15995026655700142</v>
      </c>
      <c r="AI36" s="44">
        <f t="shared" si="22"/>
        <v>2.9805200247927655E-2</v>
      </c>
      <c r="AJ36" s="44">
        <f t="shared" si="9"/>
        <v>4.4707800371891482E-3</v>
      </c>
      <c r="AK36" s="124">
        <f t="shared" si="10"/>
        <v>7.7164556114936193E-3</v>
      </c>
      <c r="AM36" s="55">
        <f t="shared" si="11"/>
        <v>393603.11055082327</v>
      </c>
      <c r="AN36" s="56">
        <f t="shared" si="12"/>
        <v>2648561.8522281996</v>
      </c>
      <c r="AO36" s="56">
        <f t="shared" si="13"/>
        <v>13089097.295160461</v>
      </c>
      <c r="AP36" s="56">
        <f t="shared" si="23"/>
        <v>16131262.257939484</v>
      </c>
      <c r="AQ36" s="57">
        <f t="shared" si="24"/>
        <v>2.3774781095250927E-3</v>
      </c>
    </row>
    <row r="37" spans="1:43" x14ac:dyDescent="0.2">
      <c r="A37" s="4" t="s">
        <v>30</v>
      </c>
      <c r="B37" s="45">
        <v>466847</v>
      </c>
      <c r="C37" s="45">
        <v>77664</v>
      </c>
      <c r="D37" s="53">
        <f t="shared" si="0"/>
        <v>0.16635857143775157</v>
      </c>
      <c r="E37" s="54">
        <f t="shared" si="14"/>
        <v>12920.072092141538</v>
      </c>
      <c r="F37" s="124">
        <f t="shared" si="1"/>
        <v>8.5630099241418501E-6</v>
      </c>
      <c r="G37" s="42">
        <v>3558</v>
      </c>
      <c r="H37" s="116">
        <f t="shared" si="2"/>
        <v>7.6459269644208675E-4</v>
      </c>
      <c r="I37" s="44">
        <f t="shared" si="15"/>
        <v>6.4990379197577377E-4</v>
      </c>
      <c r="J37" s="45">
        <v>561.88</v>
      </c>
      <c r="K37" s="113">
        <f t="shared" si="3"/>
        <v>8.7492802102268827E-3</v>
      </c>
      <c r="L37" s="46">
        <f t="shared" si="16"/>
        <v>1.3123920315340324E-3</v>
      </c>
      <c r="M37" s="124">
        <f t="shared" si="17"/>
        <v>1.9622958235098061E-3</v>
      </c>
      <c r="N37" s="47">
        <v>779</v>
      </c>
      <c r="O37" s="48">
        <v>226</v>
      </c>
      <c r="P37" s="48">
        <v>2400</v>
      </c>
      <c r="Q37" s="48">
        <v>462</v>
      </c>
      <c r="R37" s="49">
        <f t="shared" si="18"/>
        <v>4.5554383395982794E-4</v>
      </c>
      <c r="S37" s="49">
        <f t="shared" si="18"/>
        <v>6.4231551902504459E-4</v>
      </c>
      <c r="T37" s="49">
        <f t="shared" si="18"/>
        <v>1.795880250704883E-3</v>
      </c>
      <c r="U37" s="49">
        <f t="shared" si="18"/>
        <v>2.9507191579592777E-3</v>
      </c>
      <c r="V37" s="50">
        <f t="shared" si="19"/>
        <v>5.8444587616490332E-3</v>
      </c>
      <c r="W37" s="205">
        <v>671.99999999645991</v>
      </c>
      <c r="X37" s="205">
        <v>188</v>
      </c>
      <c r="Y37" s="205">
        <v>1437</v>
      </c>
      <c r="Z37" s="205">
        <v>355</v>
      </c>
      <c r="AA37" s="51">
        <f t="shared" si="20"/>
        <v>5.2850464644206086E-4</v>
      </c>
      <c r="AB37" s="51">
        <f t="shared" si="5"/>
        <v>6.4170830943993879E-4</v>
      </c>
      <c r="AC37" s="51">
        <f t="shared" si="5"/>
        <v>2.9179797914162253E-3</v>
      </c>
      <c r="AD37" s="51">
        <f t="shared" si="5"/>
        <v>6.4658312691242897E-3</v>
      </c>
      <c r="AE37" s="43">
        <f t="shared" si="21"/>
        <v>1.0554024016422515E-2</v>
      </c>
      <c r="AF37" s="52">
        <f t="shared" si="6"/>
        <v>8.9709204139591381E-3</v>
      </c>
      <c r="AG37" s="43">
        <f t="shared" si="7"/>
        <v>0.80581717603644487</v>
      </c>
      <c r="AH37" s="43">
        <f t="shared" si="8"/>
        <v>0</v>
      </c>
      <c r="AI37" s="44">
        <f t="shared" si="22"/>
        <v>0</v>
      </c>
      <c r="AJ37" s="44">
        <f t="shared" si="9"/>
        <v>0</v>
      </c>
      <c r="AK37" s="124">
        <f t="shared" si="10"/>
        <v>8.9709204139591381E-3</v>
      </c>
      <c r="AM37" s="55">
        <f t="shared" si="11"/>
        <v>29050.143143329078</v>
      </c>
      <c r="AN37" s="56">
        <f t="shared" si="12"/>
        <v>3328559.4123744685</v>
      </c>
      <c r="AO37" s="56">
        <f t="shared" si="13"/>
        <v>15216992.883436535</v>
      </c>
      <c r="AP37" s="56">
        <f t="shared" si="23"/>
        <v>18574602.438954331</v>
      </c>
      <c r="AQ37" s="57">
        <f t="shared" si="24"/>
        <v>2.7375855643293071E-3</v>
      </c>
    </row>
    <row r="38" spans="1:43" x14ac:dyDescent="0.2">
      <c r="A38" s="4" t="s">
        <v>31</v>
      </c>
      <c r="B38" s="45">
        <v>165874777</v>
      </c>
      <c r="C38" s="45">
        <v>41883502.310000002</v>
      </c>
      <c r="D38" s="53">
        <f t="shared" si="0"/>
        <v>0.25250073017430491</v>
      </c>
      <c r="E38" s="54">
        <f t="shared" si="14"/>
        <v>10575614.915532187</v>
      </c>
      <c r="F38" s="124">
        <f t="shared" si="1"/>
        <v>7.0091788056419633E-3</v>
      </c>
      <c r="G38" s="42">
        <v>256970</v>
      </c>
      <c r="H38" s="116">
        <f t="shared" si="2"/>
        <v>5.5221299945116084E-2</v>
      </c>
      <c r="I38" s="44">
        <f t="shared" si="15"/>
        <v>4.6938104953348672E-2</v>
      </c>
      <c r="J38" s="45">
        <v>247</v>
      </c>
      <c r="K38" s="113">
        <f t="shared" si="3"/>
        <v>3.8461454615327825E-3</v>
      </c>
      <c r="L38" s="46">
        <f t="shared" si="16"/>
        <v>5.769218192299174E-4</v>
      </c>
      <c r="M38" s="124">
        <f t="shared" si="17"/>
        <v>4.7515026772578586E-2</v>
      </c>
      <c r="N38" s="47">
        <v>7826</v>
      </c>
      <c r="O38" s="48">
        <v>1628</v>
      </c>
      <c r="P38" s="48">
        <v>22499</v>
      </c>
      <c r="Q38" s="48">
        <v>705</v>
      </c>
      <c r="R38" s="49">
        <f t="shared" si="18"/>
        <v>4.5764904294860248E-3</v>
      </c>
      <c r="S38" s="49">
        <f t="shared" si="18"/>
        <v>4.6269454202335072E-3</v>
      </c>
      <c r="T38" s="49">
        <f t="shared" si="18"/>
        <v>1.6835629066920484E-2</v>
      </c>
      <c r="U38" s="49">
        <f t="shared" si="18"/>
        <v>4.5027207929898066E-3</v>
      </c>
      <c r="V38" s="50">
        <f t="shared" si="19"/>
        <v>3.0541785709629822E-2</v>
      </c>
      <c r="W38" s="205">
        <v>16068.000000124277</v>
      </c>
      <c r="X38" s="205">
        <v>2619</v>
      </c>
      <c r="Y38" s="205">
        <v>3702</v>
      </c>
      <c r="Z38" s="205">
        <v>260</v>
      </c>
      <c r="AA38" s="51">
        <f t="shared" si="20"/>
        <v>1.2636923599912874E-2</v>
      </c>
      <c r="AB38" s="51">
        <f t="shared" si="5"/>
        <v>8.939542885229787E-3</v>
      </c>
      <c r="AC38" s="51">
        <f t="shared" si="5"/>
        <v>7.5173007570096496E-3</v>
      </c>
      <c r="AD38" s="51">
        <f t="shared" si="5"/>
        <v>4.7355383942882124E-3</v>
      </c>
      <c r="AE38" s="43">
        <f t="shared" si="21"/>
        <v>3.3829305636440522E-2</v>
      </c>
      <c r="AF38" s="52">
        <f t="shared" si="6"/>
        <v>2.8754909790974444E-2</v>
      </c>
      <c r="AG38" s="43">
        <f t="shared" si="7"/>
        <v>0.10764006918476104</v>
      </c>
      <c r="AH38" s="43">
        <f t="shared" si="8"/>
        <v>0</v>
      </c>
      <c r="AI38" s="44">
        <f t="shared" si="22"/>
        <v>0</v>
      </c>
      <c r="AJ38" s="44">
        <f t="shared" si="9"/>
        <v>0</v>
      </c>
      <c r="AK38" s="124">
        <f t="shared" si="10"/>
        <v>2.8754909790974444E-2</v>
      </c>
      <c r="AM38" s="55">
        <f t="shared" si="11"/>
        <v>23778747.125706866</v>
      </c>
      <c r="AN38" s="56">
        <f t="shared" si="12"/>
        <v>80597730.320909977</v>
      </c>
      <c r="AO38" s="56">
        <f t="shared" si="13"/>
        <v>48775737.322588481</v>
      </c>
      <c r="AP38" s="56">
        <f t="shared" si="23"/>
        <v>153152214.76920533</v>
      </c>
      <c r="AQ38" s="57">
        <f t="shared" si="24"/>
        <v>2.2572073543709242E-2</v>
      </c>
    </row>
    <row r="39" spans="1:43" x14ac:dyDescent="0.2">
      <c r="A39" s="4" t="s">
        <v>32</v>
      </c>
      <c r="B39" s="45">
        <v>3251400</v>
      </c>
      <c r="C39" s="45">
        <v>1052351</v>
      </c>
      <c r="D39" s="53">
        <f t="shared" si="0"/>
        <v>0.32366088454204345</v>
      </c>
      <c r="E39" s="54">
        <f t="shared" si="14"/>
        <v>340604.85550870397</v>
      </c>
      <c r="F39" s="124">
        <f t="shared" si="1"/>
        <v>2.2574198790314165E-4</v>
      </c>
      <c r="G39" s="42">
        <v>5349</v>
      </c>
      <c r="H39" s="116">
        <f t="shared" si="2"/>
        <v>1.1494677721384829E-3</v>
      </c>
      <c r="I39" s="44">
        <f t="shared" si="15"/>
        <v>9.7704760631771043E-4</v>
      </c>
      <c r="J39" s="45">
        <v>3428.68</v>
      </c>
      <c r="K39" s="113">
        <f t="shared" si="3"/>
        <v>5.3389481866591988E-2</v>
      </c>
      <c r="L39" s="46">
        <f t="shared" si="16"/>
        <v>8.0084222799887972E-3</v>
      </c>
      <c r="M39" s="124">
        <f t="shared" si="17"/>
        <v>8.9854698863065068E-3</v>
      </c>
      <c r="N39" s="47">
        <v>900</v>
      </c>
      <c r="O39" s="48">
        <v>209</v>
      </c>
      <c r="P39" s="48">
        <v>2198</v>
      </c>
      <c r="Q39" s="48">
        <v>203</v>
      </c>
      <c r="R39" s="49">
        <f t="shared" si="18"/>
        <v>5.2630224719363945E-4</v>
      </c>
      <c r="S39" s="49">
        <f t="shared" si="18"/>
        <v>5.9399974989484219E-4</v>
      </c>
      <c r="T39" s="49">
        <f t="shared" si="18"/>
        <v>1.6447269962705554E-3</v>
      </c>
      <c r="U39" s="49">
        <f t="shared" si="18"/>
        <v>1.2965281148608946E-3</v>
      </c>
      <c r="V39" s="50">
        <f t="shared" si="19"/>
        <v>4.0615571082199316E-3</v>
      </c>
      <c r="W39" s="205">
        <v>711.99999999240003</v>
      </c>
      <c r="X39" s="205">
        <v>170</v>
      </c>
      <c r="Y39" s="205">
        <v>749</v>
      </c>
      <c r="Z39" s="205">
        <v>32</v>
      </c>
      <c r="AA39" s="51">
        <f t="shared" si="20"/>
        <v>5.5996325634629924E-4</v>
      </c>
      <c r="AB39" s="51">
        <f t="shared" si="5"/>
        <v>5.8026815215313622E-4</v>
      </c>
      <c r="AC39" s="51">
        <f t="shared" si="5"/>
        <v>1.5209233568342052E-3</v>
      </c>
      <c r="AD39" s="51">
        <f t="shared" si="5"/>
        <v>5.8283549468162615E-4</v>
      </c>
      <c r="AE39" s="43">
        <f t="shared" si="21"/>
        <v>3.2439902600152671E-3</v>
      </c>
      <c r="AF39" s="52">
        <f t="shared" si="6"/>
        <v>2.7573917210129768E-3</v>
      </c>
      <c r="AG39" s="43">
        <f t="shared" si="7"/>
        <v>-0.20129394378083273</v>
      </c>
      <c r="AH39" s="43">
        <f t="shared" si="8"/>
        <v>-0.20129394378083273</v>
      </c>
      <c r="AI39" s="44">
        <f t="shared" si="22"/>
        <v>3.7509198529186154E-2</v>
      </c>
      <c r="AJ39" s="44">
        <f t="shared" si="9"/>
        <v>5.6263797793779232E-3</v>
      </c>
      <c r="AK39" s="124">
        <f t="shared" si="10"/>
        <v>8.3837715003909005E-3</v>
      </c>
      <c r="AM39" s="55">
        <f t="shared" si="11"/>
        <v>765833.17316464812</v>
      </c>
      <c r="AN39" s="56">
        <f t="shared" si="12"/>
        <v>15241672.538026175</v>
      </c>
      <c r="AO39" s="56">
        <f t="shared" si="13"/>
        <v>14221037.014138812</v>
      </c>
      <c r="AP39" s="56">
        <f t="shared" si="23"/>
        <v>30228542.725329638</v>
      </c>
      <c r="AQ39" s="57">
        <f t="shared" si="24"/>
        <v>4.4551813406259241E-3</v>
      </c>
    </row>
    <row r="40" spans="1:43" x14ac:dyDescent="0.2">
      <c r="A40" s="4" t="s">
        <v>33</v>
      </c>
      <c r="B40" s="45">
        <v>33178924</v>
      </c>
      <c r="C40" s="45">
        <v>10105310</v>
      </c>
      <c r="D40" s="53">
        <f t="shared" ref="D40:D59" si="25">+C40/B40</f>
        <v>0.30457015423405531</v>
      </c>
      <c r="E40" s="54">
        <f t="shared" si="14"/>
        <v>3077775.8252829416</v>
      </c>
      <c r="F40" s="124">
        <f t="shared" ref="F40:F58" si="26">+E40/E$59</f>
        <v>2.0398512290199832E-3</v>
      </c>
      <c r="G40" s="42">
        <v>78669</v>
      </c>
      <c r="H40" s="116">
        <f t="shared" ref="H40:H58" si="27">+G40/$G$59</f>
        <v>1.6905492646543709E-2</v>
      </c>
      <c r="I40" s="44">
        <f t="shared" si="15"/>
        <v>1.4369668749562152E-2</v>
      </c>
      <c r="J40" s="45">
        <v>2539.67</v>
      </c>
      <c r="K40" s="113">
        <f t="shared" ref="K40:K59" si="28">+J40/$J$59</f>
        <v>3.9546316778505917E-2</v>
      </c>
      <c r="L40" s="46">
        <f t="shared" si="16"/>
        <v>5.9319475167758876E-3</v>
      </c>
      <c r="M40" s="124">
        <f t="shared" si="17"/>
        <v>2.030161626633804E-2</v>
      </c>
      <c r="N40" s="47">
        <v>12929</v>
      </c>
      <c r="O40" s="48">
        <v>2053</v>
      </c>
      <c r="P40" s="48">
        <v>23315</v>
      </c>
      <c r="Q40" s="48">
        <v>2592</v>
      </c>
      <c r="R40" s="49">
        <f t="shared" si="18"/>
        <v>7.5606241710739607E-3</v>
      </c>
      <c r="S40" s="49">
        <f t="shared" si="18"/>
        <v>5.8348396484885689E-3</v>
      </c>
      <c r="T40" s="49">
        <f t="shared" si="18"/>
        <v>1.7446228352160146E-2</v>
      </c>
      <c r="U40" s="49">
        <f t="shared" si="18"/>
        <v>1.6554684106992311E-2</v>
      </c>
      <c r="V40" s="50">
        <f t="shared" si="19"/>
        <v>4.7396376278714986E-2</v>
      </c>
      <c r="W40" s="205">
        <v>10671.999999957041</v>
      </c>
      <c r="X40" s="205">
        <v>1702</v>
      </c>
      <c r="Y40" s="205">
        <v>11424</v>
      </c>
      <c r="Z40" s="205">
        <v>888</v>
      </c>
      <c r="AA40" s="51">
        <f t="shared" si="20"/>
        <v>8.3931571232688726E-3</v>
      </c>
      <c r="AB40" s="51">
        <f t="shared" si="5"/>
        <v>5.8095082056743401E-3</v>
      </c>
      <c r="AC40" s="51">
        <f t="shared" si="5"/>
        <v>2.3197634750966568E-2</v>
      </c>
      <c r="AD40" s="51">
        <f t="shared" si="5"/>
        <v>1.6173684977415125E-2</v>
      </c>
      <c r="AE40" s="43">
        <f t="shared" si="21"/>
        <v>5.3573985057324913E-2</v>
      </c>
      <c r="AF40" s="52">
        <f t="shared" ref="AF40:AF58" si="29">+AE40*AF$4</f>
        <v>4.5537887298726175E-2</v>
      </c>
      <c r="AG40" s="43">
        <f t="shared" si="7"/>
        <v>0.13033926353952507</v>
      </c>
      <c r="AH40" s="43">
        <f t="shared" si="8"/>
        <v>0</v>
      </c>
      <c r="AI40" s="44">
        <f t="shared" si="22"/>
        <v>0</v>
      </c>
      <c r="AJ40" s="44">
        <f t="shared" ref="AJ40:AJ58" si="30">+AI40*AJ$4</f>
        <v>0</v>
      </c>
      <c r="AK40" s="124">
        <f t="shared" si="10"/>
        <v>4.5537887298726175E-2</v>
      </c>
      <c r="AM40" s="55">
        <f t="shared" ref="AM40:AM58" si="31">+F40*AM$6</f>
        <v>6920226.7332493896</v>
      </c>
      <c r="AN40" s="56">
        <f t="shared" ref="AN40:AN58" si="32">+M40*AN$6</f>
        <v>34436773.03907609</v>
      </c>
      <c r="AO40" s="56">
        <f t="shared" ref="AO40:AO58" si="33">+AK40*AO$6</f>
        <v>77243992.252254471</v>
      </c>
      <c r="AP40" s="56">
        <f t="shared" si="23"/>
        <v>118600992.02457994</v>
      </c>
      <c r="AQ40" s="57">
        <f t="shared" si="24"/>
        <v>1.7479801505776046E-2</v>
      </c>
    </row>
    <row r="41" spans="1:43" x14ac:dyDescent="0.2">
      <c r="A41" s="4" t="s">
        <v>34</v>
      </c>
      <c r="B41" s="45">
        <v>1531608</v>
      </c>
      <c r="C41" s="45">
        <v>442196</v>
      </c>
      <c r="D41" s="53">
        <f t="shared" si="25"/>
        <v>0.2887135611723104</v>
      </c>
      <c r="E41" s="54">
        <f t="shared" si="14"/>
        <v>127667.98189615097</v>
      </c>
      <c r="F41" s="124">
        <f t="shared" si="26"/>
        <v>8.4614248912499539E-5</v>
      </c>
      <c r="G41" s="42">
        <v>5488</v>
      </c>
      <c r="H41" s="116">
        <f t="shared" si="27"/>
        <v>1.1793380320613187E-3</v>
      </c>
      <c r="I41" s="44">
        <f t="shared" si="15"/>
        <v>1.0024373272521209E-3</v>
      </c>
      <c r="J41" s="45">
        <v>264.23</v>
      </c>
      <c r="K41" s="113">
        <f t="shared" si="28"/>
        <v>4.114441357493147E-3</v>
      </c>
      <c r="L41" s="46">
        <f t="shared" si="16"/>
        <v>6.1716620362397201E-4</v>
      </c>
      <c r="M41" s="124">
        <f t="shared" si="17"/>
        <v>1.6196035308760929E-3</v>
      </c>
      <c r="N41" s="47">
        <v>549</v>
      </c>
      <c r="O41" s="48">
        <v>170</v>
      </c>
      <c r="P41" s="48">
        <v>368</v>
      </c>
      <c r="Q41" s="48">
        <v>141</v>
      </c>
      <c r="R41" s="49">
        <f t="shared" si="18"/>
        <v>3.2104437078812008E-4</v>
      </c>
      <c r="S41" s="49">
        <f t="shared" si="18"/>
        <v>4.8315769130202469E-4</v>
      </c>
      <c r="T41" s="49">
        <f t="shared" si="18"/>
        <v>2.7536830510808204E-4</v>
      </c>
      <c r="U41" s="49">
        <f t="shared" si="18"/>
        <v>9.0054415859796135E-4</v>
      </c>
      <c r="V41" s="50">
        <f t="shared" si="19"/>
        <v>1.9801145257961881E-3</v>
      </c>
      <c r="W41" s="205">
        <v>273.99999999933596</v>
      </c>
      <c r="X41" s="205">
        <v>118</v>
      </c>
      <c r="Y41" s="205">
        <v>143</v>
      </c>
      <c r="Z41" s="205">
        <v>8</v>
      </c>
      <c r="AA41" s="51">
        <f t="shared" si="20"/>
        <v>2.1549147786538184E-4</v>
      </c>
      <c r="AB41" s="51">
        <f t="shared" si="5"/>
        <v>4.0277436443570628E-4</v>
      </c>
      <c r="AC41" s="51">
        <f t="shared" si="5"/>
        <v>2.9037655544364666E-4</v>
      </c>
      <c r="AD41" s="51">
        <f t="shared" si="5"/>
        <v>1.4570887367040654E-4</v>
      </c>
      <c r="AE41" s="43">
        <f t="shared" si="21"/>
        <v>1.0543512714151413E-3</v>
      </c>
      <c r="AF41" s="52">
        <f t="shared" si="29"/>
        <v>8.9619858070287008E-4</v>
      </c>
      <c r="AG41" s="43">
        <f t="shared" si="7"/>
        <v>-0.46753015662505931</v>
      </c>
      <c r="AH41" s="43">
        <f t="shared" si="8"/>
        <v>-0.46753015662505931</v>
      </c>
      <c r="AI41" s="44">
        <f t="shared" si="22"/>
        <v>8.7119766913229382E-2</v>
      </c>
      <c r="AJ41" s="44">
        <f t="shared" si="30"/>
        <v>1.3067965036984408E-2</v>
      </c>
      <c r="AK41" s="124">
        <f t="shared" si="10"/>
        <v>1.3964163617687278E-2</v>
      </c>
      <c r="AM41" s="55">
        <f t="shared" si="31"/>
        <v>287055.14353584318</v>
      </c>
      <c r="AN41" s="56">
        <f t="shared" si="32"/>
        <v>2747264.9701563218</v>
      </c>
      <c r="AO41" s="56">
        <f t="shared" si="33"/>
        <v>23686820.146441504</v>
      </c>
      <c r="AP41" s="56">
        <f t="shared" si="23"/>
        <v>26721140.260133669</v>
      </c>
      <c r="AQ41" s="57">
        <f t="shared" si="24"/>
        <v>3.938248911597093E-3</v>
      </c>
    </row>
    <row r="42" spans="1:43" x14ac:dyDescent="0.2">
      <c r="A42" s="4" t="s">
        <v>35</v>
      </c>
      <c r="B42" s="45">
        <v>658730</v>
      </c>
      <c r="C42" s="45">
        <v>307493</v>
      </c>
      <c r="D42" s="53">
        <f t="shared" si="25"/>
        <v>0.46679671489077468</v>
      </c>
      <c r="E42" s="54">
        <f t="shared" si="14"/>
        <v>143536.72225190897</v>
      </c>
      <c r="F42" s="124">
        <f t="shared" si="26"/>
        <v>9.5131541709390027E-5</v>
      </c>
      <c r="G42" s="42">
        <v>862</v>
      </c>
      <c r="H42" s="116">
        <f t="shared" si="27"/>
        <v>1.8523859031283833E-4</v>
      </c>
      <c r="I42" s="44">
        <f t="shared" si="15"/>
        <v>1.5745280176591257E-4</v>
      </c>
      <c r="J42" s="45">
        <v>207.92</v>
      </c>
      <c r="K42" s="113">
        <f t="shared" si="28"/>
        <v>3.2376136208983647E-3</v>
      </c>
      <c r="L42" s="46">
        <f t="shared" si="16"/>
        <v>4.8564204313475466E-4</v>
      </c>
      <c r="M42" s="124">
        <f t="shared" si="17"/>
        <v>6.430948449006672E-4</v>
      </c>
      <c r="N42" s="47">
        <v>166</v>
      </c>
      <c r="O42" s="48">
        <v>24</v>
      </c>
      <c r="P42" s="48">
        <v>127</v>
      </c>
      <c r="Q42" s="48">
        <v>48</v>
      </c>
      <c r="R42" s="49">
        <f t="shared" si="18"/>
        <v>9.7073525593493502E-5</v>
      </c>
      <c r="S42" s="49">
        <f t="shared" si="18"/>
        <v>6.821049759557996E-5</v>
      </c>
      <c r="T42" s="49">
        <f t="shared" si="18"/>
        <v>9.5031996599800059E-5</v>
      </c>
      <c r="U42" s="49">
        <f t="shared" si="18"/>
        <v>3.0656822420356133E-4</v>
      </c>
      <c r="V42" s="50">
        <f t="shared" si="19"/>
        <v>5.668842439924349E-4</v>
      </c>
      <c r="W42" s="205">
        <v>122.00000000265999</v>
      </c>
      <c r="X42" s="205">
        <v>28</v>
      </c>
      <c r="Y42" s="205">
        <v>16</v>
      </c>
      <c r="Z42" s="205">
        <v>3</v>
      </c>
      <c r="AA42" s="51">
        <f t="shared" si="20"/>
        <v>9.5948760219757314E-5</v>
      </c>
      <c r="AB42" s="51">
        <f t="shared" si="5"/>
        <v>9.5573578001693018E-5</v>
      </c>
      <c r="AC42" s="51">
        <f t="shared" si="5"/>
        <v>3.2489684525163258E-5</v>
      </c>
      <c r="AD42" s="51">
        <f t="shared" si="5"/>
        <v>5.4640827626402448E-5</v>
      </c>
      <c r="AE42" s="43">
        <f t="shared" si="21"/>
        <v>2.7865285037301604E-4</v>
      </c>
      <c r="AF42" s="52">
        <f t="shared" si="29"/>
        <v>2.3685492281706362E-4</v>
      </c>
      <c r="AG42" s="43">
        <f t="shared" si="7"/>
        <v>-0.50844841195350865</v>
      </c>
      <c r="AH42" s="43">
        <f t="shared" si="8"/>
        <v>-0.50844841195350865</v>
      </c>
      <c r="AI42" s="44">
        <f t="shared" si="22"/>
        <v>9.474449189876509E-2</v>
      </c>
      <c r="AJ42" s="44">
        <f t="shared" si="30"/>
        <v>1.4211673784814763E-2</v>
      </c>
      <c r="AK42" s="124">
        <f t="shared" si="10"/>
        <v>1.4448528707631827E-2</v>
      </c>
      <c r="AM42" s="55">
        <f t="shared" si="31"/>
        <v>322735.22144496592</v>
      </c>
      <c r="AN42" s="56">
        <f t="shared" si="32"/>
        <v>1090854.5864480957</v>
      </c>
      <c r="AO42" s="56">
        <f t="shared" si="33"/>
        <v>24508428.162849985</v>
      </c>
      <c r="AP42" s="56">
        <f t="shared" si="23"/>
        <v>25922017.970743045</v>
      </c>
      <c r="AQ42" s="57">
        <f t="shared" si="24"/>
        <v>3.8204716589878189E-3</v>
      </c>
    </row>
    <row r="43" spans="1:43" x14ac:dyDescent="0.2">
      <c r="A43" s="4" t="s">
        <v>36</v>
      </c>
      <c r="B43" s="45">
        <v>634860</v>
      </c>
      <c r="C43" s="45">
        <v>93664</v>
      </c>
      <c r="D43" s="53">
        <f t="shared" si="25"/>
        <v>0.14753488958195507</v>
      </c>
      <c r="E43" s="54">
        <f t="shared" si="14"/>
        <v>13818.707897804239</v>
      </c>
      <c r="F43" s="124">
        <f t="shared" si="26"/>
        <v>9.1585969508395808E-6</v>
      </c>
      <c r="G43" s="42">
        <v>7095</v>
      </c>
      <c r="H43" s="116">
        <f t="shared" si="27"/>
        <v>1.5246726198023062E-3</v>
      </c>
      <c r="I43" s="44">
        <f t="shared" si="15"/>
        <v>1.2959717268319602E-3</v>
      </c>
      <c r="J43" s="45">
        <v>1006.78</v>
      </c>
      <c r="K43" s="113">
        <f t="shared" si="28"/>
        <v>1.5677013472720547E-2</v>
      </c>
      <c r="L43" s="46">
        <f t="shared" si="16"/>
        <v>2.3515520209080819E-3</v>
      </c>
      <c r="M43" s="124">
        <f t="shared" si="17"/>
        <v>3.6475237477400424E-3</v>
      </c>
      <c r="N43" s="47">
        <v>1457</v>
      </c>
      <c r="O43" s="48">
        <v>857</v>
      </c>
      <c r="P43" s="48">
        <v>6591</v>
      </c>
      <c r="Q43" s="48">
        <v>540</v>
      </c>
      <c r="R43" s="49">
        <f t="shared" si="18"/>
        <v>8.5202486017903634E-4</v>
      </c>
      <c r="S43" s="49">
        <f t="shared" si="18"/>
        <v>2.4356831849755012E-3</v>
      </c>
      <c r="T43" s="49">
        <f t="shared" si="18"/>
        <v>4.9319361384982845E-3</v>
      </c>
      <c r="U43" s="49">
        <f t="shared" si="18"/>
        <v>3.4488925222900648E-3</v>
      </c>
      <c r="V43" s="50">
        <f t="shared" si="19"/>
        <v>1.1668536705942888E-2</v>
      </c>
      <c r="W43" s="205">
        <v>1103.9999999949041</v>
      </c>
      <c r="X43" s="205">
        <v>656</v>
      </c>
      <c r="Y43" s="205">
        <v>3161</v>
      </c>
      <c r="Z43" s="205">
        <v>242</v>
      </c>
      <c r="AA43" s="51">
        <f t="shared" si="20"/>
        <v>8.6825763344109482E-4</v>
      </c>
      <c r="AB43" s="51">
        <f t="shared" si="5"/>
        <v>2.2391523988968078E-3</v>
      </c>
      <c r="AC43" s="51">
        <f t="shared" si="5"/>
        <v>6.4187432990025668E-3</v>
      </c>
      <c r="AD43" s="51">
        <f t="shared" si="5"/>
        <v>4.4076934285297974E-3</v>
      </c>
      <c r="AE43" s="43">
        <f t="shared" si="21"/>
        <v>1.3933846759870267E-2</v>
      </c>
      <c r="AF43" s="52">
        <f t="shared" si="29"/>
        <v>1.1843769745889727E-2</v>
      </c>
      <c r="AG43" s="43">
        <f t="shared" si="7"/>
        <v>0.19413831494172162</v>
      </c>
      <c r="AH43" s="43">
        <f t="shared" si="8"/>
        <v>0</v>
      </c>
      <c r="AI43" s="44">
        <f t="shared" si="22"/>
        <v>0</v>
      </c>
      <c r="AJ43" s="44">
        <f t="shared" si="30"/>
        <v>0</v>
      </c>
      <c r="AK43" s="124">
        <f t="shared" si="10"/>
        <v>1.1843769745889727E-2</v>
      </c>
      <c r="AM43" s="55">
        <f t="shared" si="31"/>
        <v>31070.68131076706</v>
      </c>
      <c r="AN43" s="56">
        <f t="shared" si="32"/>
        <v>6187140.2654691748</v>
      </c>
      <c r="AO43" s="56">
        <f t="shared" si="33"/>
        <v>20090085.701331675</v>
      </c>
      <c r="AP43" s="56">
        <f t="shared" si="23"/>
        <v>26308296.648111619</v>
      </c>
      <c r="AQ43" s="57">
        <f t="shared" si="24"/>
        <v>3.877402671882863E-3</v>
      </c>
    </row>
    <row r="44" spans="1:43" x14ac:dyDescent="0.2">
      <c r="A44" s="4" t="s">
        <v>37</v>
      </c>
      <c r="B44" s="45">
        <v>3939138</v>
      </c>
      <c r="C44" s="45">
        <v>896320</v>
      </c>
      <c r="D44" s="53">
        <f t="shared" si="25"/>
        <v>0.22754216785499773</v>
      </c>
      <c r="E44" s="54">
        <f t="shared" si="14"/>
        <v>203950.59589179157</v>
      </c>
      <c r="F44" s="124">
        <f t="shared" si="26"/>
        <v>1.3517192196770315E-4</v>
      </c>
      <c r="G44" s="42">
        <v>5447</v>
      </c>
      <c r="H44" s="116">
        <f t="shared" si="27"/>
        <v>1.1705273798538634E-3</v>
      </c>
      <c r="I44" s="44">
        <f t="shared" si="15"/>
        <v>9.9494827287578387E-4</v>
      </c>
      <c r="J44" s="45">
        <v>3872.26</v>
      </c>
      <c r="K44" s="113">
        <f t="shared" si="28"/>
        <v>6.0296660829453175E-2</v>
      </c>
      <c r="L44" s="46">
        <f t="shared" si="16"/>
        <v>9.0444991244179752E-3</v>
      </c>
      <c r="M44" s="124">
        <f t="shared" si="17"/>
        <v>1.0039447397293759E-2</v>
      </c>
      <c r="N44" s="47">
        <v>871</v>
      </c>
      <c r="O44" s="48">
        <v>298</v>
      </c>
      <c r="P44" s="48">
        <v>2364</v>
      </c>
      <c r="Q44" s="48">
        <v>407</v>
      </c>
      <c r="R44" s="49">
        <f t="shared" si="18"/>
        <v>5.0934361922851112E-4</v>
      </c>
      <c r="S44" s="49">
        <f t="shared" si="18"/>
        <v>8.4694701181178454E-4</v>
      </c>
      <c r="T44" s="49">
        <f t="shared" si="18"/>
        <v>1.7689420469443097E-3</v>
      </c>
      <c r="U44" s="49">
        <f t="shared" si="18"/>
        <v>2.5994430677260304E-3</v>
      </c>
      <c r="V44" s="50">
        <f t="shared" si="19"/>
        <v>5.7246757457106359E-3</v>
      </c>
      <c r="W44" s="205">
        <v>541.99999999184001</v>
      </c>
      <c r="X44" s="205">
        <v>247</v>
      </c>
      <c r="Y44" s="205">
        <v>493</v>
      </c>
      <c r="Z44" s="205">
        <v>128</v>
      </c>
      <c r="AA44" s="51">
        <f t="shared" si="20"/>
        <v>4.2626416423927597E-4</v>
      </c>
      <c r="AB44" s="51">
        <f t="shared" si="5"/>
        <v>8.4309549165779193E-4</v>
      </c>
      <c r="AC44" s="51">
        <f t="shared" si="5"/>
        <v>1.0010884044315931E-3</v>
      </c>
      <c r="AD44" s="51">
        <f t="shared" si="5"/>
        <v>2.3313419787265046E-3</v>
      </c>
      <c r="AE44" s="43">
        <f t="shared" si="21"/>
        <v>4.6017900390551651E-3</v>
      </c>
      <c r="AF44" s="52">
        <f t="shared" si="29"/>
        <v>3.9115215331968906E-3</v>
      </c>
      <c r="AG44" s="43">
        <f t="shared" si="7"/>
        <v>-0.19614835084708904</v>
      </c>
      <c r="AH44" s="43">
        <f t="shared" si="8"/>
        <v>-0.19614835084708904</v>
      </c>
      <c r="AI44" s="44">
        <f t="shared" si="22"/>
        <v>3.655036656794089E-2</v>
      </c>
      <c r="AJ44" s="44">
        <f t="shared" si="30"/>
        <v>5.4825549851911333E-3</v>
      </c>
      <c r="AK44" s="124">
        <f t="shared" si="10"/>
        <v>9.3940765183880247E-3</v>
      </c>
      <c r="AM44" s="55">
        <f t="shared" si="31"/>
        <v>458572.82858564582</v>
      </c>
      <c r="AN44" s="56">
        <f t="shared" si="32"/>
        <v>17029490.013147097</v>
      </c>
      <c r="AO44" s="56">
        <f t="shared" si="33"/>
        <v>15934774.686478447</v>
      </c>
      <c r="AP44" s="56">
        <f t="shared" si="23"/>
        <v>33422837.528211191</v>
      </c>
      <c r="AQ44" s="57">
        <f t="shared" si="24"/>
        <v>4.925966939904298E-3</v>
      </c>
    </row>
    <row r="45" spans="1:43" x14ac:dyDescent="0.2">
      <c r="A45" s="4" t="s">
        <v>38</v>
      </c>
      <c r="B45" s="45">
        <v>52005860</v>
      </c>
      <c r="C45" s="45">
        <v>15185980</v>
      </c>
      <c r="D45" s="53">
        <f t="shared" si="25"/>
        <v>0.2920051701865905</v>
      </c>
      <c r="E45" s="54">
        <f t="shared" si="14"/>
        <v>4434384.6743501592</v>
      </c>
      <c r="F45" s="124">
        <f t="shared" si="26"/>
        <v>2.9389681189951494E-3</v>
      </c>
      <c r="G45" s="42">
        <v>59113</v>
      </c>
      <c r="H45" s="116">
        <f t="shared" si="27"/>
        <v>1.2703026437543865E-2</v>
      </c>
      <c r="I45" s="44">
        <f t="shared" si="15"/>
        <v>1.0797572471912285E-2</v>
      </c>
      <c r="J45" s="45">
        <v>1869.3</v>
      </c>
      <c r="K45" s="113">
        <f t="shared" si="28"/>
        <v>2.9107691138636562E-2</v>
      </c>
      <c r="L45" s="46">
        <f t="shared" si="16"/>
        <v>4.3661536707954845E-3</v>
      </c>
      <c r="M45" s="124">
        <f t="shared" si="17"/>
        <v>1.516372614270777E-2</v>
      </c>
      <c r="N45" s="47">
        <v>9097</v>
      </c>
      <c r="O45" s="48">
        <v>1608</v>
      </c>
      <c r="P45" s="48">
        <v>18077</v>
      </c>
      <c r="Q45" s="48">
        <v>1611</v>
      </c>
      <c r="R45" s="49">
        <f t="shared" si="18"/>
        <v>5.3197461585783755E-3</v>
      </c>
      <c r="S45" s="49">
        <f t="shared" si="18"/>
        <v>4.5701033389038571E-3</v>
      </c>
      <c r="T45" s="49">
        <f t="shared" si="18"/>
        <v>1.3526719704996738E-2</v>
      </c>
      <c r="U45" s="49">
        <f t="shared" si="18"/>
        <v>1.0289196024832026E-2</v>
      </c>
      <c r="V45" s="50">
        <f t="shared" si="19"/>
        <v>3.3705765227310995E-2</v>
      </c>
      <c r="W45" s="205">
        <v>5867.9999999965466</v>
      </c>
      <c r="X45" s="205">
        <v>1434</v>
      </c>
      <c r="Y45" s="205">
        <v>7372</v>
      </c>
      <c r="Z45" s="205">
        <v>494</v>
      </c>
      <c r="AA45" s="51">
        <f t="shared" si="20"/>
        <v>4.6149780734174488E-3</v>
      </c>
      <c r="AB45" s="51">
        <f t="shared" si="5"/>
        <v>4.8947325305152781E-3</v>
      </c>
      <c r="AC45" s="51">
        <f t="shared" si="5"/>
        <v>1.4969622144968973E-2</v>
      </c>
      <c r="AD45" s="51">
        <f t="shared" si="5"/>
        <v>8.9975229491476034E-3</v>
      </c>
      <c r="AE45" s="43">
        <f t="shared" si="21"/>
        <v>3.3476855698049306E-2</v>
      </c>
      <c r="AF45" s="52">
        <f t="shared" si="29"/>
        <v>2.8455327343341909E-2</v>
      </c>
      <c r="AG45" s="43">
        <f t="shared" si="7"/>
        <v>-6.7914057941698752E-3</v>
      </c>
      <c r="AH45" s="43">
        <f t="shared" si="8"/>
        <v>-6.7914057941698752E-3</v>
      </c>
      <c r="AI45" s="44">
        <f t="shared" si="22"/>
        <v>1.2655134249997214E-3</v>
      </c>
      <c r="AJ45" s="44">
        <f t="shared" si="30"/>
        <v>1.898270137499582E-4</v>
      </c>
      <c r="AK45" s="124">
        <f t="shared" si="10"/>
        <v>2.8645154357091869E-2</v>
      </c>
      <c r="AM45" s="55">
        <f t="shared" si="31"/>
        <v>9970494.6399493832</v>
      </c>
      <c r="AN45" s="56">
        <f t="shared" si="32"/>
        <v>25721587.323516268</v>
      </c>
      <c r="AO45" s="56">
        <f t="shared" si="33"/>
        <v>48589563.822073326</v>
      </c>
      <c r="AP45" s="56">
        <f t="shared" si="23"/>
        <v>84281645.785538971</v>
      </c>
      <c r="AQ45" s="57">
        <f t="shared" si="24"/>
        <v>1.2421704184447485E-2</v>
      </c>
    </row>
    <row r="46" spans="1:43" x14ac:dyDescent="0.2">
      <c r="A46" s="4" t="s">
        <v>39</v>
      </c>
      <c r="B46" s="45">
        <v>1375582661</v>
      </c>
      <c r="C46" s="45">
        <v>869293745.43999994</v>
      </c>
      <c r="D46" s="53">
        <f t="shared" si="25"/>
        <v>0.63194584381287133</v>
      </c>
      <c r="E46" s="54">
        <f t="shared" si="14"/>
        <v>549346569.48333216</v>
      </c>
      <c r="F46" s="124">
        <f t="shared" si="26"/>
        <v>0.36408930946602347</v>
      </c>
      <c r="G46" s="42">
        <v>1135550</v>
      </c>
      <c r="H46" s="116">
        <f t="shared" si="27"/>
        <v>0.24402283205306677</v>
      </c>
      <c r="I46" s="44">
        <f t="shared" si="15"/>
        <v>0.20741940724510674</v>
      </c>
      <c r="J46" s="45">
        <v>323.60000000000002</v>
      </c>
      <c r="K46" s="113">
        <f t="shared" si="28"/>
        <v>5.0389176977814112E-3</v>
      </c>
      <c r="L46" s="46">
        <f t="shared" si="16"/>
        <v>7.558376546672117E-4</v>
      </c>
      <c r="M46" s="124">
        <f t="shared" si="17"/>
        <v>0.20817524489977396</v>
      </c>
      <c r="N46" s="47">
        <v>123398</v>
      </c>
      <c r="O46" s="48">
        <v>25536</v>
      </c>
      <c r="P46" s="48">
        <v>28126</v>
      </c>
      <c r="Q46" s="48">
        <v>2378</v>
      </c>
      <c r="R46" s="49">
        <f t="shared" si="18"/>
        <v>7.2160716332445252E-2</v>
      </c>
      <c r="S46" s="49">
        <f t="shared" si="18"/>
        <v>7.2575969441697072E-2</v>
      </c>
      <c r="T46" s="49">
        <f t="shared" si="18"/>
        <v>2.104621997138564E-2</v>
      </c>
      <c r="U46" s="49">
        <f t="shared" si="18"/>
        <v>1.5187900774084766E-2</v>
      </c>
      <c r="V46" s="50">
        <f t="shared" si="19"/>
        <v>0.18097080651961275</v>
      </c>
      <c r="W46" s="205">
        <v>88873.999998769097</v>
      </c>
      <c r="X46" s="205">
        <v>19246</v>
      </c>
      <c r="Y46" s="205">
        <v>4982</v>
      </c>
      <c r="Z46" s="205">
        <v>694</v>
      </c>
      <c r="AA46" s="51">
        <f t="shared" si="20"/>
        <v>6.9896312421858064E-2</v>
      </c>
      <c r="AB46" s="51">
        <f t="shared" si="5"/>
        <v>6.5693181507877993E-2</v>
      </c>
      <c r="AC46" s="51">
        <f t="shared" si="5"/>
        <v>1.011647551902271E-2</v>
      </c>
      <c r="AD46" s="51">
        <f t="shared" si="5"/>
        <v>1.2640244790907766E-2</v>
      </c>
      <c r="AE46" s="43">
        <f t="shared" si="21"/>
        <v>0.15834621423966655</v>
      </c>
      <c r="AF46" s="52">
        <f t="shared" si="29"/>
        <v>0.13459428210371657</v>
      </c>
      <c r="AG46" s="43">
        <f t="shared" si="7"/>
        <v>-0.12501791153532965</v>
      </c>
      <c r="AH46" s="43">
        <f t="shared" si="8"/>
        <v>-0.12501791153532965</v>
      </c>
      <c r="AI46" s="44">
        <f t="shared" si="22"/>
        <v>2.329589045455142E-2</v>
      </c>
      <c r="AJ46" s="44">
        <f t="shared" si="30"/>
        <v>3.4943835681827129E-3</v>
      </c>
      <c r="AK46" s="124">
        <f t="shared" si="10"/>
        <v>0.13808866567189929</v>
      </c>
      <c r="AM46" s="55">
        <f t="shared" si="31"/>
        <v>1235178593.8171487</v>
      </c>
      <c r="AN46" s="56">
        <f t="shared" si="32"/>
        <v>353118863.39090502</v>
      </c>
      <c r="AO46" s="56">
        <f t="shared" si="33"/>
        <v>234233963.27793011</v>
      </c>
      <c r="AP46" s="56">
        <f t="shared" si="23"/>
        <v>1822531420.4859836</v>
      </c>
      <c r="AQ46" s="57">
        <f t="shared" si="24"/>
        <v>0.26861063237593003</v>
      </c>
    </row>
    <row r="47" spans="1:43" x14ac:dyDescent="0.2">
      <c r="A47" s="4" t="s">
        <v>40</v>
      </c>
      <c r="B47" s="45">
        <v>1668637</v>
      </c>
      <c r="C47" s="45">
        <v>438076</v>
      </c>
      <c r="D47" s="53">
        <f t="shared" si="25"/>
        <v>0.26253523085008901</v>
      </c>
      <c r="E47" s="54">
        <f t="shared" si="14"/>
        <v>115010.38378988359</v>
      </c>
      <c r="F47" s="124">
        <f t="shared" si="26"/>
        <v>7.6225198338571881E-5</v>
      </c>
      <c r="G47" s="42">
        <v>1034</v>
      </c>
      <c r="H47" s="116">
        <f t="shared" si="27"/>
        <v>2.2220035079289422E-4</v>
      </c>
      <c r="I47" s="44">
        <f t="shared" si="15"/>
        <v>1.8887029817396008E-4</v>
      </c>
      <c r="J47" s="45">
        <v>1172.6600000000001</v>
      </c>
      <c r="K47" s="113">
        <f t="shared" si="28"/>
        <v>1.8260003793202563E-2</v>
      </c>
      <c r="L47" s="46">
        <f t="shared" si="16"/>
        <v>2.7390005689803842E-3</v>
      </c>
      <c r="M47" s="124">
        <f t="shared" si="17"/>
        <v>2.9278708671543444E-3</v>
      </c>
      <c r="N47" s="47">
        <v>244</v>
      </c>
      <c r="O47" s="48">
        <v>60</v>
      </c>
      <c r="P47" s="48">
        <v>375</v>
      </c>
      <c r="Q47" s="48">
        <v>47</v>
      </c>
      <c r="R47" s="49">
        <f t="shared" si="18"/>
        <v>1.4268638701694225E-4</v>
      </c>
      <c r="S47" s="49">
        <f t="shared" si="18"/>
        <v>1.7052624398894989E-4</v>
      </c>
      <c r="T47" s="49">
        <f t="shared" si="18"/>
        <v>2.8060628917263796E-4</v>
      </c>
      <c r="U47" s="49">
        <f t="shared" si="18"/>
        <v>3.0018138619932047E-4</v>
      </c>
      <c r="V47" s="50">
        <f t="shared" si="19"/>
        <v>8.9400030637785065E-4</v>
      </c>
      <c r="W47" s="205">
        <v>95.999999999399989</v>
      </c>
      <c r="X47" s="205">
        <v>43</v>
      </c>
      <c r="Y47" s="205">
        <v>84</v>
      </c>
      <c r="Z47" s="205">
        <v>27</v>
      </c>
      <c r="AA47" s="51">
        <f t="shared" si="20"/>
        <v>7.5500663777363118E-5</v>
      </c>
      <c r="AB47" s="51">
        <f t="shared" si="5"/>
        <v>1.4677370907402855E-4</v>
      </c>
      <c r="AC47" s="51">
        <f t="shared" si="5"/>
        <v>1.7057084375710711E-4</v>
      </c>
      <c r="AD47" s="51">
        <f t="shared" si="5"/>
        <v>4.91767448637622E-4</v>
      </c>
      <c r="AE47" s="43">
        <f t="shared" si="21"/>
        <v>8.8461266524612078E-4</v>
      </c>
      <c r="AF47" s="52">
        <f t="shared" si="29"/>
        <v>7.5192076545920264E-4</v>
      </c>
      <c r="AG47" s="43">
        <f t="shared" si="7"/>
        <v>-1.0500713550943872E-2</v>
      </c>
      <c r="AH47" s="43">
        <f t="shared" si="8"/>
        <v>-1.0500713550943872E-2</v>
      </c>
      <c r="AI47" s="44">
        <f t="shared" si="22"/>
        <v>1.9567073995495625E-3</v>
      </c>
      <c r="AJ47" s="44">
        <f t="shared" si="30"/>
        <v>2.9350610993243438E-4</v>
      </c>
      <c r="AK47" s="124">
        <f t="shared" si="10"/>
        <v>1.0454268753916371E-3</v>
      </c>
      <c r="AM47" s="55">
        <f t="shared" si="31"/>
        <v>258595.16016922944</v>
      </c>
      <c r="AN47" s="56">
        <f t="shared" si="32"/>
        <v>4966423.5210226392</v>
      </c>
      <c r="AO47" s="56">
        <f t="shared" si="33"/>
        <v>1773313.39359938</v>
      </c>
      <c r="AP47" s="56">
        <f t="shared" si="23"/>
        <v>6998332.0747912489</v>
      </c>
      <c r="AQ47" s="57">
        <f t="shared" si="24"/>
        <v>1.0314370348057816E-3</v>
      </c>
    </row>
    <row r="48" spans="1:43" x14ac:dyDescent="0.2">
      <c r="A48" s="4" t="s">
        <v>41</v>
      </c>
      <c r="B48" s="45">
        <v>62117953</v>
      </c>
      <c r="C48" s="45">
        <v>13013191</v>
      </c>
      <c r="D48" s="53">
        <f t="shared" si="25"/>
        <v>0.20949162635800314</v>
      </c>
      <c r="E48" s="54">
        <f t="shared" si="14"/>
        <v>2726154.5466973293</v>
      </c>
      <c r="F48" s="124">
        <f t="shared" si="26"/>
        <v>1.8068079087819012E-3</v>
      </c>
      <c r="G48" s="42">
        <v>20843</v>
      </c>
      <c r="H48" s="116">
        <f t="shared" si="27"/>
        <v>4.4790347307314257E-3</v>
      </c>
      <c r="I48" s="44">
        <f t="shared" si="15"/>
        <v>3.8071795211217117E-3</v>
      </c>
      <c r="J48" s="45">
        <v>308.89</v>
      </c>
      <c r="K48" s="113">
        <f t="shared" si="28"/>
        <v>4.8098618283921504E-3</v>
      </c>
      <c r="L48" s="46">
        <f t="shared" si="16"/>
        <v>7.2147927425882249E-4</v>
      </c>
      <c r="M48" s="124">
        <f t="shared" si="17"/>
        <v>4.5286587953805345E-3</v>
      </c>
      <c r="N48" s="47">
        <v>1423</v>
      </c>
      <c r="O48" s="48">
        <v>462</v>
      </c>
      <c r="P48" s="48">
        <v>3867</v>
      </c>
      <c r="Q48" s="48">
        <v>358</v>
      </c>
      <c r="R48" s="49">
        <f t="shared" si="18"/>
        <v>8.3214233084060992E-4</v>
      </c>
      <c r="S48" s="49">
        <f t="shared" si="18"/>
        <v>1.3130520787149142E-3</v>
      </c>
      <c r="T48" s="49">
        <f t="shared" si="18"/>
        <v>2.8936120539482428E-3</v>
      </c>
      <c r="U48" s="49">
        <f t="shared" si="18"/>
        <v>2.286488005518228E-3</v>
      </c>
      <c r="V48" s="50">
        <f t="shared" si="19"/>
        <v>7.3252944690219944E-3</v>
      </c>
      <c r="W48" s="205">
        <v>502.9999955589883</v>
      </c>
      <c r="X48" s="205">
        <v>435</v>
      </c>
      <c r="Y48" s="205">
        <v>1115</v>
      </c>
      <c r="Z48" s="205">
        <v>155</v>
      </c>
      <c r="AA48" s="51">
        <f t="shared" si="20"/>
        <v>3.9559201609324664E-4</v>
      </c>
      <c r="AB48" s="51">
        <f t="shared" si="5"/>
        <v>1.4848038010977307E-3</v>
      </c>
      <c r="AC48" s="51">
        <f t="shared" si="5"/>
        <v>2.2641248903473147E-3</v>
      </c>
      <c r="AD48" s="51">
        <f t="shared" si="5"/>
        <v>2.8231094273641266E-3</v>
      </c>
      <c r="AE48" s="43">
        <f t="shared" si="21"/>
        <v>6.9676301349024189E-3</v>
      </c>
      <c r="AF48" s="52">
        <f t="shared" si="29"/>
        <v>5.9224856146670559E-3</v>
      </c>
      <c r="AG48" s="43">
        <f t="shared" si="7"/>
        <v>-4.8825932613645158E-2</v>
      </c>
      <c r="AH48" s="43">
        <f t="shared" si="8"/>
        <v>-4.8825932613645158E-2</v>
      </c>
      <c r="AI48" s="44">
        <f t="shared" si="22"/>
        <v>9.0982449117888945E-3</v>
      </c>
      <c r="AJ48" s="44">
        <f t="shared" si="30"/>
        <v>1.3647367367683341E-3</v>
      </c>
      <c r="AK48" s="124">
        <f t="shared" si="10"/>
        <v>7.2872223514353898E-3</v>
      </c>
      <c r="AM48" s="55">
        <f t="shared" si="31"/>
        <v>6129623.6776081314</v>
      </c>
      <c r="AN48" s="56">
        <f t="shared" si="32"/>
        <v>7681772.3801882071</v>
      </c>
      <c r="AO48" s="56">
        <f t="shared" si="33"/>
        <v>12361007.070050802</v>
      </c>
      <c r="AP48" s="56">
        <f t="shared" si="23"/>
        <v>26172403.127847143</v>
      </c>
      <c r="AQ48" s="57">
        <f t="shared" si="24"/>
        <v>3.8573742410949324E-3</v>
      </c>
    </row>
    <row r="49" spans="1:43" x14ac:dyDescent="0.2">
      <c r="A49" s="4" t="s">
        <v>42</v>
      </c>
      <c r="B49" s="45">
        <v>2797066</v>
      </c>
      <c r="C49" s="45">
        <v>740485</v>
      </c>
      <c r="D49" s="53">
        <f t="shared" si="25"/>
        <v>0.26473633443043532</v>
      </c>
      <c r="E49" s="54">
        <f t="shared" si="14"/>
        <v>196033.28460072089</v>
      </c>
      <c r="F49" s="124">
        <f t="shared" si="26"/>
        <v>1.2992458165300054E-4</v>
      </c>
      <c r="G49" s="42">
        <v>5359</v>
      </c>
      <c r="H49" s="116">
        <f t="shared" si="27"/>
        <v>1.1516167117012767E-3</v>
      </c>
      <c r="I49" s="44">
        <f t="shared" si="15"/>
        <v>9.788742049460853E-4</v>
      </c>
      <c r="J49" s="45">
        <v>1341.58</v>
      </c>
      <c r="K49" s="113">
        <f t="shared" si="28"/>
        <v>2.089033128859575E-2</v>
      </c>
      <c r="L49" s="46">
        <f t="shared" si="16"/>
        <v>3.1335496932893623E-3</v>
      </c>
      <c r="M49" s="124">
        <f t="shared" si="17"/>
        <v>4.1124238982354474E-3</v>
      </c>
      <c r="N49" s="47">
        <v>1104</v>
      </c>
      <c r="O49" s="48">
        <v>274</v>
      </c>
      <c r="P49" s="48">
        <v>2326</v>
      </c>
      <c r="Q49" s="48">
        <v>140</v>
      </c>
      <c r="R49" s="49">
        <f t="shared" si="18"/>
        <v>6.4559742322419769E-4</v>
      </c>
      <c r="S49" s="49">
        <f t="shared" si="18"/>
        <v>7.7873651421620459E-4</v>
      </c>
      <c r="T49" s="49">
        <f t="shared" si="18"/>
        <v>1.7405072763081492E-3</v>
      </c>
      <c r="U49" s="49">
        <f t="shared" si="18"/>
        <v>8.9415732059372043E-4</v>
      </c>
      <c r="V49" s="50">
        <f t="shared" si="19"/>
        <v>4.0589985343422721E-3</v>
      </c>
      <c r="W49" s="205">
        <v>511.00000000414997</v>
      </c>
      <c r="X49" s="205">
        <v>264</v>
      </c>
      <c r="Y49" s="205">
        <v>999</v>
      </c>
      <c r="Z49" s="205">
        <v>49</v>
      </c>
      <c r="AA49" s="51">
        <f t="shared" si="20"/>
        <v>4.0188374157069809E-4</v>
      </c>
      <c r="AB49" s="51">
        <f t="shared" si="5"/>
        <v>9.0112230687310556E-4</v>
      </c>
      <c r="AC49" s="51">
        <f t="shared" si="5"/>
        <v>2.028574677539881E-3</v>
      </c>
      <c r="AD49" s="51">
        <f t="shared" si="5"/>
        <v>8.9246685123123997E-4</v>
      </c>
      <c r="AE49" s="43">
        <f t="shared" si="21"/>
        <v>4.2240475772149242E-3</v>
      </c>
      <c r="AF49" s="52">
        <f t="shared" si="29"/>
        <v>3.5904404406326856E-3</v>
      </c>
      <c r="AG49" s="43">
        <f t="shared" si="7"/>
        <v>4.066250368809185E-2</v>
      </c>
      <c r="AH49" s="43">
        <f t="shared" si="8"/>
        <v>0</v>
      </c>
      <c r="AI49" s="44">
        <f t="shared" si="22"/>
        <v>0</v>
      </c>
      <c r="AJ49" s="44">
        <f t="shared" si="30"/>
        <v>0</v>
      </c>
      <c r="AK49" s="124">
        <f t="shared" si="10"/>
        <v>3.5904404406326856E-3</v>
      </c>
      <c r="AM49" s="55">
        <f t="shared" si="31"/>
        <v>440771.14569443412</v>
      </c>
      <c r="AN49" s="56">
        <f t="shared" si="32"/>
        <v>6975730.7283373009</v>
      </c>
      <c r="AO49" s="56">
        <f t="shared" si="33"/>
        <v>6090312.2658957941</v>
      </c>
      <c r="AP49" s="56">
        <f t="shared" si="23"/>
        <v>13506814.139927529</v>
      </c>
      <c r="AQ49" s="57">
        <f t="shared" si="24"/>
        <v>1.9906783755435338E-3</v>
      </c>
    </row>
    <row r="50" spans="1:43" x14ac:dyDescent="0.2">
      <c r="A50" s="4" t="s">
        <v>43</v>
      </c>
      <c r="B50" s="45">
        <v>1027778</v>
      </c>
      <c r="C50" s="45">
        <v>537770</v>
      </c>
      <c r="D50" s="53">
        <f t="shared" si="25"/>
        <v>0.5232355625436621</v>
      </c>
      <c r="E50" s="54">
        <f t="shared" si="14"/>
        <v>281380.38846910518</v>
      </c>
      <c r="F50" s="124">
        <f t="shared" si="26"/>
        <v>1.8648990824016845E-4</v>
      </c>
      <c r="G50" s="42">
        <v>2628</v>
      </c>
      <c r="H50" s="116">
        <f t="shared" si="27"/>
        <v>5.6474131710224952E-4</v>
      </c>
      <c r="I50" s="44">
        <f t="shared" si="15"/>
        <v>4.800301195369121E-4</v>
      </c>
      <c r="J50" s="45">
        <v>673.76</v>
      </c>
      <c r="K50" s="113">
        <f t="shared" si="28"/>
        <v>1.0491412818470961E-2</v>
      </c>
      <c r="L50" s="46">
        <f t="shared" si="16"/>
        <v>1.5737119227706442E-3</v>
      </c>
      <c r="M50" s="124">
        <f t="shared" si="17"/>
        <v>2.0537420423075562E-3</v>
      </c>
      <c r="N50" s="47">
        <v>671</v>
      </c>
      <c r="O50" s="48">
        <v>247</v>
      </c>
      <c r="P50" s="48">
        <v>1766</v>
      </c>
      <c r="Q50" s="48">
        <v>574</v>
      </c>
      <c r="R50" s="49">
        <f t="shared" si="18"/>
        <v>3.9238756429659118E-4</v>
      </c>
      <c r="S50" s="49">
        <f t="shared" si="18"/>
        <v>7.0199970442117712E-4</v>
      </c>
      <c r="T50" s="49">
        <f t="shared" si="18"/>
        <v>1.3214685511436764E-3</v>
      </c>
      <c r="U50" s="49">
        <f t="shared" si="18"/>
        <v>3.6660450144342539E-3</v>
      </c>
      <c r="V50" s="50">
        <f t="shared" si="19"/>
        <v>6.0819008342956988E-3</v>
      </c>
      <c r="W50" s="205">
        <v>600.99999999995009</v>
      </c>
      <c r="X50" s="205">
        <v>212</v>
      </c>
      <c r="Y50" s="205">
        <v>872</v>
      </c>
      <c r="Z50" s="205">
        <v>90</v>
      </c>
      <c r="AA50" s="51">
        <f t="shared" si="20"/>
        <v>4.7266561385911533E-4</v>
      </c>
      <c r="AB50" s="51">
        <f t="shared" si="5"/>
        <v>7.2362851915567573E-4</v>
      </c>
      <c r="AC50" s="51">
        <f t="shared" si="5"/>
        <v>1.7706878066213977E-3</v>
      </c>
      <c r="AD50" s="51">
        <f t="shared" si="5"/>
        <v>1.6392248287920735E-3</v>
      </c>
      <c r="AE50" s="43">
        <f t="shared" si="21"/>
        <v>4.6062067684282618E-3</v>
      </c>
      <c r="AF50" s="52">
        <f t="shared" si="29"/>
        <v>3.9152757531640226E-3</v>
      </c>
      <c r="AG50" s="43">
        <f t="shared" si="7"/>
        <v>-0.24263698242924844</v>
      </c>
      <c r="AH50" s="43">
        <f t="shared" si="8"/>
        <v>-0.24263698242924844</v>
      </c>
      <c r="AI50" s="44">
        <f t="shared" si="22"/>
        <v>4.5213077818031917E-2</v>
      </c>
      <c r="AJ50" s="44">
        <f t="shared" si="30"/>
        <v>6.7819616727047873E-3</v>
      </c>
      <c r="AK50" s="124">
        <f t="shared" si="10"/>
        <v>1.0697237425868811E-2</v>
      </c>
      <c r="AM50" s="55">
        <f t="shared" si="31"/>
        <v>632669.88794318424</v>
      </c>
      <c r="AN50" s="56">
        <f t="shared" si="32"/>
        <v>3483675.7657084311</v>
      </c>
      <c r="AO50" s="56">
        <f t="shared" si="33"/>
        <v>18145271.418146159</v>
      </c>
      <c r="AP50" s="56">
        <f t="shared" si="23"/>
        <v>22261617.071797773</v>
      </c>
      <c r="AQ50" s="57">
        <f t="shared" si="24"/>
        <v>3.2809898211641764E-3</v>
      </c>
    </row>
    <row r="51" spans="1:43" x14ac:dyDescent="0.2">
      <c r="A51" s="4" t="s">
        <v>44</v>
      </c>
      <c r="B51" s="45">
        <v>17390315</v>
      </c>
      <c r="C51" s="45">
        <v>6422596</v>
      </c>
      <c r="D51" s="53">
        <f t="shared" si="25"/>
        <v>0.36932027970741188</v>
      </c>
      <c r="E51" s="54">
        <f t="shared" si="14"/>
        <v>2371994.9511677045</v>
      </c>
      <c r="F51" s="124">
        <f t="shared" si="26"/>
        <v>1.5720822733812426E-3</v>
      </c>
      <c r="G51" s="42">
        <v>34671</v>
      </c>
      <c r="H51" s="116">
        <f t="shared" si="27"/>
        <v>7.4505883581628971E-3</v>
      </c>
      <c r="I51" s="44">
        <f t="shared" si="15"/>
        <v>6.3330001044384623E-3</v>
      </c>
      <c r="J51" s="45">
        <v>1542.15</v>
      </c>
      <c r="K51" s="113">
        <f t="shared" si="28"/>
        <v>2.4013494831995066E-2</v>
      </c>
      <c r="L51" s="46">
        <f t="shared" si="16"/>
        <v>3.6020242247992596E-3</v>
      </c>
      <c r="M51" s="124">
        <f t="shared" si="17"/>
        <v>9.9350243292377211E-3</v>
      </c>
      <c r="N51" s="47">
        <v>4789</v>
      </c>
      <c r="O51" s="48">
        <v>909</v>
      </c>
      <c r="P51" s="48">
        <v>4749</v>
      </c>
      <c r="Q51" s="48">
        <v>258</v>
      </c>
      <c r="R51" s="49">
        <f t="shared" si="18"/>
        <v>2.8005127353448217E-3</v>
      </c>
      <c r="S51" s="49">
        <f t="shared" si="18"/>
        <v>2.5834725964325911E-3</v>
      </c>
      <c r="T51" s="49">
        <f t="shared" si="18"/>
        <v>3.5535980460822871E-3</v>
      </c>
      <c r="U51" s="49">
        <f t="shared" si="18"/>
        <v>1.6478042050941421E-3</v>
      </c>
      <c r="V51" s="50">
        <f t="shared" si="19"/>
        <v>1.0585387582953843E-2</v>
      </c>
      <c r="W51" s="205">
        <v>3480.0000000606401</v>
      </c>
      <c r="X51" s="205">
        <v>841</v>
      </c>
      <c r="Y51" s="205">
        <v>1534</v>
      </c>
      <c r="Z51" s="205">
        <v>182</v>
      </c>
      <c r="AA51" s="51">
        <f t="shared" si="20"/>
        <v>2.7368990619942106E-3</v>
      </c>
      <c r="AB51" s="51">
        <f t="shared" si="5"/>
        <v>2.8706206821222796E-3</v>
      </c>
      <c r="AC51" s="51">
        <f t="shared" si="5"/>
        <v>3.1149485038500274E-3</v>
      </c>
      <c r="AD51" s="51">
        <f t="shared" si="5"/>
        <v>3.3148768760017486E-3</v>
      </c>
      <c r="AE51" s="43">
        <f t="shared" si="21"/>
        <v>1.2037345123968266E-2</v>
      </c>
      <c r="AF51" s="52">
        <f t="shared" si="29"/>
        <v>1.0231743355373026E-2</v>
      </c>
      <c r="AG51" s="43">
        <f t="shared" si="7"/>
        <v>0.1371662142397676</v>
      </c>
      <c r="AH51" s="43">
        <f t="shared" si="8"/>
        <v>0</v>
      </c>
      <c r="AI51" s="44">
        <f t="shared" si="22"/>
        <v>0</v>
      </c>
      <c r="AJ51" s="44">
        <f t="shared" si="30"/>
        <v>0</v>
      </c>
      <c r="AK51" s="124">
        <f t="shared" si="10"/>
        <v>1.0231743355373026E-2</v>
      </c>
      <c r="AM51" s="55">
        <f t="shared" si="31"/>
        <v>5333313.3418494873</v>
      </c>
      <c r="AN51" s="56">
        <f t="shared" si="32"/>
        <v>16852361.579257216</v>
      </c>
      <c r="AO51" s="56">
        <f t="shared" si="33"/>
        <v>17355673.513900552</v>
      </c>
      <c r="AP51" s="56">
        <f t="shared" si="23"/>
        <v>39541348.435007259</v>
      </c>
      <c r="AQ51" s="57">
        <f t="shared" si="24"/>
        <v>5.827733057843309E-3</v>
      </c>
    </row>
    <row r="52" spans="1:43" x14ac:dyDescent="0.2">
      <c r="A52" s="4" t="s">
        <v>45</v>
      </c>
      <c r="B52" s="45">
        <v>172018161</v>
      </c>
      <c r="C52" s="45">
        <v>14837295</v>
      </c>
      <c r="D52" s="53">
        <f t="shared" si="25"/>
        <v>8.6254235679219943E-2</v>
      </c>
      <c r="E52" s="54">
        <f t="shared" si="14"/>
        <v>1279779.5397721117</v>
      </c>
      <c r="F52" s="124">
        <f t="shared" si="26"/>
        <v>8.481968847873384E-4</v>
      </c>
      <c r="G52" s="42">
        <v>32660</v>
      </c>
      <c r="H52" s="116">
        <f t="shared" si="27"/>
        <v>7.018436612085034E-3</v>
      </c>
      <c r="I52" s="44">
        <f t="shared" si="15"/>
        <v>5.9656711202722788E-3</v>
      </c>
      <c r="J52" s="45">
        <v>1658.08</v>
      </c>
      <c r="K52" s="113">
        <f t="shared" si="28"/>
        <v>2.5818691768656987E-2</v>
      </c>
      <c r="L52" s="46">
        <f t="shared" si="16"/>
        <v>3.8728037652985478E-3</v>
      </c>
      <c r="M52" s="124">
        <f t="shared" si="17"/>
        <v>9.8384748855708266E-3</v>
      </c>
      <c r="N52" s="47">
        <v>2382</v>
      </c>
      <c r="O52" s="48">
        <v>572</v>
      </c>
      <c r="P52" s="48">
        <v>6969</v>
      </c>
      <c r="Q52" s="48">
        <v>1381</v>
      </c>
      <c r="R52" s="49">
        <f t="shared" si="18"/>
        <v>1.3929466142391658E-3</v>
      </c>
      <c r="S52" s="49">
        <f t="shared" si="18"/>
        <v>1.6256835260279891E-3</v>
      </c>
      <c r="T52" s="49">
        <f t="shared" si="18"/>
        <v>5.2147872779843042E-3</v>
      </c>
      <c r="U52" s="49">
        <f t="shared" si="18"/>
        <v>8.8202232838566277E-3</v>
      </c>
      <c r="V52" s="50">
        <f t="shared" si="19"/>
        <v>1.7053640702108089E-2</v>
      </c>
      <c r="W52" s="205">
        <v>1795.99999997852</v>
      </c>
      <c r="X52" s="205">
        <v>775</v>
      </c>
      <c r="Y52" s="205">
        <v>2276</v>
      </c>
      <c r="Z52" s="205">
        <v>675</v>
      </c>
      <c r="AA52" s="51">
        <f t="shared" si="20"/>
        <v>1.41249158482677E-3</v>
      </c>
      <c r="AB52" s="51">
        <f t="shared" si="5"/>
        <v>2.6453401054040032E-3</v>
      </c>
      <c r="AC52" s="51">
        <f t="shared" si="5"/>
        <v>4.6216576237044739E-3</v>
      </c>
      <c r="AD52" s="51">
        <f t="shared" si="5"/>
        <v>1.2294186215940551E-2</v>
      </c>
      <c r="AE52" s="43">
        <f t="shared" si="21"/>
        <v>2.09736755298758E-2</v>
      </c>
      <c r="AF52" s="52">
        <f t="shared" si="29"/>
        <v>1.782762420039443E-2</v>
      </c>
      <c r="AG52" s="43">
        <f t="shared" si="7"/>
        <v>0.22986498286451734</v>
      </c>
      <c r="AH52" s="43">
        <f t="shared" si="8"/>
        <v>0</v>
      </c>
      <c r="AI52" s="44">
        <f t="shared" si="22"/>
        <v>0</v>
      </c>
      <c r="AJ52" s="44">
        <f t="shared" si="30"/>
        <v>0</v>
      </c>
      <c r="AK52" s="124">
        <f t="shared" si="10"/>
        <v>1.782762420039443E-2</v>
      </c>
      <c r="AM52" s="55">
        <f t="shared" si="31"/>
        <v>2877521.0043058926</v>
      </c>
      <c r="AN52" s="56">
        <f t="shared" si="32"/>
        <v>16688588.841412753</v>
      </c>
      <c r="AO52" s="56">
        <f t="shared" si="33"/>
        <v>30240244.932265282</v>
      </c>
      <c r="AP52" s="56">
        <f t="shared" si="23"/>
        <v>49806354.777983926</v>
      </c>
      <c r="AQ52" s="57">
        <f t="shared" si="24"/>
        <v>7.3406232138849845E-3</v>
      </c>
    </row>
    <row r="53" spans="1:43" x14ac:dyDescent="0.2">
      <c r="A53" s="4" t="s">
        <v>46</v>
      </c>
      <c r="B53" s="45">
        <v>500841317</v>
      </c>
      <c r="C53" s="45">
        <v>260114938.49000001</v>
      </c>
      <c r="D53" s="53">
        <f t="shared" si="25"/>
        <v>0.51935599093155493</v>
      </c>
      <c r="E53" s="54">
        <f t="shared" si="14"/>
        <v>135092251.6355744</v>
      </c>
      <c r="F53" s="124">
        <f t="shared" si="26"/>
        <v>8.9534817079983453E-2</v>
      </c>
      <c r="G53" s="42">
        <v>443273</v>
      </c>
      <c r="H53" s="116">
        <f t="shared" si="27"/>
        <v>9.5256688681836177E-2</v>
      </c>
      <c r="I53" s="44">
        <f t="shared" si="15"/>
        <v>8.0968185379560742E-2</v>
      </c>
      <c r="J53" s="45">
        <v>60.1</v>
      </c>
      <c r="K53" s="113">
        <f t="shared" si="28"/>
        <v>9.3584349084259205E-4</v>
      </c>
      <c r="L53" s="46">
        <f t="shared" si="16"/>
        <v>1.403765236263888E-4</v>
      </c>
      <c r="M53" s="124">
        <f t="shared" si="17"/>
        <v>8.1108561903187132E-2</v>
      </c>
      <c r="N53" s="47">
        <v>40580</v>
      </c>
      <c r="O53" s="48">
        <v>5745</v>
      </c>
      <c r="P53" s="48">
        <v>2165</v>
      </c>
      <c r="Q53" s="48">
        <v>472</v>
      </c>
      <c r="R53" s="49">
        <f t="shared" si="18"/>
        <v>2.3730383545686545E-2</v>
      </c>
      <c r="S53" s="49">
        <f t="shared" si="18"/>
        <v>1.6327887861941955E-2</v>
      </c>
      <c r="T53" s="49">
        <f t="shared" si="18"/>
        <v>1.6200336428233632E-3</v>
      </c>
      <c r="U53" s="49">
        <f t="shared" si="18"/>
        <v>3.0145875380016862E-3</v>
      </c>
      <c r="V53" s="50">
        <f t="shared" si="19"/>
        <v>4.4692892588453548E-2</v>
      </c>
      <c r="W53" s="205">
        <v>18155.999999995089</v>
      </c>
      <c r="X53" s="205">
        <v>4217</v>
      </c>
      <c r="Y53" s="205">
        <v>161</v>
      </c>
      <c r="Z53" s="205">
        <v>91</v>
      </c>
      <c r="AA53" s="51">
        <f t="shared" si="20"/>
        <v>1.4279063036979183E-2</v>
      </c>
      <c r="AB53" s="51">
        <f t="shared" si="5"/>
        <v>1.4394063515469267E-2</v>
      </c>
      <c r="AC53" s="51">
        <f t="shared" si="5"/>
        <v>3.2692745053445531E-4</v>
      </c>
      <c r="AD53" s="51">
        <f t="shared" si="5"/>
        <v>1.6574384380008743E-3</v>
      </c>
      <c r="AE53" s="43">
        <f t="shared" si="21"/>
        <v>3.0657492440983779E-2</v>
      </c>
      <c r="AF53" s="52">
        <f t="shared" si="29"/>
        <v>2.6058868574836212E-2</v>
      </c>
      <c r="AG53" s="43">
        <f t="shared" si="7"/>
        <v>-0.3140409880540117</v>
      </c>
      <c r="AH53" s="43">
        <f t="shared" si="8"/>
        <v>-0.3140409880540117</v>
      </c>
      <c r="AI53" s="44">
        <f t="shared" si="22"/>
        <v>5.8518530393766088E-2</v>
      </c>
      <c r="AJ53" s="44">
        <f t="shared" si="30"/>
        <v>8.7777795590649136E-3</v>
      </c>
      <c r="AK53" s="124">
        <f t="shared" si="10"/>
        <v>3.4836648133901124E-2</v>
      </c>
      <c r="AM53" s="55">
        <f t="shared" si="31"/>
        <v>303748246.8813051</v>
      </c>
      <c r="AN53" s="56">
        <f t="shared" si="32"/>
        <v>137581023.16302547</v>
      </c>
      <c r="AO53" s="56">
        <f t="shared" si="33"/>
        <v>59091932.853565797</v>
      </c>
      <c r="AP53" s="56">
        <f t="shared" si="23"/>
        <v>500421202.89789641</v>
      </c>
      <c r="AQ53" s="57">
        <f t="shared" si="24"/>
        <v>7.3753711049263801E-2</v>
      </c>
    </row>
    <row r="54" spans="1:43" x14ac:dyDescent="0.2">
      <c r="A54" s="4" t="s">
        <v>47</v>
      </c>
      <c r="B54" s="45">
        <v>674465375</v>
      </c>
      <c r="C54" s="45">
        <v>542427021.97000003</v>
      </c>
      <c r="D54" s="53">
        <f t="shared" si="25"/>
        <v>0.804232570085603</v>
      </c>
      <c r="E54" s="54">
        <f t="shared" si="14"/>
        <v>436237477.96281296</v>
      </c>
      <c r="F54" s="124">
        <f t="shared" si="26"/>
        <v>0.2891242267409832</v>
      </c>
      <c r="G54" s="42">
        <v>122659</v>
      </c>
      <c r="H54" s="116">
        <f t="shared" si="27"/>
        <v>2.6358677783274286E-2</v>
      </c>
      <c r="I54" s="44">
        <f t="shared" si="15"/>
        <v>2.2404876115783144E-2</v>
      </c>
      <c r="J54" s="45">
        <v>72.010000000000005</v>
      </c>
      <c r="K54" s="113">
        <f t="shared" si="28"/>
        <v>1.1212993307084037E-3</v>
      </c>
      <c r="L54" s="46">
        <f t="shared" si="16"/>
        <v>1.6819489960626053E-4</v>
      </c>
      <c r="M54" s="124">
        <f t="shared" si="17"/>
        <v>2.2573071015389405E-2</v>
      </c>
      <c r="N54" s="47">
        <v>9903</v>
      </c>
      <c r="O54" s="48">
        <v>1776</v>
      </c>
      <c r="P54" s="48">
        <v>642</v>
      </c>
      <c r="Q54" s="48">
        <v>85</v>
      </c>
      <c r="R54" s="49">
        <f t="shared" si="18"/>
        <v>5.7910790599540133E-3</v>
      </c>
      <c r="S54" s="49">
        <f t="shared" si="18"/>
        <v>5.0475768220729174E-3</v>
      </c>
      <c r="T54" s="49">
        <f t="shared" si="18"/>
        <v>4.8039796706355622E-4</v>
      </c>
      <c r="U54" s="49">
        <f t="shared" si="18"/>
        <v>5.4288123036047315E-4</v>
      </c>
      <c r="V54" s="50">
        <f t="shared" si="19"/>
        <v>1.186193507945096E-2</v>
      </c>
      <c r="W54" s="205">
        <v>4908.0000000006539</v>
      </c>
      <c r="X54" s="205">
        <v>1283</v>
      </c>
      <c r="Y54" s="205">
        <v>140</v>
      </c>
      <c r="Z54" s="205">
        <v>21</v>
      </c>
      <c r="AA54" s="51">
        <f t="shared" si="20"/>
        <v>3.8599714356423293E-3</v>
      </c>
      <c r="AB54" s="51">
        <f t="shared" si="5"/>
        <v>4.3793178777204334E-3</v>
      </c>
      <c r="AC54" s="51">
        <f t="shared" si="5"/>
        <v>2.8428473959517855E-4</v>
      </c>
      <c r="AD54" s="51">
        <f t="shared" si="5"/>
        <v>3.8248579338481716E-4</v>
      </c>
      <c r="AE54" s="43">
        <f t="shared" si="21"/>
        <v>8.9060598463427572E-3</v>
      </c>
      <c r="AF54" s="52">
        <f t="shared" si="29"/>
        <v>7.5701508693913431E-3</v>
      </c>
      <c r="AG54" s="43">
        <f t="shared" si="7"/>
        <v>-0.24918996886341233</v>
      </c>
      <c r="AH54" s="43">
        <f t="shared" si="8"/>
        <v>-0.24918996886341233</v>
      </c>
      <c r="AI54" s="44">
        <f t="shared" si="22"/>
        <v>4.6434164078757868E-2</v>
      </c>
      <c r="AJ54" s="44">
        <f t="shared" si="30"/>
        <v>6.9651246118136801E-3</v>
      </c>
      <c r="AK54" s="124">
        <f t="shared" si="10"/>
        <v>1.4535275481205024E-2</v>
      </c>
      <c r="AM54" s="55">
        <f t="shared" si="31"/>
        <v>980858395.28810525</v>
      </c>
      <c r="AN54" s="56">
        <f t="shared" si="32"/>
        <v>38289745.661325477</v>
      </c>
      <c r="AO54" s="56">
        <f t="shared" si="33"/>
        <v>24655573.046007168</v>
      </c>
      <c r="AP54" s="56">
        <f t="shared" si="23"/>
        <v>1043803713.9954379</v>
      </c>
      <c r="AQ54" s="57">
        <f t="shared" si="24"/>
        <v>0.15383919999464021</v>
      </c>
    </row>
    <row r="55" spans="1:43" x14ac:dyDescent="0.2">
      <c r="A55" s="4" t="s">
        <v>48</v>
      </c>
      <c r="B55" s="45">
        <v>224467562</v>
      </c>
      <c r="C55" s="45">
        <v>111644475.52</v>
      </c>
      <c r="D55" s="53">
        <f t="shared" si="25"/>
        <v>0.49737465193300401</v>
      </c>
      <c r="E55" s="54">
        <f t="shared" si="14"/>
        <v>55529132.152002782</v>
      </c>
      <c r="F55" s="124">
        <f t="shared" si="26"/>
        <v>3.6802930069236885E-2</v>
      </c>
      <c r="G55" s="42">
        <v>268955</v>
      </c>
      <c r="H55" s="116">
        <f t="shared" si="27"/>
        <v>5.7796804011124629E-2</v>
      </c>
      <c r="I55" s="44">
        <f t="shared" si="15"/>
        <v>4.9127283409455935E-2</v>
      </c>
      <c r="J55" s="45">
        <v>885.01</v>
      </c>
      <c r="K55" s="113">
        <f t="shared" si="28"/>
        <v>1.3780879331624E-2</v>
      </c>
      <c r="L55" s="46">
        <f t="shared" si="16"/>
        <v>2.0671318997435998E-3</v>
      </c>
      <c r="M55" s="124">
        <f t="shared" si="17"/>
        <v>5.1194415309199534E-2</v>
      </c>
      <c r="N55" s="47">
        <v>25924</v>
      </c>
      <c r="O55" s="48">
        <v>5313</v>
      </c>
      <c r="P55" s="48">
        <v>11983</v>
      </c>
      <c r="Q55" s="48">
        <v>721</v>
      </c>
      <c r="R55" s="49">
        <f t="shared" si="18"/>
        <v>1.5159843840275454E-2</v>
      </c>
      <c r="S55" s="49">
        <f t="shared" si="18"/>
        <v>1.5100098905221513E-2</v>
      </c>
      <c r="T55" s="49">
        <f t="shared" si="18"/>
        <v>8.9666804350819213E-3</v>
      </c>
      <c r="U55" s="49">
        <f t="shared" si="18"/>
        <v>4.6049102010576604E-3</v>
      </c>
      <c r="V55" s="50">
        <f t="shared" si="19"/>
        <v>4.3831533381636548E-2</v>
      </c>
      <c r="W55" s="205">
        <v>21053.000000219407</v>
      </c>
      <c r="X55" s="205">
        <v>4306</v>
      </c>
      <c r="Y55" s="205">
        <v>2328</v>
      </c>
      <c r="Z55" s="205">
        <v>359</v>
      </c>
      <c r="AA55" s="51">
        <f t="shared" si="20"/>
        <v>1.655745285970131E-2</v>
      </c>
      <c r="AB55" s="51">
        <f t="shared" si="5"/>
        <v>1.4697850959831791E-2</v>
      </c>
      <c r="AC55" s="51">
        <f t="shared" si="5"/>
        <v>4.7272490984112542E-3</v>
      </c>
      <c r="AD55" s="51">
        <f t="shared" si="5"/>
        <v>6.5386857059594929E-3</v>
      </c>
      <c r="AE55" s="43">
        <f t="shared" si="21"/>
        <v>4.2521238623903848E-2</v>
      </c>
      <c r="AF55" s="52">
        <f t="shared" si="29"/>
        <v>3.6143052830318267E-2</v>
      </c>
      <c r="AG55" s="43">
        <f t="shared" si="7"/>
        <v>-2.9893883618537846E-2</v>
      </c>
      <c r="AH55" s="43">
        <f t="shared" si="8"/>
        <v>-2.9893883618537846E-2</v>
      </c>
      <c r="AI55" s="44">
        <f t="shared" si="22"/>
        <v>5.5704389034027758E-3</v>
      </c>
      <c r="AJ55" s="44">
        <f t="shared" si="30"/>
        <v>8.3556583551041631E-4</v>
      </c>
      <c r="AK55" s="124">
        <f t="shared" si="10"/>
        <v>3.6978618665828682E-2</v>
      </c>
      <c r="AM55" s="55">
        <f t="shared" si="31"/>
        <v>124854507.47768523</v>
      </c>
      <c r="AN55" s="56">
        <f t="shared" si="32"/>
        <v>86838921.480073243</v>
      </c>
      <c r="AO55" s="56">
        <f t="shared" si="33"/>
        <v>62725266.874694131</v>
      </c>
      <c r="AP55" s="56">
        <f t="shared" si="23"/>
        <v>274418695.8324526</v>
      </c>
      <c r="AQ55" s="57">
        <f t="shared" si="24"/>
        <v>4.0444723528375505E-2</v>
      </c>
    </row>
    <row r="56" spans="1:43" x14ac:dyDescent="0.2">
      <c r="A56" s="4" t="s">
        <v>49</v>
      </c>
      <c r="B56" s="45">
        <v>117015377</v>
      </c>
      <c r="C56" s="45">
        <v>46293828</v>
      </c>
      <c r="D56" s="53">
        <f t="shared" si="25"/>
        <v>0.39562174807162309</v>
      </c>
      <c r="E56" s="54">
        <f t="shared" si="14"/>
        <v>18314845.158287052</v>
      </c>
      <c r="F56" s="124">
        <f t="shared" si="26"/>
        <v>1.2138492705851326E-2</v>
      </c>
      <c r="G56" s="42">
        <v>40469</v>
      </c>
      <c r="H56" s="116">
        <f t="shared" si="27"/>
        <v>8.6965435166708287E-3</v>
      </c>
      <c r="I56" s="44">
        <f t="shared" si="15"/>
        <v>7.3920619891702042E-3</v>
      </c>
      <c r="J56" s="45">
        <v>746.48</v>
      </c>
      <c r="K56" s="113">
        <f t="shared" si="28"/>
        <v>1.1623767870951384E-2</v>
      </c>
      <c r="L56" s="46">
        <f t="shared" si="16"/>
        <v>1.7435651806427075E-3</v>
      </c>
      <c r="M56" s="124">
        <f t="shared" si="17"/>
        <v>9.1356271698129123E-3</v>
      </c>
      <c r="N56" s="47">
        <v>4577</v>
      </c>
      <c r="O56" s="48">
        <v>1003</v>
      </c>
      <c r="P56" s="48">
        <v>3403</v>
      </c>
      <c r="Q56" s="48">
        <v>757</v>
      </c>
      <c r="R56" s="49">
        <f t="shared" si="18"/>
        <v>2.6765393171169867E-3</v>
      </c>
      <c r="S56" s="49">
        <f t="shared" si="18"/>
        <v>2.8506303786819459E-3</v>
      </c>
      <c r="T56" s="49">
        <f t="shared" si="18"/>
        <v>2.5464085388119655E-3</v>
      </c>
      <c r="U56" s="49">
        <f t="shared" si="18"/>
        <v>4.8348363692103311E-3</v>
      </c>
      <c r="V56" s="50">
        <f t="shared" si="19"/>
        <v>1.2908414603821229E-2</v>
      </c>
      <c r="W56" s="205">
        <v>2792.0000000464884</v>
      </c>
      <c r="X56" s="205">
        <v>666</v>
      </c>
      <c r="Y56" s="205">
        <v>1225</v>
      </c>
      <c r="Z56" s="205">
        <v>325</v>
      </c>
      <c r="AA56" s="51">
        <f t="shared" si="20"/>
        <v>2.1958109715752628E-3</v>
      </c>
      <c r="AB56" s="51">
        <f t="shared" si="5"/>
        <v>2.2732858196116983E-3</v>
      </c>
      <c r="AC56" s="51">
        <f t="shared" si="5"/>
        <v>2.4874914714578121E-3</v>
      </c>
      <c r="AD56" s="51">
        <f t="shared" si="5"/>
        <v>5.9194229928602651E-3</v>
      </c>
      <c r="AE56" s="43">
        <f t="shared" si="21"/>
        <v>1.2876011255505039E-2</v>
      </c>
      <c r="AF56" s="52">
        <f t="shared" si="29"/>
        <v>1.0944609567179282E-2</v>
      </c>
      <c r="AG56" s="43">
        <f t="shared" si="7"/>
        <v>-2.5102500431461333E-3</v>
      </c>
      <c r="AH56" s="43">
        <f t="shared" si="8"/>
        <v>-2.5102500431461333E-3</v>
      </c>
      <c r="AI56" s="44">
        <f t="shared" si="22"/>
        <v>4.6776105360022324E-4</v>
      </c>
      <c r="AJ56" s="44">
        <f t="shared" si="30"/>
        <v>7.0164158040033481E-5</v>
      </c>
      <c r="AK56" s="124">
        <f t="shared" si="10"/>
        <v>1.1014773725219315E-2</v>
      </c>
      <c r="AM56" s="55">
        <f t="shared" si="31"/>
        <v>41180023.586691752</v>
      </c>
      <c r="AN56" s="56">
        <f t="shared" si="32"/>
        <v>15496377.987308467</v>
      </c>
      <c r="AO56" s="56">
        <f t="shared" si="33"/>
        <v>18683894.812901806</v>
      </c>
      <c r="AP56" s="56">
        <f t="shared" si="23"/>
        <v>75360296.386902019</v>
      </c>
      <c r="AQ56" s="57">
        <f t="shared" si="24"/>
        <v>1.1106846576683722E-2</v>
      </c>
    </row>
    <row r="57" spans="1:43" x14ac:dyDescent="0.2">
      <c r="A57" s="4" t="s">
        <v>50</v>
      </c>
      <c r="B57" s="45">
        <v>4414294</v>
      </c>
      <c r="C57" s="45">
        <v>1492830</v>
      </c>
      <c r="D57" s="53">
        <f t="shared" si="25"/>
        <v>0.33818091862481292</v>
      </c>
      <c r="E57" s="54">
        <f t="shared" si="14"/>
        <v>504846.62075067946</v>
      </c>
      <c r="F57" s="124">
        <f t="shared" si="26"/>
        <v>3.3459616887795512E-4</v>
      </c>
      <c r="G57" s="42">
        <v>1971</v>
      </c>
      <c r="H57" s="116">
        <f t="shared" si="27"/>
        <v>4.2355598782668714E-4</v>
      </c>
      <c r="I57" s="44">
        <f t="shared" si="15"/>
        <v>3.6002258965268404E-4</v>
      </c>
      <c r="J57" s="45">
        <v>1766.28</v>
      </c>
      <c r="K57" s="113">
        <f t="shared" si="28"/>
        <v>2.7503521480955966E-2</v>
      </c>
      <c r="L57" s="46">
        <f t="shared" si="16"/>
        <v>4.1255282221433947E-3</v>
      </c>
      <c r="M57" s="124">
        <f t="shared" si="17"/>
        <v>4.4855508117960788E-3</v>
      </c>
      <c r="N57" s="47">
        <v>477</v>
      </c>
      <c r="O57" s="48">
        <v>88</v>
      </c>
      <c r="P57" s="48">
        <v>1037</v>
      </c>
      <c r="Q57" s="48">
        <v>127</v>
      </c>
      <c r="R57" s="49">
        <f t="shared" si="18"/>
        <v>2.7894019101262893E-4</v>
      </c>
      <c r="S57" s="49">
        <f t="shared" si="18"/>
        <v>2.5010515785045984E-4</v>
      </c>
      <c r="T57" s="49">
        <f t="shared" si="18"/>
        <v>7.7596992499206823E-4</v>
      </c>
      <c r="U57" s="49">
        <f t="shared" si="18"/>
        <v>8.1112842653858932E-4</v>
      </c>
      <c r="V57" s="50">
        <f t="shared" si="19"/>
        <v>2.1161437003937465E-3</v>
      </c>
      <c r="W57" s="205">
        <v>265.99999999676999</v>
      </c>
      <c r="X57" s="205">
        <v>85</v>
      </c>
      <c r="Y57" s="205">
        <v>641</v>
      </c>
      <c r="Z57" s="205">
        <v>46</v>
      </c>
      <c r="AA57" s="51">
        <f t="shared" si="20"/>
        <v>2.0919975588187754E-4</v>
      </c>
      <c r="AB57" s="51">
        <f t="shared" si="5"/>
        <v>2.9013407607656811E-4</v>
      </c>
      <c r="AC57" s="51">
        <f t="shared" si="5"/>
        <v>1.3016179862893531E-3</v>
      </c>
      <c r="AD57" s="51">
        <f t="shared" si="5"/>
        <v>8.3782602360483755E-4</v>
      </c>
      <c r="AE57" s="43">
        <f t="shared" si="21"/>
        <v>2.6387778418526363E-3</v>
      </c>
      <c r="AF57" s="52">
        <f t="shared" si="29"/>
        <v>2.2429611655747409E-3</v>
      </c>
      <c r="AG57" s="43">
        <f t="shared" si="7"/>
        <v>0.24697478784717899</v>
      </c>
      <c r="AH57" s="43">
        <f t="shared" si="8"/>
        <v>0</v>
      </c>
      <c r="AI57" s="44">
        <f t="shared" si="22"/>
        <v>0</v>
      </c>
      <c r="AJ57" s="44">
        <f t="shared" si="30"/>
        <v>0</v>
      </c>
      <c r="AK57" s="124">
        <f t="shared" si="10"/>
        <v>2.2429611655747409E-3</v>
      </c>
      <c r="AM57" s="55">
        <f t="shared" si="31"/>
        <v>1135122.6598149962</v>
      </c>
      <c r="AN57" s="56">
        <f t="shared" si="32"/>
        <v>7608650.1308364859</v>
      </c>
      <c r="AO57" s="56">
        <f t="shared" si="33"/>
        <v>3804640.1617013402</v>
      </c>
      <c r="AP57" s="56">
        <f t="shared" si="23"/>
        <v>12548412.952352822</v>
      </c>
      <c r="AQ57" s="57">
        <f t="shared" si="24"/>
        <v>1.8494260787816827E-3</v>
      </c>
    </row>
    <row r="58" spans="1:43" x14ac:dyDescent="0.2">
      <c r="A58" s="4" t="s">
        <v>51</v>
      </c>
      <c r="B58" s="45">
        <v>2802949</v>
      </c>
      <c r="C58" s="45">
        <v>556372</v>
      </c>
      <c r="D58" s="53">
        <f t="shared" si="25"/>
        <v>0.19849522770482089</v>
      </c>
      <c r="E58" s="54">
        <f t="shared" si="14"/>
        <v>110437.18682858661</v>
      </c>
      <c r="F58" s="124">
        <f t="shared" si="26"/>
        <v>7.3194229882253428E-5</v>
      </c>
      <c r="G58" s="42">
        <v>4113</v>
      </c>
      <c r="H58" s="116">
        <f t="shared" si="27"/>
        <v>8.8385884217715089E-4</v>
      </c>
      <c r="I58" s="44">
        <f t="shared" si="15"/>
        <v>7.5128001585057823E-4</v>
      </c>
      <c r="J58" s="45">
        <v>879.68</v>
      </c>
      <c r="K58" s="113">
        <f t="shared" si="28"/>
        <v>1.3697883561138291E-2</v>
      </c>
      <c r="L58" s="46">
        <f t="shared" si="16"/>
        <v>2.0546825341707436E-3</v>
      </c>
      <c r="M58" s="124">
        <f t="shared" si="17"/>
        <v>2.8059625500213218E-3</v>
      </c>
      <c r="N58" s="47">
        <v>765</v>
      </c>
      <c r="O58" s="48">
        <v>138</v>
      </c>
      <c r="P58" s="48">
        <v>1343</v>
      </c>
      <c r="Q58" s="48">
        <v>81</v>
      </c>
      <c r="R58" s="49">
        <f t="shared" si="18"/>
        <v>4.4735691011459354E-4</v>
      </c>
      <c r="S58" s="49">
        <f t="shared" si="18"/>
        <v>3.9221036117458475E-4</v>
      </c>
      <c r="T58" s="49">
        <f t="shared" si="18"/>
        <v>1.0049446569569407E-3</v>
      </c>
      <c r="U58" s="49">
        <f t="shared" si="18"/>
        <v>5.1733387834350972E-4</v>
      </c>
      <c r="V58" s="50">
        <f t="shared" si="19"/>
        <v>2.3618458065896289E-3</v>
      </c>
      <c r="W58" s="205">
        <v>609.99999999842794</v>
      </c>
      <c r="X58" s="205">
        <v>123</v>
      </c>
      <c r="Y58" s="205">
        <v>468</v>
      </c>
      <c r="Z58" s="205">
        <v>34</v>
      </c>
      <c r="AA58" s="51">
        <f t="shared" si="20"/>
        <v>4.7974380108709025E-4</v>
      </c>
      <c r="AB58" s="51">
        <f t="shared" si="5"/>
        <v>4.198410747931515E-4</v>
      </c>
      <c r="AC58" s="51">
        <f t="shared" si="5"/>
        <v>9.5032327236102532E-4</v>
      </c>
      <c r="AD58" s="51">
        <f t="shared" si="5"/>
        <v>6.1926271309922776E-4</v>
      </c>
      <c r="AE58" s="43">
        <f t="shared" si="21"/>
        <v>2.4691708613404947E-3</v>
      </c>
      <c r="AF58" s="52">
        <f t="shared" si="29"/>
        <v>2.0987952321394206E-3</v>
      </c>
      <c r="AG58" s="43">
        <f t="shared" si="7"/>
        <v>4.5441177595686125E-2</v>
      </c>
      <c r="AH58" s="43">
        <f t="shared" si="8"/>
        <v>0</v>
      </c>
      <c r="AI58" s="44">
        <f t="shared" si="22"/>
        <v>0</v>
      </c>
      <c r="AJ58" s="44">
        <f t="shared" si="30"/>
        <v>0</v>
      </c>
      <c r="AK58" s="124">
        <f t="shared" si="10"/>
        <v>2.0987952321394206E-3</v>
      </c>
      <c r="AM58" s="55">
        <f t="shared" si="31"/>
        <v>248312.55296697395</v>
      </c>
      <c r="AN58" s="56">
        <f t="shared" si="32"/>
        <v>4759635.5986419721</v>
      </c>
      <c r="AO58" s="56">
        <f t="shared" si="33"/>
        <v>3560097.5861473703</v>
      </c>
      <c r="AP58" s="56">
        <f t="shared" si="23"/>
        <v>8568045.7377563156</v>
      </c>
      <c r="AQ58" s="57">
        <f t="shared" si="24"/>
        <v>1.2627865604813125E-3</v>
      </c>
    </row>
    <row r="59" spans="1:43" ht="15.75" thickBot="1" x14ac:dyDescent="0.3">
      <c r="A59" s="6" t="s">
        <v>52</v>
      </c>
      <c r="B59" s="128">
        <f>SUM(B8:B58)</f>
        <v>5076883085</v>
      </c>
      <c r="C59" s="61">
        <f>SUM(C8:C58)</f>
        <v>2602294879.25</v>
      </c>
      <c r="D59" s="71">
        <f t="shared" si="25"/>
        <v>0.51257727146379617</v>
      </c>
      <c r="E59" s="72">
        <f t="shared" ref="E59:J59" si="34">SUM(E8:E58)</f>
        <v>1508823673.7546856</v>
      </c>
      <c r="F59" s="125">
        <f t="shared" si="34"/>
        <v>1.0000000000000002</v>
      </c>
      <c r="G59" s="58">
        <f t="shared" si="34"/>
        <v>4653458</v>
      </c>
      <c r="H59" s="117">
        <f t="shared" si="34"/>
        <v>0.99999999999999989</v>
      </c>
      <c r="I59" s="60">
        <f t="shared" si="34"/>
        <v>0.85000000000000009</v>
      </c>
      <c r="J59" s="61">
        <f t="shared" si="34"/>
        <v>64220.140000000021</v>
      </c>
      <c r="K59" s="114">
        <f t="shared" si="28"/>
        <v>1</v>
      </c>
      <c r="L59" s="62">
        <f>SUM(L8:L58)</f>
        <v>0.15</v>
      </c>
      <c r="M59" s="125">
        <f>SUM(M8:M58)</f>
        <v>1</v>
      </c>
      <c r="N59" s="63">
        <v>427511</v>
      </c>
      <c r="O59" s="64">
        <v>87963</v>
      </c>
      <c r="P59" s="64">
        <v>334098</v>
      </c>
      <c r="Q59" s="64">
        <v>39143</v>
      </c>
      <c r="R59" s="65">
        <f>SUM(R8:R58)</f>
        <v>0.25</v>
      </c>
      <c r="S59" s="65">
        <f>SUM(S8:S58)</f>
        <v>0.24999999999999994</v>
      </c>
      <c r="T59" s="65">
        <f>SUM(T8:T58)</f>
        <v>0.25</v>
      </c>
      <c r="U59" s="65">
        <f>SUM(U8:U58)</f>
        <v>0.25</v>
      </c>
      <c r="V59" s="66">
        <f>SUM(V8:V58)</f>
        <v>1</v>
      </c>
      <c r="W59" s="206">
        <v>317877.99999509094</v>
      </c>
      <c r="X59" s="206">
        <v>73242</v>
      </c>
      <c r="Y59" s="206">
        <v>123116</v>
      </c>
      <c r="Z59" s="206">
        <v>13726</v>
      </c>
      <c r="AA59" s="67">
        <f t="shared" ref="AA59:AF59" si="35">SUM(AA8:AA58)</f>
        <v>0.24999999999999994</v>
      </c>
      <c r="AB59" s="67">
        <f t="shared" si="35"/>
        <v>0.24999999999999997</v>
      </c>
      <c r="AC59" s="67">
        <f t="shared" si="35"/>
        <v>0.24999999999999997</v>
      </c>
      <c r="AD59" s="67">
        <f t="shared" si="35"/>
        <v>0.25000000000000006</v>
      </c>
      <c r="AE59" s="66">
        <f t="shared" si="35"/>
        <v>1.0000000000000002</v>
      </c>
      <c r="AF59" s="68">
        <f t="shared" si="35"/>
        <v>0.85</v>
      </c>
      <c r="AG59" s="69"/>
      <c r="AH59" s="59">
        <f>SUM(AH8:AH58)</f>
        <v>-5.3665221245451189</v>
      </c>
      <c r="AI59" s="70">
        <f>SUM(AI8:AI58)</f>
        <v>1.0000000000000002</v>
      </c>
      <c r="AJ59" s="60">
        <f>SUM(AJ8:AJ58)</f>
        <v>0.15000000000000005</v>
      </c>
      <c r="AK59" s="125">
        <f>SUM(AK8:AK58)</f>
        <v>1.0000000000000002</v>
      </c>
      <c r="AM59" s="73">
        <f>SUM(AM8:AM58)</f>
        <v>3392515412.3000007</v>
      </c>
      <c r="AN59" s="74">
        <f>SUM(AN8:AN58)</f>
        <v>1696257706.1499994</v>
      </c>
      <c r="AO59" s="74">
        <f>SUM(AO8:AO58)</f>
        <v>1696257706.1499991</v>
      </c>
      <c r="AP59" s="74">
        <f>SUM(AP8:AP58)</f>
        <v>6785030824.5999985</v>
      </c>
      <c r="AQ59" s="75">
        <f>SUM(AQ8:AQ58)</f>
        <v>1.0000000000000002</v>
      </c>
    </row>
    <row r="60" spans="1:43" ht="13.5" thickTop="1" x14ac:dyDescent="0.2">
      <c r="K60" s="77"/>
      <c r="V60" s="79"/>
    </row>
    <row r="61" spans="1:43" ht="65.25" customHeight="1" x14ac:dyDescent="0.2">
      <c r="B61" s="217" t="s">
        <v>162</v>
      </c>
      <c r="C61" s="217"/>
      <c r="D61" s="217"/>
      <c r="E61" s="217"/>
      <c r="F61" s="217"/>
      <c r="K61" s="77"/>
      <c r="V61" s="79"/>
    </row>
    <row r="62" spans="1:43" s="11" customFormat="1" x14ac:dyDescent="0.2">
      <c r="I62" s="80"/>
      <c r="L62" s="80"/>
      <c r="M62" s="81"/>
      <c r="V62" s="82"/>
      <c r="W62" s="82"/>
      <c r="AF62" s="80"/>
      <c r="AI62" s="80"/>
      <c r="AJ62" s="80"/>
      <c r="AK62" s="81"/>
    </row>
    <row r="63" spans="1:43" x14ac:dyDescent="0.2">
      <c r="V63" s="79"/>
    </row>
    <row r="64" spans="1:43" x14ac:dyDescent="0.2">
      <c r="V64" s="79"/>
    </row>
    <row r="65" spans="9:38" x14ac:dyDescent="0.2">
      <c r="V65" s="79"/>
    </row>
    <row r="66" spans="9:38" x14ac:dyDescent="0.2">
      <c r="I66" s="14"/>
      <c r="L66" s="14"/>
      <c r="M66" s="14"/>
      <c r="V66" s="79"/>
      <c r="AF66" s="14"/>
      <c r="AI66" s="14"/>
      <c r="AJ66" s="14"/>
      <c r="AK66" s="14"/>
      <c r="AL66" s="14"/>
    </row>
    <row r="67" spans="9:38" x14ac:dyDescent="0.2">
      <c r="I67" s="14"/>
      <c r="L67" s="14"/>
      <c r="M67" s="14"/>
      <c r="V67" s="79"/>
      <c r="AF67" s="14"/>
      <c r="AI67" s="14"/>
      <c r="AJ67" s="14"/>
      <c r="AK67" s="14"/>
      <c r="AL67" s="14"/>
    </row>
    <row r="68" spans="9:38" x14ac:dyDescent="0.2">
      <c r="I68" s="14"/>
      <c r="L68" s="14"/>
      <c r="M68" s="14"/>
      <c r="V68" s="79"/>
      <c r="AF68" s="14"/>
      <c r="AI68" s="14"/>
      <c r="AJ68" s="14"/>
      <c r="AK68" s="14"/>
      <c r="AL68" s="14"/>
    </row>
    <row r="69" spans="9:38" x14ac:dyDescent="0.2">
      <c r="I69" s="14"/>
      <c r="L69" s="14"/>
      <c r="M69" s="14"/>
      <c r="V69" s="79"/>
      <c r="AF69" s="14"/>
      <c r="AI69" s="14"/>
      <c r="AJ69" s="14"/>
      <c r="AK69" s="14"/>
      <c r="AL69" s="14"/>
    </row>
    <row r="70" spans="9:38" x14ac:dyDescent="0.2">
      <c r="I70" s="14"/>
      <c r="L70" s="14"/>
      <c r="M70" s="14"/>
      <c r="V70" s="79"/>
      <c r="AF70" s="14"/>
      <c r="AI70" s="14"/>
      <c r="AJ70" s="14"/>
      <c r="AK70" s="14"/>
      <c r="AL70" s="14"/>
    </row>
    <row r="71" spans="9:38" x14ac:dyDescent="0.2">
      <c r="I71" s="14"/>
      <c r="L71" s="14"/>
      <c r="M71" s="14"/>
      <c r="V71" s="79"/>
      <c r="AF71" s="14"/>
      <c r="AI71" s="14"/>
      <c r="AJ71" s="14"/>
      <c r="AK71" s="14"/>
      <c r="AL71" s="14"/>
    </row>
    <row r="72" spans="9:38" x14ac:dyDescent="0.2">
      <c r="I72" s="14"/>
      <c r="L72" s="14"/>
      <c r="M72" s="14"/>
      <c r="V72" s="79"/>
      <c r="AF72" s="14"/>
      <c r="AI72" s="14"/>
      <c r="AJ72" s="14"/>
      <c r="AK72" s="14"/>
      <c r="AL72" s="14"/>
    </row>
    <row r="73" spans="9:38" x14ac:dyDescent="0.2">
      <c r="I73" s="14"/>
      <c r="L73" s="14"/>
      <c r="M73" s="14"/>
      <c r="V73" s="79"/>
      <c r="AF73" s="14"/>
      <c r="AI73" s="14"/>
      <c r="AJ73" s="14"/>
      <c r="AK73" s="14"/>
      <c r="AL73" s="14"/>
    </row>
    <row r="74" spans="9:38" x14ac:dyDescent="0.2">
      <c r="I74" s="14"/>
      <c r="L74" s="14"/>
      <c r="M74" s="14"/>
      <c r="V74" s="79"/>
      <c r="AF74" s="14"/>
      <c r="AI74" s="14"/>
      <c r="AJ74" s="14"/>
      <c r="AK74" s="14"/>
      <c r="AL74" s="14"/>
    </row>
    <row r="75" spans="9:38" x14ac:dyDescent="0.2">
      <c r="I75" s="14"/>
      <c r="L75" s="14"/>
      <c r="M75" s="14"/>
      <c r="V75" s="79"/>
      <c r="AF75" s="14"/>
      <c r="AI75" s="14"/>
      <c r="AJ75" s="14"/>
      <c r="AK75" s="14"/>
      <c r="AL75" s="14"/>
    </row>
    <row r="76" spans="9:38" x14ac:dyDescent="0.2">
      <c r="I76" s="14"/>
      <c r="L76" s="14"/>
      <c r="M76" s="14"/>
      <c r="V76" s="79"/>
      <c r="AF76" s="14"/>
      <c r="AI76" s="14"/>
      <c r="AJ76" s="14"/>
      <c r="AK76" s="14"/>
      <c r="AL76" s="14"/>
    </row>
    <row r="77" spans="9:38" x14ac:dyDescent="0.2">
      <c r="I77" s="14"/>
      <c r="L77" s="14"/>
      <c r="M77" s="14"/>
      <c r="V77" s="79"/>
      <c r="AF77" s="14"/>
      <c r="AI77" s="14"/>
      <c r="AJ77" s="14"/>
      <c r="AK77" s="14"/>
      <c r="AL77" s="14"/>
    </row>
    <row r="78" spans="9:38" x14ac:dyDescent="0.2">
      <c r="I78" s="14"/>
      <c r="L78" s="14"/>
      <c r="M78" s="14"/>
      <c r="V78" s="79"/>
      <c r="AF78" s="14"/>
      <c r="AI78" s="14"/>
      <c r="AJ78" s="14"/>
      <c r="AK78" s="14"/>
      <c r="AL78" s="14"/>
    </row>
    <row r="79" spans="9:38" x14ac:dyDescent="0.2">
      <c r="I79" s="14"/>
      <c r="L79" s="14"/>
      <c r="M79" s="14"/>
      <c r="V79" s="79"/>
      <c r="AF79" s="14"/>
      <c r="AI79" s="14"/>
      <c r="AJ79" s="14"/>
      <c r="AK79" s="14"/>
      <c r="AL79" s="14"/>
    </row>
    <row r="80" spans="9:38" x14ac:dyDescent="0.2">
      <c r="I80" s="14"/>
      <c r="L80" s="14"/>
      <c r="M80" s="14"/>
      <c r="V80" s="79"/>
      <c r="AF80" s="14"/>
      <c r="AI80" s="14"/>
      <c r="AJ80" s="14"/>
      <c r="AK80" s="14"/>
      <c r="AL80" s="14"/>
    </row>
    <row r="81" spans="9:38" x14ac:dyDescent="0.2">
      <c r="I81" s="14"/>
      <c r="L81" s="14"/>
      <c r="M81" s="14"/>
      <c r="V81" s="79"/>
      <c r="AF81" s="14"/>
      <c r="AI81" s="14"/>
      <c r="AJ81" s="14"/>
      <c r="AK81" s="14"/>
      <c r="AL81" s="14"/>
    </row>
    <row r="82" spans="9:38" x14ac:dyDescent="0.2">
      <c r="I82" s="14"/>
      <c r="L82" s="14"/>
      <c r="M82" s="14"/>
      <c r="V82" s="79"/>
      <c r="AF82" s="14"/>
      <c r="AI82" s="14"/>
      <c r="AJ82" s="14"/>
      <c r="AK82" s="14"/>
      <c r="AL82" s="14"/>
    </row>
    <row r="83" spans="9:38" x14ac:dyDescent="0.2">
      <c r="I83" s="14"/>
      <c r="L83" s="14"/>
      <c r="M83" s="14"/>
      <c r="V83" s="79"/>
      <c r="AF83" s="14"/>
      <c r="AI83" s="14"/>
      <c r="AJ83" s="14"/>
      <c r="AK83" s="14"/>
      <c r="AL83" s="14"/>
    </row>
    <row r="84" spans="9:38" x14ac:dyDescent="0.2">
      <c r="I84" s="14"/>
      <c r="L84" s="14"/>
      <c r="M84" s="14"/>
      <c r="V84" s="79"/>
      <c r="AF84" s="14"/>
      <c r="AI84" s="14"/>
      <c r="AJ84" s="14"/>
      <c r="AK84" s="14"/>
      <c r="AL84" s="14"/>
    </row>
    <row r="85" spans="9:38" x14ac:dyDescent="0.2">
      <c r="I85" s="14"/>
      <c r="L85" s="14"/>
      <c r="M85" s="14"/>
      <c r="V85" s="79"/>
      <c r="AF85" s="14"/>
      <c r="AI85" s="14"/>
      <c r="AJ85" s="14"/>
      <c r="AK85" s="14"/>
      <c r="AL85" s="14"/>
    </row>
    <row r="86" spans="9:38" x14ac:dyDescent="0.2">
      <c r="I86" s="14"/>
      <c r="L86" s="14"/>
      <c r="M86" s="14"/>
      <c r="V86" s="79"/>
      <c r="AF86" s="14"/>
      <c r="AI86" s="14"/>
      <c r="AJ86" s="14"/>
      <c r="AK86" s="14"/>
      <c r="AL86" s="14"/>
    </row>
    <row r="87" spans="9:38" x14ac:dyDescent="0.2">
      <c r="I87" s="14"/>
      <c r="L87" s="14"/>
      <c r="M87" s="14"/>
      <c r="V87" s="79"/>
      <c r="AF87" s="14"/>
      <c r="AI87" s="14"/>
      <c r="AJ87" s="14"/>
      <c r="AK87" s="14"/>
      <c r="AL87" s="14"/>
    </row>
    <row r="88" spans="9:38" x14ac:dyDescent="0.2">
      <c r="I88" s="14"/>
      <c r="L88" s="14"/>
      <c r="M88" s="14"/>
      <c r="V88" s="79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Footer>&amp;RMemoria de cálculo</oddFooter>
  </headerFooter>
  <colBreaks count="3" manualBreakCount="3">
    <brk id="6" max="1048575" man="1"/>
    <brk id="13" max="1048575" man="1"/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112" zoomScaleNormal="112" workbookViewId="0">
      <selection activeCell="B4" sqref="B4"/>
    </sheetView>
  </sheetViews>
  <sheetFormatPr baseColWidth="10" defaultColWidth="9.7109375" defaultRowHeight="12.75" x14ac:dyDescent="0.2"/>
  <cols>
    <col min="1" max="1" width="28.7109375" style="14" customWidth="1"/>
    <col min="2" max="2" width="12.42578125" style="14" customWidth="1"/>
    <col min="3" max="3" width="14.140625" style="78" customWidth="1"/>
    <col min="4" max="4" width="2.140625" style="11" customWidth="1"/>
    <col min="5" max="5" width="15.28515625" style="14" customWidth="1"/>
    <col min="6" max="6" width="15.7109375" style="78" customWidth="1"/>
    <col min="7" max="7" width="2" style="11" customWidth="1"/>
    <col min="8" max="8" width="16.140625" style="78" customWidth="1"/>
    <col min="9" max="9" width="2.140625" style="11" customWidth="1"/>
    <col min="10" max="12" width="18.42578125" style="14" customWidth="1"/>
    <col min="13" max="13" width="15.7109375" style="14" customWidth="1"/>
    <col min="14" max="14" width="15.7109375" style="78" customWidth="1"/>
    <col min="15" max="16384" width="9.7109375" style="14"/>
  </cols>
  <sheetData>
    <row r="1" spans="1:14" s="93" customFormat="1" ht="51" customHeight="1" x14ac:dyDescent="0.4">
      <c r="A1" s="220" t="s">
        <v>171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26.25" customHeight="1" x14ac:dyDescent="0.2"/>
    <row r="3" spans="1:14" ht="37.5" customHeight="1" thickBot="1" x14ac:dyDescent="0.3">
      <c r="B3" s="222" t="s">
        <v>130</v>
      </c>
      <c r="C3" s="223"/>
      <c r="E3" s="224" t="s">
        <v>131</v>
      </c>
      <c r="F3" s="224"/>
      <c r="H3" s="198" t="s">
        <v>170</v>
      </c>
      <c r="J3" s="225" t="s">
        <v>172</v>
      </c>
      <c r="K3" s="225"/>
      <c r="L3" s="225"/>
      <c r="M3" s="225"/>
      <c r="N3" s="225"/>
    </row>
    <row r="4" spans="1:14" ht="39" customHeight="1" thickBot="1" x14ac:dyDescent="0.25">
      <c r="A4" s="8" t="s">
        <v>0</v>
      </c>
      <c r="B4" s="8" t="s">
        <v>166</v>
      </c>
      <c r="C4" s="199" t="s">
        <v>118</v>
      </c>
      <c r="E4" s="83" t="s">
        <v>179</v>
      </c>
      <c r="F4" s="199" t="s">
        <v>119</v>
      </c>
      <c r="H4" s="199" t="s">
        <v>125</v>
      </c>
      <c r="J4" s="129" t="s">
        <v>122</v>
      </c>
      <c r="K4" s="129" t="s">
        <v>123</v>
      </c>
      <c r="L4" s="129" t="s">
        <v>124</v>
      </c>
      <c r="M4" s="129" t="s">
        <v>74</v>
      </c>
      <c r="N4" s="131" t="s">
        <v>117</v>
      </c>
    </row>
    <row r="5" spans="1:14" x14ac:dyDescent="0.2">
      <c r="A5" s="99"/>
      <c r="B5" s="96"/>
      <c r="C5" s="102"/>
      <c r="D5" s="111"/>
      <c r="E5" s="118"/>
      <c r="F5" s="102"/>
      <c r="G5" s="111"/>
      <c r="H5" s="102"/>
      <c r="I5" s="111"/>
      <c r="J5" s="104" t="s">
        <v>132</v>
      </c>
      <c r="K5" s="104" t="s">
        <v>132</v>
      </c>
      <c r="L5" s="104" t="s">
        <v>132</v>
      </c>
      <c r="M5" s="104" t="s">
        <v>132</v>
      </c>
      <c r="N5" s="119"/>
    </row>
    <row r="6" spans="1:14" s="17" customFormat="1" ht="11.25" x14ac:dyDescent="0.2">
      <c r="A6" s="84"/>
      <c r="B6" s="105" t="s">
        <v>57</v>
      </c>
      <c r="C6" s="120" t="s">
        <v>77</v>
      </c>
      <c r="D6" s="16"/>
      <c r="E6" s="85" t="s">
        <v>56</v>
      </c>
      <c r="F6" s="120" t="s">
        <v>78</v>
      </c>
      <c r="G6" s="16"/>
      <c r="H6" s="108" t="s">
        <v>72</v>
      </c>
      <c r="I6" s="16"/>
      <c r="J6" s="132">
        <f>+M6*0.35</f>
        <v>84340983.159999996</v>
      </c>
      <c r="K6" s="132">
        <f>+M6*0.35</f>
        <v>84340983.159999996</v>
      </c>
      <c r="L6" s="132">
        <f>+M6*0.3</f>
        <v>72292271.280000001</v>
      </c>
      <c r="M6" s="132">
        <f>+'Part Estim 2018'!P12</f>
        <v>240974237.60000002</v>
      </c>
      <c r="N6" s="133"/>
    </row>
    <row r="7" spans="1:14" s="25" customFormat="1" ht="23.25" customHeight="1" thickBot="1" x14ac:dyDescent="0.25">
      <c r="A7" s="18"/>
      <c r="B7" s="18"/>
      <c r="C7" s="86"/>
      <c r="D7" s="19"/>
      <c r="E7" s="87"/>
      <c r="F7" s="88"/>
      <c r="G7" s="19"/>
      <c r="H7" s="21"/>
      <c r="I7" s="19"/>
      <c r="J7" s="132" t="s">
        <v>120</v>
      </c>
      <c r="K7" s="132" t="s">
        <v>71</v>
      </c>
      <c r="L7" s="132" t="s">
        <v>121</v>
      </c>
      <c r="M7" s="134" t="s">
        <v>133</v>
      </c>
      <c r="N7" s="135" t="s">
        <v>73</v>
      </c>
    </row>
    <row r="8" spans="1:14" ht="13.5" thickTop="1" x14ac:dyDescent="0.2">
      <c r="A8" s="2" t="s">
        <v>1</v>
      </c>
      <c r="B8" s="136">
        <v>2639</v>
      </c>
      <c r="C8" s="123">
        <f t="shared" ref="C8:C58" si="0">+B8/$B$59</f>
        <v>5.1547962458863201E-4</v>
      </c>
      <c r="E8" s="89">
        <v>2963</v>
      </c>
      <c r="F8" s="123">
        <f t="shared" ref="F8:F59" si="1">(E8/E$59)</f>
        <v>5.6657472837731736E-4</v>
      </c>
      <c r="H8" s="137">
        <f>+'COEF Art 14 F I'!AQ8</f>
        <v>4.6552935508087779E-4</v>
      </c>
      <c r="J8" s="138">
        <f t="shared" ref="J8:J39" si="2">+C8*J$6</f>
        <v>43476.058336752933</v>
      </c>
      <c r="K8" s="139">
        <f t="shared" ref="K8:K39" si="3">+F8*K$6</f>
        <v>47785.469624952893</v>
      </c>
      <c r="L8" s="139">
        <f t="shared" ref="L8:L39" si="4">+H8*L$6</f>
        <v>33654.174426310266</v>
      </c>
      <c r="M8" s="139">
        <f>SUM(J8:L8)</f>
        <v>124915.7023880161</v>
      </c>
      <c r="N8" s="140">
        <f>+M8/M$59</f>
        <v>5.1837783006234556E-4</v>
      </c>
    </row>
    <row r="9" spans="1:14" x14ac:dyDescent="0.2">
      <c r="A9" s="4" t="s">
        <v>2</v>
      </c>
      <c r="B9" s="141">
        <v>2439</v>
      </c>
      <c r="C9" s="124">
        <f t="shared" si="0"/>
        <v>4.7641334004231659E-4</v>
      </c>
      <c r="E9" s="90">
        <v>3471</v>
      </c>
      <c r="F9" s="124">
        <f t="shared" si="1"/>
        <v>6.6371275133232145E-4</v>
      </c>
      <c r="H9" s="142">
        <f>+'COEF Art 14 F I'!AQ9</f>
        <v>2.5526072635827196E-3</v>
      </c>
      <c r="J9" s="143">
        <f t="shared" si="2"/>
        <v>40181.169489708373</v>
      </c>
      <c r="K9" s="144">
        <f t="shared" si="3"/>
        <v>55978.185983196592</v>
      </c>
      <c r="L9" s="144">
        <f t="shared" si="4"/>
        <v>184533.77677022043</v>
      </c>
      <c r="M9" s="144">
        <f t="shared" ref="M9:M58" si="5">SUM(J9:L9)</f>
        <v>280693.13224312541</v>
      </c>
      <c r="N9" s="145">
        <f t="shared" ref="N9:N58" si="6">+M9/M$59</f>
        <v>1.1648263110559389E-3</v>
      </c>
    </row>
    <row r="10" spans="1:14" x14ac:dyDescent="0.2">
      <c r="A10" s="4" t="s">
        <v>3</v>
      </c>
      <c r="B10" s="141">
        <v>1292</v>
      </c>
      <c r="C10" s="124">
        <f t="shared" si="0"/>
        <v>2.5236819816919762E-4</v>
      </c>
      <c r="E10" s="90">
        <v>1250</v>
      </c>
      <c r="F10" s="124">
        <f t="shared" si="1"/>
        <v>2.3902072577510855E-4</v>
      </c>
      <c r="H10" s="142">
        <f>+'COEF Art 14 F I'!AQ10</f>
        <v>2.6690685123560219E-3</v>
      </c>
      <c r="J10" s="143">
        <f t="shared" si="2"/>
        <v>21284.981951907837</v>
      </c>
      <c r="K10" s="144">
        <f t="shared" si="3"/>
        <v>20159.243007489407</v>
      </c>
      <c r="L10" s="144">
        <f t="shared" si="4"/>
        <v>192953.02496014757</v>
      </c>
      <c r="M10" s="144">
        <f t="shared" si="5"/>
        <v>234397.24991954482</v>
      </c>
      <c r="N10" s="145">
        <f t="shared" si="6"/>
        <v>9.7270667708731356E-4</v>
      </c>
    </row>
    <row r="11" spans="1:14" ht="13.5" customHeight="1" x14ac:dyDescent="0.2">
      <c r="A11" s="4" t="s">
        <v>4</v>
      </c>
      <c r="B11" s="141">
        <v>34353</v>
      </c>
      <c r="C11" s="124">
        <f t="shared" si="0"/>
        <v>6.7102203650978689E-3</v>
      </c>
      <c r="E11" s="90">
        <v>36097</v>
      </c>
      <c r="F11" s="124">
        <f t="shared" si="1"/>
        <v>6.9023449106432747E-3</v>
      </c>
      <c r="H11" s="142">
        <f>+'COEF Art 14 F I'!AQ11</f>
        <v>7.3918443389082988E-3</v>
      </c>
      <c r="J11" s="143">
        <f t="shared" si="2"/>
        <v>565946.58281260834</v>
      </c>
      <c r="K11" s="144">
        <f t="shared" si="3"/>
        <v>582150.55587307608</v>
      </c>
      <c r="L11" s="144">
        <f t="shared" si="4"/>
        <v>534373.216207891</v>
      </c>
      <c r="M11" s="144">
        <f t="shared" si="5"/>
        <v>1682470.3548935754</v>
      </c>
      <c r="N11" s="145">
        <f t="shared" si="6"/>
        <v>6.9819511481818879E-3</v>
      </c>
    </row>
    <row r="12" spans="1:14" x14ac:dyDescent="0.2">
      <c r="A12" s="4" t="s">
        <v>5</v>
      </c>
      <c r="B12" s="141">
        <v>18194</v>
      </c>
      <c r="C12" s="124">
        <f t="shared" si="0"/>
        <v>3.5538599051783142E-3</v>
      </c>
      <c r="E12" s="90">
        <v>19587</v>
      </c>
      <c r="F12" s="124">
        <f t="shared" si="1"/>
        <v>3.7453591646056409E-3</v>
      </c>
      <c r="H12" s="142">
        <f>+'COEF Art 14 F I'!AQ12</f>
        <v>7.4854847492419859E-3</v>
      </c>
      <c r="J12" s="143">
        <f t="shared" si="2"/>
        <v>299736.03841564339</v>
      </c>
      <c r="K12" s="144">
        <f t="shared" si="3"/>
        <v>315887.27423015604</v>
      </c>
      <c r="L12" s="144">
        <f t="shared" si="4"/>
        <v>541142.69415450445</v>
      </c>
      <c r="M12" s="144">
        <f t="shared" si="5"/>
        <v>1156766.0068003039</v>
      </c>
      <c r="N12" s="145">
        <f t="shared" si="6"/>
        <v>4.8003720991969794E-3</v>
      </c>
    </row>
    <row r="13" spans="1:14" x14ac:dyDescent="0.2">
      <c r="A13" s="4" t="s">
        <v>6</v>
      </c>
      <c r="B13" s="141">
        <v>597207</v>
      </c>
      <c r="C13" s="124">
        <f t="shared" si="0"/>
        <v>0.11665329297525698</v>
      </c>
      <c r="E13" s="90">
        <v>625188</v>
      </c>
      <c r="F13" s="124">
        <f t="shared" si="1"/>
        <v>0.11954631160471085</v>
      </c>
      <c r="H13" s="142">
        <f>+'COEF Art 14 F I'!AQ13</f>
        <v>6.2116167726165204E-2</v>
      </c>
      <c r="J13" s="143">
        <f t="shared" si="2"/>
        <v>9838653.4183846954</v>
      </c>
      <c r="K13" s="144">
        <f t="shared" si="3"/>
        <v>10082653.45389303</v>
      </c>
      <c r="L13" s="144">
        <f t="shared" si="4"/>
        <v>4490518.848133916</v>
      </c>
      <c r="M13" s="144">
        <f t="shared" si="5"/>
        <v>24411825.720411643</v>
      </c>
      <c r="N13" s="145">
        <f t="shared" si="6"/>
        <v>0.10130471192083829</v>
      </c>
    </row>
    <row r="14" spans="1:14" x14ac:dyDescent="0.2">
      <c r="A14" s="4" t="s">
        <v>7</v>
      </c>
      <c r="B14" s="141">
        <v>16152</v>
      </c>
      <c r="C14" s="124">
        <f t="shared" si="0"/>
        <v>3.1549931399604335E-3</v>
      </c>
      <c r="E14" s="90">
        <v>16245</v>
      </c>
      <c r="F14" s="124">
        <f t="shared" si="1"/>
        <v>3.1063133521733108E-3</v>
      </c>
      <c r="H14" s="142">
        <f>+'COEF Art 14 F I'!AQ14</f>
        <v>1.0548897573307197E-2</v>
      </c>
      <c r="J14" s="143">
        <f t="shared" si="2"/>
        <v>266095.22328731843</v>
      </c>
      <c r="K14" s="144">
        <f t="shared" si="3"/>
        <v>261989.52212533235</v>
      </c>
      <c r="L14" s="144">
        <f t="shared" si="4"/>
        <v>762603.76507445751</v>
      </c>
      <c r="M14" s="144">
        <f t="shared" si="5"/>
        <v>1290688.5104871083</v>
      </c>
      <c r="N14" s="145">
        <f t="shared" si="6"/>
        <v>5.3561265442389682E-3</v>
      </c>
    </row>
    <row r="15" spans="1:14" x14ac:dyDescent="0.2">
      <c r="A15" s="4" t="s">
        <v>8</v>
      </c>
      <c r="B15" s="141">
        <v>3977</v>
      </c>
      <c r="C15" s="124">
        <f t="shared" si="0"/>
        <v>7.7683306820348224E-4</v>
      </c>
      <c r="E15" s="90">
        <v>4171</v>
      </c>
      <c r="F15" s="124">
        <f t="shared" si="1"/>
        <v>7.9756435776638223E-4</v>
      </c>
      <c r="H15" s="142">
        <f>+'COEF Art 14 F I'!AQ15</f>
        <v>1.3295130586116106E-3</v>
      </c>
      <c r="J15" s="143">
        <f t="shared" si="2"/>
        <v>65518.864723481027</v>
      </c>
      <c r="K15" s="144">
        <f t="shared" si="3"/>
        <v>67267.362067390655</v>
      </c>
      <c r="L15" s="144">
        <f t="shared" si="4"/>
        <v>96113.518703453097</v>
      </c>
      <c r="M15" s="144">
        <f t="shared" si="5"/>
        <v>228899.74549432477</v>
      </c>
      <c r="N15" s="145">
        <f t="shared" si="6"/>
        <v>9.4989301667293554E-4</v>
      </c>
    </row>
    <row r="16" spans="1:14" x14ac:dyDescent="0.2">
      <c r="A16" s="4" t="s">
        <v>9</v>
      </c>
      <c r="B16" s="141">
        <v>95534</v>
      </c>
      <c r="C16" s="124">
        <f t="shared" si="0"/>
        <v>1.8660792139238488E-2</v>
      </c>
      <c r="E16" s="90">
        <v>99323</v>
      </c>
      <c r="F16" s="124">
        <f t="shared" si="1"/>
        <v>1.8992204436928884E-2</v>
      </c>
      <c r="H16" s="142">
        <f>+'COEF Art 14 F I'!AQ16</f>
        <v>1.209444680071706E-2</v>
      </c>
      <c r="J16" s="143">
        <f t="shared" si="2"/>
        <v>1573869.5555677735</v>
      </c>
      <c r="K16" s="144">
        <f t="shared" si="3"/>
        <v>1601821.1945862963</v>
      </c>
      <c r="L16" s="144">
        <f t="shared" si="4"/>
        <v>874335.02909896581</v>
      </c>
      <c r="M16" s="144">
        <f t="shared" si="5"/>
        <v>4050025.7792530353</v>
      </c>
      <c r="N16" s="145">
        <f t="shared" si="6"/>
        <v>1.6806882841873691E-2</v>
      </c>
    </row>
    <row r="17" spans="1:14" x14ac:dyDescent="0.2">
      <c r="A17" s="4" t="s">
        <v>10</v>
      </c>
      <c r="B17" s="141">
        <v>38306</v>
      </c>
      <c r="C17" s="124">
        <f t="shared" si="0"/>
        <v>7.4823654791557935E-3</v>
      </c>
      <c r="E17" s="90">
        <v>22654</v>
      </c>
      <c r="F17" s="124">
        <f t="shared" si="1"/>
        <v>4.3318204173674471E-3</v>
      </c>
      <c r="H17" s="142">
        <f>+'COEF Art 14 F I'!AQ17</f>
        <v>2.0727968195481945E-3</v>
      </c>
      <c r="J17" s="143">
        <f t="shared" si="2"/>
        <v>631070.06087444408</v>
      </c>
      <c r="K17" s="144">
        <f t="shared" si="3"/>
        <v>365349.992873332</v>
      </c>
      <c r="L17" s="144">
        <f t="shared" si="4"/>
        <v>149847.18998709929</v>
      </c>
      <c r="M17" s="144">
        <f t="shared" si="5"/>
        <v>1146267.2437348755</v>
      </c>
      <c r="N17" s="145">
        <f t="shared" si="6"/>
        <v>4.7568041096475912E-3</v>
      </c>
    </row>
    <row r="18" spans="1:14" x14ac:dyDescent="0.2">
      <c r="A18" s="4" t="s">
        <v>11</v>
      </c>
      <c r="B18" s="141">
        <v>7757</v>
      </c>
      <c r="C18" s="124">
        <f t="shared" si="0"/>
        <v>1.5151858461288437E-3</v>
      </c>
      <c r="E18" s="90">
        <v>8085</v>
      </c>
      <c r="F18" s="124">
        <f t="shared" si="1"/>
        <v>1.5459860543134021E-3</v>
      </c>
      <c r="H18" s="142">
        <f>+'COEF Art 14 F I'!AQ18</f>
        <v>3.7825442965914728E-3</v>
      </c>
      <c r="J18" s="143">
        <f t="shared" si="2"/>
        <v>127792.26393262316</v>
      </c>
      <c r="K18" s="144">
        <f t="shared" si="3"/>
        <v>130389.98377244148</v>
      </c>
      <c r="L18" s="144">
        <f t="shared" si="4"/>
        <v>273448.71841780754</v>
      </c>
      <c r="M18" s="144">
        <f t="shared" si="5"/>
        <v>531630.9661228722</v>
      </c>
      <c r="N18" s="145">
        <f t="shared" si="6"/>
        <v>2.2061734541322276E-3</v>
      </c>
    </row>
    <row r="19" spans="1:14" x14ac:dyDescent="0.2">
      <c r="A19" s="4" t="s">
        <v>12</v>
      </c>
      <c r="B19" s="141">
        <v>10835</v>
      </c>
      <c r="C19" s="124">
        <f t="shared" si="0"/>
        <v>2.1164159652966382E-3</v>
      </c>
      <c r="E19" s="90">
        <v>11461</v>
      </c>
      <c r="F19" s="124">
        <f t="shared" si="1"/>
        <v>2.1915332304868152E-3</v>
      </c>
      <c r="H19" s="142">
        <f>+'COEF Art 14 F I'!AQ19</f>
        <v>7.0965877972094795E-3</v>
      </c>
      <c r="J19" s="143">
        <f t="shared" si="2"/>
        <v>178500.6032886389</v>
      </c>
      <c r="K19" s="144">
        <f t="shared" si="3"/>
        <v>184836.06728706887</v>
      </c>
      <c r="L19" s="144">
        <f t="shared" si="4"/>
        <v>513028.4501982053</v>
      </c>
      <c r="M19" s="144">
        <f t="shared" si="5"/>
        <v>876365.12077391311</v>
      </c>
      <c r="N19" s="145">
        <f t="shared" si="6"/>
        <v>3.6367585576870518E-3</v>
      </c>
    </row>
    <row r="20" spans="1:14" x14ac:dyDescent="0.2">
      <c r="A20" s="4" t="s">
        <v>13</v>
      </c>
      <c r="B20" s="141">
        <v>42715</v>
      </c>
      <c r="C20" s="124">
        <f t="shared" si="0"/>
        <v>8.3435817219793176E-3</v>
      </c>
      <c r="E20" s="90">
        <v>34225</v>
      </c>
      <c r="F20" s="124">
        <f t="shared" si="1"/>
        <v>6.5443874717224723E-3</v>
      </c>
      <c r="H20" s="142">
        <f>+'COEF Art 14 F I'!AQ20</f>
        <v>3.5996517023183534E-3</v>
      </c>
      <c r="J20" s="143">
        <f t="shared" si="2"/>
        <v>703705.88550754136</v>
      </c>
      <c r="K20" s="144">
        <f t="shared" si="3"/>
        <v>551960.07354506</v>
      </c>
      <c r="L20" s="144">
        <f t="shared" si="4"/>
        <v>260226.99737751222</v>
      </c>
      <c r="M20" s="144">
        <f t="shared" si="5"/>
        <v>1515892.9564301136</v>
      </c>
      <c r="N20" s="145">
        <f t="shared" si="6"/>
        <v>6.2906847284911306E-3</v>
      </c>
    </row>
    <row r="21" spans="1:14" x14ac:dyDescent="0.2">
      <c r="A21" s="4" t="s">
        <v>14</v>
      </c>
      <c r="B21" s="141">
        <v>34110</v>
      </c>
      <c r="C21" s="124">
        <f t="shared" si="0"/>
        <v>6.6627548293740953E-3</v>
      </c>
      <c r="E21" s="90">
        <v>37645</v>
      </c>
      <c r="F21" s="124">
        <f t="shared" si="1"/>
        <v>7.1983481774431689E-3</v>
      </c>
      <c r="H21" s="142">
        <f>+'COEF Art 14 F I'!AQ21</f>
        <v>2.3781809759754819E-2</v>
      </c>
      <c r="J21" s="143">
        <f t="shared" si="2"/>
        <v>561943.2928634492</v>
      </c>
      <c r="K21" s="144">
        <f t="shared" si="3"/>
        <v>607115.76241355098</v>
      </c>
      <c r="L21" s="144">
        <f t="shared" si="4"/>
        <v>1719241.0426815471</v>
      </c>
      <c r="M21" s="144">
        <f t="shared" si="5"/>
        <v>2888300.0979585471</v>
      </c>
      <c r="N21" s="145">
        <f t="shared" si="6"/>
        <v>1.1985928980312486E-2</v>
      </c>
    </row>
    <row r="22" spans="1:14" x14ac:dyDescent="0.2">
      <c r="A22" s="4" t="s">
        <v>15</v>
      </c>
      <c r="B22" s="141">
        <v>1632</v>
      </c>
      <c r="C22" s="124">
        <f t="shared" si="0"/>
        <v>3.1878088189793386E-4</v>
      </c>
      <c r="E22" s="90">
        <v>1812</v>
      </c>
      <c r="F22" s="124">
        <f t="shared" si="1"/>
        <v>3.4648444408359735E-4</v>
      </c>
      <c r="H22" s="142">
        <f>+'COEF Art 14 F I'!AQ22</f>
        <v>3.0438851629950819E-3</v>
      </c>
      <c r="J22" s="143">
        <f t="shared" si="2"/>
        <v>26886.292991883587</v>
      </c>
      <c r="K22" s="144">
        <f t="shared" si="3"/>
        <v>29222.838663656647</v>
      </c>
      <c r="L22" s="144">
        <f t="shared" si="4"/>
        <v>220049.3719484075</v>
      </c>
      <c r="M22" s="144">
        <f t="shared" si="5"/>
        <v>276158.5036039477</v>
      </c>
      <c r="N22" s="145">
        <f t="shared" si="6"/>
        <v>1.1460084129920603E-3</v>
      </c>
    </row>
    <row r="23" spans="1:14" x14ac:dyDescent="0.2">
      <c r="A23" s="4" t="s">
        <v>16</v>
      </c>
      <c r="B23" s="141">
        <v>2861</v>
      </c>
      <c r="C23" s="124">
        <f t="shared" si="0"/>
        <v>5.588432004350421E-4</v>
      </c>
      <c r="E23" s="90">
        <v>3618</v>
      </c>
      <c r="F23" s="124">
        <f t="shared" si="1"/>
        <v>6.9182158868347416E-4</v>
      </c>
      <c r="H23" s="142">
        <f>+'COEF Art 14 F I'!AQ23</f>
        <v>1.1916199246395809E-3</v>
      </c>
      <c r="J23" s="143">
        <f t="shared" si="2"/>
        <v>47133.38495697239</v>
      </c>
      <c r="K23" s="144">
        <f t="shared" si="3"/>
        <v>58348.912960877336</v>
      </c>
      <c r="L23" s="144">
        <f t="shared" si="4"/>
        <v>86144.910854697737</v>
      </c>
      <c r="M23" s="144">
        <f t="shared" si="5"/>
        <v>191627.20877254748</v>
      </c>
      <c r="N23" s="145">
        <f t="shared" si="6"/>
        <v>7.9521865358335485E-4</v>
      </c>
    </row>
    <row r="24" spans="1:14" x14ac:dyDescent="0.2">
      <c r="A24" s="4" t="s">
        <v>17</v>
      </c>
      <c r="B24" s="141">
        <v>41130</v>
      </c>
      <c r="C24" s="124">
        <f t="shared" si="0"/>
        <v>8.0339814169497672E-3</v>
      </c>
      <c r="E24" s="90">
        <v>42048</v>
      </c>
      <c r="F24" s="124">
        <f t="shared" si="1"/>
        <v>8.0402747819134108E-3</v>
      </c>
      <c r="H24" s="142">
        <f>+'COEF Art 14 F I'!AQ24</f>
        <v>1.7640535009713864E-2</v>
      </c>
      <c r="J24" s="143">
        <f t="shared" si="2"/>
        <v>677593.8913947132</v>
      </c>
      <c r="K24" s="144">
        <f t="shared" si="3"/>
        <v>678124.67998313159</v>
      </c>
      <c r="L24" s="144">
        <f t="shared" si="4"/>
        <v>1275274.3424465721</v>
      </c>
      <c r="M24" s="144">
        <f t="shared" si="5"/>
        <v>2630992.9138244167</v>
      </c>
      <c r="N24" s="145">
        <f t="shared" si="6"/>
        <v>1.0918150172516268E-2</v>
      </c>
    </row>
    <row r="25" spans="1:14" x14ac:dyDescent="0.2">
      <c r="A25" s="4" t="s">
        <v>18</v>
      </c>
      <c r="B25" s="141">
        <v>247370</v>
      </c>
      <c r="C25" s="124">
        <f t="shared" si="0"/>
        <v>4.8319134041110233E-2</v>
      </c>
      <c r="E25" s="90">
        <v>199786</v>
      </c>
      <c r="F25" s="124">
        <f t="shared" si="1"/>
        <v>3.8202395775764668E-2</v>
      </c>
      <c r="H25" s="142">
        <f>+'COEF Art 14 F I'!AQ25</f>
        <v>1.9985609399161049E-2</v>
      </c>
      <c r="J25" s="143">
        <f t="shared" si="2"/>
        <v>4075283.2704670606</v>
      </c>
      <c r="K25" s="144">
        <f t="shared" si="3"/>
        <v>3222027.6187954228</v>
      </c>
      <c r="L25" s="144">
        <f t="shared" si="4"/>
        <v>1444805.0963802685</v>
      </c>
      <c r="M25" s="144">
        <f t="shared" si="5"/>
        <v>8742115.9856427517</v>
      </c>
      <c r="N25" s="145">
        <f t="shared" si="6"/>
        <v>3.6278218255654519E-2</v>
      </c>
    </row>
    <row r="26" spans="1:14" x14ac:dyDescent="0.2">
      <c r="A26" s="4" t="s">
        <v>19</v>
      </c>
      <c r="B26" s="141">
        <v>5479</v>
      </c>
      <c r="C26" s="124">
        <f t="shared" si="0"/>
        <v>1.0702208651463111E-3</v>
      </c>
      <c r="E26" s="90">
        <v>5790</v>
      </c>
      <c r="F26" s="124">
        <f t="shared" si="1"/>
        <v>1.1071440017903027E-3</v>
      </c>
      <c r="H26" s="142">
        <f>+'COEF Art 14 F I'!AQ26</f>
        <v>2.6981065416128397E-3</v>
      </c>
      <c r="J26" s="143">
        <f t="shared" si="2"/>
        <v>90263.479964785656</v>
      </c>
      <c r="K26" s="144">
        <f t="shared" si="3"/>
        <v>93377.613610690925</v>
      </c>
      <c r="L26" s="144">
        <f t="shared" si="4"/>
        <v>195052.25004861801</v>
      </c>
      <c r="M26" s="144">
        <f t="shared" si="5"/>
        <v>378693.34362409462</v>
      </c>
      <c r="N26" s="145">
        <f t="shared" si="6"/>
        <v>1.5715096659116665E-3</v>
      </c>
    </row>
    <row r="27" spans="1:14" x14ac:dyDescent="0.2">
      <c r="A27" s="4" t="s">
        <v>20</v>
      </c>
      <c r="B27" s="141">
        <v>425148</v>
      </c>
      <c r="C27" s="124">
        <f t="shared" si="0"/>
        <v>8.3044763711484545E-2</v>
      </c>
      <c r="E27" s="90">
        <v>418756</v>
      </c>
      <c r="F27" s="124">
        <f t="shared" si="1"/>
        <v>8.0073090434145081E-2</v>
      </c>
      <c r="H27" s="142">
        <f>+'COEF Art 14 F I'!AQ27</f>
        <v>4.9270198346180266E-2</v>
      </c>
      <c r="J27" s="143">
        <f t="shared" si="2"/>
        <v>7004077.0177164972</v>
      </c>
      <c r="K27" s="144">
        <f t="shared" si="3"/>
        <v>6753443.1718753874</v>
      </c>
      <c r="L27" s="144">
        <f t="shared" si="4"/>
        <v>3561854.5448614713</v>
      </c>
      <c r="M27" s="144">
        <f t="shared" si="5"/>
        <v>17319374.734453358</v>
      </c>
      <c r="N27" s="145">
        <f t="shared" si="6"/>
        <v>7.1872308454824438E-2</v>
      </c>
    </row>
    <row r="28" spans="1:14" x14ac:dyDescent="0.2">
      <c r="A28" s="4" t="s">
        <v>21</v>
      </c>
      <c r="B28" s="141">
        <v>14795</v>
      </c>
      <c r="C28" s="124">
        <f t="shared" si="0"/>
        <v>2.8899283993136836E-3</v>
      </c>
      <c r="E28" s="90">
        <v>15072</v>
      </c>
      <c r="F28" s="124">
        <f t="shared" si="1"/>
        <v>2.882016303105949E-3</v>
      </c>
      <c r="H28" s="142">
        <f>+'COEF Art 14 F I'!AQ28</f>
        <v>6.5665666369899272E-3</v>
      </c>
      <c r="J28" s="143">
        <f t="shared" si="2"/>
        <v>243739.40246012114</v>
      </c>
      <c r="K28" s="144">
        <f t="shared" si="3"/>
        <v>243072.08848710428</v>
      </c>
      <c r="L28" s="144">
        <f t="shared" si="4"/>
        <v>474712.01669947308</v>
      </c>
      <c r="M28" s="144">
        <f t="shared" si="5"/>
        <v>961523.5076466985</v>
      </c>
      <c r="N28" s="145">
        <f t="shared" si="6"/>
        <v>3.9901506369438488E-3</v>
      </c>
    </row>
    <row r="29" spans="1:14" x14ac:dyDescent="0.2">
      <c r="A29" s="4" t="s">
        <v>22</v>
      </c>
      <c r="B29" s="141">
        <v>1044</v>
      </c>
      <c r="C29" s="124">
        <f t="shared" si="0"/>
        <v>2.0392600533176652E-4</v>
      </c>
      <c r="E29" s="90">
        <v>1218</v>
      </c>
      <c r="F29" s="124">
        <f t="shared" si="1"/>
        <v>2.3290179519526577E-4</v>
      </c>
      <c r="H29" s="142">
        <f>+'COEF Art 14 F I'!AQ29</f>
        <v>5.5449964152542921E-4</v>
      </c>
      <c r="J29" s="143">
        <f t="shared" si="2"/>
        <v>17199.319781572591</v>
      </c>
      <c r="K29" s="144">
        <f t="shared" si="3"/>
        <v>19643.166386497676</v>
      </c>
      <c r="L29" s="144">
        <f t="shared" si="4"/>
        <v>40086.038509819082</v>
      </c>
      <c r="M29" s="144">
        <f t="shared" si="5"/>
        <v>76928.524677889349</v>
      </c>
      <c r="N29" s="145">
        <f t="shared" si="6"/>
        <v>3.1923962264208998E-4</v>
      </c>
    </row>
    <row r="30" spans="1:14" x14ac:dyDescent="0.2">
      <c r="A30" s="4" t="s">
        <v>23</v>
      </c>
      <c r="B30" s="141">
        <v>6011</v>
      </c>
      <c r="C30" s="124">
        <f t="shared" si="0"/>
        <v>1.17413718203951E-3</v>
      </c>
      <c r="E30" s="90">
        <v>6301</v>
      </c>
      <c r="F30" s="124">
        <f t="shared" si="1"/>
        <v>1.2048556744871672E-3</v>
      </c>
      <c r="H30" s="142">
        <f>+'COEF Art 14 F I'!AQ30</f>
        <v>5.224777539946269E-3</v>
      </c>
      <c r="J30" s="143">
        <f t="shared" si="2"/>
        <v>99027.88429792416</v>
      </c>
      <c r="K30" s="144">
        <f t="shared" si="3"/>
        <v>101618.7121521526</v>
      </c>
      <c r="L30" s="144">
        <f t="shared" si="4"/>
        <v>377711.03529544669</v>
      </c>
      <c r="M30" s="144">
        <f t="shared" si="5"/>
        <v>578357.63174552342</v>
      </c>
      <c r="N30" s="145">
        <f t="shared" si="6"/>
        <v>2.4000807617682168E-3</v>
      </c>
    </row>
    <row r="31" spans="1:14" x14ac:dyDescent="0.2">
      <c r="A31" s="4" t="s">
        <v>24</v>
      </c>
      <c r="B31" s="141">
        <v>67294</v>
      </c>
      <c r="C31" s="124">
        <f t="shared" si="0"/>
        <v>1.3144632761298751E-2</v>
      </c>
      <c r="E31" s="90">
        <v>80495</v>
      </c>
      <c r="F31" s="124">
        <f t="shared" si="1"/>
        <v>1.539197865701389E-2</v>
      </c>
      <c r="H31" s="142">
        <f>+'COEF Art 14 F I'!AQ31</f>
        <v>4.5418334435631414E-3</v>
      </c>
      <c r="J31" s="143">
        <f t="shared" si="2"/>
        <v>1108631.2503650822</v>
      </c>
      <c r="K31" s="144">
        <f t="shared" si="3"/>
        <v>1298174.6127102878</v>
      </c>
      <c r="L31" s="144">
        <f t="shared" si="4"/>
        <v>328339.45541064319</v>
      </c>
      <c r="M31" s="144">
        <f t="shared" si="5"/>
        <v>2735145.318486013</v>
      </c>
      <c r="N31" s="145">
        <f t="shared" si="6"/>
        <v>1.1350364029478362E-2</v>
      </c>
    </row>
    <row r="32" spans="1:14" x14ac:dyDescent="0.2">
      <c r="A32" s="4" t="s">
        <v>25</v>
      </c>
      <c r="B32" s="141">
        <v>682880</v>
      </c>
      <c r="C32" s="124">
        <f t="shared" si="0"/>
        <v>0.1333879219549394</v>
      </c>
      <c r="E32" s="90">
        <v>713863</v>
      </c>
      <c r="F32" s="124">
        <f t="shared" si="1"/>
        <v>0.13650244189119706</v>
      </c>
      <c r="H32" s="142">
        <f>+'COEF Art 14 F I'!AQ32</f>
        <v>8.255158717114032E-2</v>
      </c>
      <c r="J32" s="143">
        <f t="shared" si="2"/>
        <v>11250068.479348937</v>
      </c>
      <c r="K32" s="144">
        <f t="shared" si="3"/>
        <v>11512750.15284433</v>
      </c>
      <c r="L32" s="144">
        <f t="shared" si="4"/>
        <v>5967841.7343706442</v>
      </c>
      <c r="M32" s="144">
        <f t="shared" si="5"/>
        <v>28730660.366563912</v>
      </c>
      <c r="N32" s="145">
        <f t="shared" si="6"/>
        <v>0.11922710349748983</v>
      </c>
    </row>
    <row r="33" spans="1:14" x14ac:dyDescent="0.2">
      <c r="A33" s="4" t="s">
        <v>26</v>
      </c>
      <c r="B33" s="141">
        <v>1764</v>
      </c>
      <c r="C33" s="124">
        <f t="shared" si="0"/>
        <v>3.4456462969850206E-4</v>
      </c>
      <c r="E33" s="90">
        <v>2106</v>
      </c>
      <c r="F33" s="124">
        <f t="shared" si="1"/>
        <v>4.0270211878590289E-4</v>
      </c>
      <c r="H33" s="142">
        <f>+'COEF Art 14 F I'!AQ33</f>
        <v>1.3999068626565582E-3</v>
      </c>
      <c r="J33" s="143">
        <f t="shared" si="2"/>
        <v>29060.919630932996</v>
      </c>
      <c r="K33" s="144">
        <f t="shared" si="3"/>
        <v>33964.292619018153</v>
      </c>
      <c r="L33" s="144">
        <f t="shared" si="4"/>
        <v>101202.44668190161</v>
      </c>
      <c r="M33" s="144">
        <f t="shared" si="5"/>
        <v>164227.65893185275</v>
      </c>
      <c r="N33" s="145">
        <f t="shared" si="6"/>
        <v>6.8151542076650903E-4</v>
      </c>
    </row>
    <row r="34" spans="1:14" x14ac:dyDescent="0.2">
      <c r="A34" s="4" t="s">
        <v>27</v>
      </c>
      <c r="B34" s="141">
        <v>13836</v>
      </c>
      <c r="C34" s="124">
        <f t="shared" si="0"/>
        <v>2.702605564914101E-3</v>
      </c>
      <c r="E34" s="90">
        <v>18225</v>
      </c>
      <c r="F34" s="124">
        <f t="shared" si="1"/>
        <v>3.4849221818010825E-3</v>
      </c>
      <c r="H34" s="142">
        <f>+'COEF Art 14 F I'!AQ34</f>
        <v>3.4067795575999206E-3</v>
      </c>
      <c r="J34" s="143">
        <f t="shared" si="2"/>
        <v>227940.41043854246</v>
      </c>
      <c r="K34" s="144">
        <f t="shared" si="3"/>
        <v>293921.76304919552</v>
      </c>
      <c r="L34" s="144">
        <f t="shared" si="4"/>
        <v>246283.83196917185</v>
      </c>
      <c r="M34" s="144">
        <f t="shared" si="5"/>
        <v>768146.00545690989</v>
      </c>
      <c r="N34" s="145">
        <f t="shared" si="6"/>
        <v>3.1876685786302898E-3</v>
      </c>
    </row>
    <row r="35" spans="1:14" x14ac:dyDescent="0.2">
      <c r="A35" s="4" t="s">
        <v>28</v>
      </c>
      <c r="B35" s="141">
        <v>1511</v>
      </c>
      <c r="C35" s="124">
        <f t="shared" si="0"/>
        <v>2.9514577974741303E-4</v>
      </c>
      <c r="E35" s="90">
        <v>1766</v>
      </c>
      <c r="F35" s="124">
        <f t="shared" si="1"/>
        <v>3.3768848137507337E-4</v>
      </c>
      <c r="H35" s="142">
        <f>+'COEF Art 14 F I'!AQ35</f>
        <v>2.1350686696044248E-3</v>
      </c>
      <c r="J35" s="143">
        <f t="shared" si="2"/>
        <v>24892.88523942163</v>
      </c>
      <c r="K35" s="144">
        <f t="shared" si="3"/>
        <v>28480.978520981036</v>
      </c>
      <c r="L35" s="144">
        <f t="shared" si="4"/>
        <v>154348.96346447177</v>
      </c>
      <c r="M35" s="144">
        <f t="shared" si="5"/>
        <v>207722.82722487443</v>
      </c>
      <c r="N35" s="145">
        <f t="shared" si="6"/>
        <v>8.6201259227419746E-4</v>
      </c>
    </row>
    <row r="36" spans="1:14" x14ac:dyDescent="0.2">
      <c r="A36" s="4" t="s">
        <v>29</v>
      </c>
      <c r="B36" s="141">
        <v>6921</v>
      </c>
      <c r="C36" s="124">
        <f t="shared" si="0"/>
        <v>1.3518887767252452E-3</v>
      </c>
      <c r="E36" s="90">
        <v>7355</v>
      </c>
      <c r="F36" s="124">
        <f t="shared" si="1"/>
        <v>1.4063979504607387E-3</v>
      </c>
      <c r="H36" s="142">
        <f>+'COEF Art 14 F I'!AQ36</f>
        <v>2.3774781095250927E-3</v>
      </c>
      <c r="J36" s="143">
        <f t="shared" si="2"/>
        <v>114019.6285519769</v>
      </c>
      <c r="K36" s="144">
        <f t="shared" si="3"/>
        <v>118616.98585606768</v>
      </c>
      <c r="L36" s="144">
        <f t="shared" si="4"/>
        <v>171873.29245604956</v>
      </c>
      <c r="M36" s="144">
        <f t="shared" si="5"/>
        <v>404509.90686409414</v>
      </c>
      <c r="N36" s="145">
        <f t="shared" si="6"/>
        <v>1.6786437873726218E-3</v>
      </c>
    </row>
    <row r="37" spans="1:14" x14ac:dyDescent="0.2">
      <c r="A37" s="4" t="s">
        <v>30</v>
      </c>
      <c r="B37" s="141">
        <v>3571</v>
      </c>
      <c r="C37" s="124">
        <f t="shared" si="0"/>
        <v>6.9752851057446193E-4</v>
      </c>
      <c r="E37" s="90">
        <v>3690</v>
      </c>
      <c r="F37" s="124">
        <f t="shared" si="1"/>
        <v>7.0558918248812049E-4</v>
      </c>
      <c r="H37" s="142">
        <f>+'COEF Art 14 F I'!AQ37</f>
        <v>2.7375855643293071E-3</v>
      </c>
      <c r="J37" s="143">
        <f t="shared" si="2"/>
        <v>58830.240363980571</v>
      </c>
      <c r="K37" s="144">
        <f t="shared" si="3"/>
        <v>59510.085358108736</v>
      </c>
      <c r="L37" s="144">
        <f t="shared" si="4"/>
        <v>197906.27826870617</v>
      </c>
      <c r="M37" s="144">
        <f t="shared" si="5"/>
        <v>316246.60399079544</v>
      </c>
      <c r="N37" s="145">
        <f t="shared" si="6"/>
        <v>1.3123668618706956E-3</v>
      </c>
    </row>
    <row r="38" spans="1:14" x14ac:dyDescent="0.2">
      <c r="A38" s="4" t="s">
        <v>31</v>
      </c>
      <c r="B38" s="141">
        <v>333481</v>
      </c>
      <c r="C38" s="124">
        <f t="shared" si="0"/>
        <v>6.5139318183949066E-2</v>
      </c>
      <c r="E38" s="90">
        <v>355198</v>
      </c>
      <c r="F38" s="124">
        <f t="shared" si="1"/>
        <v>6.7919747003093611E-2</v>
      </c>
      <c r="H38" s="142">
        <f>+'COEF Art 14 F I'!AQ38</f>
        <v>2.2572073543709242E-2</v>
      </c>
      <c r="J38" s="143">
        <f t="shared" si="2"/>
        <v>5493914.1380063295</v>
      </c>
      <c r="K38" s="144">
        <f t="shared" si="3"/>
        <v>5728418.2382193785</v>
      </c>
      <c r="L38" s="144">
        <f t="shared" si="4"/>
        <v>1631786.4639739394</v>
      </c>
      <c r="M38" s="144">
        <f t="shared" si="5"/>
        <v>12854118.840199647</v>
      </c>
      <c r="N38" s="145">
        <f t="shared" si="6"/>
        <v>5.3342294878577695E-2</v>
      </c>
    </row>
    <row r="39" spans="1:14" x14ac:dyDescent="0.2">
      <c r="A39" s="4" t="s">
        <v>32</v>
      </c>
      <c r="B39" s="141">
        <v>5238</v>
      </c>
      <c r="C39" s="124">
        <f t="shared" si="0"/>
        <v>1.0231459922680009E-3</v>
      </c>
      <c r="E39" s="90">
        <v>6184</v>
      </c>
      <c r="F39" s="124">
        <f t="shared" si="1"/>
        <v>1.1824833345546171E-3</v>
      </c>
      <c r="H39" s="142">
        <f>+'COEF Art 14 F I'!AQ39</f>
        <v>4.4551813406259241E-3</v>
      </c>
      <c r="J39" s="143">
        <f t="shared" si="2"/>
        <v>86293.138904096952</v>
      </c>
      <c r="K39" s="144">
        <f t="shared" si="3"/>
        <v>99731.807006651608</v>
      </c>
      <c r="L39" s="144">
        <f t="shared" si="4"/>
        <v>322075.17807812337</v>
      </c>
      <c r="M39" s="144">
        <f t="shared" si="5"/>
        <v>508100.12398887193</v>
      </c>
      <c r="N39" s="145">
        <f t="shared" si="6"/>
        <v>2.1085246665756932E-3</v>
      </c>
    </row>
    <row r="40" spans="1:14" x14ac:dyDescent="0.2">
      <c r="A40" s="4" t="s">
        <v>33</v>
      </c>
      <c r="B40" s="141">
        <v>79853</v>
      </c>
      <c r="C40" s="124">
        <f t="shared" si="0"/>
        <v>1.5597800099384627E-2</v>
      </c>
      <c r="E40" s="90">
        <v>87455</v>
      </c>
      <c r="F40" s="124">
        <f t="shared" si="1"/>
        <v>1.6722846058129695E-2</v>
      </c>
      <c r="H40" s="142">
        <f>+'COEF Art 14 F I'!AQ40</f>
        <v>1.7479801505776046E-2</v>
      </c>
      <c r="J40" s="143">
        <f t="shared" ref="J40:J58" si="7">+C40*J$6</f>
        <v>1315533.7955152451</v>
      </c>
      <c r="K40" s="144">
        <f t="shared" ref="K40:K58" si="8">+F40*K$6</f>
        <v>1410421.2777759889</v>
      </c>
      <c r="L40" s="144">
        <f t="shared" ref="L40:L58" si="9">+H40*L$6</f>
        <v>1263654.5523761143</v>
      </c>
      <c r="M40" s="144">
        <f t="shared" si="5"/>
        <v>3989609.625667348</v>
      </c>
      <c r="N40" s="145">
        <f t="shared" si="6"/>
        <v>1.6556166606862821E-2</v>
      </c>
    </row>
    <row r="41" spans="1:14" x14ac:dyDescent="0.2">
      <c r="A41" s="4" t="s">
        <v>34</v>
      </c>
      <c r="B41" s="141">
        <v>5630</v>
      </c>
      <c r="C41" s="124">
        <f t="shared" si="0"/>
        <v>1.0997159099787792E-3</v>
      </c>
      <c r="E41" s="90">
        <v>5842</v>
      </c>
      <c r="F41" s="124">
        <f t="shared" si="1"/>
        <v>1.1170872639825473E-3</v>
      </c>
      <c r="H41" s="142">
        <f>+'COEF Art 14 F I'!AQ41</f>
        <v>3.938248911597093E-3</v>
      </c>
      <c r="J41" s="143">
        <f t="shared" si="7"/>
        <v>92751.121044304295</v>
      </c>
      <c r="K41" s="144">
        <f t="shared" si="8"/>
        <v>94216.238119802496</v>
      </c>
      <c r="L41" s="144">
        <f t="shared" si="9"/>
        <v>284704.95868534181</v>
      </c>
      <c r="M41" s="144">
        <f t="shared" si="5"/>
        <v>471672.31784944859</v>
      </c>
      <c r="N41" s="145">
        <f t="shared" si="6"/>
        <v>1.9573557843655916E-3</v>
      </c>
    </row>
    <row r="42" spans="1:14" x14ac:dyDescent="0.2">
      <c r="A42" s="4" t="s">
        <v>35</v>
      </c>
      <c r="B42" s="141">
        <v>955</v>
      </c>
      <c r="C42" s="124">
        <f t="shared" si="0"/>
        <v>1.8654150870865615E-4</v>
      </c>
      <c r="E42" s="90">
        <v>806.01252710000017</v>
      </c>
      <c r="F42" s="124">
        <f t="shared" si="1"/>
        <v>1.5412295936901712E-4</v>
      </c>
      <c r="H42" s="142">
        <f>+'COEF Art 14 F I'!AQ42</f>
        <v>3.8204716589878189E-3</v>
      </c>
      <c r="J42" s="143">
        <f t="shared" si="7"/>
        <v>15733.094244637761</v>
      </c>
      <c r="K42" s="144">
        <f t="shared" si="8"/>
        <v>12998.881920711636</v>
      </c>
      <c r="L42" s="144">
        <f t="shared" si="9"/>
        <v>276190.57358909905</v>
      </c>
      <c r="M42" s="144">
        <f t="shared" si="5"/>
        <v>304922.54975444847</v>
      </c>
      <c r="N42" s="145">
        <f t="shared" si="6"/>
        <v>1.2653740615235312E-3</v>
      </c>
    </row>
    <row r="43" spans="1:14" x14ac:dyDescent="0.2">
      <c r="A43" s="4" t="s">
        <v>36</v>
      </c>
      <c r="B43" s="141">
        <v>6996</v>
      </c>
      <c r="C43" s="124">
        <f t="shared" si="0"/>
        <v>1.3665386334301135E-3</v>
      </c>
      <c r="E43" s="90">
        <v>7369</v>
      </c>
      <c r="F43" s="124">
        <f t="shared" si="1"/>
        <v>1.4090749825894199E-3</v>
      </c>
      <c r="H43" s="142">
        <f>+'COEF Art 14 F I'!AQ43</f>
        <v>3.877402671882863E-3</v>
      </c>
      <c r="J43" s="143">
        <f t="shared" si="7"/>
        <v>115255.21186961861</v>
      </c>
      <c r="K43" s="144">
        <f t="shared" si="8"/>
        <v>118842.76937775155</v>
      </c>
      <c r="L43" s="144">
        <f t="shared" si="9"/>
        <v>280306.24581755279</v>
      </c>
      <c r="M43" s="144">
        <f t="shared" si="5"/>
        <v>514404.22706492292</v>
      </c>
      <c r="N43" s="145">
        <f t="shared" si="6"/>
        <v>2.1346855671716949E-3</v>
      </c>
    </row>
    <row r="44" spans="1:14" x14ac:dyDescent="0.2">
      <c r="A44" s="4" t="s">
        <v>37</v>
      </c>
      <c r="B44" s="141">
        <v>5326</v>
      </c>
      <c r="C44" s="124">
        <f t="shared" si="0"/>
        <v>1.0403351574683798E-3</v>
      </c>
      <c r="E44" s="90">
        <v>5759</v>
      </c>
      <c r="F44" s="124">
        <f t="shared" si="1"/>
        <v>1.1012162877910802E-3</v>
      </c>
      <c r="H44" s="142">
        <f>+'COEF Art 14 F I'!AQ44</f>
        <v>4.925966939904298E-3</v>
      </c>
      <c r="J44" s="143">
        <f t="shared" si="7"/>
        <v>87742.88999679657</v>
      </c>
      <c r="K44" s="144">
        <f t="shared" si="8"/>
        <v>92877.664384105199</v>
      </c>
      <c r="L44" s="144">
        <f t="shared" si="9"/>
        <v>356109.33833587298</v>
      </c>
      <c r="M44" s="144">
        <f t="shared" si="5"/>
        <v>536729.89271677472</v>
      </c>
      <c r="N44" s="145">
        <f t="shared" si="6"/>
        <v>2.2273330878120998E-3</v>
      </c>
    </row>
    <row r="45" spans="1:14" x14ac:dyDescent="0.2">
      <c r="A45" s="4" t="s">
        <v>38</v>
      </c>
      <c r="B45" s="141">
        <v>60829</v>
      </c>
      <c r="C45" s="124">
        <f t="shared" si="0"/>
        <v>1.1881815113339104E-2</v>
      </c>
      <c r="E45" s="90">
        <v>65407</v>
      </c>
      <c r="F45" s="124">
        <f t="shared" si="1"/>
        <v>1.250690288861802E-2</v>
      </c>
      <c r="H45" s="142">
        <f>+'COEF Art 14 F I'!AQ45</f>
        <v>1.2421704184447485E-2</v>
      </c>
      <c r="J45" s="143">
        <f t="shared" si="7"/>
        <v>1002123.9683843668</v>
      </c>
      <c r="K45" s="144">
        <f t="shared" si="8"/>
        <v>1054844.4859126876</v>
      </c>
      <c r="L45" s="144">
        <f t="shared" si="9"/>
        <v>897993.20866198884</v>
      </c>
      <c r="M45" s="144">
        <f t="shared" si="5"/>
        <v>2954961.6629590434</v>
      </c>
      <c r="N45" s="145">
        <f t="shared" si="6"/>
        <v>1.2262562556019237E-2</v>
      </c>
    </row>
    <row r="46" spans="1:14" x14ac:dyDescent="0.2">
      <c r="A46" s="4" t="s">
        <v>39</v>
      </c>
      <c r="B46" s="141">
        <v>1109171</v>
      </c>
      <c r="C46" s="124">
        <f t="shared" si="0"/>
        <v>0.21665594948260614</v>
      </c>
      <c r="E46" s="90">
        <v>1204766</v>
      </c>
      <c r="F46" s="124">
        <f t="shared" si="1"/>
        <v>0.23037123496733955</v>
      </c>
      <c r="H46" s="142">
        <f>+'COEF Art 14 F I'!AQ46</f>
        <v>0.26861063237593003</v>
      </c>
      <c r="J46" s="143">
        <f t="shared" si="7"/>
        <v>18272975.786826294</v>
      </c>
      <c r="K46" s="144">
        <f t="shared" si="8"/>
        <v>19429736.448928788</v>
      </c>
      <c r="L46" s="144">
        <f t="shared" si="9"/>
        <v>19418472.704413086</v>
      </c>
      <c r="M46" s="144">
        <f t="shared" si="5"/>
        <v>57121184.940168172</v>
      </c>
      <c r="N46" s="145">
        <f t="shared" si="6"/>
        <v>0.23704270427025997</v>
      </c>
    </row>
    <row r="47" spans="1:14" x14ac:dyDescent="0.2">
      <c r="A47" s="4" t="s">
        <v>40</v>
      </c>
      <c r="B47" s="141">
        <v>971</v>
      </c>
      <c r="C47" s="124">
        <f t="shared" si="0"/>
        <v>1.8966681147236138E-4</v>
      </c>
      <c r="E47" s="90">
        <v>1124</v>
      </c>
      <c r="F47" s="124">
        <f t="shared" si="1"/>
        <v>2.1492743661697761E-4</v>
      </c>
      <c r="H47" s="142">
        <f>+'COEF Art 14 F I'!AQ47</f>
        <v>1.0314370348057816E-3</v>
      </c>
      <c r="J47" s="143">
        <f t="shared" si="7"/>
        <v>15996.685352401324</v>
      </c>
      <c r="K47" s="144">
        <f t="shared" si="8"/>
        <v>18127.191312334475</v>
      </c>
      <c r="L47" s="144">
        <f t="shared" si="9"/>
        <v>74564.925928418364</v>
      </c>
      <c r="M47" s="144">
        <f t="shared" si="5"/>
        <v>108688.80259315416</v>
      </c>
      <c r="N47" s="145">
        <f t="shared" si="6"/>
        <v>4.51039097273003E-4</v>
      </c>
    </row>
    <row r="48" spans="1:14" x14ac:dyDescent="0.2">
      <c r="A48" s="4" t="s">
        <v>41</v>
      </c>
      <c r="B48" s="141">
        <v>87168</v>
      </c>
      <c r="C48" s="124">
        <f t="shared" si="0"/>
        <v>1.7026649456666116E-2</v>
      </c>
      <c r="E48" s="90">
        <v>29363</v>
      </c>
      <c r="F48" s="124">
        <f t="shared" si="1"/>
        <v>5.6146924567476103E-3</v>
      </c>
      <c r="H48" s="142">
        <f>+'COEF Art 14 F I'!AQ48</f>
        <v>3.8573742410949324E-3</v>
      </c>
      <c r="J48" s="143">
        <f t="shared" si="7"/>
        <v>1436044.3550958999</v>
      </c>
      <c r="K48" s="144">
        <f t="shared" si="8"/>
        <v>473548.68194312922</v>
      </c>
      <c r="L48" s="144">
        <f t="shared" si="9"/>
        <v>278858.34506571898</v>
      </c>
      <c r="M48" s="144">
        <f t="shared" si="5"/>
        <v>2188451.3821047479</v>
      </c>
      <c r="N48" s="145">
        <f t="shared" si="6"/>
        <v>9.08168194202328E-3</v>
      </c>
    </row>
    <row r="49" spans="1:14" x14ac:dyDescent="0.2">
      <c r="A49" s="4" t="s">
        <v>42</v>
      </c>
      <c r="B49" s="141">
        <v>4469</v>
      </c>
      <c r="C49" s="124">
        <f t="shared" si="0"/>
        <v>8.7293612818741819E-4</v>
      </c>
      <c r="E49" s="90">
        <v>5064</v>
      </c>
      <c r="F49" s="124">
        <f t="shared" si="1"/>
        <v>9.6832076426011976E-4</v>
      </c>
      <c r="H49" s="142">
        <f>+'COEF Art 14 F I'!AQ49</f>
        <v>1.9906783755435338E-3</v>
      </c>
      <c r="J49" s="143">
        <f t="shared" si="7"/>
        <v>73624.291287210639</v>
      </c>
      <c r="K49" s="144">
        <f t="shared" si="8"/>
        <v>81669.125271941084</v>
      </c>
      <c r="L49" s="144">
        <f t="shared" si="9"/>
        <v>143910.66115602286</v>
      </c>
      <c r="M49" s="144">
        <f t="shared" si="5"/>
        <v>299204.07771517459</v>
      </c>
      <c r="N49" s="145">
        <f t="shared" si="6"/>
        <v>1.2416434250196982E-3</v>
      </c>
    </row>
    <row r="50" spans="1:14" x14ac:dyDescent="0.2">
      <c r="A50" s="4" t="s">
        <v>43</v>
      </c>
      <c r="B50" s="141">
        <v>2640</v>
      </c>
      <c r="C50" s="124">
        <f t="shared" si="0"/>
        <v>5.1567495601136364E-4</v>
      </c>
      <c r="E50" s="90">
        <v>2757</v>
      </c>
      <c r="F50" s="124">
        <f t="shared" si="1"/>
        <v>5.2718411276957947E-4</v>
      </c>
      <c r="H50" s="142">
        <f>+'COEF Art 14 F I'!AQ50</f>
        <v>3.2809898211641764E-3</v>
      </c>
      <c r="J50" s="143">
        <f t="shared" si="7"/>
        <v>43492.532780988156</v>
      </c>
      <c r="K50" s="144">
        <f t="shared" si="8"/>
        <v>44463.226377318642</v>
      </c>
      <c r="L50" s="144">
        <f t="shared" si="9"/>
        <v>237190.20621851934</v>
      </c>
      <c r="M50" s="144">
        <f t="shared" si="5"/>
        <v>325145.96537682612</v>
      </c>
      <c r="N50" s="145">
        <f t="shared" si="6"/>
        <v>1.3492976204225826E-3</v>
      </c>
    </row>
    <row r="51" spans="1:14" x14ac:dyDescent="0.2">
      <c r="A51" s="4" t="s">
        <v>44</v>
      </c>
      <c r="B51" s="141">
        <v>35456</v>
      </c>
      <c r="C51" s="124">
        <f t="shared" si="0"/>
        <v>6.9256709243707987E-3</v>
      </c>
      <c r="E51" s="90">
        <v>38078</v>
      </c>
      <c r="F51" s="124">
        <f t="shared" si="1"/>
        <v>7.2811449568516672E-3</v>
      </c>
      <c r="H51" s="142">
        <f>+'COEF Art 14 F I'!AQ51</f>
        <v>5.827733057843309E-3</v>
      </c>
      <c r="J51" s="143">
        <f t="shared" si="7"/>
        <v>584117.89480405918</v>
      </c>
      <c r="K51" s="144">
        <f t="shared" si="8"/>
        <v>614098.92419134534</v>
      </c>
      <c r="L51" s="144">
        <f t="shared" si="9"/>
        <v>421300.05916503241</v>
      </c>
      <c r="M51" s="144">
        <f t="shared" si="5"/>
        <v>1619516.8781604369</v>
      </c>
      <c r="N51" s="145">
        <f t="shared" si="6"/>
        <v>6.7207054757808535E-3</v>
      </c>
    </row>
    <row r="52" spans="1:14" x14ac:dyDescent="0.2">
      <c r="A52" s="4" t="s">
        <v>45</v>
      </c>
      <c r="B52" s="141">
        <v>54192</v>
      </c>
      <c r="C52" s="124">
        <f t="shared" si="0"/>
        <v>1.0585400460669627E-2</v>
      </c>
      <c r="E52" s="90">
        <v>37492</v>
      </c>
      <c r="F52" s="124">
        <f t="shared" si="1"/>
        <v>7.1690920406082964E-3</v>
      </c>
      <c r="H52" s="142">
        <f>+'COEF Art 14 F I'!AQ52</f>
        <v>7.3406232138849845E-3</v>
      </c>
      <c r="J52" s="143">
        <f t="shared" si="7"/>
        <v>892783.08199519326</v>
      </c>
      <c r="K52" s="144">
        <f t="shared" si="8"/>
        <v>604648.27106943436</v>
      </c>
      <c r="L52" s="144">
        <f t="shared" si="9"/>
        <v>530670.32474243874</v>
      </c>
      <c r="M52" s="144">
        <f t="shared" si="5"/>
        <v>2028101.6778070664</v>
      </c>
      <c r="N52" s="145">
        <f t="shared" si="6"/>
        <v>8.4162593396127673E-3</v>
      </c>
    </row>
    <row r="53" spans="1:14" x14ac:dyDescent="0.2">
      <c r="A53" s="4" t="s">
        <v>46</v>
      </c>
      <c r="B53" s="141">
        <v>430143</v>
      </c>
      <c r="C53" s="124">
        <f t="shared" si="0"/>
        <v>8.4020444168028771E-2</v>
      </c>
      <c r="E53" s="90">
        <v>455788</v>
      </c>
      <c r="F53" s="124">
        <f t="shared" si="1"/>
        <v>8.7154222847668147E-2</v>
      </c>
      <c r="H53" s="142">
        <f>+'COEF Art 14 F I'!AQ53</f>
        <v>7.3753711049263801E-2</v>
      </c>
      <c r="J53" s="143">
        <f t="shared" si="7"/>
        <v>7086366.8666714346</v>
      </c>
      <c r="K53" s="144">
        <f t="shared" si="8"/>
        <v>7350672.8415180659</v>
      </c>
      <c r="L53" s="144">
        <f t="shared" si="9"/>
        <v>5331823.2870801119</v>
      </c>
      <c r="M53" s="144">
        <f t="shared" si="5"/>
        <v>19768862.995269611</v>
      </c>
      <c r="N53" s="145">
        <f t="shared" si="6"/>
        <v>8.2037246770273034E-2</v>
      </c>
    </row>
    <row r="54" spans="1:14" x14ac:dyDescent="0.2">
      <c r="A54" s="4" t="s">
        <v>47</v>
      </c>
      <c r="B54" s="141">
        <v>123156</v>
      </c>
      <c r="C54" s="124">
        <f t="shared" si="0"/>
        <v>2.4056236697930111E-2</v>
      </c>
      <c r="E54" s="90">
        <v>133819</v>
      </c>
      <c r="F54" s="124">
        <f t="shared" si="1"/>
        <v>2.55884116019994E-2</v>
      </c>
      <c r="H54" s="142">
        <f>+'COEF Art 14 F I'!AQ54</f>
        <v>0.15383919999464021</v>
      </c>
      <c r="J54" s="143">
        <f t="shared" si="7"/>
        <v>2028926.6542330973</v>
      </c>
      <c r="K54" s="144">
        <f t="shared" si="8"/>
        <v>2158151.7920153798</v>
      </c>
      <c r="L54" s="144">
        <f t="shared" si="9"/>
        <v>11121385.179510705</v>
      </c>
      <c r="M54" s="144">
        <f t="shared" si="5"/>
        <v>15308463.625759182</v>
      </c>
      <c r="N54" s="145">
        <f t="shared" si="6"/>
        <v>6.3527386903367386E-2</v>
      </c>
    </row>
    <row r="55" spans="1:14" x14ac:dyDescent="0.2">
      <c r="A55" s="4" t="s">
        <v>48</v>
      </c>
      <c r="B55" s="141">
        <v>296954</v>
      </c>
      <c r="C55" s="124">
        <f t="shared" si="0"/>
        <v>5.8004447305832756E-2</v>
      </c>
      <c r="E55" s="90">
        <v>292701</v>
      </c>
      <c r="F55" s="124">
        <f t="shared" si="1"/>
        <v>5.5969284364080038E-2</v>
      </c>
      <c r="H55" s="142">
        <f>+'COEF Art 14 F I'!AQ55</f>
        <v>4.0444723528375505E-2</v>
      </c>
      <c r="J55" s="143">
        <f t="shared" si="7"/>
        <v>4892152.1134263473</v>
      </c>
      <c r="K55" s="144">
        <f t="shared" si="8"/>
        <v>4720504.4700281257</v>
      </c>
      <c r="L55" s="144">
        <f t="shared" si="9"/>
        <v>2923840.9251579209</v>
      </c>
      <c r="M55" s="144">
        <f t="shared" si="5"/>
        <v>12536497.508612394</v>
      </c>
      <c r="N55" s="145">
        <f t="shared" si="6"/>
        <v>5.2024223142982121E-2</v>
      </c>
    </row>
    <row r="56" spans="1:14" x14ac:dyDescent="0.2">
      <c r="A56" s="4" t="s">
        <v>49</v>
      </c>
      <c r="B56" s="141">
        <v>42407</v>
      </c>
      <c r="C56" s="124">
        <f t="shared" si="0"/>
        <v>8.2834196437779912E-3</v>
      </c>
      <c r="E56" s="90">
        <v>44100</v>
      </c>
      <c r="F56" s="124">
        <f t="shared" si="1"/>
        <v>8.43265120534583E-3</v>
      </c>
      <c r="H56" s="142">
        <f>+'COEF Art 14 F I'!AQ56</f>
        <v>1.1106846576683722E-2</v>
      </c>
      <c r="J56" s="143">
        <f t="shared" si="7"/>
        <v>698631.75668309268</v>
      </c>
      <c r="K56" s="144">
        <f t="shared" si="8"/>
        <v>711218.09330422629</v>
      </c>
      <c r="L56" s="144">
        <f t="shared" si="9"/>
        <v>802939.165786959</v>
      </c>
      <c r="M56" s="144">
        <f t="shared" si="5"/>
        <v>2212789.015774278</v>
      </c>
      <c r="N56" s="145">
        <f t="shared" si="6"/>
        <v>9.1826787701984516E-3</v>
      </c>
    </row>
    <row r="57" spans="1:14" x14ac:dyDescent="0.2">
      <c r="A57" s="4" t="s">
        <v>50</v>
      </c>
      <c r="B57" s="141">
        <v>1632</v>
      </c>
      <c r="C57" s="124">
        <f t="shared" si="0"/>
        <v>3.1878088189793386E-4</v>
      </c>
      <c r="E57" s="90">
        <v>2092</v>
      </c>
      <c r="F57" s="124">
        <f t="shared" si="1"/>
        <v>4.0002508665722169E-4</v>
      </c>
      <c r="H57" s="142">
        <f>+'COEF Art 14 F I'!AQ57</f>
        <v>1.8494260787816827E-3</v>
      </c>
      <c r="J57" s="143">
        <f t="shared" si="7"/>
        <v>26886.292991883587</v>
      </c>
      <c r="K57" s="144">
        <f t="shared" si="8"/>
        <v>33738.509097334274</v>
      </c>
      <c r="L57" s="144">
        <f t="shared" si="9"/>
        <v>133699.21179959207</v>
      </c>
      <c r="M57" s="144">
        <f t="shared" si="5"/>
        <v>194324.01388880995</v>
      </c>
      <c r="N57" s="145">
        <f t="shared" si="6"/>
        <v>8.0640991262880912E-4</v>
      </c>
    </row>
    <row r="58" spans="1:14" x14ac:dyDescent="0.2">
      <c r="A58" s="4" t="s">
        <v>51</v>
      </c>
      <c r="B58" s="141">
        <v>4080</v>
      </c>
      <c r="C58" s="124">
        <f t="shared" si="0"/>
        <v>7.9695220474483466E-4</v>
      </c>
      <c r="E58" s="90">
        <v>4242</v>
      </c>
      <c r="F58" s="124">
        <f t="shared" si="1"/>
        <v>8.111407349904084E-4</v>
      </c>
      <c r="H58" s="142">
        <f>+'COEF Art 14 F I'!AQ58</f>
        <v>1.2627865604813125E-3</v>
      </c>
      <c r="J58" s="143">
        <f t="shared" si="7"/>
        <v>67215.732479708968</v>
      </c>
      <c r="K58" s="144">
        <f t="shared" si="8"/>
        <v>68412.407070216053</v>
      </c>
      <c r="L58" s="144">
        <f t="shared" si="9"/>
        <v>91289.708599053178</v>
      </c>
      <c r="M58" s="144">
        <f t="shared" si="5"/>
        <v>226917.8481489782</v>
      </c>
      <c r="N58" s="145">
        <f t="shared" si="6"/>
        <v>9.4166849705172866E-4</v>
      </c>
    </row>
    <row r="59" spans="1:14" ht="13.5" thickBot="1" x14ac:dyDescent="0.25">
      <c r="A59" s="6" t="s">
        <v>52</v>
      </c>
      <c r="B59" s="146">
        <f>SUM(B8:B58)</f>
        <v>5119504</v>
      </c>
      <c r="C59" s="125">
        <f>SUM(C8:C58)</f>
        <v>0.99999999999999989</v>
      </c>
      <c r="E59" s="147">
        <f>SUM(E8:E58)</f>
        <v>5229672.0125270998</v>
      </c>
      <c r="F59" s="125">
        <f t="shared" si="1"/>
        <v>1</v>
      </c>
      <c r="H59" s="148">
        <f>SUM(H8:H58)</f>
        <v>1.0000000000000002</v>
      </c>
      <c r="J59" s="149">
        <f>SUM(J8:J58)</f>
        <v>84340983.159999982</v>
      </c>
      <c r="K59" s="150">
        <f>SUM(K8:K58)</f>
        <v>84340983.160000011</v>
      </c>
      <c r="L59" s="150">
        <f>SUM(L8:L58)</f>
        <v>72292271.280000001</v>
      </c>
      <c r="M59" s="150">
        <f>SUM(M8:M58)</f>
        <v>240974237.60000005</v>
      </c>
      <c r="N59" s="151">
        <f>SUM(N8:N58)</f>
        <v>0.99999999999999956</v>
      </c>
    </row>
    <row r="60" spans="1:14" ht="13.5" thickTop="1" x14ac:dyDescent="0.2"/>
    <row r="61" spans="1:14" ht="15.75" customHeight="1" x14ac:dyDescent="0.2">
      <c r="A61" s="14" t="s">
        <v>99</v>
      </c>
    </row>
    <row r="62" spans="1:14" x14ac:dyDescent="0.2">
      <c r="A62" s="14" t="s">
        <v>167</v>
      </c>
    </row>
    <row r="63" spans="1:14" x14ac:dyDescent="0.2">
      <c r="A63" s="14" t="s">
        <v>138</v>
      </c>
    </row>
  </sheetData>
  <mergeCells count="4">
    <mergeCell ref="A1:N1"/>
    <mergeCell ref="B3:C3"/>
    <mergeCell ref="E3:F3"/>
    <mergeCell ref="J3:N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Footer>&amp;RMemoria de Cálculo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topLeftCell="D1" zoomScaleSheetLayoutView="100" workbookViewId="0">
      <selection activeCell="D58" sqref="D58"/>
    </sheetView>
  </sheetViews>
  <sheetFormatPr baseColWidth="10" defaultColWidth="9.7109375" defaultRowHeight="14.25" x14ac:dyDescent="0.2"/>
  <cols>
    <col min="1" max="1" width="27.28515625" style="14" customWidth="1"/>
    <col min="2" max="2" width="16.140625" style="14" customWidth="1"/>
    <col min="3" max="3" width="13.85546875" style="14" customWidth="1"/>
    <col min="4" max="4" width="15.85546875" style="14" customWidth="1"/>
    <col min="5" max="5" width="12.42578125" style="14" customWidth="1"/>
    <col min="6" max="6" width="8.85546875" style="14" customWidth="1"/>
    <col min="7" max="7" width="16.5703125" style="14" customWidth="1"/>
    <col min="8" max="8" width="15.85546875" style="14" customWidth="1"/>
    <col min="9" max="9" width="13.85546875" style="14" customWidth="1"/>
    <col min="10" max="10" width="12" style="14" customWidth="1"/>
    <col min="11" max="11" width="14.85546875" style="14" customWidth="1"/>
    <col min="12" max="12" width="16.140625" style="14" customWidth="1"/>
    <col min="13" max="13" width="14.140625" style="14" customWidth="1"/>
    <col min="14" max="14" width="13.5703125" style="185" customWidth="1"/>
    <col min="15" max="15" width="5.42578125" style="14" customWidth="1"/>
    <col min="16" max="16384" width="9.7109375" style="14"/>
  </cols>
  <sheetData>
    <row r="1" spans="1:14" ht="47.25" customHeight="1" x14ac:dyDescent="0.35">
      <c r="A1" s="226" t="s">
        <v>210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8.25" customHeight="1" thickBot="1" x14ac:dyDescent="0.25">
      <c r="B2" s="94"/>
    </row>
    <row r="3" spans="1:14" ht="69" customHeight="1" thickBot="1" x14ac:dyDescent="0.25">
      <c r="A3" s="230" t="s">
        <v>0</v>
      </c>
      <c r="B3" s="228" t="s">
        <v>180</v>
      </c>
      <c r="C3" s="228" t="s">
        <v>181</v>
      </c>
      <c r="D3" s="228" t="s">
        <v>182</v>
      </c>
      <c r="E3" s="233" t="s">
        <v>183</v>
      </c>
      <c r="F3" s="234"/>
      <c r="G3" s="121" t="s">
        <v>184</v>
      </c>
      <c r="H3" s="228" t="s">
        <v>185</v>
      </c>
      <c r="I3" s="228" t="s">
        <v>186</v>
      </c>
      <c r="J3" s="228" t="s">
        <v>187</v>
      </c>
      <c r="K3" s="178" t="s">
        <v>188</v>
      </c>
      <c r="L3" s="228" t="s">
        <v>189</v>
      </c>
      <c r="M3" s="228" t="s">
        <v>190</v>
      </c>
      <c r="N3" s="228" t="s">
        <v>211</v>
      </c>
    </row>
    <row r="4" spans="1:14" ht="20.45" customHeight="1" thickBot="1" x14ac:dyDescent="0.25">
      <c r="A4" s="231"/>
      <c r="B4" s="229"/>
      <c r="C4" s="229"/>
      <c r="D4" s="232"/>
      <c r="E4" s="235"/>
      <c r="F4" s="236"/>
      <c r="G4" s="176">
        <f>+D58</f>
        <v>2.3966154187857462E-2</v>
      </c>
      <c r="H4" s="229"/>
      <c r="I4" s="229"/>
      <c r="J4" s="229"/>
      <c r="K4" s="152">
        <f>+H57/J57</f>
        <v>0.99999999999999134</v>
      </c>
      <c r="L4" s="229"/>
      <c r="M4" s="229"/>
      <c r="N4" s="229"/>
    </row>
    <row r="5" spans="1:14" ht="15.75" thickBot="1" x14ac:dyDescent="0.25">
      <c r="A5" s="1"/>
      <c r="B5" s="1"/>
      <c r="C5" s="1"/>
      <c r="D5" s="186" t="s">
        <v>150</v>
      </c>
      <c r="E5" s="186"/>
      <c r="F5" s="187"/>
      <c r="G5" s="186" t="s">
        <v>151</v>
      </c>
      <c r="H5" s="186" t="s">
        <v>152</v>
      </c>
      <c r="I5" s="186" t="s">
        <v>153</v>
      </c>
      <c r="J5" s="186" t="s">
        <v>154</v>
      </c>
      <c r="K5" s="186" t="s">
        <v>155</v>
      </c>
      <c r="L5" s="186"/>
      <c r="M5" s="186"/>
      <c r="N5" s="186" t="s">
        <v>156</v>
      </c>
    </row>
    <row r="6" spans="1:14" ht="12.75" customHeight="1" thickTop="1" x14ac:dyDescent="0.2">
      <c r="A6" s="2" t="s">
        <v>1</v>
      </c>
      <c r="B6" s="3">
        <f>+'Ene-Dic 2017'!I5</f>
        <v>9141212.8580271415</v>
      </c>
      <c r="C6" s="3">
        <f t="shared" ref="C6:C56" si="0">(+B6*G$4)+B6</f>
        <v>9360292.5748466458</v>
      </c>
      <c r="D6" s="3">
        <f>+'COEF Art 14 F I'!AP8+'COEF Art 14 F II'!M8</f>
        <v>3283546.72636793</v>
      </c>
      <c r="E6" s="3">
        <f>+D6-C6</f>
        <v>-6076745.8484787159</v>
      </c>
      <c r="F6" s="182">
        <f>+(D6-C6)/C6</f>
        <v>-0.64920469097391154</v>
      </c>
      <c r="G6" s="3">
        <f>IF(F6&lt;0,C6,0)</f>
        <v>9360292.5748466458</v>
      </c>
      <c r="H6" s="3">
        <f>IF(F6&lt;0,G6-D6,0)</f>
        <v>6076745.8484787159</v>
      </c>
      <c r="I6" s="3">
        <f>+IF(D6&gt;C6,D6,0)</f>
        <v>0</v>
      </c>
      <c r="J6" s="3">
        <f>IF(I6=0,0,D6-C6)</f>
        <v>0</v>
      </c>
      <c r="K6" s="3">
        <f>+J6*K$4</f>
        <v>0</v>
      </c>
      <c r="L6" s="3">
        <f t="shared" ref="L6:L37" si="1">IF(H6&lt;&gt;0,D6+H6,D6-K6)</f>
        <v>9360292.5748466458</v>
      </c>
      <c r="M6" s="182">
        <f t="shared" ref="M6:M37" si="2">+(L6-B6)/B6</f>
        <v>2.3966154187857528E-2</v>
      </c>
      <c r="N6" s="179">
        <f>+L6/L$57</f>
        <v>1.3322353872480314E-3</v>
      </c>
    </row>
    <row r="7" spans="1:14" ht="12.75" customHeight="1" x14ac:dyDescent="0.2">
      <c r="A7" s="4" t="s">
        <v>2</v>
      </c>
      <c r="B7" s="5">
        <f>+'Ene-Dic 2017'!I6</f>
        <v>18106707.591675941</v>
      </c>
      <c r="C7" s="5">
        <f t="shared" si="0"/>
        <v>18540655.737652496</v>
      </c>
      <c r="D7" s="5">
        <f>+'COEF Art 14 F I'!AP9+'COEF Art 14 F II'!M9</f>
        <v>17600212.098749731</v>
      </c>
      <c r="E7" s="5">
        <f t="shared" ref="E7:E56" si="3">+D7-C7</f>
        <v>-940443.63890276477</v>
      </c>
      <c r="F7" s="183">
        <f t="shared" ref="F7:F57" si="4">+(D7-C7)/C7</f>
        <v>-5.0723321343640784E-2</v>
      </c>
      <c r="G7" s="5">
        <f t="shared" ref="G7:G56" si="5">IF(F7&lt;0,C7,0)</f>
        <v>18540655.737652496</v>
      </c>
      <c r="H7" s="5">
        <f t="shared" ref="H7:H56" si="6">IF(F7&lt;0,G7-D7,0)</f>
        <v>940443.63890276477</v>
      </c>
      <c r="I7" s="5">
        <f t="shared" ref="I7:I56" si="7">+IF(D7&gt;C7,D7,0)</f>
        <v>0</v>
      </c>
      <c r="J7" s="5">
        <f>IF(I7=0,0,D7-C7)</f>
        <v>0</v>
      </c>
      <c r="K7" s="5">
        <f t="shared" ref="K7:K56" si="8">+J7*K$4</f>
        <v>0</v>
      </c>
      <c r="L7" s="5">
        <f t="shared" si="1"/>
        <v>18540655.737652496</v>
      </c>
      <c r="M7" s="183">
        <f t="shared" si="2"/>
        <v>2.3966154187857448E-2</v>
      </c>
      <c r="N7" s="180">
        <f t="shared" ref="N7:N56" si="9">+L7/L$57</f>
        <v>2.6388617106755971E-3</v>
      </c>
    </row>
    <row r="8" spans="1:14" ht="12.75" customHeight="1" x14ac:dyDescent="0.2">
      <c r="A8" s="4" t="s">
        <v>3</v>
      </c>
      <c r="B8" s="5">
        <f>+'Ene-Dic 2017'!I7</f>
        <v>17800995.393469661</v>
      </c>
      <c r="C8" s="5">
        <f t="shared" si="0"/>
        <v>18227616.793766897</v>
      </c>
      <c r="D8" s="5">
        <f>+'COEF Art 14 F I'!AP10+'COEF Art 14 F II'!M10</f>
        <v>18344109.379224416</v>
      </c>
      <c r="E8" s="5">
        <f t="shared" si="3"/>
        <v>116492.5854575187</v>
      </c>
      <c r="F8" s="183">
        <f t="shared" si="4"/>
        <v>6.3909937747514212E-3</v>
      </c>
      <c r="G8" s="5">
        <f t="shared" si="5"/>
        <v>0</v>
      </c>
      <c r="H8" s="5">
        <f t="shared" si="6"/>
        <v>0</v>
      </c>
      <c r="I8" s="5">
        <f t="shared" si="7"/>
        <v>18344109.379224416</v>
      </c>
      <c r="J8" s="5">
        <f t="shared" ref="J8:J56" si="10">IF(I8=0,0,D8-C8)</f>
        <v>116492.5854575187</v>
      </c>
      <c r="K8" s="5">
        <f t="shared" si="8"/>
        <v>116492.58545751769</v>
      </c>
      <c r="L8" s="5">
        <f t="shared" si="1"/>
        <v>18227616.793766897</v>
      </c>
      <c r="M8" s="183">
        <f t="shared" si="2"/>
        <v>2.3966154187857538E-2</v>
      </c>
      <c r="N8" s="180">
        <f t="shared" si="9"/>
        <v>2.5943073812786893E-3</v>
      </c>
    </row>
    <row r="9" spans="1:14" ht="12.75" customHeight="1" x14ac:dyDescent="0.2">
      <c r="A9" s="4" t="s">
        <v>4</v>
      </c>
      <c r="B9" s="5">
        <f>+'Ene-Dic 2017'!I8</f>
        <v>49446092.623616755</v>
      </c>
      <c r="C9" s="5">
        <f t="shared" si="0"/>
        <v>50631125.303421438</v>
      </c>
      <c r="D9" s="5">
        <f>+'COEF Art 14 F I'!AP11+'COEF Art 14 F II'!M11</f>
        <v>51836362.045031376</v>
      </c>
      <c r="E9" s="5">
        <f t="shared" si="3"/>
        <v>1205236.7416099384</v>
      </c>
      <c r="F9" s="183">
        <f t="shared" si="4"/>
        <v>2.3804265348384299E-2</v>
      </c>
      <c r="G9" s="5">
        <f t="shared" si="5"/>
        <v>0</v>
      </c>
      <c r="H9" s="5">
        <f t="shared" si="6"/>
        <v>0</v>
      </c>
      <c r="I9" s="5">
        <f t="shared" si="7"/>
        <v>51836362.045031376</v>
      </c>
      <c r="J9" s="5">
        <f t="shared" si="10"/>
        <v>1205236.7416099384</v>
      </c>
      <c r="K9" s="5">
        <f t="shared" si="8"/>
        <v>1205236.741609928</v>
      </c>
      <c r="L9" s="5">
        <f t="shared" si="1"/>
        <v>50631125.303421445</v>
      </c>
      <c r="M9" s="183">
        <f t="shared" si="2"/>
        <v>2.3966154187857653E-2</v>
      </c>
      <c r="N9" s="180">
        <f t="shared" si="9"/>
        <v>7.206246630224844E-3</v>
      </c>
    </row>
    <row r="10" spans="1:14" ht="12.75" customHeight="1" x14ac:dyDescent="0.2">
      <c r="A10" s="4" t="s">
        <v>5</v>
      </c>
      <c r="B10" s="5">
        <f>+'Ene-Dic 2017'!I9</f>
        <v>65801085.139529742</v>
      </c>
      <c r="C10" s="5">
        <f t="shared" si="0"/>
        <v>67378084.091712043</v>
      </c>
      <c r="D10" s="5">
        <f>+'COEF Art 14 F I'!AP12+'COEF Art 14 F II'!M12</f>
        <v>51946010.767480366</v>
      </c>
      <c r="E10" s="5">
        <f t="shared" si="3"/>
        <v>-15432073.324231677</v>
      </c>
      <c r="F10" s="183">
        <f t="shared" si="4"/>
        <v>-0.22903698631777994</v>
      </c>
      <c r="G10" s="5">
        <f t="shared" si="5"/>
        <v>67378084.091712043</v>
      </c>
      <c r="H10" s="5">
        <f t="shared" si="6"/>
        <v>15432073.324231677</v>
      </c>
      <c r="I10" s="5">
        <f t="shared" si="7"/>
        <v>0</v>
      </c>
      <c r="J10" s="5">
        <f t="shared" si="10"/>
        <v>0</v>
      </c>
      <c r="K10" s="5">
        <f t="shared" si="8"/>
        <v>0</v>
      </c>
      <c r="L10" s="5">
        <f t="shared" si="1"/>
        <v>67378084.091712043</v>
      </c>
      <c r="M10" s="183">
        <f t="shared" si="2"/>
        <v>2.3966154187857375E-2</v>
      </c>
      <c r="N10" s="180">
        <f t="shared" si="9"/>
        <v>9.5898143390483765E-3</v>
      </c>
    </row>
    <row r="11" spans="1:14" ht="12.75" customHeight="1" x14ac:dyDescent="0.2">
      <c r="A11" s="4" t="s">
        <v>6</v>
      </c>
      <c r="B11" s="5">
        <f>+'Ene-Dic 2017'!I10</f>
        <v>427137995.79537851</v>
      </c>
      <c r="C11" s="5">
        <f t="shared" si="0"/>
        <v>437374850.86210299</v>
      </c>
      <c r="D11" s="5">
        <f>+'COEF Art 14 F I'!AP13+'COEF Art 14 F II'!M13</f>
        <v>445871938.44846618</v>
      </c>
      <c r="E11" s="5">
        <f t="shared" si="3"/>
        <v>8497087.5863631964</v>
      </c>
      <c r="F11" s="183">
        <f t="shared" si="4"/>
        <v>1.9427471811913087E-2</v>
      </c>
      <c r="G11" s="5">
        <f t="shared" si="5"/>
        <v>0</v>
      </c>
      <c r="H11" s="5">
        <f t="shared" si="6"/>
        <v>0</v>
      </c>
      <c r="I11" s="5">
        <f t="shared" si="7"/>
        <v>445871938.44846618</v>
      </c>
      <c r="J11" s="5">
        <f t="shared" si="10"/>
        <v>8497087.5863631964</v>
      </c>
      <c r="K11" s="5">
        <f t="shared" si="8"/>
        <v>8497087.5863631219</v>
      </c>
      <c r="L11" s="5">
        <f t="shared" si="1"/>
        <v>437374850.86210304</v>
      </c>
      <c r="M11" s="183">
        <f t="shared" si="2"/>
        <v>2.396615418785766E-2</v>
      </c>
      <c r="N11" s="180">
        <f t="shared" si="9"/>
        <v>6.2250859057188204E-2</v>
      </c>
    </row>
    <row r="12" spans="1:14" ht="12.75" customHeight="1" x14ac:dyDescent="0.2">
      <c r="A12" s="4" t="s">
        <v>7</v>
      </c>
      <c r="B12" s="5">
        <f>+'Ene-Dic 2017'!I11</f>
        <v>73347168.89998427</v>
      </c>
      <c r="C12" s="5">
        <f t="shared" si="0"/>
        <v>75105018.459084123</v>
      </c>
      <c r="D12" s="5">
        <f>+'COEF Art 14 F I'!AP14+'COEF Art 14 F II'!M14</f>
        <v>72865283.710924566</v>
      </c>
      <c r="E12" s="5">
        <f t="shared" si="3"/>
        <v>-2239734.7481595576</v>
      </c>
      <c r="F12" s="183">
        <f t="shared" si="4"/>
        <v>-2.9821372713991479E-2</v>
      </c>
      <c r="G12" s="5">
        <f t="shared" si="5"/>
        <v>75105018.459084123</v>
      </c>
      <c r="H12" s="5">
        <f t="shared" si="6"/>
        <v>2239734.7481595576</v>
      </c>
      <c r="I12" s="5">
        <f t="shared" si="7"/>
        <v>0</v>
      </c>
      <c r="J12" s="5">
        <f t="shared" si="10"/>
        <v>0</v>
      </c>
      <c r="K12" s="5">
        <f t="shared" si="8"/>
        <v>0</v>
      </c>
      <c r="L12" s="5">
        <f t="shared" si="1"/>
        <v>75105018.459084123</v>
      </c>
      <c r="M12" s="183">
        <f t="shared" si="2"/>
        <v>2.3966154187857549E-2</v>
      </c>
      <c r="N12" s="180">
        <f t="shared" si="9"/>
        <v>1.0689576479691158E-2</v>
      </c>
    </row>
    <row r="13" spans="1:14" ht="12.75" customHeight="1" x14ac:dyDescent="0.2">
      <c r="A13" s="4" t="s">
        <v>8</v>
      </c>
      <c r="B13" s="5">
        <f>+'Ene-Dic 2017'!I12</f>
        <v>11943263.895313457</v>
      </c>
      <c r="C13" s="5">
        <f t="shared" si="0"/>
        <v>12229497.99933481</v>
      </c>
      <c r="D13" s="5">
        <f>+'COEF Art 14 F I'!AP15+'COEF Art 14 F II'!M15</f>
        <v>9249686.8298823275</v>
      </c>
      <c r="E13" s="5">
        <f t="shared" si="3"/>
        <v>-2979811.1694524828</v>
      </c>
      <c r="F13" s="183">
        <f t="shared" si="4"/>
        <v>-0.24365768485464909</v>
      </c>
      <c r="G13" s="5">
        <f t="shared" si="5"/>
        <v>12229497.99933481</v>
      </c>
      <c r="H13" s="5">
        <f t="shared" si="6"/>
        <v>2979811.1694524828</v>
      </c>
      <c r="I13" s="5">
        <f t="shared" si="7"/>
        <v>0</v>
      </c>
      <c r="J13" s="5">
        <f t="shared" si="10"/>
        <v>0</v>
      </c>
      <c r="K13" s="5">
        <f t="shared" si="8"/>
        <v>0</v>
      </c>
      <c r="L13" s="5">
        <f t="shared" si="1"/>
        <v>12229497.99933481</v>
      </c>
      <c r="M13" s="183">
        <f t="shared" si="2"/>
        <v>2.396615418785748E-2</v>
      </c>
      <c r="N13" s="180">
        <f t="shared" si="9"/>
        <v>1.7406047805359082E-3</v>
      </c>
    </row>
    <row r="14" spans="1:14" ht="12.75" customHeight="1" x14ac:dyDescent="0.2">
      <c r="A14" s="4" t="s">
        <v>9</v>
      </c>
      <c r="B14" s="5">
        <f>+'Ene-Dic 2017'!I13</f>
        <v>118718380.13963936</v>
      </c>
      <c r="C14" s="5">
        <f t="shared" si="0"/>
        <v>121563603.14299864</v>
      </c>
      <c r="D14" s="5">
        <f>+'COEF Art 14 F I'!AP16+'COEF Art 14 F II'!M16</f>
        <v>86111220.128603131</v>
      </c>
      <c r="E14" s="5">
        <f t="shared" si="3"/>
        <v>-35452383.014395505</v>
      </c>
      <c r="F14" s="183">
        <f t="shared" si="4"/>
        <v>-0.29163649396515406</v>
      </c>
      <c r="G14" s="5">
        <f t="shared" si="5"/>
        <v>121563603.14299864</v>
      </c>
      <c r="H14" s="5">
        <f t="shared" si="6"/>
        <v>35452383.014395505</v>
      </c>
      <c r="I14" s="5">
        <f t="shared" si="7"/>
        <v>0</v>
      </c>
      <c r="J14" s="5">
        <f t="shared" si="10"/>
        <v>0</v>
      </c>
      <c r="K14" s="5">
        <f t="shared" si="8"/>
        <v>0</v>
      </c>
      <c r="L14" s="5">
        <f t="shared" si="1"/>
        <v>121563603.14299864</v>
      </c>
      <c r="M14" s="183">
        <f t="shared" si="2"/>
        <v>2.3966154187857469E-2</v>
      </c>
      <c r="N14" s="180">
        <f t="shared" si="9"/>
        <v>1.7301952114582499E-2</v>
      </c>
    </row>
    <row r="15" spans="1:14" ht="12.75" customHeight="1" x14ac:dyDescent="0.2">
      <c r="A15" s="4" t="s">
        <v>10</v>
      </c>
      <c r="B15" s="5">
        <f>+'Ene-Dic 2017'!I14</f>
        <v>16960612.062075127</v>
      </c>
      <c r="C15" s="5">
        <f t="shared" si="0"/>
        <v>17367092.705875255</v>
      </c>
      <c r="D15" s="5">
        <f>+'COEF Art 14 F I'!AP17+'COEF Art 14 F II'!M17</f>
        <v>15210257.557502216</v>
      </c>
      <c r="E15" s="5">
        <f t="shared" si="3"/>
        <v>-2156835.1483730394</v>
      </c>
      <c r="F15" s="183">
        <f t="shared" si="4"/>
        <v>-0.12419091582573208</v>
      </c>
      <c r="G15" s="5">
        <f t="shared" si="5"/>
        <v>17367092.705875255</v>
      </c>
      <c r="H15" s="5">
        <f t="shared" si="6"/>
        <v>2156835.1483730394</v>
      </c>
      <c r="I15" s="5">
        <f t="shared" si="7"/>
        <v>0</v>
      </c>
      <c r="J15" s="5">
        <f t="shared" si="10"/>
        <v>0</v>
      </c>
      <c r="K15" s="5">
        <f t="shared" si="8"/>
        <v>0</v>
      </c>
      <c r="L15" s="5">
        <f t="shared" si="1"/>
        <v>17367092.705875255</v>
      </c>
      <c r="M15" s="183">
        <f t="shared" si="2"/>
        <v>2.39661541878575E-2</v>
      </c>
      <c r="N15" s="180">
        <f t="shared" si="9"/>
        <v>2.4718303719008751E-3</v>
      </c>
    </row>
    <row r="16" spans="1:14" s="11" customFormat="1" ht="12.75" customHeight="1" x14ac:dyDescent="0.2">
      <c r="A16" s="4" t="s">
        <v>11</v>
      </c>
      <c r="B16" s="5">
        <f>+'Ene-Dic 2017'!I15</f>
        <v>24672862.378856096</v>
      </c>
      <c r="C16" s="5">
        <f t="shared" si="0"/>
        <v>25264176.00288355</v>
      </c>
      <c r="D16" s="5">
        <f>+'COEF Art 14 F I'!AP18+'COEF Art 14 F II'!M18</f>
        <v>26196310.613910936</v>
      </c>
      <c r="E16" s="5">
        <f t="shared" si="3"/>
        <v>932134.61102738604</v>
      </c>
      <c r="F16" s="183">
        <f t="shared" si="4"/>
        <v>3.6895508126645257E-2</v>
      </c>
      <c r="G16" s="5">
        <f t="shared" si="5"/>
        <v>0</v>
      </c>
      <c r="H16" s="5">
        <f t="shared" si="6"/>
        <v>0</v>
      </c>
      <c r="I16" s="5">
        <f t="shared" si="7"/>
        <v>26196310.613910936</v>
      </c>
      <c r="J16" s="5">
        <f t="shared" si="10"/>
        <v>932134.61102738604</v>
      </c>
      <c r="K16" s="5">
        <f t="shared" si="8"/>
        <v>932134.61102737801</v>
      </c>
      <c r="L16" s="5">
        <f t="shared" si="1"/>
        <v>25264176.002883557</v>
      </c>
      <c r="M16" s="183">
        <f t="shared" si="2"/>
        <v>2.3966154187857785E-2</v>
      </c>
      <c r="N16" s="180">
        <f t="shared" si="9"/>
        <v>3.5958095360342337E-3</v>
      </c>
    </row>
    <row r="17" spans="1:14" ht="12.75" customHeight="1" x14ac:dyDescent="0.2">
      <c r="A17" s="4" t="s">
        <v>12</v>
      </c>
      <c r="B17" s="5">
        <f>+'Ene-Dic 2017'!I16</f>
        <v>60270659.278459407</v>
      </c>
      <c r="C17" s="5">
        <f t="shared" si="0"/>
        <v>61715115.19173079</v>
      </c>
      <c r="D17" s="5">
        <f>+'COEF Art 14 F I'!AP19+'COEF Art 14 F II'!M19</f>
        <v>49026932.074320436</v>
      </c>
      <c r="E17" s="5">
        <f t="shared" si="3"/>
        <v>-12688183.117410354</v>
      </c>
      <c r="F17" s="183">
        <f t="shared" si="4"/>
        <v>-0.20559279648092504</v>
      </c>
      <c r="G17" s="5">
        <f t="shared" si="5"/>
        <v>61715115.19173079</v>
      </c>
      <c r="H17" s="5">
        <f t="shared" si="6"/>
        <v>12688183.117410354</v>
      </c>
      <c r="I17" s="5">
        <f t="shared" si="7"/>
        <v>0</v>
      </c>
      <c r="J17" s="5">
        <f t="shared" si="10"/>
        <v>0</v>
      </c>
      <c r="K17" s="5">
        <f t="shared" si="8"/>
        <v>0</v>
      </c>
      <c r="L17" s="5">
        <f t="shared" si="1"/>
        <v>61715115.19173079</v>
      </c>
      <c r="M17" s="183">
        <f t="shared" si="2"/>
        <v>2.39661541878575E-2</v>
      </c>
      <c r="N17" s="180">
        <f t="shared" si="9"/>
        <v>8.7838130837335892E-3</v>
      </c>
    </row>
    <row r="18" spans="1:14" ht="12.75" customHeight="1" x14ac:dyDescent="0.2">
      <c r="A18" s="4" t="s">
        <v>13</v>
      </c>
      <c r="B18" s="5">
        <f>+'Ene-Dic 2017'!I17</f>
        <v>30666287.15411514</v>
      </c>
      <c r="C18" s="5">
        <f t="shared" si="0"/>
        <v>31401240.120419778</v>
      </c>
      <c r="D18" s="5">
        <f>+'COEF Art 14 F I'!AP20+'COEF Art 14 F II'!M20</f>
        <v>25939640.714483999</v>
      </c>
      <c r="E18" s="5">
        <f t="shared" si="3"/>
        <v>-5461599.4059357792</v>
      </c>
      <c r="F18" s="183">
        <f t="shared" si="4"/>
        <v>-0.17392941759596875</v>
      </c>
      <c r="G18" s="5">
        <f t="shared" si="5"/>
        <v>31401240.120419778</v>
      </c>
      <c r="H18" s="5">
        <f t="shared" si="6"/>
        <v>5461599.4059357792</v>
      </c>
      <c r="I18" s="5">
        <f t="shared" si="7"/>
        <v>0</v>
      </c>
      <c r="J18" s="5">
        <f t="shared" si="10"/>
        <v>0</v>
      </c>
      <c r="K18" s="5">
        <f t="shared" si="8"/>
        <v>0</v>
      </c>
      <c r="L18" s="5">
        <f t="shared" si="1"/>
        <v>31401240.120419778</v>
      </c>
      <c r="M18" s="183">
        <f t="shared" si="2"/>
        <v>2.3966154187857507E-2</v>
      </c>
      <c r="N18" s="180">
        <f t="shared" si="9"/>
        <v>4.4692880011372128E-3</v>
      </c>
    </row>
    <row r="19" spans="1:14" ht="12.75" customHeight="1" x14ac:dyDescent="0.2">
      <c r="A19" s="4" t="s">
        <v>14</v>
      </c>
      <c r="B19" s="5">
        <f>+'Ene-Dic 2017'!I18</f>
        <v>160145058.31523913</v>
      </c>
      <c r="C19" s="5">
        <f t="shared" si="0"/>
        <v>163983119.47524557</v>
      </c>
      <c r="D19" s="5">
        <f>+'COEF Art 14 F I'!AP21+'COEF Art 14 F II'!M21</f>
        <v>164248612.38266808</v>
      </c>
      <c r="E19" s="5">
        <f t="shared" si="3"/>
        <v>265492.90742251277</v>
      </c>
      <c r="F19" s="183">
        <f t="shared" si="4"/>
        <v>1.619025837977127E-3</v>
      </c>
      <c r="G19" s="5">
        <f t="shared" si="5"/>
        <v>0</v>
      </c>
      <c r="H19" s="5">
        <f t="shared" si="6"/>
        <v>0</v>
      </c>
      <c r="I19" s="5">
        <f t="shared" si="7"/>
        <v>164248612.38266808</v>
      </c>
      <c r="J19" s="5">
        <f t="shared" si="10"/>
        <v>265492.90742251277</v>
      </c>
      <c r="K19" s="5">
        <f t="shared" si="8"/>
        <v>265492.9074225105</v>
      </c>
      <c r="L19" s="5">
        <f t="shared" si="1"/>
        <v>163983119.47524557</v>
      </c>
      <c r="M19" s="183">
        <f t="shared" si="2"/>
        <v>2.3966154187857386E-2</v>
      </c>
      <c r="N19" s="180">
        <f t="shared" si="9"/>
        <v>2.333945364734747E-2</v>
      </c>
    </row>
    <row r="20" spans="1:14" ht="12.75" customHeight="1" x14ac:dyDescent="0.2">
      <c r="A20" s="4" t="s">
        <v>15</v>
      </c>
      <c r="B20" s="5">
        <f>+'Ene-Dic 2017'!I19</f>
        <v>20214642.998464976</v>
      </c>
      <c r="C20" s="5">
        <f t="shared" si="0"/>
        <v>20699110.24941868</v>
      </c>
      <c r="D20" s="5">
        <f>+'COEF Art 14 F I'!AP22+'COEF Art 14 F II'!M22</f>
        <v>20929013.161068168</v>
      </c>
      <c r="E20" s="5">
        <f t="shared" si="3"/>
        <v>229902.91164948791</v>
      </c>
      <c r="F20" s="183">
        <f t="shared" si="4"/>
        <v>1.1106898261771641E-2</v>
      </c>
      <c r="G20" s="5">
        <f t="shared" si="5"/>
        <v>0</v>
      </c>
      <c r="H20" s="5">
        <f t="shared" si="6"/>
        <v>0</v>
      </c>
      <c r="I20" s="5">
        <f t="shared" si="7"/>
        <v>20929013.161068168</v>
      </c>
      <c r="J20" s="5">
        <f t="shared" si="10"/>
        <v>229902.91164948791</v>
      </c>
      <c r="K20" s="5">
        <f t="shared" si="8"/>
        <v>229902.91164948593</v>
      </c>
      <c r="L20" s="5">
        <f t="shared" si="1"/>
        <v>20699110.249418683</v>
      </c>
      <c r="M20" s="183">
        <f t="shared" si="2"/>
        <v>2.3966154187857608E-2</v>
      </c>
      <c r="N20" s="180">
        <f t="shared" si="9"/>
        <v>2.9460710697150178E-3</v>
      </c>
    </row>
    <row r="21" spans="1:14" ht="12.75" customHeight="1" x14ac:dyDescent="0.2">
      <c r="A21" s="4" t="s">
        <v>16</v>
      </c>
      <c r="B21" s="5">
        <f>+'Ene-Dic 2017'!I20</f>
        <v>14932521.406758362</v>
      </c>
      <c r="C21" s="5">
        <f t="shared" si="0"/>
        <v>15290396.517206216</v>
      </c>
      <c r="D21" s="5">
        <f>+'COEF Art 14 F I'!AP23+'COEF Art 14 F II'!M23</f>
        <v>8276805.1286596311</v>
      </c>
      <c r="E21" s="5">
        <f t="shared" si="3"/>
        <v>-7013591.3885465851</v>
      </c>
      <c r="F21" s="183">
        <f t="shared" si="4"/>
        <v>-0.45869257743932418</v>
      </c>
      <c r="G21" s="5">
        <f t="shared" si="5"/>
        <v>15290396.517206216</v>
      </c>
      <c r="H21" s="5">
        <f t="shared" si="6"/>
        <v>7013591.3885465851</v>
      </c>
      <c r="I21" s="5">
        <f t="shared" si="7"/>
        <v>0</v>
      </c>
      <c r="J21" s="5">
        <f t="shared" si="10"/>
        <v>0</v>
      </c>
      <c r="K21" s="5">
        <f t="shared" si="8"/>
        <v>0</v>
      </c>
      <c r="L21" s="5">
        <f t="shared" si="1"/>
        <v>15290396.517206216</v>
      </c>
      <c r="M21" s="183">
        <f t="shared" si="2"/>
        <v>2.3966154187857507E-2</v>
      </c>
      <c r="N21" s="180">
        <f t="shared" si="9"/>
        <v>2.1762575434892228E-3</v>
      </c>
    </row>
    <row r="22" spans="1:14" ht="12.75" customHeight="1" x14ac:dyDescent="0.2">
      <c r="A22" s="4" t="s">
        <v>17</v>
      </c>
      <c r="B22" s="5">
        <f>+'Ene-Dic 2017'!I21</f>
        <v>130960215.84042192</v>
      </c>
      <c r="C22" s="5">
        <f t="shared" si="0"/>
        <v>134098828.56572856</v>
      </c>
      <c r="D22" s="5">
        <f>+'COEF Art 14 F I'!AP24+'COEF Art 14 F II'!M24</f>
        <v>122322566.71716842</v>
      </c>
      <c r="E22" s="5">
        <f t="shared" si="3"/>
        <v>-11776261.84856014</v>
      </c>
      <c r="F22" s="183">
        <f t="shared" si="4"/>
        <v>-8.7817783156755938E-2</v>
      </c>
      <c r="G22" s="5">
        <f t="shared" si="5"/>
        <v>134098828.56572856</v>
      </c>
      <c r="H22" s="5">
        <f t="shared" si="6"/>
        <v>11776261.84856014</v>
      </c>
      <c r="I22" s="5">
        <f t="shared" si="7"/>
        <v>0</v>
      </c>
      <c r="J22" s="5">
        <f t="shared" si="10"/>
        <v>0</v>
      </c>
      <c r="K22" s="5">
        <f t="shared" si="8"/>
        <v>0</v>
      </c>
      <c r="L22" s="5">
        <f t="shared" si="1"/>
        <v>134098828.56572856</v>
      </c>
      <c r="M22" s="183">
        <f t="shared" si="2"/>
        <v>2.3966154187857462E-2</v>
      </c>
      <c r="N22" s="180">
        <f t="shared" si="9"/>
        <v>1.9086070587563626E-2</v>
      </c>
    </row>
    <row r="23" spans="1:14" ht="12.75" customHeight="1" x14ac:dyDescent="0.2">
      <c r="A23" s="4" t="s">
        <v>18</v>
      </c>
      <c r="B23" s="5">
        <f>+'Ene-Dic 2017'!I22</f>
        <v>140508848.86963964</v>
      </c>
      <c r="C23" s="5">
        <f t="shared" si="0"/>
        <v>143876305.60640779</v>
      </c>
      <c r="D23" s="5">
        <f>+'COEF Art 14 F I'!AP25+'COEF Art 14 F II'!M25</f>
        <v>144345091.80736592</v>
      </c>
      <c r="E23" s="5">
        <f t="shared" si="3"/>
        <v>468786.20095813274</v>
      </c>
      <c r="F23" s="183">
        <f t="shared" si="4"/>
        <v>3.2582585366110104E-3</v>
      </c>
      <c r="G23" s="5">
        <f t="shared" si="5"/>
        <v>0</v>
      </c>
      <c r="H23" s="5">
        <f t="shared" si="6"/>
        <v>0</v>
      </c>
      <c r="I23" s="5">
        <f t="shared" si="7"/>
        <v>144345091.80736592</v>
      </c>
      <c r="J23" s="5">
        <f t="shared" si="10"/>
        <v>468786.20095813274</v>
      </c>
      <c r="K23" s="5">
        <f t="shared" si="8"/>
        <v>468786.20095812867</v>
      </c>
      <c r="L23" s="5">
        <f t="shared" si="1"/>
        <v>143876305.60640779</v>
      </c>
      <c r="M23" s="183">
        <f t="shared" si="2"/>
        <v>2.3966154187857542E-2</v>
      </c>
      <c r="N23" s="180">
        <f t="shared" si="9"/>
        <v>2.0477683168841455E-2</v>
      </c>
    </row>
    <row r="24" spans="1:14" ht="12.75" customHeight="1" x14ac:dyDescent="0.2">
      <c r="A24" s="4" t="s">
        <v>19</v>
      </c>
      <c r="B24" s="5">
        <f>+'Ene-Dic 2017'!I23</f>
        <v>25170598.952172183</v>
      </c>
      <c r="C24" s="5">
        <f t="shared" si="0"/>
        <v>25773841.407660663</v>
      </c>
      <c r="D24" s="5">
        <f>+'COEF Art 14 F I'!AP26+'COEF Art 14 F II'!M26</f>
        <v>18685429.396522112</v>
      </c>
      <c r="E24" s="5">
        <f t="shared" si="3"/>
        <v>-7088412.0111385509</v>
      </c>
      <c r="F24" s="183">
        <f t="shared" si="4"/>
        <v>-0.27502349762390049</v>
      </c>
      <c r="G24" s="5">
        <f t="shared" si="5"/>
        <v>25773841.407660663</v>
      </c>
      <c r="H24" s="5">
        <f t="shared" si="6"/>
        <v>7088412.0111385509</v>
      </c>
      <c r="I24" s="5">
        <f t="shared" si="7"/>
        <v>0</v>
      </c>
      <c r="J24" s="5">
        <f t="shared" si="10"/>
        <v>0</v>
      </c>
      <c r="K24" s="5">
        <f t="shared" si="8"/>
        <v>0</v>
      </c>
      <c r="L24" s="5">
        <f t="shared" si="1"/>
        <v>25773841.407660663</v>
      </c>
      <c r="M24" s="183">
        <f t="shared" si="2"/>
        <v>2.3966154187857407E-2</v>
      </c>
      <c r="N24" s="180">
        <f t="shared" si="9"/>
        <v>3.6683493933592892E-3</v>
      </c>
    </row>
    <row r="25" spans="1:14" ht="12.75" customHeight="1" x14ac:dyDescent="0.2">
      <c r="A25" s="4" t="s">
        <v>20</v>
      </c>
      <c r="B25" s="5">
        <f>+'Ene-Dic 2017'!I24</f>
        <v>343043882.7568419</v>
      </c>
      <c r="C25" s="5">
        <f t="shared" si="0"/>
        <v>351265325.3441937</v>
      </c>
      <c r="D25" s="5">
        <f>+'COEF Art 14 F I'!AP27+'COEF Art 14 F II'!M27</f>
        <v>351619189.24744236</v>
      </c>
      <c r="E25" s="5">
        <f t="shared" si="3"/>
        <v>353863.90324866772</v>
      </c>
      <c r="F25" s="183">
        <f t="shared" si="4"/>
        <v>1.0073977637898865E-3</v>
      </c>
      <c r="G25" s="5">
        <f t="shared" si="5"/>
        <v>0</v>
      </c>
      <c r="H25" s="5">
        <f t="shared" si="6"/>
        <v>0</v>
      </c>
      <c r="I25" s="5">
        <f t="shared" si="7"/>
        <v>351619189.24744236</v>
      </c>
      <c r="J25" s="5">
        <f t="shared" si="10"/>
        <v>353863.90324866772</v>
      </c>
      <c r="K25" s="5">
        <f t="shared" si="8"/>
        <v>353863.90324866463</v>
      </c>
      <c r="L25" s="5">
        <f t="shared" si="1"/>
        <v>351265325.3441937</v>
      </c>
      <c r="M25" s="183">
        <f t="shared" si="2"/>
        <v>2.3966154187857545E-2</v>
      </c>
      <c r="N25" s="180">
        <f t="shared" si="9"/>
        <v>4.9995028787269996E-2</v>
      </c>
    </row>
    <row r="26" spans="1:14" s="11" customFormat="1" ht="12.75" customHeight="1" x14ac:dyDescent="0.2">
      <c r="A26" s="4" t="s">
        <v>21</v>
      </c>
      <c r="B26" s="5">
        <f>+'Ene-Dic 2017'!I25</f>
        <v>50800220.263222352</v>
      </c>
      <c r="C26" s="5">
        <f t="shared" si="0"/>
        <v>52017706.174827859</v>
      </c>
      <c r="D26" s="5">
        <f>+'COEF Art 14 F I'!AP28+'COEF Art 14 F II'!M28</f>
        <v>45515880.551413298</v>
      </c>
      <c r="E26" s="5">
        <f t="shared" si="3"/>
        <v>-6501825.6234145612</v>
      </c>
      <c r="F26" s="183">
        <f t="shared" si="4"/>
        <v>-0.12499254775984127</v>
      </c>
      <c r="G26" s="5">
        <f t="shared" si="5"/>
        <v>52017706.174827859</v>
      </c>
      <c r="H26" s="5">
        <f t="shared" si="6"/>
        <v>6501825.6234145612</v>
      </c>
      <c r="I26" s="5">
        <f t="shared" si="7"/>
        <v>0</v>
      </c>
      <c r="J26" s="5">
        <f t="shared" si="10"/>
        <v>0</v>
      </c>
      <c r="K26" s="5">
        <f t="shared" si="8"/>
        <v>0</v>
      </c>
      <c r="L26" s="5">
        <f t="shared" si="1"/>
        <v>52017706.174827859</v>
      </c>
      <c r="M26" s="183">
        <f t="shared" si="2"/>
        <v>2.3966154187857448E-2</v>
      </c>
      <c r="N26" s="180">
        <f t="shared" si="9"/>
        <v>7.4035964554998411E-3</v>
      </c>
    </row>
    <row r="27" spans="1:14" ht="12.75" customHeight="1" x14ac:dyDescent="0.2">
      <c r="A27" s="4" t="s">
        <v>22</v>
      </c>
      <c r="B27" s="5">
        <f>+'Ene-Dic 2017'!I26</f>
        <v>8148376.95129178</v>
      </c>
      <c r="C27" s="5">
        <f t="shared" si="0"/>
        <v>8343662.2096872227</v>
      </c>
      <c r="D27" s="5">
        <f>+'COEF Art 14 F I'!AP29+'COEF Art 14 F II'!M29</f>
        <v>3839225.684657576</v>
      </c>
      <c r="E27" s="5">
        <f t="shared" si="3"/>
        <v>-4504436.5250296462</v>
      </c>
      <c r="F27" s="183">
        <f t="shared" si="4"/>
        <v>-0.53986324132344077</v>
      </c>
      <c r="G27" s="5">
        <f t="shared" si="5"/>
        <v>8343662.2096872227</v>
      </c>
      <c r="H27" s="5">
        <f t="shared" si="6"/>
        <v>4504436.5250296462</v>
      </c>
      <c r="I27" s="5">
        <f t="shared" si="7"/>
        <v>0</v>
      </c>
      <c r="J27" s="5">
        <f t="shared" si="10"/>
        <v>0</v>
      </c>
      <c r="K27" s="5">
        <f t="shared" si="8"/>
        <v>0</v>
      </c>
      <c r="L27" s="5">
        <f t="shared" si="1"/>
        <v>8343662.2096872218</v>
      </c>
      <c r="M27" s="183">
        <f t="shared" si="2"/>
        <v>2.3966154187857351E-2</v>
      </c>
      <c r="N27" s="180">
        <f t="shared" si="9"/>
        <v>1.1875400225052832E-3</v>
      </c>
    </row>
    <row r="28" spans="1:14" ht="12.75" customHeight="1" x14ac:dyDescent="0.2">
      <c r="A28" s="4" t="s">
        <v>23</v>
      </c>
      <c r="B28" s="5">
        <f>+'Ene-Dic 2017'!I27</f>
        <v>37287293.860527039</v>
      </c>
      <c r="C28" s="5">
        <f t="shared" si="0"/>
        <v>38180926.894436382</v>
      </c>
      <c r="D28" s="5">
        <f>+'COEF Art 14 F I'!AP30+'COEF Art 14 F II'!M30</f>
        <v>36028634.291958712</v>
      </c>
      <c r="E28" s="5">
        <f t="shared" si="3"/>
        <v>-2152292.6024776697</v>
      </c>
      <c r="F28" s="183">
        <f t="shared" si="4"/>
        <v>-5.6370884039258246E-2</v>
      </c>
      <c r="G28" s="5">
        <f t="shared" si="5"/>
        <v>38180926.894436382</v>
      </c>
      <c r="H28" s="5">
        <f t="shared" si="6"/>
        <v>2152292.6024776697</v>
      </c>
      <c r="I28" s="5">
        <f t="shared" si="7"/>
        <v>0</v>
      </c>
      <c r="J28" s="5">
        <f t="shared" si="10"/>
        <v>0</v>
      </c>
      <c r="K28" s="5">
        <f t="shared" si="8"/>
        <v>0</v>
      </c>
      <c r="L28" s="5">
        <f t="shared" si="1"/>
        <v>38180926.894436382</v>
      </c>
      <c r="M28" s="183">
        <f t="shared" si="2"/>
        <v>2.3966154187857497E-2</v>
      </c>
      <c r="N28" s="180">
        <f t="shared" si="9"/>
        <v>5.4342299153540717E-3</v>
      </c>
    </row>
    <row r="29" spans="1:14" ht="12.75" customHeight="1" x14ac:dyDescent="0.2">
      <c r="A29" s="4" t="s">
        <v>24</v>
      </c>
      <c r="B29" s="5">
        <f>+'Ene-Dic 2017'!I28</f>
        <v>35915350.709556542</v>
      </c>
      <c r="C29" s="5">
        <f t="shared" si="0"/>
        <v>36776103.542372748</v>
      </c>
      <c r="D29" s="5">
        <f>+'COEF Art 14 F I'!AP31+'COEF Art 14 F II'!M31</f>
        <v>33551625.233261086</v>
      </c>
      <c r="E29" s="5">
        <f t="shared" si="3"/>
        <v>-3224478.3091116622</v>
      </c>
      <c r="F29" s="183">
        <f t="shared" si="4"/>
        <v>-8.7678628199327258E-2</v>
      </c>
      <c r="G29" s="5">
        <f t="shared" si="5"/>
        <v>36776103.542372748</v>
      </c>
      <c r="H29" s="5">
        <f t="shared" si="6"/>
        <v>3224478.3091116622</v>
      </c>
      <c r="I29" s="5">
        <f t="shared" si="7"/>
        <v>0</v>
      </c>
      <c r="J29" s="5">
        <f t="shared" si="10"/>
        <v>0</v>
      </c>
      <c r="K29" s="5">
        <f t="shared" si="8"/>
        <v>0</v>
      </c>
      <c r="L29" s="5">
        <f t="shared" si="1"/>
        <v>36776103.542372748</v>
      </c>
      <c r="M29" s="183">
        <f t="shared" si="2"/>
        <v>2.3966154187857403E-2</v>
      </c>
      <c r="N29" s="180">
        <f t="shared" si="9"/>
        <v>5.2342836671480176E-3</v>
      </c>
    </row>
    <row r="30" spans="1:14" ht="12.75" customHeight="1" x14ac:dyDescent="0.2">
      <c r="A30" s="4" t="s">
        <v>25</v>
      </c>
      <c r="B30" s="5">
        <f>+'Ene-Dic 2017'!I29</f>
        <v>579101796.35631406</v>
      </c>
      <c r="C30" s="5">
        <f t="shared" si="0"/>
        <v>592980639.29825473</v>
      </c>
      <c r="D30" s="5">
        <f>+'COEF Art 14 F I'!AP32+'COEF Art 14 F II'!M32</f>
        <v>588845723.94240475</v>
      </c>
      <c r="E30" s="5">
        <f t="shared" si="3"/>
        <v>-4134915.3558499813</v>
      </c>
      <c r="F30" s="183">
        <f t="shared" si="4"/>
        <v>-6.9731034739065403E-3</v>
      </c>
      <c r="G30" s="5">
        <f t="shared" si="5"/>
        <v>592980639.29825473</v>
      </c>
      <c r="H30" s="5">
        <f t="shared" si="6"/>
        <v>4134915.3558499813</v>
      </c>
      <c r="I30" s="5">
        <f t="shared" si="7"/>
        <v>0</v>
      </c>
      <c r="J30" s="5">
        <f t="shared" si="10"/>
        <v>0</v>
      </c>
      <c r="K30" s="5">
        <f t="shared" si="8"/>
        <v>0</v>
      </c>
      <c r="L30" s="5">
        <f t="shared" si="1"/>
        <v>592980639.29825473</v>
      </c>
      <c r="M30" s="183">
        <f t="shared" si="2"/>
        <v>2.396615418785748E-2</v>
      </c>
      <c r="N30" s="180">
        <f t="shared" si="9"/>
        <v>8.4397980651693294E-2</v>
      </c>
    </row>
    <row r="31" spans="1:14" ht="12.75" customHeight="1" x14ac:dyDescent="0.2">
      <c r="A31" s="4" t="s">
        <v>26</v>
      </c>
      <c r="B31" s="5">
        <f>+'Ene-Dic 2017'!I30</f>
        <v>15152684.431171449</v>
      </c>
      <c r="C31" s="5">
        <f t="shared" si="0"/>
        <v>15515836.002608851</v>
      </c>
      <c r="D31" s="5">
        <f>+'COEF Art 14 F I'!AP33+'COEF Art 14 F II'!M33</f>
        <v>9662638.8736256771</v>
      </c>
      <c r="E31" s="5">
        <f t="shared" si="3"/>
        <v>-5853197.1289831735</v>
      </c>
      <c r="F31" s="183">
        <f t="shared" si="4"/>
        <v>-0.37724020336377684</v>
      </c>
      <c r="G31" s="5">
        <f t="shared" si="5"/>
        <v>15515836.002608851</v>
      </c>
      <c r="H31" s="5">
        <f t="shared" si="6"/>
        <v>5853197.1289831735</v>
      </c>
      <c r="I31" s="5">
        <f t="shared" si="7"/>
        <v>0</v>
      </c>
      <c r="J31" s="5">
        <f t="shared" si="10"/>
        <v>0</v>
      </c>
      <c r="K31" s="5">
        <f t="shared" si="8"/>
        <v>0</v>
      </c>
      <c r="L31" s="5">
        <f t="shared" si="1"/>
        <v>15515836.002608851</v>
      </c>
      <c r="M31" s="183">
        <f t="shared" si="2"/>
        <v>2.3966154187857431E-2</v>
      </c>
      <c r="N31" s="180">
        <f t="shared" si="9"/>
        <v>2.208343982853678E-3</v>
      </c>
    </row>
    <row r="32" spans="1:14" ht="12.75" customHeight="1" x14ac:dyDescent="0.2">
      <c r="A32" s="4" t="s">
        <v>27</v>
      </c>
      <c r="B32" s="5">
        <f>+'Ene-Dic 2017'!I31</f>
        <v>26083003.093986187</v>
      </c>
      <c r="C32" s="5">
        <f t="shared" si="0"/>
        <v>26708112.367819022</v>
      </c>
      <c r="D32" s="5">
        <f>+'COEF Art 14 F I'!AP34+'COEF Art 14 F II'!M34</f>
        <v>23883250.316389516</v>
      </c>
      <c r="E32" s="5">
        <f t="shared" si="3"/>
        <v>-2824862.0514295064</v>
      </c>
      <c r="F32" s="183">
        <f t="shared" si="4"/>
        <v>-0.10576794093592411</v>
      </c>
      <c r="G32" s="5">
        <f t="shared" si="5"/>
        <v>26708112.367819022</v>
      </c>
      <c r="H32" s="5">
        <f t="shared" si="6"/>
        <v>2824862.0514295064</v>
      </c>
      <c r="I32" s="5">
        <f t="shared" si="7"/>
        <v>0</v>
      </c>
      <c r="J32" s="5">
        <f t="shared" si="10"/>
        <v>0</v>
      </c>
      <c r="K32" s="5">
        <f t="shared" si="8"/>
        <v>0</v>
      </c>
      <c r="L32" s="5">
        <f t="shared" si="1"/>
        <v>26708112.367819022</v>
      </c>
      <c r="M32" s="183">
        <f t="shared" si="2"/>
        <v>2.3966154187857427E-2</v>
      </c>
      <c r="N32" s="180">
        <f t="shared" si="9"/>
        <v>3.8013226764536537E-3</v>
      </c>
    </row>
    <row r="33" spans="1:14" ht="12.75" customHeight="1" x14ac:dyDescent="0.2">
      <c r="A33" s="4" t="s">
        <v>28</v>
      </c>
      <c r="B33" s="5">
        <f>+'Ene-Dic 2017'!I32</f>
        <v>14203061.072716851</v>
      </c>
      <c r="C33" s="5">
        <f t="shared" si="0"/>
        <v>14543453.824325139</v>
      </c>
      <c r="D33" s="5">
        <f>+'COEF Art 14 F I'!AP35+'COEF Art 14 F II'!M35</f>
        <v>14694229.563128607</v>
      </c>
      <c r="E33" s="5">
        <f t="shared" si="3"/>
        <v>150775.73880346864</v>
      </c>
      <c r="F33" s="183">
        <f t="shared" si="4"/>
        <v>1.0367258054705248E-2</v>
      </c>
      <c r="G33" s="5">
        <f t="shared" si="5"/>
        <v>0</v>
      </c>
      <c r="H33" s="5">
        <f t="shared" si="6"/>
        <v>0</v>
      </c>
      <c r="I33" s="5">
        <f t="shared" si="7"/>
        <v>14694229.563128607</v>
      </c>
      <c r="J33" s="5">
        <f t="shared" si="10"/>
        <v>150775.73880346864</v>
      </c>
      <c r="K33" s="5">
        <f t="shared" si="8"/>
        <v>150775.73880346733</v>
      </c>
      <c r="L33" s="5">
        <f t="shared" si="1"/>
        <v>14543453.824325141</v>
      </c>
      <c r="M33" s="183">
        <f t="shared" si="2"/>
        <v>2.396615418785757E-2</v>
      </c>
      <c r="N33" s="180">
        <f t="shared" si="9"/>
        <v>2.069946391380945E-3</v>
      </c>
    </row>
    <row r="34" spans="1:14" ht="12.75" customHeight="1" x14ac:dyDescent="0.2">
      <c r="A34" s="4" t="s">
        <v>29</v>
      </c>
      <c r="B34" s="5">
        <f>+'Ene-Dic 2017'!I33</f>
        <v>20881020.234222658</v>
      </c>
      <c r="C34" s="5">
        <f t="shared" si="0"/>
        <v>21381457.98475581</v>
      </c>
      <c r="D34" s="5">
        <f>+'COEF Art 14 F I'!AP36+'COEF Art 14 F II'!M36</f>
        <v>16535772.164803578</v>
      </c>
      <c r="E34" s="5">
        <f t="shared" si="3"/>
        <v>-4845685.8199522328</v>
      </c>
      <c r="F34" s="183">
        <f t="shared" si="4"/>
        <v>-0.22663028047044442</v>
      </c>
      <c r="G34" s="5">
        <f t="shared" si="5"/>
        <v>21381457.98475581</v>
      </c>
      <c r="H34" s="5">
        <f t="shared" si="6"/>
        <v>4845685.8199522328</v>
      </c>
      <c r="I34" s="5">
        <f t="shared" si="7"/>
        <v>0</v>
      </c>
      <c r="J34" s="5">
        <f t="shared" si="10"/>
        <v>0</v>
      </c>
      <c r="K34" s="5">
        <f t="shared" si="8"/>
        <v>0</v>
      </c>
      <c r="L34" s="5">
        <f t="shared" si="1"/>
        <v>21381457.98475581</v>
      </c>
      <c r="M34" s="183">
        <f t="shared" si="2"/>
        <v>2.396615418785749E-2</v>
      </c>
      <c r="N34" s="180">
        <f t="shared" si="9"/>
        <v>3.0431885254094586E-3</v>
      </c>
    </row>
    <row r="35" spans="1:14" ht="12.75" customHeight="1" x14ac:dyDescent="0.2">
      <c r="A35" s="4" t="s">
        <v>30</v>
      </c>
      <c r="B35" s="5">
        <f>+'Ene-Dic 2017'!I34</f>
        <v>19200697.157789152</v>
      </c>
      <c r="C35" s="5">
        <f t="shared" si="0"/>
        <v>19660864.026387084</v>
      </c>
      <c r="D35" s="5">
        <f>+'COEF Art 14 F I'!AP37+'COEF Art 14 F II'!M37</f>
        <v>18890849.042945128</v>
      </c>
      <c r="E35" s="5">
        <f t="shared" si="3"/>
        <v>-770014.98344195634</v>
      </c>
      <c r="F35" s="183">
        <f t="shared" si="4"/>
        <v>-3.916485981534229E-2</v>
      </c>
      <c r="G35" s="5">
        <f t="shared" si="5"/>
        <v>19660864.026387084</v>
      </c>
      <c r="H35" s="5">
        <f t="shared" si="6"/>
        <v>770014.98344195634</v>
      </c>
      <c r="I35" s="5">
        <f t="shared" si="7"/>
        <v>0</v>
      </c>
      <c r="J35" s="5">
        <f t="shared" si="10"/>
        <v>0</v>
      </c>
      <c r="K35" s="5">
        <f t="shared" si="8"/>
        <v>0</v>
      </c>
      <c r="L35" s="5">
        <f t="shared" si="1"/>
        <v>19660864.026387084</v>
      </c>
      <c r="M35" s="183">
        <f t="shared" si="2"/>
        <v>2.3966154187857504E-2</v>
      </c>
      <c r="N35" s="180">
        <f t="shared" si="9"/>
        <v>2.7982991546878886E-3</v>
      </c>
    </row>
    <row r="36" spans="1:14" ht="12.75" customHeight="1" x14ac:dyDescent="0.2">
      <c r="A36" s="4" t="s">
        <v>31</v>
      </c>
      <c r="B36" s="5">
        <f>+'Ene-Dic 2017'!I35</f>
        <v>182574001.85232124</v>
      </c>
      <c r="C36" s="5">
        <f t="shared" si="0"/>
        <v>186949598.53140813</v>
      </c>
      <c r="D36" s="5">
        <f>+'COEF Art 14 F I'!AP38+'COEF Art 14 F II'!M38</f>
        <v>166006333.60940498</v>
      </c>
      <c r="E36" s="5">
        <f t="shared" si="3"/>
        <v>-20943264.92200315</v>
      </c>
      <c r="F36" s="183">
        <f t="shared" si="4"/>
        <v>-0.11202626315608062</v>
      </c>
      <c r="G36" s="5">
        <f t="shared" si="5"/>
        <v>186949598.53140813</v>
      </c>
      <c r="H36" s="5">
        <f t="shared" si="6"/>
        <v>20943264.92200315</v>
      </c>
      <c r="I36" s="5">
        <f t="shared" si="7"/>
        <v>0</v>
      </c>
      <c r="J36" s="5">
        <f t="shared" si="10"/>
        <v>0</v>
      </c>
      <c r="K36" s="5">
        <f t="shared" si="8"/>
        <v>0</v>
      </c>
      <c r="L36" s="5">
        <f t="shared" si="1"/>
        <v>186949598.53140813</v>
      </c>
      <c r="M36" s="183">
        <f t="shared" si="2"/>
        <v>2.3966154187857403E-2</v>
      </c>
      <c r="N36" s="180">
        <f t="shared" si="9"/>
        <v>2.6608235672530248E-2</v>
      </c>
    </row>
    <row r="37" spans="1:14" ht="12.75" customHeight="1" x14ac:dyDescent="0.2">
      <c r="A37" s="4" t="s">
        <v>32</v>
      </c>
      <c r="B37" s="5">
        <f>+'Ene-Dic 2017'!I36</f>
        <v>35579530.898456842</v>
      </c>
      <c r="C37" s="5">
        <f t="shared" si="0"/>
        <v>36432235.421900898</v>
      </c>
      <c r="D37" s="5">
        <f>+'COEF Art 14 F I'!AP39+'COEF Art 14 F II'!M39</f>
        <v>30736642.849318508</v>
      </c>
      <c r="E37" s="5">
        <f t="shared" si="3"/>
        <v>-5695592.5725823902</v>
      </c>
      <c r="F37" s="183">
        <f t="shared" si="4"/>
        <v>-0.15633387593775094</v>
      </c>
      <c r="G37" s="5">
        <f t="shared" si="5"/>
        <v>36432235.421900898</v>
      </c>
      <c r="H37" s="5">
        <f t="shared" si="6"/>
        <v>5695592.5725823902</v>
      </c>
      <c r="I37" s="5">
        <f t="shared" si="7"/>
        <v>0</v>
      </c>
      <c r="J37" s="5">
        <f t="shared" si="10"/>
        <v>0</v>
      </c>
      <c r="K37" s="5">
        <f t="shared" si="8"/>
        <v>0</v>
      </c>
      <c r="L37" s="5">
        <f t="shared" si="1"/>
        <v>36432235.421900898</v>
      </c>
      <c r="M37" s="183">
        <f t="shared" si="2"/>
        <v>2.3966154187857493E-2</v>
      </c>
      <c r="N37" s="180">
        <f t="shared" si="9"/>
        <v>5.1853414706326938E-3</v>
      </c>
    </row>
    <row r="38" spans="1:14" s="11" customFormat="1" ht="12.75" customHeight="1" x14ac:dyDescent="0.2">
      <c r="A38" s="4" t="s">
        <v>33</v>
      </c>
      <c r="B38" s="5">
        <f>+'Ene-Dic 2017'!I37</f>
        <v>130449053.07528965</v>
      </c>
      <c r="C38" s="5">
        <f t="shared" si="0"/>
        <v>133575415.19495204</v>
      </c>
      <c r="D38" s="5">
        <f>+'COEF Art 14 F I'!AP40+'COEF Art 14 F II'!M40</f>
        <v>122590601.65024729</v>
      </c>
      <c r="E38" s="5">
        <f t="shared" si="3"/>
        <v>-10984813.54470475</v>
      </c>
      <c r="F38" s="183">
        <f t="shared" si="4"/>
        <v>-8.2236791318765656E-2</v>
      </c>
      <c r="G38" s="5">
        <f t="shared" si="5"/>
        <v>133575415.19495204</v>
      </c>
      <c r="H38" s="5">
        <f t="shared" si="6"/>
        <v>10984813.54470475</v>
      </c>
      <c r="I38" s="5">
        <f t="shared" si="7"/>
        <v>0</v>
      </c>
      <c r="J38" s="5">
        <f t="shared" si="10"/>
        <v>0</v>
      </c>
      <c r="K38" s="5">
        <f t="shared" si="8"/>
        <v>0</v>
      </c>
      <c r="L38" s="5">
        <f t="shared" ref="L38:L56" si="11">IF(H38&lt;&gt;0,D38+H38,D38-K38)</f>
        <v>133575415.19495204</v>
      </c>
      <c r="M38" s="183">
        <f t="shared" ref="M38:M57" si="12">+(L38-B38)/B38</f>
        <v>2.3966154187857431E-2</v>
      </c>
      <c r="N38" s="180">
        <f t="shared" si="9"/>
        <v>1.9011574004349861E-2</v>
      </c>
    </row>
    <row r="39" spans="1:14" ht="12.75" customHeight="1" x14ac:dyDescent="0.2">
      <c r="A39" s="4" t="s">
        <v>34</v>
      </c>
      <c r="B39" s="5">
        <f>+'Ene-Dic 2017'!I38</f>
        <v>26245959.323847372</v>
      </c>
      <c r="C39" s="5">
        <f t="shared" si="0"/>
        <v>26874974.031810932</v>
      </c>
      <c r="D39" s="5">
        <f>+'COEF Art 14 F I'!AP41+'COEF Art 14 F II'!M41</f>
        <v>27192812.577983119</v>
      </c>
      <c r="E39" s="5">
        <f t="shared" si="3"/>
        <v>317838.54617218673</v>
      </c>
      <c r="F39" s="183">
        <f t="shared" si="4"/>
        <v>1.1826561982756625E-2</v>
      </c>
      <c r="G39" s="5">
        <f t="shared" si="5"/>
        <v>0</v>
      </c>
      <c r="H39" s="5">
        <f t="shared" si="6"/>
        <v>0</v>
      </c>
      <c r="I39" s="5">
        <f t="shared" si="7"/>
        <v>27192812.577983119</v>
      </c>
      <c r="J39" s="5">
        <f t="shared" si="10"/>
        <v>317838.54617218673</v>
      </c>
      <c r="K39" s="5">
        <f t="shared" si="8"/>
        <v>317838.546172184</v>
      </c>
      <c r="L39" s="5">
        <f t="shared" si="11"/>
        <v>26874974.031810936</v>
      </c>
      <c r="M39" s="183">
        <f t="shared" si="12"/>
        <v>2.3966154187857545E-2</v>
      </c>
      <c r="N39" s="180">
        <f t="shared" si="9"/>
        <v>3.8250718287122579E-3</v>
      </c>
    </row>
    <row r="40" spans="1:14" ht="12.75" customHeight="1" x14ac:dyDescent="0.2">
      <c r="A40" s="4" t="s">
        <v>35</v>
      </c>
      <c r="B40" s="5">
        <f>+'Ene-Dic 2017'!I39</f>
        <v>24715579.331846066</v>
      </c>
      <c r="C40" s="5">
        <f t="shared" si="0"/>
        <v>25307916.716955312</v>
      </c>
      <c r="D40" s="5">
        <f>+'COEF Art 14 F I'!AP42+'COEF Art 14 F II'!M42</f>
        <v>26226940.520497493</v>
      </c>
      <c r="E40" s="5">
        <f t="shared" si="3"/>
        <v>919023.80354218185</v>
      </c>
      <c r="F40" s="183">
        <f t="shared" si="4"/>
        <v>3.6313688472290252E-2</v>
      </c>
      <c r="G40" s="5">
        <f t="shared" si="5"/>
        <v>0</v>
      </c>
      <c r="H40" s="5">
        <f t="shared" si="6"/>
        <v>0</v>
      </c>
      <c r="I40" s="5">
        <f t="shared" si="7"/>
        <v>26226940.520497493</v>
      </c>
      <c r="J40" s="5">
        <f t="shared" si="10"/>
        <v>919023.80354218185</v>
      </c>
      <c r="K40" s="5">
        <f t="shared" si="8"/>
        <v>919023.80354217393</v>
      </c>
      <c r="L40" s="5">
        <f t="shared" si="11"/>
        <v>25307916.716955319</v>
      </c>
      <c r="M40" s="183">
        <f t="shared" si="12"/>
        <v>2.3966154187857757E-2</v>
      </c>
      <c r="N40" s="180">
        <f t="shared" si="9"/>
        <v>3.6020350815162724E-3</v>
      </c>
    </row>
    <row r="41" spans="1:14" ht="12.75" customHeight="1" x14ac:dyDescent="0.2">
      <c r="A41" s="4" t="s">
        <v>36</v>
      </c>
      <c r="B41" s="5">
        <f>+'Ene-Dic 2017'!I40</f>
        <v>28090935.333951205</v>
      </c>
      <c r="C41" s="5">
        <f t="shared" si="0"/>
        <v>28764167.021445815</v>
      </c>
      <c r="D41" s="5">
        <f>+'COEF Art 14 F I'!AP43+'COEF Art 14 F II'!M43</f>
        <v>26822700.875176542</v>
      </c>
      <c r="E41" s="5">
        <f t="shared" si="3"/>
        <v>-1941466.146269273</v>
      </c>
      <c r="F41" s="183">
        <f t="shared" si="4"/>
        <v>-6.7495997531295315E-2</v>
      </c>
      <c r="G41" s="5">
        <f t="shared" si="5"/>
        <v>28764167.021445815</v>
      </c>
      <c r="H41" s="5">
        <f t="shared" si="6"/>
        <v>1941466.146269273</v>
      </c>
      <c r="I41" s="5">
        <f t="shared" si="7"/>
        <v>0</v>
      </c>
      <c r="J41" s="5">
        <f t="shared" si="10"/>
        <v>0</v>
      </c>
      <c r="K41" s="5">
        <f t="shared" si="8"/>
        <v>0</v>
      </c>
      <c r="L41" s="5">
        <f t="shared" si="11"/>
        <v>28764167.021445815</v>
      </c>
      <c r="M41" s="183">
        <f t="shared" si="12"/>
        <v>2.3966154187857521E-2</v>
      </c>
      <c r="N41" s="180">
        <f t="shared" si="9"/>
        <v>4.0939576283822244E-3</v>
      </c>
    </row>
    <row r="42" spans="1:14" ht="12.75" customHeight="1" x14ac:dyDescent="0.2">
      <c r="A42" s="4" t="s">
        <v>37</v>
      </c>
      <c r="B42" s="5">
        <f>+'Ene-Dic 2017'!I41</f>
        <v>39567300.070268884</v>
      </c>
      <c r="C42" s="5">
        <f t="shared" si="0"/>
        <v>40515576.084550172</v>
      </c>
      <c r="D42" s="5">
        <f>+'COEF Art 14 F I'!AP44+'COEF Art 14 F II'!M44</f>
        <v>33959567.420927964</v>
      </c>
      <c r="E42" s="5">
        <f t="shared" si="3"/>
        <v>-6556008.6636222079</v>
      </c>
      <c r="F42" s="183">
        <f t="shared" si="4"/>
        <v>-0.16181452412130984</v>
      </c>
      <c r="G42" s="5">
        <f t="shared" si="5"/>
        <v>40515576.084550172</v>
      </c>
      <c r="H42" s="5">
        <f t="shared" si="6"/>
        <v>6556008.6636222079</v>
      </c>
      <c r="I42" s="5">
        <f t="shared" si="7"/>
        <v>0</v>
      </c>
      <c r="J42" s="5">
        <f t="shared" si="10"/>
        <v>0</v>
      </c>
      <c r="K42" s="5">
        <f t="shared" si="8"/>
        <v>0</v>
      </c>
      <c r="L42" s="5">
        <f t="shared" si="11"/>
        <v>40515576.084550172</v>
      </c>
      <c r="M42" s="183">
        <f t="shared" si="12"/>
        <v>2.3966154187857469E-2</v>
      </c>
      <c r="N42" s="180">
        <f t="shared" si="9"/>
        <v>5.7665167795742855E-3</v>
      </c>
    </row>
    <row r="43" spans="1:14" s="11" customFormat="1" ht="12.75" customHeight="1" x14ac:dyDescent="0.2">
      <c r="A43" s="4" t="s">
        <v>38</v>
      </c>
      <c r="B43" s="5">
        <f>+'Ene-Dic 2017'!I42</f>
        <v>92828539.800725237</v>
      </c>
      <c r="C43" s="5">
        <f t="shared" si="0"/>
        <v>95053282.898623079</v>
      </c>
      <c r="D43" s="5">
        <f>+'COEF Art 14 F I'!AP45+'COEF Art 14 F II'!M45</f>
        <v>87236607.448498011</v>
      </c>
      <c r="E43" s="5">
        <f t="shared" si="3"/>
        <v>-7816675.4501250684</v>
      </c>
      <c r="F43" s="183">
        <f t="shared" si="4"/>
        <v>-8.223467103668336E-2</v>
      </c>
      <c r="G43" s="5">
        <f t="shared" si="5"/>
        <v>95053282.898623079</v>
      </c>
      <c r="H43" s="5">
        <f t="shared" si="6"/>
        <v>7816675.4501250684</v>
      </c>
      <c r="I43" s="5">
        <f t="shared" si="7"/>
        <v>0</v>
      </c>
      <c r="J43" s="5">
        <f t="shared" si="10"/>
        <v>0</v>
      </c>
      <c r="K43" s="5">
        <f t="shared" si="8"/>
        <v>0</v>
      </c>
      <c r="L43" s="5">
        <f t="shared" si="11"/>
        <v>95053282.898623079</v>
      </c>
      <c r="M43" s="183">
        <f t="shared" si="12"/>
        <v>2.3966154187857445E-2</v>
      </c>
      <c r="N43" s="180">
        <f t="shared" si="9"/>
        <v>1.3528780872933183E-2</v>
      </c>
    </row>
    <row r="44" spans="1:14" ht="12.75" customHeight="1" x14ac:dyDescent="0.2">
      <c r="A44" s="4" t="s">
        <v>39</v>
      </c>
      <c r="B44" s="5">
        <f>+'Ene-Dic 2017'!I43</f>
        <v>1727310606.4601426</v>
      </c>
      <c r="C44" s="5">
        <f t="shared" si="0"/>
        <v>1768707598.784888</v>
      </c>
      <c r="D44" s="5">
        <f>+'COEF Art 14 F I'!AP46+'COEF Art 14 F II'!M46</f>
        <v>1879652605.4261518</v>
      </c>
      <c r="E44" s="5">
        <f t="shared" si="3"/>
        <v>110945006.64126372</v>
      </c>
      <c r="F44" s="183">
        <f t="shared" si="4"/>
        <v>6.2726595802202439E-2</v>
      </c>
      <c r="G44" s="5">
        <f t="shared" si="5"/>
        <v>0</v>
      </c>
      <c r="H44" s="5">
        <f t="shared" si="6"/>
        <v>0</v>
      </c>
      <c r="I44" s="5">
        <f t="shared" si="7"/>
        <v>1879652605.4261518</v>
      </c>
      <c r="J44" s="5">
        <f t="shared" si="10"/>
        <v>110945006.64126372</v>
      </c>
      <c r="K44" s="5">
        <f t="shared" si="8"/>
        <v>110945006.64126277</v>
      </c>
      <c r="L44" s="5">
        <f t="shared" si="11"/>
        <v>1768707598.784889</v>
      </c>
      <c r="M44" s="183">
        <f t="shared" si="12"/>
        <v>2.3966154187858048E-2</v>
      </c>
      <c r="N44" s="180">
        <f t="shared" si="9"/>
        <v>0.25173730777687015</v>
      </c>
    </row>
    <row r="45" spans="1:14" ht="12.75" customHeight="1" x14ac:dyDescent="0.2">
      <c r="A45" s="4" t="s">
        <v>40</v>
      </c>
      <c r="B45" s="5">
        <f>+'Ene-Dic 2017'!I44</f>
        <v>9921749.3627804946</v>
      </c>
      <c r="C45" s="5">
        <f t="shared" si="0"/>
        <v>10159535.537822168</v>
      </c>
      <c r="D45" s="5">
        <f>+'COEF Art 14 F I'!AP47+'COEF Art 14 F II'!M47</f>
        <v>7107020.8773844028</v>
      </c>
      <c r="E45" s="5">
        <f t="shared" si="3"/>
        <v>-3052514.6604377655</v>
      </c>
      <c r="F45" s="183">
        <f t="shared" si="4"/>
        <v>-0.30045809171824728</v>
      </c>
      <c r="G45" s="5">
        <f t="shared" si="5"/>
        <v>10159535.537822168</v>
      </c>
      <c r="H45" s="5">
        <f t="shared" si="6"/>
        <v>3052514.6604377655</v>
      </c>
      <c r="I45" s="5">
        <f t="shared" si="7"/>
        <v>0</v>
      </c>
      <c r="J45" s="5">
        <f t="shared" si="10"/>
        <v>0</v>
      </c>
      <c r="K45" s="5">
        <f t="shared" si="8"/>
        <v>0</v>
      </c>
      <c r="L45" s="5">
        <f t="shared" si="11"/>
        <v>10159535.537822168</v>
      </c>
      <c r="M45" s="183">
        <f t="shared" si="12"/>
        <v>2.3966154187857448E-2</v>
      </c>
      <c r="N45" s="180">
        <f t="shared" si="9"/>
        <v>1.4459903526800179E-3</v>
      </c>
    </row>
    <row r="46" spans="1:14" s="11" customFormat="1" ht="12.75" customHeight="1" x14ac:dyDescent="0.2">
      <c r="A46" s="4" t="s">
        <v>41</v>
      </c>
      <c r="B46" s="5">
        <f>+'Ene-Dic 2017'!I45</f>
        <v>27268908.968550541</v>
      </c>
      <c r="C46" s="5">
        <f t="shared" si="0"/>
        <v>27922439.845425472</v>
      </c>
      <c r="D46" s="5">
        <f>+'COEF Art 14 F I'!AP48+'COEF Art 14 F II'!M48</f>
        <v>28360854.50995189</v>
      </c>
      <c r="E46" s="5">
        <f t="shared" si="3"/>
        <v>438414.66452641785</v>
      </c>
      <c r="F46" s="183">
        <f t="shared" si="4"/>
        <v>1.5701158887024811E-2</v>
      </c>
      <c r="G46" s="5">
        <f t="shared" si="5"/>
        <v>0</v>
      </c>
      <c r="H46" s="5">
        <f t="shared" si="6"/>
        <v>0</v>
      </c>
      <c r="I46" s="5">
        <f t="shared" si="7"/>
        <v>28360854.50995189</v>
      </c>
      <c r="J46" s="5">
        <f t="shared" si="10"/>
        <v>438414.66452641785</v>
      </c>
      <c r="K46" s="5">
        <f t="shared" si="8"/>
        <v>438414.66452641407</v>
      </c>
      <c r="L46" s="5">
        <f t="shared" si="11"/>
        <v>27922439.845425475</v>
      </c>
      <c r="M46" s="183">
        <f t="shared" si="12"/>
        <v>2.3966154187857587E-2</v>
      </c>
      <c r="N46" s="180">
        <f t="shared" si="9"/>
        <v>3.9741559532384301E-3</v>
      </c>
    </row>
    <row r="47" spans="1:14" ht="12.75" customHeight="1" x14ac:dyDescent="0.2">
      <c r="A47" s="4" t="s">
        <v>42</v>
      </c>
      <c r="B47" s="5">
        <f>+'Ene-Dic 2017'!I46</f>
        <v>21043728.824870635</v>
      </c>
      <c r="C47" s="5">
        <f t="shared" si="0"/>
        <v>21548066.074574944</v>
      </c>
      <c r="D47" s="5">
        <f>+'COEF Art 14 F I'!AP49+'COEF Art 14 F II'!M49</f>
        <v>13806018.217642704</v>
      </c>
      <c r="E47" s="5">
        <f t="shared" si="3"/>
        <v>-7742047.8569322396</v>
      </c>
      <c r="F47" s="183">
        <f t="shared" si="4"/>
        <v>-0.35929200468097966</v>
      </c>
      <c r="G47" s="5">
        <f t="shared" si="5"/>
        <v>21548066.074574944</v>
      </c>
      <c r="H47" s="5">
        <f t="shared" si="6"/>
        <v>7742047.8569322396</v>
      </c>
      <c r="I47" s="5">
        <f t="shared" si="7"/>
        <v>0</v>
      </c>
      <c r="J47" s="5">
        <f t="shared" si="10"/>
        <v>0</v>
      </c>
      <c r="K47" s="5">
        <f t="shared" si="8"/>
        <v>0</v>
      </c>
      <c r="L47" s="5">
        <f t="shared" si="11"/>
        <v>21548066.074574944</v>
      </c>
      <c r="M47" s="183">
        <f t="shared" si="12"/>
        <v>2.39661541878574E-2</v>
      </c>
      <c r="N47" s="180">
        <f t="shared" si="9"/>
        <v>3.0669015868638955E-3</v>
      </c>
    </row>
    <row r="48" spans="1:14" ht="12.75" customHeight="1" x14ac:dyDescent="0.2">
      <c r="A48" s="4" t="s">
        <v>43</v>
      </c>
      <c r="B48" s="5">
        <f>+'Ene-Dic 2017'!I47</f>
        <v>22762360.94907999</v>
      </c>
      <c r="C48" s="5">
        <f t="shared" si="0"/>
        <v>23307887.201265305</v>
      </c>
      <c r="D48" s="5">
        <f>+'COEF Art 14 F I'!AP50+'COEF Art 14 F II'!M50</f>
        <v>22586763.037174601</v>
      </c>
      <c r="E48" s="5">
        <f t="shared" si="3"/>
        <v>-721124.16409070417</v>
      </c>
      <c r="F48" s="183">
        <f t="shared" si="4"/>
        <v>-3.0939061866214833E-2</v>
      </c>
      <c r="G48" s="5">
        <f t="shared" si="5"/>
        <v>23307887.201265305</v>
      </c>
      <c r="H48" s="5">
        <f t="shared" si="6"/>
        <v>721124.16409070417</v>
      </c>
      <c r="I48" s="5">
        <f t="shared" si="7"/>
        <v>0</v>
      </c>
      <c r="J48" s="5">
        <f t="shared" si="10"/>
        <v>0</v>
      </c>
      <c r="K48" s="5">
        <f t="shared" si="8"/>
        <v>0</v>
      </c>
      <c r="L48" s="5">
        <f t="shared" si="11"/>
        <v>23307887.201265305</v>
      </c>
      <c r="M48" s="183">
        <f t="shared" si="12"/>
        <v>2.3966154187857389E-2</v>
      </c>
      <c r="N48" s="180">
        <f t="shared" si="9"/>
        <v>3.3173740973603972E-3</v>
      </c>
    </row>
    <row r="49" spans="1:14" ht="12.75" customHeight="1" x14ac:dyDescent="0.2">
      <c r="A49" s="4" t="s">
        <v>44</v>
      </c>
      <c r="B49" s="5">
        <f>+'Ene-Dic 2017'!I48</f>
        <v>67846414.382103071</v>
      </c>
      <c r="C49" s="5">
        <f t="shared" si="0"/>
        <v>69472432.010277823</v>
      </c>
      <c r="D49" s="5">
        <f>+'COEF Art 14 F I'!AP51+'COEF Art 14 F II'!M51</f>
        <v>41160865.313167699</v>
      </c>
      <c r="E49" s="5">
        <f t="shared" si="3"/>
        <v>-28311566.697110124</v>
      </c>
      <c r="F49" s="183">
        <f t="shared" si="4"/>
        <v>-0.40752232040648412</v>
      </c>
      <c r="G49" s="5">
        <f t="shared" si="5"/>
        <v>69472432.010277823</v>
      </c>
      <c r="H49" s="5">
        <f t="shared" si="6"/>
        <v>28311566.697110124</v>
      </c>
      <c r="I49" s="5">
        <f t="shared" si="7"/>
        <v>0</v>
      </c>
      <c r="J49" s="5">
        <f t="shared" si="10"/>
        <v>0</v>
      </c>
      <c r="K49" s="5">
        <f t="shared" si="8"/>
        <v>0</v>
      </c>
      <c r="L49" s="5">
        <f t="shared" si="11"/>
        <v>69472432.010277823</v>
      </c>
      <c r="M49" s="183">
        <f t="shared" si="12"/>
        <v>2.3966154187857459E-2</v>
      </c>
      <c r="N49" s="180">
        <f t="shared" si="9"/>
        <v>9.8878995097855006E-3</v>
      </c>
    </row>
    <row r="50" spans="1:14" ht="12.75" customHeight="1" x14ac:dyDescent="0.2">
      <c r="A50" s="4" t="s">
        <v>45</v>
      </c>
      <c r="B50" s="5">
        <f>+'Ene-Dic 2017'!I49</f>
        <v>58385396.531340644</v>
      </c>
      <c r="C50" s="5">
        <f t="shared" si="0"/>
        <v>59784669.946929954</v>
      </c>
      <c r="D50" s="5">
        <f>+'COEF Art 14 F I'!AP52+'COEF Art 14 F II'!M52</f>
        <v>51834456.455790989</v>
      </c>
      <c r="E50" s="5">
        <f t="shared" si="3"/>
        <v>-7950213.4911389649</v>
      </c>
      <c r="F50" s="183">
        <f t="shared" si="4"/>
        <v>-0.13298080424624342</v>
      </c>
      <c r="G50" s="5">
        <f t="shared" si="5"/>
        <v>59784669.946929954</v>
      </c>
      <c r="H50" s="5">
        <f t="shared" si="6"/>
        <v>7950213.4911389649</v>
      </c>
      <c r="I50" s="5">
        <f t="shared" si="7"/>
        <v>0</v>
      </c>
      <c r="J50" s="5">
        <f t="shared" si="10"/>
        <v>0</v>
      </c>
      <c r="K50" s="5">
        <f t="shared" si="8"/>
        <v>0</v>
      </c>
      <c r="L50" s="5">
        <f t="shared" si="11"/>
        <v>59784669.946929954</v>
      </c>
      <c r="M50" s="183">
        <f t="shared" si="12"/>
        <v>2.3966154187857497E-2</v>
      </c>
      <c r="N50" s="180">
        <f t="shared" si="9"/>
        <v>8.5090559169352532E-3</v>
      </c>
    </row>
    <row r="51" spans="1:14" ht="12.75" customHeight="1" x14ac:dyDescent="0.2">
      <c r="A51" s="4" t="s">
        <v>46</v>
      </c>
      <c r="B51" s="5">
        <f>+'Ene-Dic 2017'!I50</f>
        <v>528303192.357032</v>
      </c>
      <c r="C51" s="5">
        <f t="shared" si="0"/>
        <v>540964588.122998</v>
      </c>
      <c r="D51" s="5">
        <f>+'COEF Art 14 F I'!AP53+'COEF Art 14 F II'!M53</f>
        <v>520190065.89316601</v>
      </c>
      <c r="E51" s="5">
        <f t="shared" si="3"/>
        <v>-20774522.229831994</v>
      </c>
      <c r="F51" s="183">
        <f t="shared" si="4"/>
        <v>-3.8402739635719989E-2</v>
      </c>
      <c r="G51" s="5">
        <f t="shared" si="5"/>
        <v>540964588.122998</v>
      </c>
      <c r="H51" s="5">
        <f t="shared" si="6"/>
        <v>20774522.229831994</v>
      </c>
      <c r="I51" s="5">
        <f t="shared" si="7"/>
        <v>0</v>
      </c>
      <c r="J51" s="5">
        <f t="shared" si="10"/>
        <v>0</v>
      </c>
      <c r="K51" s="5">
        <f t="shared" si="8"/>
        <v>0</v>
      </c>
      <c r="L51" s="5">
        <f t="shared" si="11"/>
        <v>540964588.122998</v>
      </c>
      <c r="M51" s="183">
        <f t="shared" si="12"/>
        <v>2.3966154187857556E-2</v>
      </c>
      <c r="N51" s="180">
        <f t="shared" si="9"/>
        <v>7.6994619749620546E-2</v>
      </c>
    </row>
    <row r="52" spans="1:14" ht="12.75" customHeight="1" x14ac:dyDescent="0.2">
      <c r="A52" s="4" t="s">
        <v>47</v>
      </c>
      <c r="B52" s="5">
        <f>+'Ene-Dic 2017'!I51</f>
        <v>884405229.94552839</v>
      </c>
      <c r="C52" s="5">
        <f t="shared" si="0"/>
        <v>905601022.05095041</v>
      </c>
      <c r="D52" s="5">
        <f>+'COEF Art 14 F I'!AP54+'COEF Art 14 F II'!M54</f>
        <v>1059112177.621197</v>
      </c>
      <c r="E52" s="5">
        <f t="shared" si="3"/>
        <v>153511155.57024658</v>
      </c>
      <c r="F52" s="183">
        <f t="shared" si="4"/>
        <v>0.16951301051160897</v>
      </c>
      <c r="G52" s="5">
        <f t="shared" si="5"/>
        <v>0</v>
      </c>
      <c r="H52" s="5">
        <f t="shared" si="6"/>
        <v>0</v>
      </c>
      <c r="I52" s="5">
        <f t="shared" si="7"/>
        <v>1059112177.621197</v>
      </c>
      <c r="J52" s="5">
        <f t="shared" si="10"/>
        <v>153511155.57024658</v>
      </c>
      <c r="K52" s="5">
        <f t="shared" si="8"/>
        <v>153511155.57024524</v>
      </c>
      <c r="L52" s="5">
        <f t="shared" si="11"/>
        <v>905601022.05095172</v>
      </c>
      <c r="M52" s="183">
        <f t="shared" si="12"/>
        <v>2.3966154187858892E-2</v>
      </c>
      <c r="N52" s="180">
        <f t="shared" si="9"/>
        <v>0.12889273691576131</v>
      </c>
    </row>
    <row r="53" spans="1:14" s="11" customFormat="1" ht="12.75" customHeight="1" x14ac:dyDescent="0.2">
      <c r="A53" s="4" t="s">
        <v>48</v>
      </c>
      <c r="B53" s="5">
        <f>+'Ene-Dic 2017'!I52</f>
        <v>273725138.07508761</v>
      </c>
      <c r="C53" s="5">
        <f t="shared" si="0"/>
        <v>280285276.93928772</v>
      </c>
      <c r="D53" s="5">
        <f>+'COEF Art 14 F I'!AP55+'COEF Art 14 F II'!M55</f>
        <v>286955193.34106499</v>
      </c>
      <c r="E53" s="5">
        <f t="shared" si="3"/>
        <v>6669916.4017772675</v>
      </c>
      <c r="F53" s="183">
        <f t="shared" si="4"/>
        <v>2.3796884640580069E-2</v>
      </c>
      <c r="G53" s="5">
        <f t="shared" si="5"/>
        <v>0</v>
      </c>
      <c r="H53" s="5">
        <f t="shared" si="6"/>
        <v>0</v>
      </c>
      <c r="I53" s="5">
        <f t="shared" si="7"/>
        <v>286955193.34106499</v>
      </c>
      <c r="J53" s="5">
        <f t="shared" si="10"/>
        <v>6669916.4017772675</v>
      </c>
      <c r="K53" s="5">
        <f t="shared" si="8"/>
        <v>6669916.4017772097</v>
      </c>
      <c r="L53" s="5">
        <f t="shared" si="11"/>
        <v>280285276.93928778</v>
      </c>
      <c r="M53" s="183">
        <f t="shared" si="12"/>
        <v>2.3966154187857653E-2</v>
      </c>
      <c r="N53" s="180">
        <f t="shared" si="9"/>
        <v>3.989255266086076E-2</v>
      </c>
    </row>
    <row r="54" spans="1:14" s="11" customFormat="1" ht="12.75" customHeight="1" x14ac:dyDescent="0.2">
      <c r="A54" s="4" t="s">
        <v>49</v>
      </c>
      <c r="B54" s="5">
        <f>+'Ene-Dic 2017'!I53</f>
        <v>72885530.403343841</v>
      </c>
      <c r="C54" s="5">
        <f t="shared" si="0"/>
        <v>74632316.263054147</v>
      </c>
      <c r="D54" s="5">
        <f>+'COEF Art 14 F I'!AP56+'COEF Art 14 F II'!M56</f>
        <v>77573085.402676299</v>
      </c>
      <c r="E54" s="5">
        <f t="shared" si="3"/>
        <v>2940769.1396221519</v>
      </c>
      <c r="F54" s="183">
        <f t="shared" si="4"/>
        <v>3.9403428526282321E-2</v>
      </c>
      <c r="G54" s="5">
        <f t="shared" si="5"/>
        <v>0</v>
      </c>
      <c r="H54" s="5">
        <f t="shared" si="6"/>
        <v>0</v>
      </c>
      <c r="I54" s="5">
        <f t="shared" si="7"/>
        <v>77573085.402676299</v>
      </c>
      <c r="J54" s="5">
        <f t="shared" si="10"/>
        <v>2940769.1396221519</v>
      </c>
      <c r="K54" s="5">
        <f t="shared" si="8"/>
        <v>2940769.1396221262</v>
      </c>
      <c r="L54" s="5">
        <f t="shared" si="11"/>
        <v>74632316.263054177</v>
      </c>
      <c r="M54" s="183">
        <f t="shared" si="12"/>
        <v>2.3966154187857795E-2</v>
      </c>
      <c r="N54" s="180">
        <f t="shared" si="9"/>
        <v>1.062229753641611E-2</v>
      </c>
    </row>
    <row r="55" spans="1:14" ht="12.75" customHeight="1" x14ac:dyDescent="0.2">
      <c r="A55" s="4" t="s">
        <v>50</v>
      </c>
      <c r="B55" s="5">
        <f>+'Ene-Dic 2017'!I54</f>
        <v>17616988.257596869</v>
      </c>
      <c r="C55" s="5">
        <f t="shared" si="0"/>
        <v>18039199.714504112</v>
      </c>
      <c r="D55" s="5">
        <f>+'COEF Art 14 F I'!AP57+'COEF Art 14 F II'!M57</f>
        <v>12742736.966241632</v>
      </c>
      <c r="E55" s="5">
        <f t="shared" si="3"/>
        <v>-5296462.7482624799</v>
      </c>
      <c r="F55" s="183">
        <f t="shared" si="4"/>
        <v>-0.29360852100350932</v>
      </c>
      <c r="G55" s="5">
        <f t="shared" si="5"/>
        <v>18039199.714504112</v>
      </c>
      <c r="H55" s="5">
        <f t="shared" si="6"/>
        <v>5296462.7482624799</v>
      </c>
      <c r="I55" s="5">
        <f t="shared" si="7"/>
        <v>0</v>
      </c>
      <c r="J55" s="5">
        <f t="shared" si="10"/>
        <v>0</v>
      </c>
      <c r="K55" s="5">
        <f t="shared" si="8"/>
        <v>0</v>
      </c>
      <c r="L55" s="5">
        <f t="shared" si="11"/>
        <v>18039199.714504112</v>
      </c>
      <c r="M55" s="183">
        <f t="shared" si="12"/>
        <v>2.3966154187857552E-2</v>
      </c>
      <c r="N55" s="180">
        <f t="shared" si="9"/>
        <v>2.5674902814339325E-3</v>
      </c>
    </row>
    <row r="56" spans="1:14" ht="12.75" customHeight="1" x14ac:dyDescent="0.2">
      <c r="A56" s="4" t="s">
        <v>51</v>
      </c>
      <c r="B56" s="5">
        <f>+'Ene-Dic 2017'!I55</f>
        <v>24271119.92673099</v>
      </c>
      <c r="C56" s="5">
        <f t="shared" si="0"/>
        <v>24852805.329207003</v>
      </c>
      <c r="D56" s="5">
        <f>+'COEF Art 14 F I'!AP58+'COEF Art 14 F II'!M58</f>
        <v>8794963.585905293</v>
      </c>
      <c r="E56" s="5">
        <f t="shared" si="3"/>
        <v>-16057841.74330171</v>
      </c>
      <c r="F56" s="183">
        <f t="shared" si="4"/>
        <v>-0.64611787404259524</v>
      </c>
      <c r="G56" s="5">
        <f t="shared" si="5"/>
        <v>24852805.329207003</v>
      </c>
      <c r="H56" s="5">
        <f t="shared" si="6"/>
        <v>16057841.74330171</v>
      </c>
      <c r="I56" s="5">
        <f t="shared" si="7"/>
        <v>0</v>
      </c>
      <c r="J56" s="5">
        <f t="shared" si="10"/>
        <v>0</v>
      </c>
      <c r="K56" s="5">
        <f t="shared" si="8"/>
        <v>0</v>
      </c>
      <c r="L56" s="5">
        <f t="shared" si="11"/>
        <v>24852805.329207003</v>
      </c>
      <c r="M56" s="183">
        <f t="shared" si="12"/>
        <v>2.3966154187857382E-2</v>
      </c>
      <c r="N56" s="180">
        <f t="shared" si="9"/>
        <v>3.5372598096912035E-3</v>
      </c>
    </row>
    <row r="57" spans="1:14" s="188" customFormat="1" ht="16.5" customHeight="1" thickBot="1" x14ac:dyDescent="0.25">
      <c r="A57" s="6" t="s">
        <v>52</v>
      </c>
      <c r="B57" s="7">
        <f>SUM(B6:B56)</f>
        <v>6861559860.611372</v>
      </c>
      <c r="C57" s="7">
        <f>SUM(C6:C56)</f>
        <v>7026005062.1999969</v>
      </c>
      <c r="D57" s="7">
        <f>SUM(D6:D56)</f>
        <v>7026005062.1999979</v>
      </c>
      <c r="E57" s="7">
        <f>SUM(E6:E56)</f>
        <v>2.4978071451187134E-6</v>
      </c>
      <c r="F57" s="184">
        <f t="shared" si="4"/>
        <v>1.3573493158111013E-16</v>
      </c>
      <c r="G57" s="7">
        <f t="shared" ref="G57:L57" si="13">SUM(G6:G56)</f>
        <v>2690808434.1058588</v>
      </c>
      <c r="H57" s="7">
        <f t="shared" si="13"/>
        <v>287961897.95368832</v>
      </c>
      <c r="I57" s="7">
        <f t="shared" si="13"/>
        <v>4623158526.0478296</v>
      </c>
      <c r="J57" s="7">
        <f t="shared" si="13"/>
        <v>287961897.95369083</v>
      </c>
      <c r="K57" s="7">
        <f t="shared" si="13"/>
        <v>287961897.95368832</v>
      </c>
      <c r="L57" s="7">
        <f t="shared" si="13"/>
        <v>7026005062.1999998</v>
      </c>
      <c r="M57" s="184">
        <f t="shared" si="12"/>
        <v>2.3966154187857743E-2</v>
      </c>
      <c r="N57" s="181">
        <f>SUM(N6:N56)</f>
        <v>1</v>
      </c>
    </row>
    <row r="58" spans="1:14" ht="15" thickTop="1" x14ac:dyDescent="0.2">
      <c r="D58" s="200">
        <f>+(D57-B57)/B57</f>
        <v>2.3966154187857462E-2</v>
      </c>
      <c r="F58" s="189"/>
      <c r="G58" s="189"/>
      <c r="H58" s="189"/>
      <c r="I58" s="190"/>
      <c r="J58" s="189"/>
      <c r="K58" s="189"/>
      <c r="L58" s="191"/>
      <c r="M58" s="189"/>
      <c r="N58" s="192"/>
    </row>
    <row r="59" spans="1:14" x14ac:dyDescent="0.2">
      <c r="A59" s="95" t="s">
        <v>191</v>
      </c>
      <c r="D59" s="193"/>
      <c r="F59" s="194"/>
    </row>
    <row r="60" spans="1:14" x14ac:dyDescent="0.2">
      <c r="A60" s="95" t="s">
        <v>207</v>
      </c>
      <c r="D60" s="195"/>
      <c r="E60" s="196"/>
    </row>
    <row r="61" spans="1:14" x14ac:dyDescent="0.2">
      <c r="G61" s="200" t="s">
        <v>192</v>
      </c>
    </row>
    <row r="64" spans="1:14" x14ac:dyDescent="0.2">
      <c r="K64" s="197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6:M56">
    <cfRule type="cellIs" dxfId="0" priority="1" operator="lessThan">
      <formula>$G$4-0.00001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Footer>&amp;RMemoria de Cálculo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Ene-Dic 2017</vt:lpstr>
      <vt:lpstr>Part Estim 2018</vt:lpstr>
      <vt:lpstr>Dist Estim 2018</vt:lpstr>
      <vt:lpstr>COEF Art 14 F I</vt:lpstr>
      <vt:lpstr>COEF Art 14 F II</vt:lpstr>
      <vt:lpstr>CALCULO GARANTIA</vt:lpstr>
      <vt:lpstr>'CALCULO GARANTIA'!Área_de_impresión</vt:lpstr>
      <vt:lpstr>'COEF Art 14 F I'!Área_de_impresión</vt:lpstr>
      <vt:lpstr>'COEF Art 14 F II'!Área_de_impresión</vt:lpstr>
      <vt:lpstr>'Dist Estim 2018'!Área_de_impresión</vt:lpstr>
      <vt:lpstr>'Ene-Dic 2017'!Área_de_impresión</vt:lpstr>
      <vt:lpstr>'Part Estim 2018'!Área_de_impresión</vt:lpstr>
      <vt:lpstr>'COEF Art 14 F I'!Títulos_a_imprimir</vt:lpstr>
      <vt:lpstr>'Dist Estim 2018'!Títulos_a_imprimir</vt:lpstr>
      <vt:lpstr>'Ene-Dic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2018-02-01T00:00:21Z</cp:lastPrinted>
  <dcterms:created xsi:type="dcterms:W3CDTF">2009-12-17T23:31:03Z</dcterms:created>
  <dcterms:modified xsi:type="dcterms:W3CDTF">2018-02-09T15:17:19Z</dcterms:modified>
</cp:coreProperties>
</file>