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PARTICIPACIONES TRIMESTRALES 2018 FEDERALES\AJUSTE 2018\"/>
    </mc:Choice>
  </mc:AlternateContent>
  <bookViews>
    <workbookView xWindow="0" yWindow="1290" windowWidth="10530" windowHeight="6855"/>
  </bookViews>
  <sheets>
    <sheet name="PART 1er sem 2018" sheetId="41" r:id="rId1"/>
    <sheet name="Dist 1er sem" sheetId="42" r:id="rId2"/>
    <sheet name="COEF Art 14 F I" sheetId="1" r:id="rId3"/>
    <sheet name="COEF Art 14 F II" sheetId="36" r:id="rId4"/>
    <sheet name="ESTIMACIÓN 2018" sheetId="39" r:id="rId5"/>
    <sheet name="CALCULO GARANTIA" sheetId="28" r:id="rId6"/>
    <sheet name="Dist 1 sem coef 1" sheetId="43" r:id="rId7"/>
    <sheet name="ajuste 1er sem" sheetId="44" r:id="rId8"/>
  </sheets>
  <externalReferences>
    <externalReference r:id="rId9"/>
    <externalReference r:id="rId10"/>
  </externalReferences>
  <definedNames>
    <definedName name="_xlnm._FilterDatabase" localSheetId="7" hidden="1">'ajuste 1er sem'!#REF!</definedName>
    <definedName name="_xlnm._FilterDatabase" localSheetId="6" hidden="1">'Dist 1 sem coef 1'!#REF!</definedName>
    <definedName name="_xlnm._FilterDatabase" localSheetId="1" hidden="1">'Dist 1er sem'!#REF!</definedName>
    <definedName name="A_impresión_IM" localSheetId="7">#REF!</definedName>
    <definedName name="A_impresión_IM" localSheetId="5">#REF!</definedName>
    <definedName name="A_impresión_IM" localSheetId="3">#REF!</definedName>
    <definedName name="A_impresión_IM" localSheetId="6">#REF!</definedName>
    <definedName name="A_impresión_IM" localSheetId="1">#REF!</definedName>
    <definedName name="A_impresión_IM" localSheetId="4">#REF!</definedName>
    <definedName name="A_impresión_IM" localSheetId="0">#REF!</definedName>
    <definedName name="A_impresión_IM">#REF!</definedName>
    <definedName name="AJUSTES" localSheetId="7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1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5">'CALCULO GARANTIA'!$A$1:$N$61</definedName>
    <definedName name="_xlnm.Print_Area" localSheetId="2">'COEF Art 14 F I'!$A$3:$AQ$61</definedName>
    <definedName name="_xlnm.Print_Area" localSheetId="3">'COEF Art 14 F II'!$A$3:$N$63</definedName>
    <definedName name="_xlnm.Print_Area" localSheetId="6">'Dist 1 sem coef 1'!$A$1:$J$58</definedName>
    <definedName name="_xlnm.Print_Area" localSheetId="1">'Dist 1er sem'!$A$1:$K$60</definedName>
    <definedName name="_xlnm.Print_Area" localSheetId="4">'ESTIMACIÓN 2018'!$A$1:$R$13</definedName>
    <definedName name="_xlnm.Print_Area" localSheetId="0">'PART 1er sem 2018'!$A$1:$J$14</definedName>
    <definedName name="_xlnm.Database" localSheetId="7">#REF!</definedName>
    <definedName name="_xlnm.Database" localSheetId="5">#REF!</definedName>
    <definedName name="_xlnm.Database" localSheetId="3">#REF!</definedName>
    <definedName name="_xlnm.Database" localSheetId="6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cierre_2001" localSheetId="7">'[1]deuda c sadm'!#REF!</definedName>
    <definedName name="cierre_2001" localSheetId="3">'[1]deuda c sadm'!#REF!</definedName>
    <definedName name="cierre_2001" localSheetId="6">'[1]deuda c sadm'!#REF!</definedName>
    <definedName name="cierre_2001" localSheetId="1">'[1]deuda c sadm'!#REF!</definedName>
    <definedName name="cierre_2001" localSheetId="4">'[1]deuda c sadm'!#REF!</definedName>
    <definedName name="cierre_2001" localSheetId="0">'[1]deuda c sadm'!#REF!</definedName>
    <definedName name="cierre_2001">'[1]deuda c sadm'!#REF!</definedName>
    <definedName name="deuda" localSheetId="7">'[1]deuda c sadm'!#REF!</definedName>
    <definedName name="deuda" localSheetId="3">'[1]deuda c sadm'!#REF!</definedName>
    <definedName name="deuda" localSheetId="6">'[1]deuda c sadm'!#REF!</definedName>
    <definedName name="deuda" localSheetId="1">'[1]deuda c sadm'!#REF!</definedName>
    <definedName name="deuda" localSheetId="4">'[1]deuda c sadm'!#REF!</definedName>
    <definedName name="deuda" localSheetId="0">'[1]deuda c sadm'!#REF!</definedName>
    <definedName name="deuda">'[1]deuda c sadm'!#REF!</definedName>
    <definedName name="Deuda_ingTot" localSheetId="7">'[1]deuda c sadm'!#REF!</definedName>
    <definedName name="Deuda_ingTot" localSheetId="3">'[1]deuda c sadm'!#REF!</definedName>
    <definedName name="Deuda_ingTot" localSheetId="6">'[1]deuda c sadm'!#REF!</definedName>
    <definedName name="Deuda_ingTot" localSheetId="1">'[1]deuda c sadm'!#REF!</definedName>
    <definedName name="Deuda_ingTot" localSheetId="4">'[1]deuda c sadm'!#REF!</definedName>
    <definedName name="Deuda_ingTot" localSheetId="0">'[1]deuda c sadm'!#REF!</definedName>
    <definedName name="Deuda_ingTot">'[1]deuda c sadm'!#REF!</definedName>
    <definedName name="ENERO" localSheetId="7">#REF!</definedName>
    <definedName name="ENERO" localSheetId="5">#REF!</definedName>
    <definedName name="ENERO" localSheetId="3">#REF!</definedName>
    <definedName name="ENERO" localSheetId="6">#REF!</definedName>
    <definedName name="ENERO" localSheetId="1">#REF!</definedName>
    <definedName name="ENERO" localSheetId="4">#REF!</definedName>
    <definedName name="ENERO" localSheetId="0">#REF!</definedName>
    <definedName name="ENERO">#REF!</definedName>
    <definedName name="ENEROAJUSTE" localSheetId="7">#REF!</definedName>
    <definedName name="ENEROAJUSTE" localSheetId="6">#REF!</definedName>
    <definedName name="ENEROAJUSTE">#REF!</definedName>
    <definedName name="Fto_1" localSheetId="7">#REF!</definedName>
    <definedName name="Fto_1" localSheetId="5">#REF!</definedName>
    <definedName name="Fto_1" localSheetId="3">#REF!</definedName>
    <definedName name="Fto_1" localSheetId="6">#REF!</definedName>
    <definedName name="Fto_1" localSheetId="1">#REF!</definedName>
    <definedName name="Fto_1" localSheetId="4">#REF!</definedName>
    <definedName name="Fto_1" localSheetId="0">#REF!</definedName>
    <definedName name="Fto_1">#REF!</definedName>
    <definedName name="HTML_CodePage" hidden="1">1252</definedName>
    <definedName name="HTML_Control" localSheetId="7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1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7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1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7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1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7">#REF!</definedName>
    <definedName name="Notas_Fto_1" localSheetId="3">#REF!</definedName>
    <definedName name="Notas_Fto_1" localSheetId="6">#REF!</definedName>
    <definedName name="Notas_Fto_1" localSheetId="1">#REF!</definedName>
    <definedName name="Notas_Fto_1" localSheetId="4">#REF!</definedName>
    <definedName name="Notas_Fto_1" localSheetId="0">#REF!</definedName>
    <definedName name="Notas_Fto_1">#REF!</definedName>
    <definedName name="Partidas">[2]TECHO!$B$1:$Q$2798</definedName>
    <definedName name="SINAJUSTE" localSheetId="7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1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7">#REF!</definedName>
    <definedName name="t" localSheetId="6">#REF!</definedName>
    <definedName name="t" localSheetId="1">#REF!</definedName>
    <definedName name="t" localSheetId="4">#REF!</definedName>
    <definedName name="t" localSheetId="0">#REF!</definedName>
    <definedName name="t">#REF!</definedName>
    <definedName name="_xlnm.Print_Titles" localSheetId="7">'ajuste 1er sem'!$1:$4</definedName>
    <definedName name="_xlnm.Print_Titles" localSheetId="2">'COEF Art 14 F I'!$A:$A,'COEF Art 14 F I'!$3:$3</definedName>
    <definedName name="_xlnm.Print_Titles" localSheetId="6">'Dist 1 sem coef 1'!$1:$4</definedName>
    <definedName name="_xlnm.Print_Titles" localSheetId="1">'Dist 1er sem'!$1:$4</definedName>
    <definedName name="TOT" localSheetId="7">#REF!</definedName>
    <definedName name="TOT" localSheetId="3">#REF!</definedName>
    <definedName name="TOT" localSheetId="6">#REF!</definedName>
    <definedName name="TOT" localSheetId="1">#REF!</definedName>
    <definedName name="TOT" localSheetId="4">#REF!</definedName>
    <definedName name="TOT" localSheetId="0">#REF!</definedName>
    <definedName name="TOT">#REF!</definedName>
    <definedName name="TOTAL" localSheetId="7">#REF!</definedName>
    <definedName name="TOTAL" localSheetId="3">#REF!</definedName>
    <definedName name="TOTAL" localSheetId="6">#REF!</definedName>
    <definedName name="TOTAL" localSheetId="1">#REF!</definedName>
    <definedName name="TOTAL" localSheetId="4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B7" i="42" l="1"/>
  <c r="D8" i="43" l="1"/>
  <c r="D8" i="44" s="1"/>
  <c r="E8" i="43"/>
  <c r="E8" i="44" s="1"/>
  <c r="F8" i="43"/>
  <c r="F8" i="44" s="1"/>
  <c r="G8" i="43"/>
  <c r="G8" i="44" s="1"/>
  <c r="H8" i="43"/>
  <c r="H8" i="44" s="1"/>
  <c r="I8" i="43"/>
  <c r="I8" i="44" s="1"/>
  <c r="D9" i="43"/>
  <c r="D9" i="44" s="1"/>
  <c r="E9" i="43"/>
  <c r="E9" i="44" s="1"/>
  <c r="F9" i="43"/>
  <c r="F9" i="44" s="1"/>
  <c r="G9" i="43"/>
  <c r="G9" i="44" s="1"/>
  <c r="H9" i="43"/>
  <c r="H9" i="44" s="1"/>
  <c r="I9" i="43"/>
  <c r="I9" i="44" s="1"/>
  <c r="D10" i="43"/>
  <c r="D10" i="44" s="1"/>
  <c r="E10" i="43"/>
  <c r="E10" i="44" s="1"/>
  <c r="F10" i="43"/>
  <c r="F10" i="44" s="1"/>
  <c r="G10" i="43"/>
  <c r="G10" i="44" s="1"/>
  <c r="H10" i="43"/>
  <c r="H10" i="44" s="1"/>
  <c r="I10" i="43"/>
  <c r="I10" i="44" s="1"/>
  <c r="D11" i="43"/>
  <c r="D11" i="44" s="1"/>
  <c r="E11" i="43"/>
  <c r="E11" i="44" s="1"/>
  <c r="F11" i="43"/>
  <c r="F11" i="44" s="1"/>
  <c r="G11" i="43"/>
  <c r="G11" i="44" s="1"/>
  <c r="H11" i="43"/>
  <c r="H11" i="44" s="1"/>
  <c r="I11" i="43"/>
  <c r="I11" i="44" s="1"/>
  <c r="D12" i="43"/>
  <c r="D12" i="44" s="1"/>
  <c r="E12" i="43"/>
  <c r="E12" i="44" s="1"/>
  <c r="F12" i="43"/>
  <c r="F12" i="44" s="1"/>
  <c r="G12" i="43"/>
  <c r="G12" i="44" s="1"/>
  <c r="H12" i="43"/>
  <c r="H12" i="44" s="1"/>
  <c r="I12" i="43"/>
  <c r="I12" i="44" s="1"/>
  <c r="D13" i="43"/>
  <c r="D13" i="44" s="1"/>
  <c r="E13" i="43"/>
  <c r="E13" i="44" s="1"/>
  <c r="F13" i="43"/>
  <c r="F13" i="44" s="1"/>
  <c r="G13" i="43"/>
  <c r="G13" i="44" s="1"/>
  <c r="H13" i="43"/>
  <c r="H13" i="44" s="1"/>
  <c r="I13" i="43"/>
  <c r="I13" i="44" s="1"/>
  <c r="D14" i="43"/>
  <c r="D14" i="44" s="1"/>
  <c r="E14" i="43"/>
  <c r="E14" i="44" s="1"/>
  <c r="F14" i="43"/>
  <c r="F14" i="44" s="1"/>
  <c r="G14" i="43"/>
  <c r="G14" i="44" s="1"/>
  <c r="H14" i="43"/>
  <c r="H14" i="44" s="1"/>
  <c r="I14" i="43"/>
  <c r="I14" i="44" s="1"/>
  <c r="D15" i="43"/>
  <c r="D15" i="44" s="1"/>
  <c r="E15" i="43"/>
  <c r="E15" i="44" s="1"/>
  <c r="F15" i="43"/>
  <c r="F15" i="44" s="1"/>
  <c r="G15" i="43"/>
  <c r="G15" i="44" s="1"/>
  <c r="H15" i="43"/>
  <c r="H15" i="44" s="1"/>
  <c r="I15" i="43"/>
  <c r="I15" i="44" s="1"/>
  <c r="D16" i="43"/>
  <c r="D16" i="44" s="1"/>
  <c r="E16" i="43"/>
  <c r="E16" i="44" s="1"/>
  <c r="F16" i="43"/>
  <c r="F16" i="44" s="1"/>
  <c r="G16" i="43"/>
  <c r="G16" i="44" s="1"/>
  <c r="H16" i="43"/>
  <c r="H16" i="44" s="1"/>
  <c r="I16" i="43"/>
  <c r="I16" i="44" s="1"/>
  <c r="D17" i="43"/>
  <c r="D17" i="44" s="1"/>
  <c r="E17" i="43"/>
  <c r="E17" i="44" s="1"/>
  <c r="F17" i="43"/>
  <c r="F17" i="44" s="1"/>
  <c r="G17" i="43"/>
  <c r="G17" i="44" s="1"/>
  <c r="H17" i="43"/>
  <c r="H17" i="44" s="1"/>
  <c r="I17" i="43"/>
  <c r="I17" i="44" s="1"/>
  <c r="D18" i="43"/>
  <c r="D18" i="44" s="1"/>
  <c r="E18" i="43"/>
  <c r="E18" i="44" s="1"/>
  <c r="F18" i="43"/>
  <c r="F18" i="44" s="1"/>
  <c r="G18" i="43"/>
  <c r="G18" i="44" s="1"/>
  <c r="H18" i="43"/>
  <c r="H18" i="44" s="1"/>
  <c r="I18" i="43"/>
  <c r="I18" i="44" s="1"/>
  <c r="D19" i="43"/>
  <c r="D19" i="44" s="1"/>
  <c r="E19" i="43"/>
  <c r="E19" i="44" s="1"/>
  <c r="F19" i="43"/>
  <c r="F19" i="44" s="1"/>
  <c r="G19" i="43"/>
  <c r="G19" i="44" s="1"/>
  <c r="H19" i="43"/>
  <c r="H19" i="44" s="1"/>
  <c r="I19" i="43"/>
  <c r="I19" i="44" s="1"/>
  <c r="D20" i="43"/>
  <c r="D20" i="44" s="1"/>
  <c r="E20" i="43"/>
  <c r="E20" i="44" s="1"/>
  <c r="F20" i="43"/>
  <c r="F20" i="44" s="1"/>
  <c r="G20" i="43"/>
  <c r="G20" i="44" s="1"/>
  <c r="H20" i="43"/>
  <c r="H20" i="44" s="1"/>
  <c r="I20" i="43"/>
  <c r="I20" i="44" s="1"/>
  <c r="D21" i="43"/>
  <c r="D21" i="44" s="1"/>
  <c r="E21" i="43"/>
  <c r="E21" i="44" s="1"/>
  <c r="F21" i="43"/>
  <c r="F21" i="44" s="1"/>
  <c r="G21" i="43"/>
  <c r="G21" i="44" s="1"/>
  <c r="H21" i="43"/>
  <c r="H21" i="44" s="1"/>
  <c r="I21" i="43"/>
  <c r="I21" i="44" s="1"/>
  <c r="D22" i="43"/>
  <c r="D22" i="44" s="1"/>
  <c r="E22" i="43"/>
  <c r="E22" i="44" s="1"/>
  <c r="F22" i="43"/>
  <c r="F22" i="44" s="1"/>
  <c r="G22" i="43"/>
  <c r="G22" i="44" s="1"/>
  <c r="H22" i="43"/>
  <c r="H22" i="44" s="1"/>
  <c r="I22" i="43"/>
  <c r="I22" i="44" s="1"/>
  <c r="D23" i="43"/>
  <c r="D23" i="44" s="1"/>
  <c r="E23" i="43"/>
  <c r="E23" i="44" s="1"/>
  <c r="F23" i="43"/>
  <c r="F23" i="44" s="1"/>
  <c r="G23" i="43"/>
  <c r="G23" i="44" s="1"/>
  <c r="H23" i="43"/>
  <c r="H23" i="44" s="1"/>
  <c r="I23" i="43"/>
  <c r="I23" i="44" s="1"/>
  <c r="D24" i="43"/>
  <c r="D24" i="44" s="1"/>
  <c r="E24" i="43"/>
  <c r="E24" i="44" s="1"/>
  <c r="F24" i="43"/>
  <c r="F24" i="44" s="1"/>
  <c r="G24" i="43"/>
  <c r="G24" i="44" s="1"/>
  <c r="H24" i="43"/>
  <c r="H24" i="44" s="1"/>
  <c r="I24" i="43"/>
  <c r="I24" i="44" s="1"/>
  <c r="D25" i="43"/>
  <c r="D25" i="44" s="1"/>
  <c r="E25" i="43"/>
  <c r="E25" i="44" s="1"/>
  <c r="F25" i="43"/>
  <c r="F25" i="44" s="1"/>
  <c r="G25" i="43"/>
  <c r="G25" i="44" s="1"/>
  <c r="H25" i="43"/>
  <c r="H25" i="44" s="1"/>
  <c r="I25" i="43"/>
  <c r="I25" i="44" s="1"/>
  <c r="D26" i="43"/>
  <c r="D26" i="44" s="1"/>
  <c r="E26" i="43"/>
  <c r="E26" i="44" s="1"/>
  <c r="F26" i="43"/>
  <c r="F26" i="44" s="1"/>
  <c r="G26" i="43"/>
  <c r="G26" i="44" s="1"/>
  <c r="H26" i="43"/>
  <c r="H26" i="44" s="1"/>
  <c r="I26" i="43"/>
  <c r="I26" i="44" s="1"/>
  <c r="D27" i="43"/>
  <c r="D27" i="44" s="1"/>
  <c r="E27" i="43"/>
  <c r="E27" i="44" s="1"/>
  <c r="F27" i="43"/>
  <c r="F27" i="44" s="1"/>
  <c r="G27" i="43"/>
  <c r="G27" i="44" s="1"/>
  <c r="H27" i="43"/>
  <c r="H27" i="44" s="1"/>
  <c r="I27" i="43"/>
  <c r="I27" i="44" s="1"/>
  <c r="D28" i="43"/>
  <c r="D28" i="44" s="1"/>
  <c r="E28" i="43"/>
  <c r="E28" i="44" s="1"/>
  <c r="F28" i="43"/>
  <c r="F28" i="44" s="1"/>
  <c r="G28" i="43"/>
  <c r="G28" i="44" s="1"/>
  <c r="H28" i="43"/>
  <c r="H28" i="44" s="1"/>
  <c r="I28" i="43"/>
  <c r="I28" i="44" s="1"/>
  <c r="D29" i="43"/>
  <c r="D29" i="44" s="1"/>
  <c r="E29" i="43"/>
  <c r="E29" i="44" s="1"/>
  <c r="F29" i="43"/>
  <c r="F29" i="44" s="1"/>
  <c r="G29" i="43"/>
  <c r="G29" i="44" s="1"/>
  <c r="H29" i="43"/>
  <c r="H29" i="44" s="1"/>
  <c r="I29" i="43"/>
  <c r="I29" i="44" s="1"/>
  <c r="D30" i="43"/>
  <c r="D30" i="44" s="1"/>
  <c r="E30" i="43"/>
  <c r="E30" i="44" s="1"/>
  <c r="F30" i="43"/>
  <c r="F30" i="44" s="1"/>
  <c r="G30" i="43"/>
  <c r="G30" i="44" s="1"/>
  <c r="H30" i="43"/>
  <c r="H30" i="44" s="1"/>
  <c r="I30" i="43"/>
  <c r="I30" i="44" s="1"/>
  <c r="D31" i="43"/>
  <c r="D31" i="44" s="1"/>
  <c r="E31" i="43"/>
  <c r="E31" i="44" s="1"/>
  <c r="F31" i="43"/>
  <c r="F31" i="44" s="1"/>
  <c r="G31" i="43"/>
  <c r="G31" i="44" s="1"/>
  <c r="H31" i="43"/>
  <c r="H31" i="44" s="1"/>
  <c r="I31" i="43"/>
  <c r="I31" i="44" s="1"/>
  <c r="D32" i="43"/>
  <c r="D32" i="44" s="1"/>
  <c r="E32" i="43"/>
  <c r="E32" i="44" s="1"/>
  <c r="F32" i="43"/>
  <c r="F32" i="44" s="1"/>
  <c r="G32" i="43"/>
  <c r="G32" i="44" s="1"/>
  <c r="H32" i="43"/>
  <c r="H32" i="44" s="1"/>
  <c r="I32" i="43"/>
  <c r="I32" i="44" s="1"/>
  <c r="D33" i="43"/>
  <c r="D33" i="44" s="1"/>
  <c r="E33" i="43"/>
  <c r="E33" i="44" s="1"/>
  <c r="F33" i="43"/>
  <c r="F33" i="44" s="1"/>
  <c r="G33" i="43"/>
  <c r="G33" i="44" s="1"/>
  <c r="H33" i="43"/>
  <c r="H33" i="44" s="1"/>
  <c r="I33" i="43"/>
  <c r="I33" i="44" s="1"/>
  <c r="D34" i="43"/>
  <c r="D34" i="44" s="1"/>
  <c r="E34" i="43"/>
  <c r="E34" i="44" s="1"/>
  <c r="F34" i="43"/>
  <c r="F34" i="44" s="1"/>
  <c r="G34" i="43"/>
  <c r="G34" i="44" s="1"/>
  <c r="H34" i="43"/>
  <c r="H34" i="44" s="1"/>
  <c r="I34" i="43"/>
  <c r="I34" i="44" s="1"/>
  <c r="D35" i="43"/>
  <c r="D35" i="44" s="1"/>
  <c r="E35" i="43"/>
  <c r="E35" i="44" s="1"/>
  <c r="F35" i="43"/>
  <c r="F35" i="44" s="1"/>
  <c r="G35" i="43"/>
  <c r="G35" i="44" s="1"/>
  <c r="H35" i="43"/>
  <c r="H35" i="44" s="1"/>
  <c r="I35" i="43"/>
  <c r="I35" i="44" s="1"/>
  <c r="D36" i="43"/>
  <c r="D36" i="44" s="1"/>
  <c r="E36" i="43"/>
  <c r="E36" i="44" s="1"/>
  <c r="F36" i="43"/>
  <c r="F36" i="44" s="1"/>
  <c r="G36" i="43"/>
  <c r="G36" i="44" s="1"/>
  <c r="H36" i="43"/>
  <c r="H36" i="44" s="1"/>
  <c r="I36" i="43"/>
  <c r="I36" i="44" s="1"/>
  <c r="D37" i="43"/>
  <c r="D37" i="44" s="1"/>
  <c r="E37" i="43"/>
  <c r="E37" i="44" s="1"/>
  <c r="F37" i="43"/>
  <c r="F37" i="44" s="1"/>
  <c r="G37" i="43"/>
  <c r="G37" i="44" s="1"/>
  <c r="H37" i="43"/>
  <c r="H37" i="44" s="1"/>
  <c r="I37" i="43"/>
  <c r="I37" i="44" s="1"/>
  <c r="D38" i="43"/>
  <c r="D38" i="44" s="1"/>
  <c r="E38" i="43"/>
  <c r="E38" i="44" s="1"/>
  <c r="F38" i="43"/>
  <c r="F38" i="44" s="1"/>
  <c r="G38" i="43"/>
  <c r="G38" i="44" s="1"/>
  <c r="H38" i="43"/>
  <c r="H38" i="44" s="1"/>
  <c r="I38" i="43"/>
  <c r="I38" i="44" s="1"/>
  <c r="D39" i="43"/>
  <c r="D39" i="44" s="1"/>
  <c r="E39" i="43"/>
  <c r="E39" i="44" s="1"/>
  <c r="F39" i="43"/>
  <c r="F39" i="44" s="1"/>
  <c r="G39" i="43"/>
  <c r="G39" i="44" s="1"/>
  <c r="H39" i="43"/>
  <c r="H39" i="44" s="1"/>
  <c r="I39" i="43"/>
  <c r="I39" i="44" s="1"/>
  <c r="D40" i="43"/>
  <c r="D40" i="44" s="1"/>
  <c r="E40" i="43"/>
  <c r="E40" i="44" s="1"/>
  <c r="F40" i="43"/>
  <c r="F40" i="44" s="1"/>
  <c r="G40" i="43"/>
  <c r="G40" i="44" s="1"/>
  <c r="H40" i="43"/>
  <c r="H40" i="44" s="1"/>
  <c r="I40" i="43"/>
  <c r="I40" i="44" s="1"/>
  <c r="D41" i="43"/>
  <c r="D41" i="44" s="1"/>
  <c r="E41" i="43"/>
  <c r="E41" i="44" s="1"/>
  <c r="F41" i="43"/>
  <c r="F41" i="44" s="1"/>
  <c r="G41" i="43"/>
  <c r="G41" i="44" s="1"/>
  <c r="H41" i="43"/>
  <c r="H41" i="44" s="1"/>
  <c r="I41" i="43"/>
  <c r="I41" i="44" s="1"/>
  <c r="D42" i="43"/>
  <c r="D42" i="44" s="1"/>
  <c r="E42" i="43"/>
  <c r="E42" i="44" s="1"/>
  <c r="F42" i="43"/>
  <c r="F42" i="44" s="1"/>
  <c r="G42" i="43"/>
  <c r="G42" i="44" s="1"/>
  <c r="H42" i="43"/>
  <c r="H42" i="44" s="1"/>
  <c r="I42" i="43"/>
  <c r="I42" i="44" s="1"/>
  <c r="D43" i="43"/>
  <c r="D43" i="44" s="1"/>
  <c r="E43" i="43"/>
  <c r="E43" i="44" s="1"/>
  <c r="F43" i="43"/>
  <c r="F43" i="44" s="1"/>
  <c r="G43" i="43"/>
  <c r="G43" i="44" s="1"/>
  <c r="H43" i="43"/>
  <c r="H43" i="44" s="1"/>
  <c r="I43" i="43"/>
  <c r="I43" i="44" s="1"/>
  <c r="D44" i="43"/>
  <c r="D44" i="44" s="1"/>
  <c r="E44" i="43"/>
  <c r="E44" i="44" s="1"/>
  <c r="F44" i="43"/>
  <c r="F44" i="44" s="1"/>
  <c r="G44" i="43"/>
  <c r="G44" i="44" s="1"/>
  <c r="H44" i="43"/>
  <c r="H44" i="44" s="1"/>
  <c r="I44" i="43"/>
  <c r="I44" i="44" s="1"/>
  <c r="D45" i="43"/>
  <c r="D45" i="44" s="1"/>
  <c r="E45" i="43"/>
  <c r="E45" i="44" s="1"/>
  <c r="F45" i="43"/>
  <c r="F45" i="44" s="1"/>
  <c r="G45" i="43"/>
  <c r="G45" i="44" s="1"/>
  <c r="H45" i="43"/>
  <c r="H45" i="44" s="1"/>
  <c r="I45" i="43"/>
  <c r="I45" i="44" s="1"/>
  <c r="D46" i="43"/>
  <c r="D46" i="44" s="1"/>
  <c r="E46" i="43"/>
  <c r="E46" i="44" s="1"/>
  <c r="F46" i="43"/>
  <c r="F46" i="44" s="1"/>
  <c r="G46" i="43"/>
  <c r="G46" i="44" s="1"/>
  <c r="H46" i="43"/>
  <c r="H46" i="44" s="1"/>
  <c r="I46" i="43"/>
  <c r="I46" i="44" s="1"/>
  <c r="D47" i="43"/>
  <c r="D47" i="44" s="1"/>
  <c r="E47" i="43"/>
  <c r="E47" i="44" s="1"/>
  <c r="F47" i="43"/>
  <c r="F47" i="44" s="1"/>
  <c r="G47" i="43"/>
  <c r="G47" i="44" s="1"/>
  <c r="H47" i="43"/>
  <c r="H47" i="44" s="1"/>
  <c r="I47" i="43"/>
  <c r="I47" i="44" s="1"/>
  <c r="D48" i="43"/>
  <c r="D48" i="44" s="1"/>
  <c r="E48" i="43"/>
  <c r="E48" i="44" s="1"/>
  <c r="F48" i="43"/>
  <c r="F48" i="44" s="1"/>
  <c r="G48" i="43"/>
  <c r="G48" i="44" s="1"/>
  <c r="H48" i="43"/>
  <c r="H48" i="44" s="1"/>
  <c r="I48" i="43"/>
  <c r="I48" i="44" s="1"/>
  <c r="D49" i="43"/>
  <c r="D49" i="44" s="1"/>
  <c r="E49" i="43"/>
  <c r="E49" i="44" s="1"/>
  <c r="F49" i="43"/>
  <c r="F49" i="44" s="1"/>
  <c r="G49" i="43"/>
  <c r="G49" i="44" s="1"/>
  <c r="H49" i="43"/>
  <c r="H49" i="44" s="1"/>
  <c r="I49" i="43"/>
  <c r="I49" i="44" s="1"/>
  <c r="D50" i="43"/>
  <c r="D50" i="44" s="1"/>
  <c r="E50" i="43"/>
  <c r="E50" i="44" s="1"/>
  <c r="F50" i="43"/>
  <c r="F50" i="44" s="1"/>
  <c r="G50" i="43"/>
  <c r="G50" i="44" s="1"/>
  <c r="H50" i="43"/>
  <c r="H50" i="44" s="1"/>
  <c r="I50" i="43"/>
  <c r="I50" i="44" s="1"/>
  <c r="D51" i="43"/>
  <c r="D51" i="44" s="1"/>
  <c r="E51" i="43"/>
  <c r="E51" i="44" s="1"/>
  <c r="F51" i="43"/>
  <c r="F51" i="44" s="1"/>
  <c r="G51" i="43"/>
  <c r="G51" i="44" s="1"/>
  <c r="H51" i="43"/>
  <c r="H51" i="44" s="1"/>
  <c r="I51" i="43"/>
  <c r="I51" i="44" s="1"/>
  <c r="D52" i="43"/>
  <c r="D52" i="44" s="1"/>
  <c r="E52" i="43"/>
  <c r="E52" i="44" s="1"/>
  <c r="F52" i="43"/>
  <c r="F52" i="44" s="1"/>
  <c r="G52" i="43"/>
  <c r="G52" i="44" s="1"/>
  <c r="H52" i="43"/>
  <c r="H52" i="44" s="1"/>
  <c r="I52" i="43"/>
  <c r="I52" i="44" s="1"/>
  <c r="D53" i="43"/>
  <c r="D53" i="44" s="1"/>
  <c r="E53" i="43"/>
  <c r="E53" i="44" s="1"/>
  <c r="F53" i="43"/>
  <c r="F53" i="44" s="1"/>
  <c r="G53" i="43"/>
  <c r="G53" i="44" s="1"/>
  <c r="H53" i="43"/>
  <c r="H53" i="44" s="1"/>
  <c r="I53" i="43"/>
  <c r="I53" i="44" s="1"/>
  <c r="D54" i="43"/>
  <c r="D54" i="44" s="1"/>
  <c r="E54" i="43"/>
  <c r="E54" i="44" s="1"/>
  <c r="F54" i="43"/>
  <c r="F54" i="44" s="1"/>
  <c r="G54" i="43"/>
  <c r="G54" i="44" s="1"/>
  <c r="H54" i="43"/>
  <c r="H54" i="44" s="1"/>
  <c r="I54" i="43"/>
  <c r="I54" i="44" s="1"/>
  <c r="D55" i="43"/>
  <c r="D55" i="44" s="1"/>
  <c r="E55" i="43"/>
  <c r="E55" i="44" s="1"/>
  <c r="F55" i="43"/>
  <c r="F55" i="44" s="1"/>
  <c r="G55" i="43"/>
  <c r="G55" i="44" s="1"/>
  <c r="H55" i="43"/>
  <c r="H55" i="44" s="1"/>
  <c r="I55" i="43"/>
  <c r="I55" i="44" s="1"/>
  <c r="D56" i="43"/>
  <c r="D56" i="44" s="1"/>
  <c r="E56" i="43"/>
  <c r="E56" i="44" s="1"/>
  <c r="F56" i="43"/>
  <c r="F56" i="44" s="1"/>
  <c r="G56" i="43"/>
  <c r="G56" i="44" s="1"/>
  <c r="H56" i="43"/>
  <c r="H56" i="44" s="1"/>
  <c r="I56" i="43"/>
  <c r="I56" i="44" s="1"/>
  <c r="D57" i="43"/>
  <c r="D57" i="44" s="1"/>
  <c r="E57" i="43"/>
  <c r="E57" i="44" s="1"/>
  <c r="F57" i="43"/>
  <c r="F57" i="44" s="1"/>
  <c r="G57" i="43"/>
  <c r="G57" i="44" s="1"/>
  <c r="H57" i="43"/>
  <c r="H57" i="44" s="1"/>
  <c r="I57" i="43"/>
  <c r="I57" i="44" s="1"/>
  <c r="I7" i="43"/>
  <c r="I7" i="44" s="1"/>
  <c r="H7" i="43"/>
  <c r="H7" i="44" s="1"/>
  <c r="G7" i="43"/>
  <c r="G7" i="44" s="1"/>
  <c r="F7" i="43"/>
  <c r="F7" i="44" s="1"/>
  <c r="E7" i="43"/>
  <c r="E7" i="44" s="1"/>
  <c r="D7" i="43"/>
  <c r="D7" i="44" s="1"/>
  <c r="D58" i="44" s="1"/>
  <c r="C8" i="43"/>
  <c r="C8" i="44" s="1"/>
  <c r="C9" i="43"/>
  <c r="C9" i="44" s="1"/>
  <c r="C10" i="43"/>
  <c r="C10" i="44" s="1"/>
  <c r="C11" i="43"/>
  <c r="C11" i="44" s="1"/>
  <c r="C12" i="43"/>
  <c r="C12" i="44" s="1"/>
  <c r="C13" i="43"/>
  <c r="C13" i="44" s="1"/>
  <c r="C14" i="43"/>
  <c r="C14" i="44" s="1"/>
  <c r="C15" i="43"/>
  <c r="C15" i="44" s="1"/>
  <c r="C16" i="43"/>
  <c r="C16" i="44" s="1"/>
  <c r="C17" i="43"/>
  <c r="C17" i="44" s="1"/>
  <c r="C18" i="43"/>
  <c r="C18" i="44" s="1"/>
  <c r="C19" i="43"/>
  <c r="C19" i="44" s="1"/>
  <c r="C20" i="43"/>
  <c r="C20" i="44" s="1"/>
  <c r="C21" i="43"/>
  <c r="C21" i="44" s="1"/>
  <c r="C22" i="43"/>
  <c r="C22" i="44" s="1"/>
  <c r="C23" i="43"/>
  <c r="C23" i="44" s="1"/>
  <c r="C24" i="43"/>
  <c r="C24" i="44" s="1"/>
  <c r="C25" i="43"/>
  <c r="C25" i="44" s="1"/>
  <c r="C26" i="43"/>
  <c r="C26" i="44" s="1"/>
  <c r="C27" i="43"/>
  <c r="C27" i="44" s="1"/>
  <c r="C28" i="43"/>
  <c r="C28" i="44" s="1"/>
  <c r="C29" i="43"/>
  <c r="C29" i="44" s="1"/>
  <c r="C30" i="43"/>
  <c r="C30" i="44" s="1"/>
  <c r="C31" i="43"/>
  <c r="C31" i="44" s="1"/>
  <c r="C32" i="43"/>
  <c r="C32" i="44" s="1"/>
  <c r="C33" i="43"/>
  <c r="C33" i="44" s="1"/>
  <c r="C34" i="43"/>
  <c r="C34" i="44" s="1"/>
  <c r="C35" i="43"/>
  <c r="C35" i="44" s="1"/>
  <c r="C36" i="43"/>
  <c r="C36" i="44" s="1"/>
  <c r="C37" i="43"/>
  <c r="C37" i="44" s="1"/>
  <c r="C38" i="43"/>
  <c r="C38" i="44" s="1"/>
  <c r="C39" i="43"/>
  <c r="C39" i="44" s="1"/>
  <c r="C40" i="43"/>
  <c r="C40" i="44" s="1"/>
  <c r="C41" i="43"/>
  <c r="C41" i="44" s="1"/>
  <c r="C42" i="43"/>
  <c r="C42" i="44" s="1"/>
  <c r="C43" i="43"/>
  <c r="C43" i="44" s="1"/>
  <c r="C44" i="43"/>
  <c r="C44" i="44" s="1"/>
  <c r="C45" i="43"/>
  <c r="C45" i="44" s="1"/>
  <c r="C46" i="43"/>
  <c r="C46" i="44" s="1"/>
  <c r="C47" i="43"/>
  <c r="C47" i="44" s="1"/>
  <c r="C48" i="43"/>
  <c r="C48" i="44" s="1"/>
  <c r="C49" i="43"/>
  <c r="C49" i="44" s="1"/>
  <c r="C50" i="43"/>
  <c r="C50" i="44" s="1"/>
  <c r="C51" i="43"/>
  <c r="C51" i="44" s="1"/>
  <c r="C52" i="43"/>
  <c r="C52" i="44" s="1"/>
  <c r="C53" i="43"/>
  <c r="C53" i="44" s="1"/>
  <c r="C54" i="43"/>
  <c r="C54" i="44" s="1"/>
  <c r="C55" i="43"/>
  <c r="C55" i="44" s="1"/>
  <c r="C56" i="43"/>
  <c r="C56" i="44" s="1"/>
  <c r="C57" i="43"/>
  <c r="C57" i="44" s="1"/>
  <c r="C7" i="43"/>
  <c r="C7" i="44" s="1"/>
  <c r="B8" i="43"/>
  <c r="B8" i="44" s="1"/>
  <c r="J8" i="44" s="1"/>
  <c r="B9" i="43"/>
  <c r="B9" i="44" s="1"/>
  <c r="J9" i="44" s="1"/>
  <c r="B10" i="43"/>
  <c r="B10" i="44" s="1"/>
  <c r="J10" i="44" s="1"/>
  <c r="B11" i="43"/>
  <c r="B11" i="44" s="1"/>
  <c r="J11" i="44" s="1"/>
  <c r="B12" i="43"/>
  <c r="B12" i="44" s="1"/>
  <c r="J12" i="44" s="1"/>
  <c r="B13" i="43"/>
  <c r="B13" i="44" s="1"/>
  <c r="J13" i="44" s="1"/>
  <c r="B14" i="43"/>
  <c r="B14" i="44" s="1"/>
  <c r="J14" i="44" s="1"/>
  <c r="B15" i="43"/>
  <c r="B15" i="44" s="1"/>
  <c r="J15" i="44" s="1"/>
  <c r="B16" i="43"/>
  <c r="B16" i="44" s="1"/>
  <c r="B17" i="43"/>
  <c r="B17" i="44" s="1"/>
  <c r="J17" i="44" s="1"/>
  <c r="B18" i="43"/>
  <c r="B18" i="44" s="1"/>
  <c r="J18" i="44" s="1"/>
  <c r="B19" i="43"/>
  <c r="B19" i="44" s="1"/>
  <c r="J19" i="44" s="1"/>
  <c r="B20" i="43"/>
  <c r="B20" i="44" s="1"/>
  <c r="B21" i="43"/>
  <c r="B21" i="44" s="1"/>
  <c r="J21" i="44" s="1"/>
  <c r="B22" i="43"/>
  <c r="B22" i="44" s="1"/>
  <c r="J22" i="44" s="1"/>
  <c r="B23" i="43"/>
  <c r="B23" i="44" s="1"/>
  <c r="J23" i="44" s="1"/>
  <c r="B24" i="43"/>
  <c r="B24" i="44" s="1"/>
  <c r="J24" i="44" s="1"/>
  <c r="B25" i="43"/>
  <c r="B25" i="44" s="1"/>
  <c r="J25" i="44" s="1"/>
  <c r="B26" i="43"/>
  <c r="B26" i="44" s="1"/>
  <c r="J26" i="44" s="1"/>
  <c r="B27" i="43"/>
  <c r="B27" i="44" s="1"/>
  <c r="J27" i="44" s="1"/>
  <c r="B28" i="43"/>
  <c r="B28" i="44" s="1"/>
  <c r="B29" i="43"/>
  <c r="B29" i="44" s="1"/>
  <c r="J29" i="44" s="1"/>
  <c r="B30" i="43"/>
  <c r="B30" i="44" s="1"/>
  <c r="J30" i="44" s="1"/>
  <c r="B31" i="43"/>
  <c r="B31" i="44" s="1"/>
  <c r="J31" i="44" s="1"/>
  <c r="B32" i="43"/>
  <c r="B32" i="44" s="1"/>
  <c r="J32" i="44" s="1"/>
  <c r="B33" i="43"/>
  <c r="B33" i="44" s="1"/>
  <c r="J33" i="44" s="1"/>
  <c r="B34" i="43"/>
  <c r="B34" i="44" s="1"/>
  <c r="J34" i="44" s="1"/>
  <c r="B35" i="43"/>
  <c r="B35" i="44" s="1"/>
  <c r="J35" i="44" s="1"/>
  <c r="B36" i="43"/>
  <c r="B36" i="44" s="1"/>
  <c r="B37" i="43"/>
  <c r="B37" i="44" s="1"/>
  <c r="J37" i="44" s="1"/>
  <c r="B38" i="43"/>
  <c r="B38" i="44" s="1"/>
  <c r="J38" i="44" s="1"/>
  <c r="B39" i="43"/>
  <c r="B39" i="44" s="1"/>
  <c r="J39" i="44" s="1"/>
  <c r="B40" i="43"/>
  <c r="B40" i="44" s="1"/>
  <c r="J40" i="44" s="1"/>
  <c r="B41" i="43"/>
  <c r="B41" i="44" s="1"/>
  <c r="J41" i="44" s="1"/>
  <c r="B42" i="43"/>
  <c r="B42" i="44" s="1"/>
  <c r="J42" i="44" s="1"/>
  <c r="B43" i="43"/>
  <c r="B43" i="44" s="1"/>
  <c r="J43" i="44" s="1"/>
  <c r="B44" i="43"/>
  <c r="B44" i="44" s="1"/>
  <c r="B45" i="43"/>
  <c r="B45" i="44" s="1"/>
  <c r="J45" i="44" s="1"/>
  <c r="B46" i="43"/>
  <c r="B46" i="44" s="1"/>
  <c r="J46" i="44" s="1"/>
  <c r="B47" i="43"/>
  <c r="B47" i="44" s="1"/>
  <c r="J47" i="44" s="1"/>
  <c r="B48" i="43"/>
  <c r="B48" i="44" s="1"/>
  <c r="B49" i="43"/>
  <c r="B49" i="44" s="1"/>
  <c r="J49" i="44" s="1"/>
  <c r="B50" i="43"/>
  <c r="B50" i="44" s="1"/>
  <c r="B51" i="43"/>
  <c r="B51" i="44" s="1"/>
  <c r="J51" i="44" s="1"/>
  <c r="B52" i="43"/>
  <c r="B52" i="44" s="1"/>
  <c r="B53" i="43"/>
  <c r="B53" i="44" s="1"/>
  <c r="J53" i="44" s="1"/>
  <c r="B54" i="43"/>
  <c r="B54" i="44" s="1"/>
  <c r="B55" i="43"/>
  <c r="B55" i="44" s="1"/>
  <c r="J55" i="44" s="1"/>
  <c r="B56" i="43"/>
  <c r="B56" i="44" s="1"/>
  <c r="B57" i="43"/>
  <c r="B57" i="44" s="1"/>
  <c r="J57" i="44" s="1"/>
  <c r="B7" i="43"/>
  <c r="B7" i="44" s="1"/>
  <c r="J56" i="44" l="1"/>
  <c r="J54" i="44"/>
  <c r="J52" i="44"/>
  <c r="J48" i="44"/>
  <c r="J44" i="44"/>
  <c r="J36" i="44"/>
  <c r="J28" i="44"/>
  <c r="J20" i="44"/>
  <c r="J16" i="44"/>
  <c r="J50" i="44"/>
  <c r="G58" i="44"/>
  <c r="C58" i="44"/>
  <c r="F58" i="44"/>
  <c r="B58" i="44"/>
  <c r="J7" i="44"/>
  <c r="J58" i="44" s="1"/>
  <c r="I58" i="44"/>
  <c r="E58" i="44"/>
  <c r="H58" i="44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I58" i="43"/>
  <c r="G58" i="43"/>
  <c r="E58" i="43"/>
  <c r="C58" i="43"/>
  <c r="J8" i="43"/>
  <c r="H58" i="43"/>
  <c r="F58" i="43"/>
  <c r="D58" i="43"/>
  <c r="B58" i="43"/>
  <c r="J7" i="43" l="1"/>
  <c r="J58" i="43" s="1"/>
  <c r="C12" i="41"/>
  <c r="D12" i="41"/>
  <c r="E12" i="41"/>
  <c r="F12" i="41"/>
  <c r="G12" i="41"/>
  <c r="H5" i="41"/>
  <c r="H6" i="41"/>
  <c r="H7" i="41"/>
  <c r="H8" i="41"/>
  <c r="H9" i="41"/>
  <c r="H10" i="41"/>
  <c r="H11" i="41"/>
  <c r="H4" i="41"/>
  <c r="G9" i="41"/>
  <c r="F9" i="41"/>
  <c r="E9" i="41"/>
  <c r="D9" i="41"/>
  <c r="C9" i="41"/>
  <c r="B9" i="41"/>
  <c r="G9" i="39" l="1"/>
  <c r="F9" i="39" l="1"/>
  <c r="E9" i="39" l="1"/>
  <c r="D9" i="39" l="1"/>
  <c r="C9" i="39" l="1"/>
  <c r="B9" i="39" l="1"/>
  <c r="B11" i="39" s="1"/>
  <c r="J9" i="41" l="1"/>
  <c r="J7" i="41"/>
  <c r="J6" i="41"/>
  <c r="C59" i="1"/>
  <c r="B59" i="1"/>
  <c r="H10" i="39"/>
  <c r="P10" i="39" s="1"/>
  <c r="R10" i="39" s="1"/>
  <c r="M6" i="36" s="1"/>
  <c r="J6" i="36" s="1"/>
  <c r="H9" i="39"/>
  <c r="P9" i="39" s="1"/>
  <c r="R9" i="39" s="1"/>
  <c r="H8" i="39"/>
  <c r="P8" i="39" s="1"/>
  <c r="R8" i="39" s="1"/>
  <c r="H7" i="39"/>
  <c r="P7" i="39" s="1"/>
  <c r="R7" i="39" s="1"/>
  <c r="H6" i="39"/>
  <c r="P6" i="39" s="1"/>
  <c r="R6" i="39" s="1"/>
  <c r="H5" i="39"/>
  <c r="P5" i="39" s="1"/>
  <c r="R5" i="39" s="1"/>
  <c r="I11" i="39"/>
  <c r="J11" i="39"/>
  <c r="K11" i="39"/>
  <c r="L11" i="39"/>
  <c r="M11" i="39"/>
  <c r="N11" i="39"/>
  <c r="O5" i="39"/>
  <c r="O6" i="39"/>
  <c r="O7" i="39"/>
  <c r="O8" i="39"/>
  <c r="O9" i="39"/>
  <c r="O10" i="39"/>
  <c r="O4" i="39"/>
  <c r="O11" i="39"/>
  <c r="C11" i="39"/>
  <c r="D11" i="39"/>
  <c r="E11" i="39"/>
  <c r="F11" i="39"/>
  <c r="G11" i="39"/>
  <c r="B58" i="28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F33" i="36"/>
  <c r="F12" i="36"/>
  <c r="F25" i="36"/>
  <c r="F41" i="36"/>
  <c r="F10" i="36"/>
  <c r="F14" i="36"/>
  <c r="F21" i="36"/>
  <c r="F29" i="36"/>
  <c r="F37" i="36"/>
  <c r="F45" i="36"/>
  <c r="C23" i="36"/>
  <c r="C8" i="36"/>
  <c r="C16" i="36"/>
  <c r="C31" i="36"/>
  <c r="F9" i="36"/>
  <c r="F11" i="36"/>
  <c r="F13" i="36"/>
  <c r="F15" i="36"/>
  <c r="F19" i="36"/>
  <c r="F23" i="36"/>
  <c r="F27" i="36"/>
  <c r="F31" i="36"/>
  <c r="F35" i="36"/>
  <c r="F39" i="36"/>
  <c r="F43" i="36"/>
  <c r="F47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F51" i="36"/>
  <c r="C40" i="36"/>
  <c r="C42" i="36"/>
  <c r="C44" i="36"/>
  <c r="C46" i="36"/>
  <c r="C49" i="36"/>
  <c r="C53" i="36"/>
  <c r="C57" i="36"/>
  <c r="F49" i="36"/>
  <c r="F53" i="36"/>
  <c r="AI11" i="1"/>
  <c r="AJ11" i="1"/>
  <c r="AK11" i="1"/>
  <c r="AF59" i="1"/>
  <c r="D8" i="1"/>
  <c r="E8" i="1" s="1"/>
  <c r="C48" i="36"/>
  <c r="C50" i="36"/>
  <c r="C52" i="36"/>
  <c r="C54" i="36"/>
  <c r="C56" i="36"/>
  <c r="F55" i="36"/>
  <c r="F57" i="36"/>
  <c r="F16" i="36"/>
  <c r="F18" i="36"/>
  <c r="F20" i="36"/>
  <c r="F22" i="36"/>
  <c r="F24" i="36"/>
  <c r="F26" i="36"/>
  <c r="F28" i="36"/>
  <c r="F30" i="36"/>
  <c r="F32" i="36"/>
  <c r="F34" i="36"/>
  <c r="F36" i="36"/>
  <c r="F38" i="36"/>
  <c r="F40" i="36"/>
  <c r="F42" i="36"/>
  <c r="F44" i="36"/>
  <c r="F46" i="36"/>
  <c r="F48" i="36"/>
  <c r="F50" i="36"/>
  <c r="F52" i="36"/>
  <c r="F54" i="36"/>
  <c r="F56" i="36"/>
  <c r="F58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/>
  <c r="H47" i="1"/>
  <c r="I47" i="1"/>
  <c r="H25" i="1"/>
  <c r="I25" i="1"/>
  <c r="H55" i="1"/>
  <c r="I55" i="1"/>
  <c r="H39" i="1"/>
  <c r="I39" i="1"/>
  <c r="H10" i="1"/>
  <c r="H53" i="1"/>
  <c r="I53" i="1"/>
  <c r="H43" i="1"/>
  <c r="I43" i="1"/>
  <c r="H33" i="1"/>
  <c r="I33" i="1"/>
  <c r="H18" i="1"/>
  <c r="I18" i="1"/>
  <c r="H56" i="1"/>
  <c r="I56" i="1"/>
  <c r="K59" i="1"/>
  <c r="K27" i="1"/>
  <c r="L27" i="1"/>
  <c r="K43" i="1"/>
  <c r="L43" i="1"/>
  <c r="K11" i="1"/>
  <c r="L11" i="1"/>
  <c r="H34" i="1"/>
  <c r="I34" i="1"/>
  <c r="H48" i="1"/>
  <c r="I48" i="1"/>
  <c r="H17" i="1"/>
  <c r="I17" i="1"/>
  <c r="H57" i="1"/>
  <c r="I57" i="1"/>
  <c r="H49" i="1"/>
  <c r="I49" i="1"/>
  <c r="H45" i="1"/>
  <c r="I45" i="1"/>
  <c r="H41" i="1"/>
  <c r="I41" i="1"/>
  <c r="H37" i="1"/>
  <c r="I37" i="1"/>
  <c r="H29" i="1"/>
  <c r="I29" i="1"/>
  <c r="H21" i="1"/>
  <c r="I21" i="1"/>
  <c r="H14" i="1"/>
  <c r="I14" i="1"/>
  <c r="H51" i="1"/>
  <c r="I51" i="1"/>
  <c r="H52" i="1"/>
  <c r="I52" i="1"/>
  <c r="H42" i="1"/>
  <c r="I42" i="1"/>
  <c r="H26" i="1"/>
  <c r="I26" i="1"/>
  <c r="H9" i="1"/>
  <c r="I9" i="1"/>
  <c r="K51" i="1"/>
  <c r="L51" i="1"/>
  <c r="K35" i="1"/>
  <c r="L35" i="1"/>
  <c r="H35" i="1"/>
  <c r="I35" i="1"/>
  <c r="H31" i="1"/>
  <c r="I31" i="1"/>
  <c r="H27" i="1"/>
  <c r="I27" i="1"/>
  <c r="H23" i="1"/>
  <c r="I23" i="1"/>
  <c r="H19" i="1"/>
  <c r="H16" i="1"/>
  <c r="I16" i="1"/>
  <c r="H12" i="1"/>
  <c r="I12" i="1"/>
  <c r="H8" i="1"/>
  <c r="I8" i="1"/>
  <c r="H58" i="1"/>
  <c r="I58" i="1"/>
  <c r="H54" i="1"/>
  <c r="I54" i="1"/>
  <c r="H50" i="1"/>
  <c r="I50" i="1"/>
  <c r="H46" i="1"/>
  <c r="I46" i="1"/>
  <c r="H38" i="1"/>
  <c r="I38" i="1"/>
  <c r="H30" i="1"/>
  <c r="I30" i="1"/>
  <c r="H22" i="1"/>
  <c r="I22" i="1"/>
  <c r="H13" i="1"/>
  <c r="I13" i="1"/>
  <c r="H44" i="1"/>
  <c r="I44" i="1"/>
  <c r="H40" i="1"/>
  <c r="I40" i="1"/>
  <c r="H36" i="1"/>
  <c r="I36" i="1"/>
  <c r="H32" i="1"/>
  <c r="I32" i="1"/>
  <c r="H28" i="1"/>
  <c r="I28" i="1"/>
  <c r="H24" i="1"/>
  <c r="I24" i="1"/>
  <c r="H20" i="1"/>
  <c r="I20" i="1"/>
  <c r="H15" i="1"/>
  <c r="I15" i="1"/>
  <c r="K8" i="1"/>
  <c r="L8" i="1"/>
  <c r="K55" i="1"/>
  <c r="L55" i="1"/>
  <c r="M55" i="1"/>
  <c r="K47" i="1"/>
  <c r="L47" i="1"/>
  <c r="M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M49" i="1"/>
  <c r="K45" i="1"/>
  <c r="L45" i="1"/>
  <c r="M45" i="1"/>
  <c r="K41" i="1"/>
  <c r="L41" i="1"/>
  <c r="M41" i="1"/>
  <c r="K37" i="1"/>
  <c r="L37" i="1"/>
  <c r="M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M53" i="1"/>
  <c r="I10" i="1"/>
  <c r="I11" i="1"/>
  <c r="I19" i="1"/>
  <c r="M19" i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/>
  <c r="H4" i="39"/>
  <c r="P4" i="39" s="1"/>
  <c r="R4" i="39" s="1"/>
  <c r="J8" i="41" l="1"/>
  <c r="J10" i="41"/>
  <c r="J11" i="4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T9" i="39"/>
  <c r="AP6" i="1" s="1"/>
  <c r="AM6" i="1" s="1"/>
  <c r="R11" i="39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P11" i="39"/>
  <c r="J15" i="36"/>
  <c r="J23" i="36"/>
  <c r="J31" i="36"/>
  <c r="J39" i="36"/>
  <c r="J47" i="36"/>
  <c r="J55" i="36"/>
  <c r="J12" i="36"/>
  <c r="J20" i="36"/>
  <c r="J28" i="36"/>
  <c r="J36" i="36"/>
  <c r="J44" i="36"/>
  <c r="J52" i="36"/>
  <c r="H11" i="39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J4" i="41"/>
  <c r="J5" i="41"/>
  <c r="B12" i="41"/>
  <c r="AO6" i="1" l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9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N54" i="1"/>
  <c r="AN55" i="1"/>
  <c r="AN17" i="1"/>
  <c r="AO11" i="1"/>
  <c r="AO36" i="1"/>
  <c r="AO32" i="1"/>
  <c r="AO46" i="1"/>
  <c r="AO21" i="1"/>
  <c r="AO15" i="1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J12" i="41"/>
  <c r="H12" i="41"/>
  <c r="AN25" i="1" l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AO43" i="1"/>
  <c r="AO22" i="1"/>
  <c r="AO49" i="1"/>
  <c r="AN22" i="1"/>
  <c r="AP22" i="1" s="1"/>
  <c r="AN12" i="1"/>
  <c r="AN39" i="1"/>
  <c r="AN35" i="1"/>
  <c r="AN11" i="1"/>
  <c r="AP11" i="1" s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P17" i="1" s="1"/>
  <c r="AO57" i="1"/>
  <c r="AO14" i="1"/>
  <c r="AO52" i="1"/>
  <c r="AO16" i="1"/>
  <c r="AO35" i="1"/>
  <c r="AO23" i="1"/>
  <c r="AO24" i="1"/>
  <c r="AP36" i="1"/>
  <c r="AN40" i="1"/>
  <c r="AN28" i="1"/>
  <c r="AN31" i="1"/>
  <c r="AN46" i="1"/>
  <c r="AP46" i="1" s="1"/>
  <c r="AN43" i="1"/>
  <c r="AP43" i="1" s="1"/>
  <c r="AN20" i="1"/>
  <c r="AN33" i="1"/>
  <c r="AN42" i="1"/>
  <c r="AN21" i="1"/>
  <c r="AP21" i="1" s="1"/>
  <c r="AN53" i="1"/>
  <c r="AN38" i="1"/>
  <c r="AN45" i="1"/>
  <c r="AN57" i="1"/>
  <c r="AP57" i="1" s="1"/>
  <c r="AN30" i="1"/>
  <c r="AN56" i="1"/>
  <c r="AP56" i="1" s="1"/>
  <c r="AN19" i="1"/>
  <c r="AN15" i="1"/>
  <c r="AP15" i="1" s="1"/>
  <c r="AN50" i="1"/>
  <c r="AN58" i="1"/>
  <c r="AN8" i="1"/>
  <c r="AP8" i="1" s="1"/>
  <c r="AN29" i="1"/>
  <c r="AP29" i="1" s="1"/>
  <c r="AN24" i="1"/>
  <c r="AN32" i="1"/>
  <c r="AP32" i="1" s="1"/>
  <c r="AN14" i="1"/>
  <c r="AN34" i="1"/>
  <c r="AO50" i="1"/>
  <c r="AO12" i="1"/>
  <c r="AP12" i="1" s="1"/>
  <c r="AO10" i="1"/>
  <c r="AO48" i="1"/>
  <c r="AP48" i="1" s="1"/>
  <c r="AO31" i="1"/>
  <c r="AO55" i="1"/>
  <c r="AP55" i="1" s="1"/>
  <c r="AO40" i="1"/>
  <c r="AO19" i="1"/>
  <c r="AO26" i="1"/>
  <c r="AO37" i="1"/>
  <c r="AP37" i="1" s="1"/>
  <c r="AO20" i="1"/>
  <c r="AP20" i="1" s="1"/>
  <c r="AO9" i="1"/>
  <c r="AO13" i="1"/>
  <c r="AO38" i="1"/>
  <c r="AP38" i="1" s="1"/>
  <c r="AO8" i="1"/>
  <c r="AO39" i="1"/>
  <c r="AO25" i="1"/>
  <c r="AP25" i="1" s="1"/>
  <c r="AO33" i="1"/>
  <c r="AP33" i="1" s="1"/>
  <c r="AO54" i="1"/>
  <c r="AP54" i="1" s="1"/>
  <c r="AO42" i="1"/>
  <c r="AO58" i="1"/>
  <c r="AO34" i="1"/>
  <c r="AP34" i="1" s="1"/>
  <c r="AO27" i="1"/>
  <c r="AO30" i="1"/>
  <c r="AO45" i="1"/>
  <c r="AP45" i="1" s="1"/>
  <c r="AP9" i="1"/>
  <c r="AP28" i="1"/>
  <c r="K59" i="36"/>
  <c r="F59" i="1"/>
  <c r="AM59" i="1"/>
  <c r="AP42" i="1" l="1"/>
  <c r="AP39" i="1"/>
  <c r="AP27" i="1"/>
  <c r="AP13" i="1"/>
  <c r="AP51" i="1"/>
  <c r="AP41" i="1"/>
  <c r="AP35" i="1"/>
  <c r="AP49" i="1"/>
  <c r="AP10" i="1"/>
  <c r="AP24" i="1"/>
  <c r="AP53" i="1"/>
  <c r="AP16" i="1"/>
  <c r="AP18" i="1"/>
  <c r="AP52" i="1"/>
  <c r="AP26" i="1"/>
  <c r="AP23" i="1"/>
  <c r="AP40" i="1"/>
  <c r="AP14" i="1"/>
  <c r="AP50" i="1"/>
  <c r="AP44" i="1"/>
  <c r="AP30" i="1"/>
  <c r="AP19" i="1"/>
  <c r="AP58" i="1"/>
  <c r="AN59" i="1"/>
  <c r="AP31" i="1"/>
  <c r="AO59" i="1"/>
  <c r="AP59" i="1"/>
  <c r="AQ8" i="1" s="1"/>
  <c r="H8" i="36" l="1"/>
  <c r="AQ52" i="1"/>
  <c r="H52" i="36" s="1"/>
  <c r="L52" i="36" s="1"/>
  <c r="M52" i="36" s="1"/>
  <c r="AQ50" i="1"/>
  <c r="H50" i="36" s="1"/>
  <c r="L50" i="36" s="1"/>
  <c r="M50" i="36" s="1"/>
  <c r="AQ46" i="1"/>
  <c r="H46" i="36" s="1"/>
  <c r="L46" i="36" s="1"/>
  <c r="M46" i="36" s="1"/>
  <c r="AQ35" i="1"/>
  <c r="H35" i="36" s="1"/>
  <c r="L35" i="36" s="1"/>
  <c r="M35" i="36" s="1"/>
  <c r="AQ33" i="1"/>
  <c r="H33" i="36" s="1"/>
  <c r="L33" i="36" s="1"/>
  <c r="M33" i="36" s="1"/>
  <c r="AQ29" i="1"/>
  <c r="H29" i="36" s="1"/>
  <c r="L29" i="36" s="1"/>
  <c r="M29" i="36" s="1"/>
  <c r="AQ27" i="1"/>
  <c r="H27" i="36" s="1"/>
  <c r="L27" i="36" s="1"/>
  <c r="M27" i="36" s="1"/>
  <c r="AQ19" i="1"/>
  <c r="H19" i="36" s="1"/>
  <c r="L19" i="36" s="1"/>
  <c r="M19" i="36" s="1"/>
  <c r="AQ17" i="1"/>
  <c r="H17" i="36" s="1"/>
  <c r="L17" i="36" s="1"/>
  <c r="M17" i="36" s="1"/>
  <c r="AQ14" i="1"/>
  <c r="H14" i="36" s="1"/>
  <c r="L14" i="36" s="1"/>
  <c r="M14" i="36" s="1"/>
  <c r="AQ10" i="1"/>
  <c r="H10" i="36" s="1"/>
  <c r="L10" i="36" s="1"/>
  <c r="M10" i="36" s="1"/>
  <c r="AQ51" i="1"/>
  <c r="H51" i="36" s="1"/>
  <c r="L51" i="36" s="1"/>
  <c r="M51" i="36" s="1"/>
  <c r="AQ49" i="1"/>
  <c r="H49" i="36" s="1"/>
  <c r="L49" i="36" s="1"/>
  <c r="M49" i="36" s="1"/>
  <c r="AQ44" i="1"/>
  <c r="H44" i="36" s="1"/>
  <c r="L44" i="36" s="1"/>
  <c r="M44" i="36" s="1"/>
  <c r="AQ34" i="1"/>
  <c r="H34" i="36" s="1"/>
  <c r="L34" i="36" s="1"/>
  <c r="M34" i="36" s="1"/>
  <c r="AQ28" i="1"/>
  <c r="H28" i="36" s="1"/>
  <c r="L28" i="36" s="1"/>
  <c r="M28" i="36" s="1"/>
  <c r="AQ26" i="1"/>
  <c r="H26" i="36" s="1"/>
  <c r="L26" i="36" s="1"/>
  <c r="M26" i="36" s="1"/>
  <c r="AQ18" i="1"/>
  <c r="H18" i="36" s="1"/>
  <c r="L18" i="36" s="1"/>
  <c r="M18" i="36" s="1"/>
  <c r="AQ16" i="1"/>
  <c r="H16" i="36" s="1"/>
  <c r="L16" i="36" s="1"/>
  <c r="M16" i="36" s="1"/>
  <c r="AQ11" i="1"/>
  <c r="H11" i="36" s="1"/>
  <c r="L11" i="36" s="1"/>
  <c r="M11" i="36" s="1"/>
  <c r="AQ9" i="1"/>
  <c r="H9" i="36" s="1"/>
  <c r="L9" i="36" s="1"/>
  <c r="M9" i="36" s="1"/>
  <c r="AQ41" i="1"/>
  <c r="H41" i="36" s="1"/>
  <c r="L41" i="36" s="1"/>
  <c r="M41" i="36" s="1"/>
  <c r="AQ40" i="1"/>
  <c r="H40" i="36" s="1"/>
  <c r="L40" i="36" s="1"/>
  <c r="M40" i="36" s="1"/>
  <c r="AQ32" i="1"/>
  <c r="H32" i="36" s="1"/>
  <c r="L32" i="36" s="1"/>
  <c r="M32" i="36" s="1"/>
  <c r="AQ36" i="1"/>
  <c r="H36" i="36" s="1"/>
  <c r="L36" i="36" s="1"/>
  <c r="M36" i="36" s="1"/>
  <c r="AQ12" i="1"/>
  <c r="H12" i="36" s="1"/>
  <c r="L12" i="36" s="1"/>
  <c r="M12" i="36" s="1"/>
  <c r="AQ53" i="1"/>
  <c r="H53" i="36" s="1"/>
  <c r="L53" i="36" s="1"/>
  <c r="M53" i="36" s="1"/>
  <c r="AQ13" i="1"/>
  <c r="H13" i="36" s="1"/>
  <c r="L13" i="36" s="1"/>
  <c r="M13" i="36" s="1"/>
  <c r="AQ20" i="1"/>
  <c r="H20" i="36" s="1"/>
  <c r="L20" i="36" s="1"/>
  <c r="M20" i="36" s="1"/>
  <c r="AQ21" i="1"/>
  <c r="H21" i="36" s="1"/>
  <c r="L21" i="36" s="1"/>
  <c r="M21" i="36" s="1"/>
  <c r="AQ45" i="1"/>
  <c r="H45" i="36" s="1"/>
  <c r="L45" i="36" s="1"/>
  <c r="M45" i="36" s="1"/>
  <c r="AQ30" i="1"/>
  <c r="H30" i="36" s="1"/>
  <c r="L30" i="36" s="1"/>
  <c r="M30" i="36" s="1"/>
  <c r="AQ47" i="1"/>
  <c r="H47" i="36" s="1"/>
  <c r="L47" i="36" s="1"/>
  <c r="M47" i="36" s="1"/>
  <c r="AQ24" i="1"/>
  <c r="H24" i="36" s="1"/>
  <c r="L24" i="36" s="1"/>
  <c r="M24" i="36" s="1"/>
  <c r="AQ55" i="1"/>
  <c r="H55" i="36" s="1"/>
  <c r="L55" i="36" s="1"/>
  <c r="M55" i="36" s="1"/>
  <c r="AQ22" i="1"/>
  <c r="H22" i="36" s="1"/>
  <c r="L22" i="36" s="1"/>
  <c r="M22" i="36" s="1"/>
  <c r="AQ42" i="1"/>
  <c r="H42" i="36" s="1"/>
  <c r="L42" i="36" s="1"/>
  <c r="M42" i="36" s="1"/>
  <c r="AQ31" i="1"/>
  <c r="H31" i="36" s="1"/>
  <c r="L31" i="36" s="1"/>
  <c r="M31" i="36" s="1"/>
  <c r="AQ38" i="1"/>
  <c r="H38" i="36" s="1"/>
  <c r="L38" i="36" s="1"/>
  <c r="M38" i="36" s="1"/>
  <c r="AQ25" i="1"/>
  <c r="H25" i="36" s="1"/>
  <c r="L25" i="36" s="1"/>
  <c r="M25" i="36" s="1"/>
  <c r="AQ48" i="1"/>
  <c r="H48" i="36" s="1"/>
  <c r="L48" i="36" s="1"/>
  <c r="M48" i="36" s="1"/>
  <c r="AQ57" i="1"/>
  <c r="H57" i="36" s="1"/>
  <c r="L57" i="36" s="1"/>
  <c r="M57" i="36" s="1"/>
  <c r="AQ23" i="1"/>
  <c r="H23" i="36" s="1"/>
  <c r="L23" i="36" s="1"/>
  <c r="M23" i="36" s="1"/>
  <c r="AQ15" i="1"/>
  <c r="H15" i="36" s="1"/>
  <c r="L15" i="36" s="1"/>
  <c r="M15" i="36" s="1"/>
  <c r="AQ37" i="1"/>
  <c r="H37" i="36" s="1"/>
  <c r="L37" i="36" s="1"/>
  <c r="M37" i="36" s="1"/>
  <c r="AQ56" i="1"/>
  <c r="H56" i="36" s="1"/>
  <c r="L56" i="36" s="1"/>
  <c r="M56" i="36" s="1"/>
  <c r="AQ43" i="1"/>
  <c r="H43" i="36" s="1"/>
  <c r="L43" i="36" s="1"/>
  <c r="M43" i="36" s="1"/>
  <c r="AQ39" i="1"/>
  <c r="H39" i="36" s="1"/>
  <c r="L39" i="36" s="1"/>
  <c r="M39" i="36" s="1"/>
  <c r="AQ54" i="1"/>
  <c r="H54" i="36" s="1"/>
  <c r="L54" i="36" s="1"/>
  <c r="M54" i="36" s="1"/>
  <c r="AQ58" i="1"/>
  <c r="H58" i="36" s="1"/>
  <c r="L58" i="36" s="1"/>
  <c r="M58" i="36" s="1"/>
  <c r="D57" i="28" l="1"/>
  <c r="D38" i="28"/>
  <c r="D55" i="28"/>
  <c r="D14" i="28"/>
  <c r="D56" i="28"/>
  <c r="D24" i="28"/>
  <c r="D30" i="28"/>
  <c r="D21" i="28"/>
  <c r="D23" i="28"/>
  <c r="D29" i="28"/>
  <c r="D20" i="28"/>
  <c r="D12" i="28"/>
  <c r="D11" i="28"/>
  <c r="D31" i="28"/>
  <c r="D40" i="28"/>
  <c r="D10" i="28"/>
  <c r="D17" i="28"/>
  <c r="D27" i="28"/>
  <c r="D43" i="28"/>
  <c r="D50" i="28"/>
  <c r="D13" i="28"/>
  <c r="D18" i="28"/>
  <c r="D28" i="28"/>
  <c r="D34" i="28"/>
  <c r="D49" i="28"/>
  <c r="AQ59" i="1"/>
  <c r="D53" i="28"/>
  <c r="D42" i="28"/>
  <c r="D36" i="28"/>
  <c r="D22" i="28"/>
  <c r="D47" i="28"/>
  <c r="D37" i="28"/>
  <c r="D41" i="28"/>
  <c r="D54" i="28"/>
  <c r="D46" i="28"/>
  <c r="D44" i="28"/>
  <c r="D19" i="28"/>
  <c r="D52" i="28"/>
  <c r="D35" i="28"/>
  <c r="D39" i="28"/>
  <c r="D8" i="28"/>
  <c r="D15" i="28"/>
  <c r="D25" i="28"/>
  <c r="D33" i="28"/>
  <c r="D48" i="28"/>
  <c r="D9" i="28"/>
  <c r="D16" i="28"/>
  <c r="D26" i="28"/>
  <c r="D32" i="28"/>
  <c r="D45" i="28"/>
  <c r="D51" i="28"/>
  <c r="H59" i="36"/>
  <c r="L8" i="36"/>
  <c r="L59" i="36" l="1"/>
  <c r="M8" i="36"/>
  <c r="M59" i="36" l="1"/>
  <c r="N8" i="36" s="1"/>
  <c r="D7" i="28"/>
  <c r="D58" i="28" l="1"/>
  <c r="N58" i="36"/>
  <c r="N39" i="36"/>
  <c r="N56" i="36"/>
  <c r="N15" i="36"/>
  <c r="N57" i="36"/>
  <c r="N25" i="36"/>
  <c r="N31" i="36"/>
  <c r="N22" i="36"/>
  <c r="N24" i="36"/>
  <c r="N30" i="36"/>
  <c r="N21" i="36"/>
  <c r="N13" i="36"/>
  <c r="N12" i="36"/>
  <c r="N32" i="36"/>
  <c r="N41" i="36"/>
  <c r="N11" i="36"/>
  <c r="N18" i="36"/>
  <c r="N28" i="36"/>
  <c r="N44" i="36"/>
  <c r="N51" i="36"/>
  <c r="N14" i="36"/>
  <c r="N19" i="36"/>
  <c r="N29" i="36"/>
  <c r="N35" i="36"/>
  <c r="N50" i="36"/>
  <c r="N54" i="36"/>
  <c r="N43" i="36"/>
  <c r="N37" i="36"/>
  <c r="N23" i="36"/>
  <c r="N48" i="36"/>
  <c r="N38" i="36"/>
  <c r="N42" i="36"/>
  <c r="N55" i="36"/>
  <c r="N47" i="36"/>
  <c r="N45" i="36"/>
  <c r="N20" i="36"/>
  <c r="N53" i="36"/>
  <c r="N36" i="36"/>
  <c r="N40" i="36"/>
  <c r="N9" i="36"/>
  <c r="N16" i="36"/>
  <c r="N26" i="36"/>
  <c r="N34" i="36"/>
  <c r="N49" i="36"/>
  <c r="N10" i="36"/>
  <c r="N17" i="36"/>
  <c r="N27" i="36"/>
  <c r="N33" i="36"/>
  <c r="N46" i="36"/>
  <c r="N52" i="36"/>
  <c r="N59" i="36" l="1"/>
  <c r="D59" i="28"/>
  <c r="G4" i="28" s="1"/>
  <c r="C44" i="28" l="1"/>
  <c r="C26" i="28"/>
  <c r="C14" i="28"/>
  <c r="C55" i="28"/>
  <c r="C32" i="28"/>
  <c r="C15" i="28"/>
  <c r="C8" i="28"/>
  <c r="C22" i="28"/>
  <c r="C33" i="28"/>
  <c r="C11" i="28"/>
  <c r="C17" i="28"/>
  <c r="C18" i="28"/>
  <c r="C34" i="28"/>
  <c r="C46" i="28"/>
  <c r="C54" i="28"/>
  <c r="C19" i="28"/>
  <c r="C27" i="28"/>
  <c r="C37" i="28"/>
  <c r="C45" i="28"/>
  <c r="C53" i="28"/>
  <c r="C20" i="28"/>
  <c r="C30" i="28"/>
  <c r="C42" i="28"/>
  <c r="C52" i="28"/>
  <c r="C13" i="28"/>
  <c r="C25" i="28"/>
  <c r="C35" i="28"/>
  <c r="C43" i="28"/>
  <c r="C51" i="28"/>
  <c r="C57" i="28"/>
  <c r="C38" i="28"/>
  <c r="C28" i="28"/>
  <c r="C50" i="28"/>
  <c r="C23" i="28"/>
  <c r="C41" i="28"/>
  <c r="C10" i="28"/>
  <c r="C36" i="28"/>
  <c r="C56" i="28"/>
  <c r="C29" i="28"/>
  <c r="C47" i="28"/>
  <c r="C16" i="28"/>
  <c r="C12" i="28"/>
  <c r="C40" i="28"/>
  <c r="C9" i="28"/>
  <c r="C31" i="28"/>
  <c r="C49" i="28"/>
  <c r="C24" i="28"/>
  <c r="C48" i="28"/>
  <c r="C21" i="28"/>
  <c r="C39" i="28"/>
  <c r="C7" i="28"/>
  <c r="C58" i="28" l="1"/>
  <c r="F58" i="28" s="1"/>
  <c r="I7" i="28"/>
  <c r="F7" i="28"/>
  <c r="E7" i="28"/>
  <c r="I21" i="28"/>
  <c r="J21" i="28" s="1"/>
  <c r="F21" i="28"/>
  <c r="E21" i="28"/>
  <c r="E24" i="28"/>
  <c r="F24" i="28"/>
  <c r="I24" i="28"/>
  <c r="J24" i="28" s="1"/>
  <c r="E31" i="28"/>
  <c r="F31" i="28"/>
  <c r="I31" i="28"/>
  <c r="J31" i="28" s="1"/>
  <c r="I40" i="28"/>
  <c r="J40" i="28" s="1"/>
  <c r="E40" i="28"/>
  <c r="F40" i="28"/>
  <c r="E16" i="28"/>
  <c r="I16" i="28"/>
  <c r="J16" i="28" s="1"/>
  <c r="F16" i="28"/>
  <c r="F29" i="28"/>
  <c r="E29" i="28"/>
  <c r="I29" i="28"/>
  <c r="J29" i="28" s="1"/>
  <c r="F36" i="28"/>
  <c r="E36" i="28"/>
  <c r="I36" i="28"/>
  <c r="J36" i="28" s="1"/>
  <c r="I41" i="28"/>
  <c r="J41" i="28" s="1"/>
  <c r="E41" i="28"/>
  <c r="F41" i="28"/>
  <c r="I50" i="28"/>
  <c r="J50" i="28" s="1"/>
  <c r="F50" i="28"/>
  <c r="E50" i="28"/>
  <c r="E38" i="28"/>
  <c r="F38" i="28"/>
  <c r="I38" i="28"/>
  <c r="J38" i="28" s="1"/>
  <c r="I51" i="28"/>
  <c r="J51" i="28" s="1"/>
  <c r="F51" i="28"/>
  <c r="E51" i="28"/>
  <c r="E35" i="28"/>
  <c r="I35" i="28"/>
  <c r="J35" i="28" s="1"/>
  <c r="F35" i="28"/>
  <c r="I13" i="28"/>
  <c r="J13" i="28" s="1"/>
  <c r="F13" i="28"/>
  <c r="E13" i="28"/>
  <c r="I42" i="28"/>
  <c r="J42" i="28" s="1"/>
  <c r="F42" i="28"/>
  <c r="E42" i="28"/>
  <c r="I20" i="28"/>
  <c r="J20" i="28" s="1"/>
  <c r="F20" i="28"/>
  <c r="E20" i="28"/>
  <c r="I45" i="28"/>
  <c r="J45" i="28" s="1"/>
  <c r="F45" i="28"/>
  <c r="E45" i="28"/>
  <c r="F27" i="28"/>
  <c r="I27" i="28"/>
  <c r="J27" i="28" s="1"/>
  <c r="E27" i="28"/>
  <c r="E54" i="28"/>
  <c r="F54" i="28"/>
  <c r="I54" i="28"/>
  <c r="J54" i="28" s="1"/>
  <c r="I34" i="28"/>
  <c r="J34" i="28" s="1"/>
  <c r="E34" i="28"/>
  <c r="F34" i="28"/>
  <c r="F17" i="28"/>
  <c r="E17" i="28"/>
  <c r="I17" i="28"/>
  <c r="J17" i="28" s="1"/>
  <c r="F33" i="28"/>
  <c r="I33" i="28"/>
  <c r="J33" i="28" s="1"/>
  <c r="E33" i="28"/>
  <c r="I8" i="28"/>
  <c r="J8" i="28" s="1"/>
  <c r="E8" i="28"/>
  <c r="F8" i="28"/>
  <c r="E32" i="28"/>
  <c r="I32" i="28"/>
  <c r="J32" i="28" s="1"/>
  <c r="F32" i="28"/>
  <c r="E14" i="28"/>
  <c r="I14" i="28"/>
  <c r="J14" i="28" s="1"/>
  <c r="F14" i="28"/>
  <c r="I44" i="28"/>
  <c r="J44" i="28" s="1"/>
  <c r="F44" i="28"/>
  <c r="E44" i="28"/>
  <c r="F39" i="28"/>
  <c r="I39" i="28"/>
  <c r="J39" i="28" s="1"/>
  <c r="E39" i="28"/>
  <c r="I48" i="28"/>
  <c r="J48" i="28" s="1"/>
  <c r="F48" i="28"/>
  <c r="E48" i="28"/>
  <c r="F49" i="28"/>
  <c r="I49" i="28"/>
  <c r="J49" i="28" s="1"/>
  <c r="E49" i="28"/>
  <c r="F9" i="28"/>
  <c r="I9" i="28"/>
  <c r="J9" i="28" s="1"/>
  <c r="E9" i="28"/>
  <c r="E12" i="28"/>
  <c r="I12" i="28"/>
  <c r="J12" i="28" s="1"/>
  <c r="F12" i="28"/>
  <c r="F47" i="28"/>
  <c r="I47" i="28"/>
  <c r="J47" i="28" s="1"/>
  <c r="E47" i="28"/>
  <c r="I56" i="28"/>
  <c r="J56" i="28" s="1"/>
  <c r="E56" i="28"/>
  <c r="F56" i="28"/>
  <c r="F10" i="28"/>
  <c r="I10" i="28"/>
  <c r="J10" i="28" s="1"/>
  <c r="E10" i="28"/>
  <c r="F23" i="28"/>
  <c r="I23" i="28"/>
  <c r="J23" i="28" s="1"/>
  <c r="E23" i="28"/>
  <c r="F28" i="28"/>
  <c r="E28" i="28"/>
  <c r="I28" i="28"/>
  <c r="J28" i="28" s="1"/>
  <c r="F57" i="28"/>
  <c r="E57" i="28"/>
  <c r="I57" i="28"/>
  <c r="J57" i="28" s="1"/>
  <c r="I43" i="28"/>
  <c r="J43" i="28" s="1"/>
  <c r="F43" i="28"/>
  <c r="E43" i="28"/>
  <c r="I25" i="28"/>
  <c r="J25" i="28" s="1"/>
  <c r="E25" i="28"/>
  <c r="F25" i="28"/>
  <c r="E52" i="28"/>
  <c r="F52" i="28"/>
  <c r="I52" i="28"/>
  <c r="J52" i="28" s="1"/>
  <c r="E30" i="28"/>
  <c r="F30" i="28"/>
  <c r="I30" i="28"/>
  <c r="J30" i="28" s="1"/>
  <c r="I53" i="28"/>
  <c r="J53" i="28" s="1"/>
  <c r="E53" i="28"/>
  <c r="F53" i="28"/>
  <c r="I37" i="28"/>
  <c r="J37" i="28" s="1"/>
  <c r="F37" i="28"/>
  <c r="E37" i="28"/>
  <c r="I19" i="28"/>
  <c r="J19" i="28" s="1"/>
  <c r="E19" i="28"/>
  <c r="F19" i="28"/>
  <c r="I46" i="28"/>
  <c r="J46" i="28" s="1"/>
  <c r="E46" i="28"/>
  <c r="F46" i="28"/>
  <c r="E18" i="28"/>
  <c r="F18" i="28"/>
  <c r="I18" i="28"/>
  <c r="J18" i="28" s="1"/>
  <c r="F11" i="28"/>
  <c r="E11" i="28"/>
  <c r="I11" i="28"/>
  <c r="J11" i="28" s="1"/>
  <c r="F22" i="28"/>
  <c r="E22" i="28"/>
  <c r="I22" i="28"/>
  <c r="J22" i="28" s="1"/>
  <c r="I15" i="28"/>
  <c r="J15" i="28" s="1"/>
  <c r="F15" i="28"/>
  <c r="E15" i="28"/>
  <c r="E55" i="28"/>
  <c r="F55" i="28"/>
  <c r="I55" i="28"/>
  <c r="J55" i="28" s="1"/>
  <c r="F26" i="28"/>
  <c r="E26" i="28"/>
  <c r="I26" i="28"/>
  <c r="J26" i="28" s="1"/>
  <c r="G15" i="28" l="1"/>
  <c r="H15" i="28" s="1"/>
  <c r="L15" i="28" s="1"/>
  <c r="G22" i="28"/>
  <c r="H22" i="28" s="1"/>
  <c r="L22" i="28" s="1"/>
  <c r="G19" i="28"/>
  <c r="H19" i="28" s="1"/>
  <c r="L19" i="28" s="1"/>
  <c r="G37" i="28"/>
  <c r="H37" i="28" s="1"/>
  <c r="L37" i="28" s="1"/>
  <c r="G53" i="28"/>
  <c r="H53" i="28" s="1"/>
  <c r="G30" i="28"/>
  <c r="H30" i="28" s="1"/>
  <c r="G28" i="28"/>
  <c r="H28" i="28" s="1"/>
  <c r="L28" i="28" s="1"/>
  <c r="G10" i="28"/>
  <c r="H10" i="28" s="1"/>
  <c r="G47" i="28"/>
  <c r="H47" i="28" s="1"/>
  <c r="H9" i="28"/>
  <c r="G9" i="28"/>
  <c r="G32" i="28"/>
  <c r="H32" i="28" s="1"/>
  <c r="L32" i="28" s="1"/>
  <c r="G33" i="28"/>
  <c r="H33" i="28" s="1"/>
  <c r="L33" i="28" s="1"/>
  <c r="G34" i="28"/>
  <c r="H34" i="28"/>
  <c r="G54" i="28"/>
  <c r="H54" i="28" s="1"/>
  <c r="G27" i="28"/>
  <c r="H27" i="28" s="1"/>
  <c r="L27" i="28" s="1"/>
  <c r="G45" i="28"/>
  <c r="H45" i="28" s="1"/>
  <c r="G42" i="28"/>
  <c r="H42" i="28" s="1"/>
  <c r="L42" i="28" s="1"/>
  <c r="G38" i="28"/>
  <c r="H38" i="28" s="1"/>
  <c r="L38" i="28" s="1"/>
  <c r="G36" i="28"/>
  <c r="H36" i="28" s="1"/>
  <c r="G16" i="28"/>
  <c r="H16" i="28" s="1"/>
  <c r="G24" i="28"/>
  <c r="H24" i="28" s="1"/>
  <c r="G7" i="28"/>
  <c r="H7" i="28" s="1"/>
  <c r="G26" i="28"/>
  <c r="H26" i="28" s="1"/>
  <c r="G55" i="28"/>
  <c r="H55" i="28" s="1"/>
  <c r="G11" i="28"/>
  <c r="H11" i="28" s="1"/>
  <c r="G18" i="28"/>
  <c r="H18" i="28" s="1"/>
  <c r="L18" i="28" s="1"/>
  <c r="G46" i="28"/>
  <c r="H46" i="28" s="1"/>
  <c r="G52" i="28"/>
  <c r="H52" i="28" s="1"/>
  <c r="G25" i="28"/>
  <c r="H25" i="28" s="1"/>
  <c r="G43" i="28"/>
  <c r="H43" i="28" s="1"/>
  <c r="G57" i="28"/>
  <c r="H57" i="28" s="1"/>
  <c r="L57" i="28" s="1"/>
  <c r="G23" i="28"/>
  <c r="H23" i="28" s="1"/>
  <c r="G56" i="28"/>
  <c r="H56" i="28" s="1"/>
  <c r="L56" i="28" s="1"/>
  <c r="G12" i="28"/>
  <c r="H12" i="28" s="1"/>
  <c r="G49" i="28"/>
  <c r="H49" i="28" s="1"/>
  <c r="G48" i="28"/>
  <c r="H48" i="28" s="1"/>
  <c r="L48" i="28" s="1"/>
  <c r="G39" i="28"/>
  <c r="H39" i="28" s="1"/>
  <c r="L39" i="28" s="1"/>
  <c r="G44" i="28"/>
  <c r="H44" i="28" s="1"/>
  <c r="G14" i="28"/>
  <c r="H14" i="28" s="1"/>
  <c r="G8" i="28"/>
  <c r="H8" i="28" s="1"/>
  <c r="L8" i="28" s="1"/>
  <c r="H17" i="28"/>
  <c r="G17" i="28"/>
  <c r="G20" i="28"/>
  <c r="H20" i="28"/>
  <c r="G13" i="28"/>
  <c r="H13" i="28" s="1"/>
  <c r="L13" i="28" s="1"/>
  <c r="G35" i="28"/>
  <c r="H35" i="28" s="1"/>
  <c r="L35" i="28" s="1"/>
  <c r="G51" i="28"/>
  <c r="H51" i="28" s="1"/>
  <c r="G50" i="28"/>
  <c r="H50" i="28" s="1"/>
  <c r="L50" i="28" s="1"/>
  <c r="H41" i="28"/>
  <c r="G41" i="28"/>
  <c r="G29" i="28"/>
  <c r="H29" i="28" s="1"/>
  <c r="H40" i="28"/>
  <c r="G40" i="28"/>
  <c r="G31" i="28"/>
  <c r="H31" i="28" s="1"/>
  <c r="L31" i="28" s="1"/>
  <c r="H21" i="28"/>
  <c r="G21" i="28"/>
  <c r="E58" i="28"/>
  <c r="J7" i="28"/>
  <c r="I58" i="28"/>
  <c r="M50" i="28" l="1"/>
  <c r="M13" i="28"/>
  <c r="M56" i="28"/>
  <c r="M27" i="28"/>
  <c r="M33" i="28"/>
  <c r="M37" i="28"/>
  <c r="M31" i="28"/>
  <c r="M35" i="28"/>
  <c r="M18" i="28"/>
  <c r="M8" i="28"/>
  <c r="M39" i="28"/>
  <c r="M48" i="28"/>
  <c r="M57" i="28"/>
  <c r="L7" i="28"/>
  <c r="H58" i="28"/>
  <c r="M38" i="28"/>
  <c r="M42" i="28"/>
  <c r="M32" i="28"/>
  <c r="M28" i="28"/>
  <c r="M19" i="28"/>
  <c r="M22" i="28"/>
  <c r="M15" i="28"/>
  <c r="J58" i="28"/>
  <c r="G58" i="28"/>
  <c r="M7" i="28" l="1"/>
  <c r="K4" i="28"/>
  <c r="K22" i="28" l="1"/>
  <c r="K19" i="28"/>
  <c r="K52" i="28"/>
  <c r="L52" i="28" s="1"/>
  <c r="K28" i="28"/>
  <c r="K12" i="28"/>
  <c r="L12" i="28" s="1"/>
  <c r="M12" i="28" s="1"/>
  <c r="K48" i="28"/>
  <c r="K44" i="28"/>
  <c r="L44" i="28" s="1"/>
  <c r="K34" i="28"/>
  <c r="L34" i="28" s="1"/>
  <c r="K13" i="28"/>
  <c r="K51" i="28"/>
  <c r="L51" i="28" s="1"/>
  <c r="K36" i="28"/>
  <c r="L36" i="28" s="1"/>
  <c r="K21" i="28"/>
  <c r="L21" i="28" s="1"/>
  <c r="K15" i="28"/>
  <c r="K46" i="28"/>
  <c r="L46" i="28" s="1"/>
  <c r="K30" i="28"/>
  <c r="L30" i="28" s="1"/>
  <c r="K57" i="28"/>
  <c r="K56" i="28"/>
  <c r="K9" i="28"/>
  <c r="L9" i="28" s="1"/>
  <c r="K8" i="28"/>
  <c r="K17" i="28"/>
  <c r="L17" i="28" s="1"/>
  <c r="M17" i="28" s="1"/>
  <c r="K27" i="28"/>
  <c r="K42" i="28"/>
  <c r="K41" i="28"/>
  <c r="L41" i="28" s="1"/>
  <c r="K16" i="28"/>
  <c r="L16" i="28" s="1"/>
  <c r="K24" i="28"/>
  <c r="L24" i="28" s="1"/>
  <c r="M24" i="28" s="1"/>
  <c r="K55" i="28"/>
  <c r="L55" i="28" s="1"/>
  <c r="M55" i="28" s="1"/>
  <c r="K18" i="28"/>
  <c r="K53" i="28"/>
  <c r="L53" i="28" s="1"/>
  <c r="M53" i="28" s="1"/>
  <c r="K43" i="28"/>
  <c r="L43" i="28" s="1"/>
  <c r="K23" i="28"/>
  <c r="L23" i="28" s="1"/>
  <c r="K49" i="28"/>
  <c r="L49" i="28" s="1"/>
  <c r="K39" i="28"/>
  <c r="K14" i="28"/>
  <c r="L14" i="28" s="1"/>
  <c r="K20" i="28"/>
  <c r="L20" i="28" s="1"/>
  <c r="K35" i="28"/>
  <c r="K50" i="28"/>
  <c r="K31" i="28"/>
  <c r="K26" i="28"/>
  <c r="L26" i="28" s="1"/>
  <c r="M26" i="28" s="1"/>
  <c r="K11" i="28"/>
  <c r="L11" i="28" s="1"/>
  <c r="K37" i="28"/>
  <c r="K25" i="28"/>
  <c r="L25" i="28" s="1"/>
  <c r="K10" i="28"/>
  <c r="L10" i="28" s="1"/>
  <c r="M10" i="28" s="1"/>
  <c r="K47" i="28"/>
  <c r="L47" i="28" s="1"/>
  <c r="M47" i="28" s="1"/>
  <c r="K32" i="28"/>
  <c r="K33" i="28"/>
  <c r="K54" i="28"/>
  <c r="L54" i="28" s="1"/>
  <c r="M54" i="28" s="1"/>
  <c r="K45" i="28"/>
  <c r="L45" i="28" s="1"/>
  <c r="M45" i="28" s="1"/>
  <c r="K38" i="28"/>
  <c r="K29" i="28"/>
  <c r="L29" i="28" s="1"/>
  <c r="K40" i="28"/>
  <c r="L40" i="28" s="1"/>
  <c r="K7" i="28"/>
  <c r="K58" i="28" l="1"/>
  <c r="M29" i="28"/>
  <c r="M25" i="28"/>
  <c r="M11" i="28"/>
  <c r="M14" i="28"/>
  <c r="M49" i="28"/>
  <c r="M43" i="28"/>
  <c r="M41" i="28"/>
  <c r="M30" i="28"/>
  <c r="M36" i="28"/>
  <c r="M44" i="28"/>
  <c r="M52" i="28"/>
  <c r="M40" i="28"/>
  <c r="M20" i="28"/>
  <c r="M23" i="28"/>
  <c r="M16" i="28"/>
  <c r="M9" i="28"/>
  <c r="L58" i="28"/>
  <c r="N46" i="28" s="1"/>
  <c r="M46" i="28"/>
  <c r="M21" i="28"/>
  <c r="M51" i="28"/>
  <c r="M34" i="28"/>
  <c r="N34" i="28" l="1"/>
  <c r="N51" i="28"/>
  <c r="N21" i="28"/>
  <c r="G51" i="42"/>
  <c r="G46" i="42"/>
  <c r="D46" i="42"/>
  <c r="H46" i="42"/>
  <c r="E46" i="42"/>
  <c r="F46" i="42"/>
  <c r="I46" i="42"/>
  <c r="B46" i="42"/>
  <c r="C46" i="42"/>
  <c r="M58" i="28"/>
  <c r="N50" i="28"/>
  <c r="N13" i="28"/>
  <c r="N56" i="28"/>
  <c r="N55" i="28"/>
  <c r="N24" i="28"/>
  <c r="N33" i="28"/>
  <c r="N10" i="28"/>
  <c r="N37" i="28"/>
  <c r="N31" i="28"/>
  <c r="N12" i="28"/>
  <c r="N18" i="28"/>
  <c r="N26" i="28"/>
  <c r="N45" i="28"/>
  <c r="N47" i="28"/>
  <c r="N38" i="28"/>
  <c r="N42" i="28"/>
  <c r="N32" i="28"/>
  <c r="N28" i="28"/>
  <c r="N19" i="28"/>
  <c r="N15" i="28"/>
  <c r="N27" i="28"/>
  <c r="N35" i="28"/>
  <c r="N54" i="28"/>
  <c r="N53" i="28"/>
  <c r="N17" i="28"/>
  <c r="N8" i="28"/>
  <c r="N39" i="28"/>
  <c r="N48" i="28"/>
  <c r="N57" i="28"/>
  <c r="N22" i="28"/>
  <c r="N7" i="28"/>
  <c r="N44" i="28"/>
  <c r="N9" i="28"/>
  <c r="N16" i="28"/>
  <c r="N23" i="28"/>
  <c r="N20" i="28"/>
  <c r="N40" i="28"/>
  <c r="N52" i="28"/>
  <c r="N36" i="28"/>
  <c r="N30" i="28"/>
  <c r="N41" i="28"/>
  <c r="N43" i="28"/>
  <c r="N49" i="28"/>
  <c r="N14" i="28"/>
  <c r="N11" i="28"/>
  <c r="N25" i="28"/>
  <c r="N29" i="28"/>
  <c r="D21" i="42" l="1"/>
  <c r="F34" i="42"/>
  <c r="H51" i="42"/>
  <c r="I51" i="42"/>
  <c r="B21" i="42"/>
  <c r="B34" i="42"/>
  <c r="F21" i="42"/>
  <c r="E34" i="42"/>
  <c r="C51" i="42"/>
  <c r="E51" i="42"/>
  <c r="E21" i="42"/>
  <c r="H21" i="42"/>
  <c r="H34" i="42"/>
  <c r="I34" i="42"/>
  <c r="C21" i="42"/>
  <c r="I21" i="42"/>
  <c r="G21" i="42"/>
  <c r="C34" i="42"/>
  <c r="G34" i="42"/>
  <c r="D34" i="42"/>
  <c r="B51" i="42"/>
  <c r="D51" i="42"/>
  <c r="F51" i="42"/>
  <c r="J46" i="42"/>
  <c r="D25" i="42"/>
  <c r="F25" i="42"/>
  <c r="G25" i="42"/>
  <c r="H25" i="42"/>
  <c r="E25" i="42"/>
  <c r="I25" i="42"/>
  <c r="C25" i="42"/>
  <c r="B25" i="42"/>
  <c r="D14" i="42"/>
  <c r="H14" i="42"/>
  <c r="G14" i="42"/>
  <c r="E14" i="42"/>
  <c r="F14" i="42"/>
  <c r="I14" i="42"/>
  <c r="C14" i="42"/>
  <c r="B14" i="42"/>
  <c r="F43" i="42"/>
  <c r="G43" i="42"/>
  <c r="H43" i="42"/>
  <c r="I43" i="42"/>
  <c r="D43" i="42"/>
  <c r="E43" i="42"/>
  <c r="C43" i="42"/>
  <c r="B43" i="42"/>
  <c r="I30" i="42"/>
  <c r="D30" i="42"/>
  <c r="H30" i="42"/>
  <c r="E30" i="42"/>
  <c r="G30" i="42"/>
  <c r="F30" i="42"/>
  <c r="C30" i="42"/>
  <c r="B30" i="42"/>
  <c r="I52" i="42"/>
  <c r="F52" i="42"/>
  <c r="G52" i="42"/>
  <c r="H52" i="42"/>
  <c r="E52" i="42"/>
  <c r="D52" i="42"/>
  <c r="C52" i="42"/>
  <c r="B52" i="42"/>
  <c r="H20" i="42"/>
  <c r="G20" i="42"/>
  <c r="D20" i="42"/>
  <c r="I20" i="42"/>
  <c r="F20" i="42"/>
  <c r="E20" i="42"/>
  <c r="C20" i="42"/>
  <c r="B20" i="42"/>
  <c r="F16" i="42"/>
  <c r="G16" i="42"/>
  <c r="D16" i="42"/>
  <c r="E16" i="42"/>
  <c r="I16" i="42"/>
  <c r="H16" i="42"/>
  <c r="C16" i="42"/>
  <c r="B16" i="42"/>
  <c r="D44" i="42"/>
  <c r="F44" i="42"/>
  <c r="H44" i="42"/>
  <c r="E44" i="42"/>
  <c r="G44" i="42"/>
  <c r="I44" i="42"/>
  <c r="B44" i="42"/>
  <c r="C44" i="42"/>
  <c r="D22" i="42"/>
  <c r="H22" i="42"/>
  <c r="E22" i="42"/>
  <c r="F22" i="42"/>
  <c r="I22" i="42"/>
  <c r="G22" i="42"/>
  <c r="C22" i="42"/>
  <c r="B22" i="42"/>
  <c r="E48" i="42"/>
  <c r="D48" i="42"/>
  <c r="F48" i="42"/>
  <c r="H48" i="42"/>
  <c r="I48" i="42"/>
  <c r="G48" i="42"/>
  <c r="C48" i="42"/>
  <c r="B48" i="42"/>
  <c r="D8" i="42"/>
  <c r="H8" i="42"/>
  <c r="E8" i="42"/>
  <c r="F8" i="42"/>
  <c r="I8" i="42"/>
  <c r="G8" i="42"/>
  <c r="B8" i="42"/>
  <c r="C8" i="42"/>
  <c r="D53" i="42"/>
  <c r="E53" i="42"/>
  <c r="F53" i="42"/>
  <c r="H53" i="42"/>
  <c r="I53" i="42"/>
  <c r="G53" i="42"/>
  <c r="C53" i="42"/>
  <c r="B53" i="42"/>
  <c r="H35" i="42"/>
  <c r="G35" i="42"/>
  <c r="E35" i="42"/>
  <c r="D35" i="42"/>
  <c r="I35" i="42"/>
  <c r="F35" i="42"/>
  <c r="C35" i="42"/>
  <c r="B35" i="42"/>
  <c r="D15" i="42"/>
  <c r="F15" i="42"/>
  <c r="E15" i="42"/>
  <c r="I15" i="42"/>
  <c r="G15" i="42"/>
  <c r="H15" i="42"/>
  <c r="C15" i="42"/>
  <c r="B15" i="42"/>
  <c r="D28" i="42"/>
  <c r="H28" i="42"/>
  <c r="I28" i="42"/>
  <c r="F28" i="42"/>
  <c r="E28" i="42"/>
  <c r="G28" i="42"/>
  <c r="C28" i="42"/>
  <c r="B28" i="42"/>
  <c r="I42" i="42"/>
  <c r="D42" i="42"/>
  <c r="E42" i="42"/>
  <c r="H42" i="42"/>
  <c r="F42" i="42"/>
  <c r="G42" i="42"/>
  <c r="C42" i="42"/>
  <c r="B42" i="42"/>
  <c r="G47" i="42"/>
  <c r="F47" i="42"/>
  <c r="H47" i="42"/>
  <c r="D47" i="42"/>
  <c r="E47" i="42"/>
  <c r="I47" i="42"/>
  <c r="C47" i="42"/>
  <c r="B47" i="42"/>
  <c r="I26" i="42"/>
  <c r="F26" i="42"/>
  <c r="H26" i="42"/>
  <c r="D26" i="42"/>
  <c r="E26" i="42"/>
  <c r="G26" i="42"/>
  <c r="C26" i="42"/>
  <c r="B26" i="42"/>
  <c r="G12" i="42"/>
  <c r="H12" i="42"/>
  <c r="D12" i="42"/>
  <c r="F12" i="42"/>
  <c r="E12" i="42"/>
  <c r="I12" i="42"/>
  <c r="C12" i="42"/>
  <c r="B12" i="42"/>
  <c r="H37" i="42"/>
  <c r="I37" i="42"/>
  <c r="F37" i="42"/>
  <c r="G37" i="42"/>
  <c r="E37" i="42"/>
  <c r="D37" i="42"/>
  <c r="B37" i="42"/>
  <c r="C37" i="42"/>
  <c r="H33" i="42"/>
  <c r="D33" i="42"/>
  <c r="F33" i="42"/>
  <c r="E33" i="42"/>
  <c r="G33" i="42"/>
  <c r="I33" i="42"/>
  <c r="C33" i="42"/>
  <c r="B33" i="42"/>
  <c r="H55" i="42"/>
  <c r="D55" i="42"/>
  <c r="E55" i="42"/>
  <c r="G55" i="42"/>
  <c r="I55" i="42"/>
  <c r="F55" i="42"/>
  <c r="C55" i="42"/>
  <c r="B55" i="42"/>
  <c r="D13" i="42"/>
  <c r="H13" i="42"/>
  <c r="E13" i="42"/>
  <c r="I13" i="42"/>
  <c r="G13" i="42"/>
  <c r="F13" i="42"/>
  <c r="C13" i="42"/>
  <c r="B13" i="42"/>
  <c r="H29" i="42"/>
  <c r="I29" i="42"/>
  <c r="D29" i="42"/>
  <c r="E29" i="42"/>
  <c r="F29" i="42"/>
  <c r="G29" i="42"/>
  <c r="B29" i="42"/>
  <c r="C29" i="42"/>
  <c r="D11" i="42"/>
  <c r="H11" i="42"/>
  <c r="G11" i="42"/>
  <c r="E11" i="42"/>
  <c r="I11" i="42"/>
  <c r="F11" i="42"/>
  <c r="C11" i="42"/>
  <c r="B11" i="42"/>
  <c r="D49" i="42"/>
  <c r="H49" i="42"/>
  <c r="E49" i="42"/>
  <c r="G49" i="42"/>
  <c r="I49" i="42"/>
  <c r="F49" i="42"/>
  <c r="B49" i="42"/>
  <c r="C49" i="42"/>
  <c r="D41" i="42"/>
  <c r="H41" i="42"/>
  <c r="F41" i="42"/>
  <c r="G41" i="42"/>
  <c r="E41" i="42"/>
  <c r="I41" i="42"/>
  <c r="B41" i="42"/>
  <c r="C41" i="42"/>
  <c r="I36" i="42"/>
  <c r="H36" i="42"/>
  <c r="F36" i="42"/>
  <c r="E36" i="42"/>
  <c r="G36" i="42"/>
  <c r="D36" i="42"/>
  <c r="B36" i="42"/>
  <c r="C36" i="42"/>
  <c r="F40" i="42"/>
  <c r="D40" i="42"/>
  <c r="H40" i="42"/>
  <c r="E40" i="42"/>
  <c r="I40" i="42"/>
  <c r="G40" i="42"/>
  <c r="C40" i="42"/>
  <c r="B40" i="42"/>
  <c r="G23" i="42"/>
  <c r="F23" i="42"/>
  <c r="H23" i="42"/>
  <c r="D23" i="42"/>
  <c r="I23" i="42"/>
  <c r="E23" i="42"/>
  <c r="C23" i="42"/>
  <c r="B23" i="42"/>
  <c r="D9" i="42"/>
  <c r="H9" i="42"/>
  <c r="G9" i="42"/>
  <c r="E9" i="42"/>
  <c r="I9" i="42"/>
  <c r="F9" i="42"/>
  <c r="C9" i="42"/>
  <c r="B9" i="42"/>
  <c r="D7" i="42"/>
  <c r="N58" i="28"/>
  <c r="I7" i="42"/>
  <c r="F7" i="42"/>
  <c r="G7" i="42"/>
  <c r="H7" i="42"/>
  <c r="E7" i="42"/>
  <c r="C7" i="42"/>
  <c r="I57" i="42"/>
  <c r="G57" i="42"/>
  <c r="H57" i="42"/>
  <c r="D57" i="42"/>
  <c r="E57" i="42"/>
  <c r="F57" i="42"/>
  <c r="B57" i="42"/>
  <c r="C57" i="42"/>
  <c r="D39" i="42"/>
  <c r="H39" i="42"/>
  <c r="I39" i="42"/>
  <c r="E39" i="42"/>
  <c r="G39" i="42"/>
  <c r="F39" i="42"/>
  <c r="C39" i="42"/>
  <c r="B39" i="42"/>
  <c r="H17" i="42"/>
  <c r="D17" i="42"/>
  <c r="I17" i="42"/>
  <c r="F17" i="42"/>
  <c r="E17" i="42"/>
  <c r="G17" i="42"/>
  <c r="C17" i="42"/>
  <c r="B17" i="42"/>
  <c r="D54" i="42"/>
  <c r="H54" i="42"/>
  <c r="I54" i="42"/>
  <c r="G54" i="42"/>
  <c r="E54" i="42"/>
  <c r="F54" i="42"/>
  <c r="C54" i="42"/>
  <c r="B54" i="42"/>
  <c r="H27" i="42"/>
  <c r="E27" i="42"/>
  <c r="D27" i="42"/>
  <c r="F27" i="42"/>
  <c r="G27" i="42"/>
  <c r="I27" i="42"/>
  <c r="C27" i="42"/>
  <c r="B27" i="42"/>
  <c r="D19" i="42"/>
  <c r="H19" i="42"/>
  <c r="E19" i="42"/>
  <c r="I19" i="42"/>
  <c r="G19" i="42"/>
  <c r="F19" i="42"/>
  <c r="B19" i="42"/>
  <c r="C19" i="42"/>
  <c r="D32" i="42"/>
  <c r="H32" i="42"/>
  <c r="G32" i="42"/>
  <c r="E32" i="42"/>
  <c r="F32" i="42"/>
  <c r="I32" i="42"/>
  <c r="B32" i="42"/>
  <c r="C32" i="42"/>
  <c r="H38" i="42"/>
  <c r="I38" i="42"/>
  <c r="D38" i="42"/>
  <c r="E38" i="42"/>
  <c r="F38" i="42"/>
  <c r="G38" i="42"/>
  <c r="B38" i="42"/>
  <c r="C38" i="42"/>
  <c r="D45" i="42"/>
  <c r="E45" i="42"/>
  <c r="I45" i="42"/>
  <c r="F45" i="42"/>
  <c r="G45" i="42"/>
  <c r="H45" i="42"/>
  <c r="B45" i="42"/>
  <c r="C45" i="42"/>
  <c r="F18" i="42"/>
  <c r="H18" i="42"/>
  <c r="G18" i="42"/>
  <c r="D18" i="42"/>
  <c r="E18" i="42"/>
  <c r="I18" i="42"/>
  <c r="C18" i="42"/>
  <c r="B18" i="42"/>
  <c r="H31" i="42"/>
  <c r="D31" i="42"/>
  <c r="E31" i="42"/>
  <c r="I31" i="42"/>
  <c r="G31" i="42"/>
  <c r="F31" i="42"/>
  <c r="C31" i="42"/>
  <c r="B31" i="42"/>
  <c r="D10" i="42"/>
  <c r="H10" i="42"/>
  <c r="E10" i="42"/>
  <c r="G10" i="42"/>
  <c r="I10" i="42"/>
  <c r="F10" i="42"/>
  <c r="C10" i="42"/>
  <c r="B10" i="42"/>
  <c r="D24" i="42"/>
  <c r="H24" i="42"/>
  <c r="F24" i="42"/>
  <c r="E24" i="42"/>
  <c r="I24" i="42"/>
  <c r="G24" i="42"/>
  <c r="C24" i="42"/>
  <c r="B24" i="42"/>
  <c r="D56" i="42"/>
  <c r="G56" i="42"/>
  <c r="E56" i="42"/>
  <c r="I56" i="42"/>
  <c r="F56" i="42"/>
  <c r="H56" i="42"/>
  <c r="B56" i="42"/>
  <c r="C56" i="42"/>
  <c r="D50" i="42"/>
  <c r="H50" i="42"/>
  <c r="I50" i="42"/>
  <c r="G50" i="42"/>
  <c r="E50" i="42"/>
  <c r="F50" i="42"/>
  <c r="C50" i="42"/>
  <c r="B50" i="42"/>
  <c r="J34" i="42" l="1"/>
  <c r="J21" i="42"/>
  <c r="J51" i="42"/>
  <c r="J50" i="42"/>
  <c r="J24" i="42"/>
  <c r="J10" i="42"/>
  <c r="J31" i="42"/>
  <c r="J18" i="42"/>
  <c r="J27" i="42"/>
  <c r="J54" i="42"/>
  <c r="J17" i="42"/>
  <c r="J39" i="42"/>
  <c r="J36" i="42"/>
  <c r="J41" i="42"/>
  <c r="J49" i="42"/>
  <c r="J29" i="42"/>
  <c r="J37" i="42"/>
  <c r="J8" i="42"/>
  <c r="J44" i="42"/>
  <c r="D58" i="42"/>
  <c r="B58" i="42"/>
  <c r="J7" i="42"/>
  <c r="E58" i="42"/>
  <c r="I58" i="42"/>
  <c r="J56" i="42"/>
  <c r="J45" i="42"/>
  <c r="J38" i="42"/>
  <c r="J32" i="42"/>
  <c r="J19" i="42"/>
  <c r="J57" i="42"/>
  <c r="C58" i="42"/>
  <c r="H58" i="42"/>
  <c r="F58" i="42"/>
  <c r="J9" i="42"/>
  <c r="J23" i="42"/>
  <c r="J40" i="42"/>
  <c r="J11" i="42"/>
  <c r="J13" i="42"/>
  <c r="J55" i="42"/>
  <c r="J33" i="42"/>
  <c r="J12" i="42"/>
  <c r="J26" i="42"/>
  <c r="J47" i="42"/>
  <c r="J42" i="42"/>
  <c r="J28" i="42"/>
  <c r="J15" i="42"/>
  <c r="J35" i="42"/>
  <c r="J53" i="42"/>
  <c r="G58" i="42"/>
  <c r="J48" i="42"/>
  <c r="J22" i="42"/>
  <c r="J16" i="42"/>
  <c r="J20" i="42"/>
  <c r="J52" i="42"/>
  <c r="J30" i="42"/>
  <c r="J43" i="42"/>
  <c r="J14" i="42"/>
  <c r="J25" i="42"/>
  <c r="J58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<sst xmlns="http://schemas.openxmlformats.org/spreadsheetml/2006/main" count="565" uniqueCount="232">
  <si>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</si>
  <si>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</si>
  <si>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</si>
  <si>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</si>
  <si>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</si>
  <si>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</si>
  <si>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</si>
  <si>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</si>
  <si>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</si>
  <si>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</si>
  <si>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</si>
  <si>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</si>
  <si>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</si>
  <si>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</si>
  <si>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</si>
  <si>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</si>
  <si>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</si>
  <si>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</si>
  <si>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</si>
  <si>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</si>
  <si>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</si>
  <si>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</si>
  <si>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</si>
  <si>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</si>
  <si>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</si>
  <si>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</si>
  <si>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</si>
  <si>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</si>
  <si>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</si>
  <si>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</si>
  <si>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</si>
  <si>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</si>
  <si>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</si>
  <si>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</si>
  <si>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</si>
  <si>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</si>
  <si>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</si>
  <si>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</si>
  <si>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</si>
  <si>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</si>
  <si>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</si>
  <si>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</si>
  <si>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</si>
  <si>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</si>
  <si>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</si>
  <si>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</si>
  <si>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</si>
  <si>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</si>
  <si>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</si>
  <si>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</si>
  <si>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</si>
  <si>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</si>
  <si>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</si>
  <si>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</si>
  <si>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</si>
  <si>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</si>
  <si>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</si>
  <si>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</si>
  <si>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</si>
  <si>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</si>
  <si>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</si>
  <si>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</si>
  <si>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</si>
  <si>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</si>
  <si>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</si>
  <si>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</si>
  <si>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</si>
  <si>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</si>
  <si>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</si>
  <si>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</si>
  <si>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</si>
  <si>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</si>
  <si>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</si>
  <si>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</si>
  <si>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</si>
  <si>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</si>
  <si>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</si>
  <si>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</si>
  <si>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</si>
  <si>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</si>
  <si>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</si>
  <si>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</si>
  <si>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</si>
  <si>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</si>
  <si>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</si>
  <si>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</si>
  <si>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</si>
  <si>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</si>
  <si>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</si>
  <si>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</si>
  <si>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</si>
  <si>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</si>
  <si>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</si>
  <si>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</si>
  <si>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</si>
  <si>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</si>
  <si>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</si>
  <si>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</si>
  <si>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</si>
  <si>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</si>
  <si>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</si>
  <si>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</si>
  <si>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</si>
  <si>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</si>
  <si>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</si>
  <si>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</si>
  <si>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</si>
  <si>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</si>
  <si>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</si>
  <si>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</si>
  <si>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</si>
  <si>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</si>
  <si>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</si>
  <si>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</si>
  <si>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</si>
  <si>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</si>
  <si>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</si>
  <si>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</si>
  <si>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</si>
  <si>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</si>
  <si>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</si>
  <si>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</si>
  <si>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</si>
  <si>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</si>
  <si>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</si>
  <si>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</si>
  <si>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</si>
  <si>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</si>
  <si>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</si>
  <si>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</si>
  <si>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</si>
  <si>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</si>
  <si>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</si>
  <si>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</si>
  <si>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</si>
  <si>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</si>
  <si>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</si>
  <si>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</si>
  <si>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</si>
  <si>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</si>
  <si>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</si>
  <si>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</si>
  <si>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</si>
  <si>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</si>
  <si>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</si>
  <si>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</si>
  <si>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</si>
  <si>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</si>
  <si>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</si>
  <si>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</si>
  <si>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</si>
  <si>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Fondo de Fiscalización y Recaudación (FOFIR) *</t>
  </si>
  <si>
    <t>Impuesto sobre Adquisición de Vehículos Nuevos (ISAN) y su Compensación</t>
  </si>
  <si>
    <t>Fondo sobre Extracción de Hidrocarburos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</si>
  <si>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</si>
  <si>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</si>
  <si>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</si>
  <si>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</si>
  <si>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</si>
  <si>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</si>
  <si>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</si>
  <si>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</si>
  <si>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</si>
  <si>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</si>
  <si>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</si>
  <si>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r>
      <t xml:space="preserve">Impuesto sobre la Venta Final de Gasolinas y Diesel (IEPSGD)
 </t>
    </r>
    <r>
      <rPr>
        <sz val="8"/>
        <rFont val="Arial"/>
        <family val="2"/>
      </rPr>
      <t>(Distribución Art 14 Fracc II)</t>
    </r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</si>
  <si>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</si>
  <si>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</si>
  <si>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</si>
  <si>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</si>
  <si>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</si>
  <si>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</si>
  <si>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Enero</t>
  </si>
  <si>
    <t>Febrero</t>
  </si>
  <si>
    <t>Marzo</t>
  </si>
  <si>
    <t>Abril</t>
  </si>
  <si>
    <t>Mayo</t>
  </si>
  <si>
    <t>Junio</t>
  </si>
  <si>
    <t>Observado 1er Semestre</t>
  </si>
  <si>
    <t>Julio</t>
  </si>
  <si>
    <t>Agosto</t>
  </si>
  <si>
    <t>Septiembre</t>
  </si>
  <si>
    <t>Octubre</t>
  </si>
  <si>
    <t>Noviembre</t>
  </si>
  <si>
    <t>Diciembre</t>
  </si>
  <si>
    <t>Estimación 2do Semestre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</si>
  <si>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</si>
  <si>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</si>
  <si>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</si>
  <si>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</si>
  <si>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</si>
  <si>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</si>
  <si>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</si>
  <si>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</si>
  <si>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PROYECCIÓN DE POBLACIÓN 2017</t>
  </si>
  <si>
    <t>PARTICIPACIONES PAGADAS 2017
FGP, FFM, FOFIR, IEPS, ISAN, FEXHI, IEPSGYD</t>
  </si>
  <si>
    <t>PARTICIPACIONES PAGADAS 2017 MÁS INCREMENTO</t>
  </si>
  <si>
    <t>PARTICIPACIONES OBSERVADAS ENE-JUN + ESTIMADAS JUL-DIC 2018</t>
  </si>
  <si>
    <t xml:space="preserve"> DIFERENCIA ENTRE PARTICIPACIONES ESTIMADAS 2018 MENOS PARTICIPACIONES 2017 MÁS INCREMENTOS</t>
  </si>
  <si>
    <t>MONTOS 2017 MÁS INCREMENTO DE MUNICIPIOS CON PARTICIPACIÓN  INFERIOR EN 2018</t>
  </si>
  <si>
    <t>MONTO NECESARIO PARA ALCANZAR 2017 MÁS INCREMENTO
"COMPENSACIÓN"</t>
  </si>
  <si>
    <t>MONTOS 2018 DE MUNICIPIOS CON PARTICIPACIÓN SUPERIOR A 2017 MÁS INCREMENTO</t>
  </si>
  <si>
    <t>MONTO 2018 POR ENCIMA DE 2017 MÁS INCREMENTO</t>
  </si>
  <si>
    <t>MONTO A DISMINUIR EN MUNICIPIOS CON CRECIMIENTO SUPERIOR A 2017 MÁS INCREMENTO</t>
  </si>
  <si>
    <t>MONTO A DISTRIBUIR EN 2018 PARA GARANTIZAR AL MENOS EL PAGO DE 2017 MÁS INCREMENTO</t>
  </si>
  <si>
    <t>DETERMINACIÓN INCREMENTO 2018 vs PAGO 2017 MÁS INCREMENTO</t>
  </si>
  <si>
    <t>Fondo de Compensacion ISAN</t>
  </si>
  <si>
    <t>FONDO COMPENSACION ISAN</t>
  </si>
  <si>
    <t xml:space="preserve">Impuesto sobre Adquisición de Vehículos Nuevos (ISAN) </t>
  </si>
  <si>
    <t>DETERMINACIÓN  DEL  COEFICIENTE DE PARTICIPACIÓN DE RECURSOS A MUNICIPIOS</t>
  </si>
  <si>
    <t>Estimación de Participaciones para 2018</t>
  </si>
  <si>
    <t>Estimación 2018</t>
  </si>
  <si>
    <t>FACTURACIÓN  2016
(2012-2016)</t>
  </si>
  <si>
    <t>RECAUDACIÓN 2017</t>
  </si>
  <si>
    <t>enero</t>
  </si>
  <si>
    <t>febrero</t>
  </si>
  <si>
    <t>marzo</t>
  </si>
  <si>
    <t>abril</t>
  </si>
  <si>
    <t>mayo</t>
  </si>
  <si>
    <t>junio</t>
  </si>
  <si>
    <t>Participaciones 1er Semestre 2018</t>
  </si>
  <si>
    <t>CÁLCULO DE PARTICIPACIONES EN EL 1er SEMESTRE DE 2018</t>
  </si>
  <si>
    <t>CON COEFICIENTE ACTUALIZADO DEL 2do SEMESTRE</t>
  </si>
  <si>
    <t>* 1.58 %DE CRECIMIENTO DE ESTIMACIÓN 2018 RESPECTO 2017</t>
  </si>
  <si>
    <t>CON COEFICIENTE DEL 1er SEMESTRE</t>
  </si>
  <si>
    <t>CÁLCULO DE PARTICIPACIONES EN EL 1er SEMESTRE DE 2018 (distribuido)</t>
  </si>
  <si>
    <t>CÁLCULO DEL AJUSTE POR LA DIFERENCIA</t>
  </si>
  <si>
    <t xml:space="preserve"> DE PARTICIPACIONES DEL PRIMER SEMESTRE </t>
  </si>
  <si>
    <t>*6.77% INFLACIÓN ANUAL 2017</t>
  </si>
  <si>
    <t>COORDINACIÓN DE PLANEACIÓN HACENDARIA</t>
  </si>
  <si>
    <t>COEFICIENTE 2DO SEMESTRE 2018</t>
  </si>
  <si>
    <t>Coeficiente 1er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</si>
</sst>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00_-;\-* #,##0.00000000_-;_-* &quot;-&quot;??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0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3" fillId="0" borderId="0" applyFont="0" applyFill="0" applyBorder="0" applyAlignment="0" applyProtection="0"/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5" fillId="0" borderId="0"/>
    <xf numFmtId="37" fontId="4" fillId="0" borderId="0"/>
    <xf numFmtId="0" fontId="12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3" fillId="0" borderId="0" applyFont="0" applyFill="0" applyBorder="0" applyAlignment="0" applyProtection="0"/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52" fillId="0" borderId="0"/>
    <xf numFmtId="0" fontId="1" fillId="0" borderId="0"/>
    <xf numFmtId="43" fontId="53" fillId="0" borderId="0" applyFont="0" applyFill="0" applyBorder="0" applyAlignment="0" applyProtection="0"/>
  </cellStyleXfs>
  <cellXfs count="248">
    <xf numFmtId="0" fontId="0" fillId="0" borderId="0" xfId="0"/>
    <xf numFmtId="37" fontId="4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4" fillId="0" borderId="0" xfId="37" applyFont="1" applyBorder="1" applyProtection="1"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7" fillId="0" borderId="0" xfId="37" applyFont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4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4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4" fillId="0" borderId="0" xfId="37" applyNumberFormat="1" applyFont="1" applyProtection="1">
      <protection hidden="1"/>
    </xf>
    <xf numFmtId="185" fontId="4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NumberFormat="1" applyFont="1" applyProtection="1">
      <protection hidden="1"/>
    </xf>
    <xf numFmtId="0" fontId="3" fillId="0" borderId="0" xfId="53"/>
    <xf numFmtId="0" fontId="8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3" fontId="3" fillId="0" borderId="38" xfId="53" applyNumberFormat="1" applyFont="1" applyBorder="1" applyAlignment="1">
      <alignment horizontal="center" vertical="center" wrapText="1"/>
    </xf>
    <xf numFmtId="0" fontId="3" fillId="0" borderId="38" xfId="53" applyFont="1" applyBorder="1" applyAlignment="1">
      <alignment horizontal="center"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8" fillId="0" borderId="38" xfId="53" applyFont="1" applyBorder="1" applyAlignment="1">
      <alignment horizontal="left" vertical="center"/>
    </xf>
    <xf numFmtId="3" fontId="3" fillId="0" borderId="38" xfId="53" applyNumberFormat="1" applyFont="1" applyBorder="1" applyAlignment="1">
      <alignment vertical="center" wrapText="1"/>
    </xf>
    <xf numFmtId="3" fontId="8" fillId="0" borderId="38" xfId="53" applyNumberFormat="1" applyFont="1" applyBorder="1" applyAlignment="1">
      <alignment vertical="center"/>
    </xf>
    <xf numFmtId="165" fontId="3" fillId="0" borderId="38" xfId="33" applyNumberFormat="1" applyFont="1" applyBorder="1" applyAlignment="1">
      <alignment vertical="center" wrapText="1"/>
    </xf>
    <xf numFmtId="3" fontId="8" fillId="0" borderId="38" xfId="53" applyNumberFormat="1" applyFont="1" applyBorder="1" applyAlignment="1">
      <alignment vertical="center" wrapText="1"/>
    </xf>
    <xf numFmtId="3" fontId="3" fillId="0" borderId="0" xfId="53" applyNumberFormat="1" applyFont="1"/>
    <xf numFmtId="3" fontId="3" fillId="0" borderId="0" xfId="53" applyNumberFormat="1"/>
    <xf numFmtId="189" fontId="0" fillId="0" borderId="0" xfId="51" applyNumberFormat="1" applyFont="1" applyFill="1" applyBorder="1"/>
    <xf numFmtId="189" fontId="8" fillId="0" borderId="40" xfId="51" applyNumberFormat="1" applyFont="1" applyFill="1" applyBorder="1"/>
    <xf numFmtId="165" fontId="3" fillId="24" borderId="38" xfId="33" applyNumberFormat="1" applyFont="1" applyFill="1" applyBorder="1" applyAlignment="1">
      <alignment vertical="center" wrapText="1"/>
    </xf>
    <xf numFmtId="165" fontId="3" fillId="0" borderId="38" xfId="33" applyNumberFormat="1" applyFont="1" applyFill="1" applyBorder="1" applyAlignment="1">
      <alignment vertical="center" wrapText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189" fontId="3" fillId="0" borderId="38" xfId="53" applyNumberFormat="1" applyFont="1" applyBorder="1" applyAlignment="1">
      <alignment horizontal="center" vertical="center" wrapText="1"/>
    </xf>
    <xf numFmtId="189" fontId="3" fillId="0" borderId="38" xfId="33" applyNumberFormat="1" applyFont="1" applyBorder="1" applyAlignment="1">
      <alignment vertical="center" wrapText="1"/>
    </xf>
    <xf numFmtId="1" fontId="8" fillId="0" borderId="40" xfId="51" applyNumberFormat="1" applyFont="1" applyFill="1" applyBorder="1"/>
    <xf numFmtId="1" fontId="8" fillId="0" borderId="41" xfId="51" applyNumberFormat="1" applyFont="1" applyFill="1" applyBorder="1"/>
    <xf numFmtId="189" fontId="3" fillId="24" borderId="38" xfId="33" applyNumberFormat="1" applyFont="1" applyFill="1" applyBorder="1" applyAlignment="1">
      <alignment vertical="center" wrapText="1"/>
    </xf>
    <xf numFmtId="175" fontId="3" fillId="0" borderId="0" xfId="40" applyNumberFormat="1" applyFont="1" applyProtection="1">
      <protection hidden="1"/>
    </xf>
    <xf numFmtId="189" fontId="0" fillId="0" borderId="0" xfId="33" applyNumberFormat="1" applyFont="1" applyFill="1" applyBorder="1"/>
    <xf numFmtId="189" fontId="8" fillId="0" borderId="43" xfId="33" applyNumberFormat="1" applyFont="1" applyFill="1" applyBorder="1"/>
    <xf numFmtId="190" fontId="0" fillId="0" borderId="0" xfId="51" applyNumberFormat="1" applyFont="1"/>
    <xf numFmtId="190" fontId="8" fillId="0" borderId="0" xfId="51" applyNumberFormat="1" applyFont="1" applyAlignment="1">
      <alignment horizontal="center" vertical="center" wrapText="1"/>
    </xf>
    <xf numFmtId="0" fontId="8" fillId="0" borderId="0" xfId="53" applyFont="1" applyAlignment="1">
      <alignment horizontal="center" vertical="center"/>
    </xf>
    <xf numFmtId="188" fontId="8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120" zoomScaleNormal="120" zoomScaleSheetLayoutView="100" workbookViewId="0">
      <selection activeCell="B4" sqref="B4"/>
    </sheetView>
  </sheetViews>
  <sheetFormatPr baseColWidth="10" defaultColWidth="11.42578125" defaultRowHeight="12.75"/>
  <cols>
    <col min="1" max="1" width="48.7109375" style="176" customWidth="1"/>
    <col min="2" max="2" width="14.7109375" style="176" customWidth="1"/>
    <col min="3" max="3" width="15.42578125" style="176" customWidth="1"/>
    <col min="4" max="4" width="15.28515625" style="176" customWidth="1"/>
    <col min="5" max="5" width="16.140625" style="176" customWidth="1"/>
    <col min="6" max="6" width="15.140625" style="176" customWidth="1"/>
    <col min="7" max="7" width="15.5703125" style="176" customWidth="1"/>
    <col min="8" max="8" width="16.85546875" style="176" customWidth="1"/>
    <col min="9" max="9" width="12.7109375" style="176" customWidth="1"/>
    <col min="10" max="10" width="16.28515625" style="176" customWidth="1"/>
    <col min="11" max="16384" width="11.42578125" style="176"/>
  </cols>
  <sheetData>
    <row r="1" spans="1:10" ht="27.75" customHeight="1">
      <c r="A1" s="227" t="s">
        <v>220</v>
      </c>
      <c r="B1" s="227"/>
      <c r="C1" s="227"/>
      <c r="D1" s="227"/>
      <c r="E1" s="227"/>
      <c r="F1" s="227"/>
      <c r="G1" s="227"/>
      <c r="H1" s="227"/>
      <c r="I1" s="227"/>
      <c r="J1" s="227"/>
    </row>
    <row r="3" spans="1:10" ht="38.25">
      <c r="A3" s="177" t="s">
        <v>143</v>
      </c>
      <c r="B3" s="177" t="s">
        <v>214</v>
      </c>
      <c r="C3" s="177" t="s">
        <v>215</v>
      </c>
      <c r="D3" s="177" t="s">
        <v>216</v>
      </c>
      <c r="E3" s="177" t="s">
        <v>217</v>
      </c>
      <c r="F3" s="177" t="s">
        <v>218</v>
      </c>
      <c r="G3" s="177" t="s">
        <v>219</v>
      </c>
      <c r="H3" s="177" t="s">
        <v>144</v>
      </c>
      <c r="I3" s="177" t="s">
        <v>145</v>
      </c>
      <c r="J3" s="177" t="s">
        <v>190</v>
      </c>
    </row>
    <row r="4" spans="1:10" ht="25.5" customHeight="1">
      <c r="A4" s="178" t="s">
        <v>146</v>
      </c>
      <c r="B4" s="203">
        <v>2098863055</v>
      </c>
      <c r="C4" s="203">
        <v>2637188791</v>
      </c>
      <c r="D4" s="203">
        <v>2183972563</v>
      </c>
      <c r="E4" s="203">
        <v>2333082754</v>
      </c>
      <c r="F4" s="203">
        <v>2347089014.3668742</v>
      </c>
      <c r="G4" s="203">
        <v>2771412479.831687</v>
      </c>
      <c r="H4" s="203">
        <f>SUM(B4:G4)</f>
        <v>14371608657.198563</v>
      </c>
      <c r="I4" s="180">
        <v>20</v>
      </c>
      <c r="J4" s="179">
        <f>+I4/100*H4</f>
        <v>2874321731.4397125</v>
      </c>
    </row>
    <row r="5" spans="1:10" ht="25.5" customHeight="1">
      <c r="A5" s="178" t="s">
        <v>147</v>
      </c>
      <c r="B5" s="203">
        <v>56570021</v>
      </c>
      <c r="C5" s="203">
        <v>77785870</v>
      </c>
      <c r="D5" s="203">
        <v>59540420</v>
      </c>
      <c r="E5" s="203">
        <v>64784001</v>
      </c>
      <c r="F5" s="203">
        <v>75879497.358228773</v>
      </c>
      <c r="G5" s="203">
        <v>81644800.460300356</v>
      </c>
      <c r="H5" s="203">
        <f t="shared" ref="H5:H11" si="0">SUM(B5:G5)</f>
        <v>416204609.81852913</v>
      </c>
      <c r="I5" s="180">
        <v>100</v>
      </c>
      <c r="J5" s="179">
        <f t="shared" ref="J5:J11" si="1">+I5/100*H5</f>
        <v>416204609.81852913</v>
      </c>
    </row>
    <row r="6" spans="1:10" ht="25.5" customHeight="1">
      <c r="A6" s="178" t="s">
        <v>148</v>
      </c>
      <c r="B6" s="203">
        <v>77438613</v>
      </c>
      <c r="C6" s="203">
        <v>82987317</v>
      </c>
      <c r="D6" s="203">
        <v>128791591</v>
      </c>
      <c r="E6" s="203">
        <v>64891310</v>
      </c>
      <c r="F6" s="203">
        <v>92807724.039687663</v>
      </c>
      <c r="G6" s="218">
        <v>-14775307.02792877</v>
      </c>
      <c r="H6" s="203">
        <f t="shared" si="0"/>
        <v>432141248.01175886</v>
      </c>
      <c r="I6" s="180">
        <v>20</v>
      </c>
      <c r="J6" s="217">
        <f t="shared" si="1"/>
        <v>86428249.602351785</v>
      </c>
    </row>
    <row r="7" spans="1:10" ht="25.5" customHeight="1">
      <c r="A7" s="178" t="s">
        <v>189</v>
      </c>
      <c r="B7" s="203">
        <v>118965952.88081867</v>
      </c>
      <c r="C7" s="203">
        <v>75298111</v>
      </c>
      <c r="D7" s="203">
        <v>75298111</v>
      </c>
      <c r="E7" s="203">
        <v>182129074</v>
      </c>
      <c r="F7" s="203">
        <v>72912597.560246944</v>
      </c>
      <c r="G7" s="203">
        <v>75298111</v>
      </c>
      <c r="H7" s="203">
        <f t="shared" si="0"/>
        <v>599901957.44106555</v>
      </c>
      <c r="I7" s="180">
        <v>20</v>
      </c>
      <c r="J7" s="179">
        <f t="shared" si="1"/>
        <v>119980391.48821312</v>
      </c>
    </row>
    <row r="8" spans="1:10" ht="25.5" customHeight="1">
      <c r="A8" s="178" t="s">
        <v>188</v>
      </c>
      <c r="B8" s="203">
        <v>9462297</v>
      </c>
      <c r="C8" s="203">
        <v>9349182</v>
      </c>
      <c r="D8" s="203">
        <v>8386916</v>
      </c>
      <c r="E8" s="203">
        <v>9239103</v>
      </c>
      <c r="F8" s="203">
        <v>9091621.937570909</v>
      </c>
      <c r="G8" s="203">
        <v>8599674.0186194144</v>
      </c>
      <c r="H8" s="203">
        <f t="shared" si="0"/>
        <v>54128793.956190318</v>
      </c>
      <c r="I8" s="180">
        <v>20</v>
      </c>
      <c r="J8" s="179">
        <f t="shared" si="1"/>
        <v>10825758.791238064</v>
      </c>
    </row>
    <row r="9" spans="1:10" ht="25.5" customHeight="1">
      <c r="A9" s="178" t="s">
        <v>208</v>
      </c>
      <c r="B9" s="210">
        <f>84739453</f>
        <v>84739453</v>
      </c>
      <c r="C9" s="210">
        <f>85966401</f>
        <v>85966401</v>
      </c>
      <c r="D9" s="210">
        <f>86075485</f>
        <v>86075485</v>
      </c>
      <c r="E9" s="210">
        <f>61022055</f>
        <v>61022055</v>
      </c>
      <c r="F9" s="210">
        <f>80064036</f>
        <v>80064036</v>
      </c>
      <c r="G9" s="210">
        <f>69923930</f>
        <v>69923930</v>
      </c>
      <c r="H9" s="203">
        <f t="shared" si="0"/>
        <v>467791360</v>
      </c>
      <c r="I9" s="180">
        <v>20</v>
      </c>
      <c r="J9" s="179">
        <f t="shared" si="1"/>
        <v>93558272</v>
      </c>
    </row>
    <row r="10" spans="1:10" ht="25.5" customHeight="1">
      <c r="A10" s="178" t="s">
        <v>206</v>
      </c>
      <c r="B10" s="210">
        <v>13678356</v>
      </c>
      <c r="C10" s="210">
        <v>14541786</v>
      </c>
      <c r="D10" s="210">
        <v>14541786</v>
      </c>
      <c r="E10" s="210">
        <v>14541786</v>
      </c>
      <c r="F10" s="210">
        <v>14541786</v>
      </c>
      <c r="G10" s="210">
        <v>14541786</v>
      </c>
      <c r="H10" s="203">
        <f t="shared" si="0"/>
        <v>86387286</v>
      </c>
      <c r="I10" s="180">
        <v>20</v>
      </c>
      <c r="J10" s="179">
        <f t="shared" si="1"/>
        <v>17277457.199999999</v>
      </c>
    </row>
    <row r="11" spans="1:10" ht="25.5" customHeight="1">
      <c r="A11" s="178" t="s">
        <v>170</v>
      </c>
      <c r="B11" s="203">
        <v>99814605</v>
      </c>
      <c r="C11" s="203">
        <v>102258965</v>
      </c>
      <c r="D11" s="203">
        <v>95572178</v>
      </c>
      <c r="E11" s="203">
        <v>66175746</v>
      </c>
      <c r="F11" s="203">
        <v>103926768.54545453</v>
      </c>
      <c r="G11" s="203">
        <v>93664282.909090906</v>
      </c>
      <c r="H11" s="203">
        <f t="shared" si="0"/>
        <v>561412545.45454538</v>
      </c>
      <c r="I11" s="180">
        <v>20</v>
      </c>
      <c r="J11" s="179">
        <f t="shared" si="1"/>
        <v>112282509.09090908</v>
      </c>
    </row>
    <row r="12" spans="1:10" ht="25.5" customHeight="1">
      <c r="A12" s="197" t="s">
        <v>53</v>
      </c>
      <c r="B12" s="198">
        <f>SUM(B4:B11)</f>
        <v>2559532352.8808188</v>
      </c>
      <c r="C12" s="198">
        <f t="shared" ref="C12:G12" si="2">SUM(C4:C11)</f>
        <v>3085376423</v>
      </c>
      <c r="D12" s="198">
        <f t="shared" si="2"/>
        <v>2652179050</v>
      </c>
      <c r="E12" s="198">
        <f t="shared" si="2"/>
        <v>2795865829</v>
      </c>
      <c r="F12" s="198">
        <f t="shared" si="2"/>
        <v>2796313045.808063</v>
      </c>
      <c r="G12" s="198">
        <f t="shared" si="2"/>
        <v>3100309757.1917691</v>
      </c>
      <c r="H12" s="198">
        <f>SUM(H4:H11)</f>
        <v>16989576457.880651</v>
      </c>
      <c r="I12" s="197"/>
      <c r="J12" s="198">
        <f>SUM(J4:J11)</f>
        <v>3730878979.430953</v>
      </c>
    </row>
    <row r="13" spans="1:10">
      <c r="A13" s="181"/>
      <c r="B13" s="181"/>
      <c r="C13" s="181"/>
      <c r="D13" s="181"/>
      <c r="E13" s="181"/>
      <c r="F13" s="181"/>
      <c r="G13" s="181"/>
      <c r="H13" s="182"/>
      <c r="I13" s="183"/>
      <c r="J13" s="182"/>
    </row>
    <row r="14" spans="1:10">
      <c r="A14" s="184" t="s">
        <v>149</v>
      </c>
      <c r="B14" s="184"/>
      <c r="C14" s="184"/>
      <c r="D14" s="184"/>
      <c r="E14" s="184"/>
      <c r="F14" s="184"/>
      <c r="G14" s="184"/>
    </row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scale="78" orientation="landscape" r:id="rId1"/>
  <headerFooter>
    <oddHeader xml:space="preserve">&amp;LANEXO II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="130" zoomScaleNormal="130" zoomScaleSheetLayoutView="100" workbookViewId="0">
      <selection activeCell="C14" sqref="C14"/>
    </sheetView>
  </sheetViews>
  <sheetFormatPr baseColWidth="10" defaultColWidth="11.42578125" defaultRowHeight="12.75"/>
  <cols>
    <col min="1" max="1" width="28" style="185" customWidth="1"/>
    <col min="2" max="2" width="13.85546875" style="185" bestFit="1" customWidth="1"/>
    <col min="3" max="7" width="13.42578125" style="185" customWidth="1"/>
    <col min="8" max="8" width="15.85546875" style="185" customWidth="1"/>
    <col min="9" max="9" width="13.42578125" style="185" customWidth="1"/>
    <col min="10" max="10" width="13.85546875" style="185" bestFit="1" customWidth="1"/>
    <col min="11" max="16384" width="11.42578125" style="185"/>
  </cols>
  <sheetData>
    <row r="1" spans="1:10">
      <c r="A1" s="228" t="s">
        <v>150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>
      <c r="A2" s="228" t="s">
        <v>229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>
      <c r="A3" s="228" t="s">
        <v>221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>
      <c r="A4" s="228" t="s">
        <v>222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ht="13.5" customHeight="1" thickBot="1">
      <c r="A5" s="186"/>
    </row>
    <row r="6" spans="1:10" ht="39.75" thickTop="1" thickBot="1">
      <c r="A6" s="187" t="s">
        <v>0</v>
      </c>
      <c r="B6" s="188" t="s">
        <v>134</v>
      </c>
      <c r="C6" s="188" t="s">
        <v>135</v>
      </c>
      <c r="D6" s="188" t="s">
        <v>136</v>
      </c>
      <c r="E6" s="188" t="s">
        <v>164</v>
      </c>
      <c r="F6" s="188" t="s">
        <v>154</v>
      </c>
      <c r="G6" s="188" t="s">
        <v>137</v>
      </c>
      <c r="H6" s="188" t="s">
        <v>207</v>
      </c>
      <c r="I6" s="188" t="s">
        <v>171</v>
      </c>
      <c r="J6" s="189" t="s">
        <v>53</v>
      </c>
    </row>
    <row r="7" spans="1:10" ht="13.5" thickTop="1">
      <c r="A7" s="190" t="s">
        <v>1</v>
      </c>
      <c r="B7" s="191">
        <f>'PART 1er sem 2018'!J$4*'CALCULO GARANTIA'!$N7</f>
        <v>3809269.3949509235</v>
      </c>
      <c r="C7" s="191">
        <f>'PART 1er sem 2018'!J$5*'CALCULO GARANTIA'!$N7</f>
        <v>551585.94978339062</v>
      </c>
      <c r="D7" s="207">
        <f>'PART 1er sem 2018'!J$6*'CALCULO GARANTIA'!$N7</f>
        <v>114541.27854522098</v>
      </c>
      <c r="E7" s="191">
        <f>'PART 1er sem 2018'!J$7*'CALCULO GARANTIA'!$N7</f>
        <v>159007.12446040477</v>
      </c>
      <c r="F7" s="191">
        <f>'PART 1er sem 2018'!J$8*'CALCULO GARANTIA'!$N7</f>
        <v>14347.117509329179</v>
      </c>
      <c r="G7" s="191">
        <f>'PART 1er sem 2018'!J$9*'CALCULO GARANTIA'!$N7</f>
        <v>123990.52558238956</v>
      </c>
      <c r="H7" s="191">
        <f>'PART 1er sem 2018'!J$10*'CALCULO GARANTIA'!$N7</f>
        <v>22897.398093834403</v>
      </c>
      <c r="I7" s="191">
        <f>+'PART 1er sem 2018'!J$11*'CALCULO GARANTIA'!$N7</f>
        <v>148805.30623621662</v>
      </c>
      <c r="J7" s="192">
        <f t="shared" ref="J7:J38" si="0">SUM(B7:I7)</f>
        <v>4944444.0951617099</v>
      </c>
    </row>
    <row r="8" spans="1:10">
      <c r="A8" s="190" t="s">
        <v>2</v>
      </c>
      <c r="B8" s="191">
        <f>'PART 1er sem 2018'!J$4*'CALCULO GARANTIA'!$N8</f>
        <v>7545314.6254798565</v>
      </c>
      <c r="C8" s="191">
        <f>'PART 1er sem 2018'!J$5*'CALCULO GARANTIA'!$N8</f>
        <v>1092568.9686390464</v>
      </c>
      <c r="D8" s="207">
        <f>'PART 1er sem 2018'!J$6*'CALCULO GARANTIA'!$N8</f>
        <v>226880.7728258748</v>
      </c>
      <c r="E8" s="191">
        <f>'PART 1er sem 2018'!J$7*'CALCULO GARANTIA'!$N8</f>
        <v>314957.71428947337</v>
      </c>
      <c r="F8" s="191">
        <f>'PART 1er sem 2018'!J$8*'CALCULO GARANTIA'!$N8</f>
        <v>28418.445731380012</v>
      </c>
      <c r="G8" s="191">
        <f>'PART 1er sem 2018'!J$9*'CALCULO GARANTIA'!$N8</f>
        <v>245597.62754972896</v>
      </c>
      <c r="H8" s="191">
        <f>'PART 1er sem 2018'!J$10*'CALCULO GARANTIA'!$N8</f>
        <v>45354.648046641807</v>
      </c>
      <c r="I8" s="191">
        <f>+'PART 1er sem 2018'!J$11*'CALCULO GARANTIA'!$N8</f>
        <v>294750.18358673988</v>
      </c>
      <c r="J8" s="192">
        <f t="shared" si="0"/>
        <v>9793842.9861487392</v>
      </c>
    </row>
    <row r="9" spans="1:10">
      <c r="A9" s="190" t="s">
        <v>3</v>
      </c>
      <c r="B9" s="191">
        <f>'PART 1er sem 2018'!J$4*'CALCULO GARANTIA'!$N9</f>
        <v>7439553.0022132974</v>
      </c>
      <c r="C9" s="191">
        <f>'PART 1er sem 2018'!J$5*'CALCULO GARANTIA'!$N9</f>
        <v>1077254.581712923</v>
      </c>
      <c r="D9" s="207">
        <f>'PART 1er sem 2018'!J$6*'CALCULO GARANTIA'!$N9</f>
        <v>223700.61666101374</v>
      </c>
      <c r="E9" s="191">
        <f>'PART 1er sem 2018'!J$7*'CALCULO GARANTIA'!$N9</f>
        <v>310542.99591429869</v>
      </c>
      <c r="F9" s="191">
        <f>'PART 1er sem 2018'!J$8*'CALCULO GARANTIA'!$N9</f>
        <v>28020.108339177197</v>
      </c>
      <c r="G9" s="191">
        <f>'PART 1er sem 2018'!J$9*'CALCULO GARANTIA'!$N9</f>
        <v>242155.11984138758</v>
      </c>
      <c r="H9" s="191">
        <f>'PART 1er sem 2018'!J$10*'CALCULO GARANTIA'!$N9</f>
        <v>44718.918267541805</v>
      </c>
      <c r="I9" s="191">
        <f>+'PART 1er sem 2018'!J$11*'CALCULO GARANTIA'!$N9</f>
        <v>290618.71135243692</v>
      </c>
      <c r="J9" s="192">
        <f t="shared" si="0"/>
        <v>9656564.0543020777</v>
      </c>
    </row>
    <row r="10" spans="1:10">
      <c r="A10" s="190" t="s">
        <v>4</v>
      </c>
      <c r="B10" s="191">
        <f>'PART 1er sem 2018'!J$4*'CALCULO GARANTIA'!$N10</f>
        <v>20702851.498484336</v>
      </c>
      <c r="C10" s="191">
        <f>'PART 1er sem 2018'!J$5*'CALCULO GARANTIA'!$N10</f>
        <v>2997793.2309413613</v>
      </c>
      <c r="D10" s="207">
        <f>'PART 1er sem 2018'!J$6*'CALCULO GARANTIA'!$N10</f>
        <v>622515.98254283902</v>
      </c>
      <c r="E10" s="191">
        <f>'PART 1er sem 2018'!J$7*'CALCULO GARANTIA'!$N10</f>
        <v>864181.69564696471</v>
      </c>
      <c r="F10" s="191">
        <f>'PART 1er sem 2018'!J$8*'CALCULO GARANTIA'!$N10</f>
        <v>77974.596288896268</v>
      </c>
      <c r="G10" s="191">
        <f>'PART 1er sem 2018'!J$9*'CALCULO GARANTIA'!$N10</f>
        <v>673871.33127251698</v>
      </c>
      <c r="H10" s="191">
        <f>'PART 1er sem 2018'!J$10*'CALCULO GARANTIA'!$N10</f>
        <v>124444.1868739082</v>
      </c>
      <c r="I10" s="191">
        <f>+'PART 1er sem 2018'!J$11*'CALCULO GARANTIA'!$N10</f>
        <v>808736.22676260408</v>
      </c>
      <c r="J10" s="192">
        <f t="shared" si="0"/>
        <v>26872368.748813428</v>
      </c>
    </row>
    <row r="11" spans="1:10">
      <c r="A11" s="190" t="s">
        <v>5</v>
      </c>
      <c r="B11" s="191">
        <f>'PART 1er sem 2018'!J$4*'CALCULO GARANTIA'!$N11</f>
        <v>27420219.140446406</v>
      </c>
      <c r="C11" s="191">
        <f>'PART 1er sem 2018'!J$5*'CALCULO GARANTIA'!$N11</f>
        <v>3970474.6631726986</v>
      </c>
      <c r="D11" s="207">
        <f>'PART 1er sem 2018'!J$6*'CALCULO GARANTIA'!$N11</f>
        <v>824501.13990358391</v>
      </c>
      <c r="E11" s="191">
        <f>'PART 1er sem 2018'!J$7*'CALCULO GARANTIA'!$N11</f>
        <v>1144579.1162409261</v>
      </c>
      <c r="F11" s="191">
        <f>'PART 1er sem 2018'!J$8*'CALCULO GARANTIA'!$N11</f>
        <v>103274.68744032216</v>
      </c>
      <c r="G11" s="191">
        <f>'PART 1er sem 2018'!J$9*'CALCULO GARANTIA'!$N11</f>
        <v>892519.54385653255</v>
      </c>
      <c r="H11" s="191">
        <f>'PART 1er sem 2018'!J$10*'CALCULO GARANTIA'!$N11</f>
        <v>164822.07173669009</v>
      </c>
      <c r="I11" s="191">
        <f>+'PART 1er sem 2018'!J$11*'CALCULO GARANTIA'!$N11</f>
        <v>1071143.4879524617</v>
      </c>
      <c r="J11" s="192">
        <f t="shared" si="0"/>
        <v>35591533.850749627</v>
      </c>
    </row>
    <row r="12" spans="1:10">
      <c r="A12" s="190" t="s">
        <v>6</v>
      </c>
      <c r="B12" s="191">
        <f>'PART 1er sem 2018'!J$4*'CALCULO GARANTIA'!$N12</f>
        <v>178830485.69278362</v>
      </c>
      <c r="C12" s="191">
        <f>'PART 1er sem 2018'!J$5*'CALCULO GARANTIA'!$N12</f>
        <v>25894829.972336449</v>
      </c>
      <c r="D12" s="207">
        <f>'PART 1er sem 2018'!J$6*'CALCULO GARANTIA'!$N12</f>
        <v>5377270.6391584007</v>
      </c>
      <c r="E12" s="191">
        <f>'PART 1er sem 2018'!J$7*'CALCULO GARANTIA'!$N12</f>
        <v>7464770.3660857584</v>
      </c>
      <c r="F12" s="191">
        <f>'PART 1er sem 2018'!J$8*'CALCULO GARANTIA'!$N12</f>
        <v>673541.75472218927</v>
      </c>
      <c r="G12" s="191">
        <f>'PART 1er sem 2018'!J$9*'CALCULO GARANTIA'!$N12</f>
        <v>5820876.2920764508</v>
      </c>
      <c r="H12" s="191">
        <f>'PART 1er sem 2018'!J$10*'CALCULO GARANTIA'!$N12</f>
        <v>1074944.4047325456</v>
      </c>
      <c r="I12" s="191">
        <f>+'PART 1er sem 2018'!J$11*'CALCULO GARANTIA'!$N12</f>
        <v>6985834.4025649736</v>
      </c>
      <c r="J12" s="192">
        <f t="shared" si="0"/>
        <v>232122553.52446038</v>
      </c>
    </row>
    <row r="13" spans="1:10">
      <c r="A13" s="190" t="s">
        <v>7</v>
      </c>
      <c r="B13" s="191">
        <f>'PART 1er sem 2018'!J$4*'CALCULO GARANTIA'!$N13</f>
        <v>30564776.254133329</v>
      </c>
      <c r="C13" s="191">
        <f>'PART 1er sem 2018'!J$5*'CALCULO GARANTIA'!$N13</f>
        <v>4425809.6217608573</v>
      </c>
      <c r="D13" s="207">
        <f>'PART 1er sem 2018'!J$6*'CALCULO GARANTIA'!$N13</f>
        <v>919055.12254854478</v>
      </c>
      <c r="E13" s="191">
        <f>'PART 1er sem 2018'!J$7*'CALCULO GARANTIA'!$N13</f>
        <v>1275839.7157174589</v>
      </c>
      <c r="F13" s="191">
        <f>'PART 1er sem 2018'!J$8*'CALCULO GARANTIA'!$N13</f>
        <v>115118.25263543866</v>
      </c>
      <c r="G13" s="191">
        <f>'PART 1er sem 2018'!J$9*'CALCULO GARANTIA'!$N13</f>
        <v>994873.89289960067</v>
      </c>
      <c r="H13" s="191">
        <f>'PART 1er sem 2018'!J$10*'CALCULO GARANTIA'!$N13</f>
        <v>183723.90528942467</v>
      </c>
      <c r="I13" s="191">
        <f>+'PART 1er sem 2018'!J$11*'CALCULO GARANTIA'!$N13</f>
        <v>1193982.472483112</v>
      </c>
      <c r="J13" s="192">
        <f t="shared" si="0"/>
        <v>39673179.237467773</v>
      </c>
    </row>
    <row r="14" spans="1:10">
      <c r="A14" s="190" t="s">
        <v>8</v>
      </c>
      <c r="B14" s="191">
        <f>'PART 1er sem 2018'!J$4*'CALCULO GARANTIA'!$N14</f>
        <v>4976922.6839838261</v>
      </c>
      <c r="C14" s="191">
        <f>'PART 1er sem 2018'!J$5*'CALCULO GARANTIA'!$N14</f>
        <v>720663.29288298811</v>
      </c>
      <c r="D14" s="207">
        <f>'PART 1er sem 2018'!J$6*'CALCULO GARANTIA'!$N14</f>
        <v>149651.55475740897</v>
      </c>
      <c r="E14" s="191">
        <f>'PART 1er sem 2018'!J$7*'CALCULO GARANTIA'!$N14</f>
        <v>207747.49239078787</v>
      </c>
      <c r="F14" s="191">
        <f>'PART 1er sem 2018'!J$8*'CALCULO GARANTIA'!$N14</f>
        <v>18744.931686009531</v>
      </c>
      <c r="G14" s="191">
        <f>'PART 1er sem 2018'!J$9*'CALCULO GARANTIA'!$N14</f>
        <v>161997.27438232859</v>
      </c>
      <c r="H14" s="191">
        <f>'PART 1er sem 2018'!J$10*'CALCULO GARANTIA'!$N14</f>
        <v>29916.125157349405</v>
      </c>
      <c r="I14" s="191">
        <f>+'PART 1er sem 2018'!J$11*'CALCULO GARANTIA'!$N14</f>
        <v>194418.51633959528</v>
      </c>
      <c r="J14" s="192">
        <f t="shared" si="0"/>
        <v>6460061.8715802943</v>
      </c>
    </row>
    <row r="15" spans="1:10">
      <c r="A15" s="190" t="s">
        <v>9</v>
      </c>
      <c r="B15" s="191">
        <f>'PART 1er sem 2018'!J$4*'CALCULO GARANTIA'!$N15</f>
        <v>49471585.347338505</v>
      </c>
      <c r="C15" s="191">
        <f>'PART 1er sem 2018'!J$5*'CALCULO GARANTIA'!$N15</f>
        <v>7163534.1483779047</v>
      </c>
      <c r="D15" s="207">
        <f>'PART 1er sem 2018'!J$6*'CALCULO GARANTIA'!$N15</f>
        <v>1487565.73763305</v>
      </c>
      <c r="E15" s="191">
        <f>'PART 1er sem 2018'!J$7*'CALCULO GARANTIA'!$N15</f>
        <v>2065050.725738744</v>
      </c>
      <c r="F15" s="191">
        <f>'PART 1er sem 2018'!J$8*'CALCULO GARANTIA'!$N15</f>
        <v>186328.28890806696</v>
      </c>
      <c r="G15" s="191">
        <f>'PART 1er sem 2018'!J$9*'CALCULO GARANTIA'!$N15</f>
        <v>1610284.6064762427</v>
      </c>
      <c r="H15" s="191">
        <f>'PART 1er sem 2018'!J$10*'CALCULO GARANTIA'!$N15</f>
        <v>297372.13795710256</v>
      </c>
      <c r="I15" s="191">
        <f>+'PART 1er sem 2018'!J$11*'CALCULO GARANTIA'!$N15</f>
        <v>1932558.0956178806</v>
      </c>
      <c r="J15" s="192">
        <f t="shared" si="0"/>
        <v>64214279.08804749</v>
      </c>
    </row>
    <row r="16" spans="1:10">
      <c r="A16" s="190" t="s">
        <v>10</v>
      </c>
      <c r="B16" s="191">
        <f>'PART 1er sem 2018'!J$4*'CALCULO GARANTIA'!$N16</f>
        <v>7067720.8211998548</v>
      </c>
      <c r="C16" s="191">
        <f>'PART 1er sem 2018'!J$5*'CALCULO GARANTIA'!$N16</f>
        <v>1023412.9166954319</v>
      </c>
      <c r="D16" s="207">
        <f>'PART 1er sem 2018'!J$6*'CALCULO GARANTIA'!$N16</f>
        <v>212519.95995188478</v>
      </c>
      <c r="E16" s="191">
        <f>'PART 1er sem 2018'!J$7*'CALCULO GARANTIA'!$N16</f>
        <v>295021.91831260553</v>
      </c>
      <c r="F16" s="191">
        <f>'PART 1er sem 2018'!J$8*'CALCULO GARANTIA'!$N16</f>
        <v>26619.650812644413</v>
      </c>
      <c r="G16" s="191">
        <f>'PART 1er sem 2018'!J$9*'CALCULO GARANTIA'!$N16</f>
        <v>230052.09882286578</v>
      </c>
      <c r="H16" s="191">
        <f>'PART 1er sem 2018'!J$10*'CALCULO GARANTIA'!$N16</f>
        <v>42483.846764316404</v>
      </c>
      <c r="I16" s="191">
        <f>+'PART 1er sem 2018'!J$11*'CALCULO GARANTIA'!$N16</f>
        <v>276093.45838988072</v>
      </c>
      <c r="J16" s="192">
        <f t="shared" si="0"/>
        <v>9173924.6709494852</v>
      </c>
    </row>
    <row r="17" spans="1:10">
      <c r="A17" s="190" t="s">
        <v>11</v>
      </c>
      <c r="B17" s="191">
        <f>'PART 1er sem 2018'!J$4*'CALCULO GARANTIA'!$N17</f>
        <v>10340383.501516407</v>
      </c>
      <c r="C17" s="191">
        <f>'PART 1er sem 2018'!J$5*'CALCULO GARANTIA'!$N17</f>
        <v>1497297.6871544975</v>
      </c>
      <c r="D17" s="207">
        <f>'PART 1er sem 2018'!J$6*'CALCULO GARANTIA'!$N17</f>
        <v>310925.9608893735</v>
      </c>
      <c r="E17" s="191">
        <f>'PART 1er sem 2018'!J$7*'CALCULO GARANTIA'!$N17</f>
        <v>431629.92057565367</v>
      </c>
      <c r="F17" s="191">
        <f>'PART 1er sem 2018'!J$8*'CALCULO GARANTIA'!$N17</f>
        <v>38945.708955219729</v>
      </c>
      <c r="G17" s="191">
        <f>'PART 1er sem 2018'!J$9*'CALCULO GARANTIA'!$N17</f>
        <v>336576.24393168103</v>
      </c>
      <c r="H17" s="191">
        <f>'PART 1er sem 2018'!J$10*'CALCULO GARANTIA'!$N17</f>
        <v>62155.718834422019</v>
      </c>
      <c r="I17" s="191">
        <f>+'PART 1er sem 2018'!J$11*'CALCULO GARANTIA'!$N17</f>
        <v>403936.75899703457</v>
      </c>
      <c r="J17" s="192">
        <f t="shared" si="0"/>
        <v>13421851.500854289</v>
      </c>
    </row>
    <row r="18" spans="1:10">
      <c r="A18" s="190" t="s">
        <v>12</v>
      </c>
      <c r="B18" s="191">
        <f>'PART 1er sem 2018'!J$4*'CALCULO GARANTIA'!$N18</f>
        <v>25115614.456055876</v>
      </c>
      <c r="C18" s="191">
        <f>'PART 1er sem 2018'!J$5*'CALCULO GARANTIA'!$N18</f>
        <v>3636765.6413325202</v>
      </c>
      <c r="D18" s="207">
        <f>'PART 1er sem 2018'!J$6*'CALCULO GARANTIA'!$N18</f>
        <v>755203.76559834718</v>
      </c>
      <c r="E18" s="191">
        <f>'PART 1er sem 2018'!J$7*'CALCULO GARANTIA'!$N18</f>
        <v>1048379.9436729177</v>
      </c>
      <c r="F18" s="191">
        <f>'PART 1er sem 2018'!J$8*'CALCULO GARANTIA'!$N18</f>
        <v>94594.693774521744</v>
      </c>
      <c r="G18" s="191">
        <f>'PART 1er sem 2018'!J$9*'CALCULO GARANTIA'!$N18</f>
        <v>817505.38327866141</v>
      </c>
      <c r="H18" s="191">
        <f>'PART 1er sem 2018'!J$10*'CALCULO GARANTIA'!$N18</f>
        <v>150969.16572343992</v>
      </c>
      <c r="I18" s="191">
        <f>+'PART 1er sem 2018'!J$11*'CALCULO GARANTIA'!$N18</f>
        <v>981116.40657336439</v>
      </c>
      <c r="J18" s="192">
        <f t="shared" si="0"/>
        <v>32600149.456009641</v>
      </c>
    </row>
    <row r="19" spans="1:10">
      <c r="A19" s="190" t="s">
        <v>13</v>
      </c>
      <c r="B19" s="191">
        <f>'PART 1er sem 2018'!J$4*'CALCULO GARANTIA'!$N19</f>
        <v>12779064.542881541</v>
      </c>
      <c r="C19" s="191">
        <f>'PART 1er sem 2018'!J$5*'CALCULO GARANTIA'!$N19</f>
        <v>1850421.0971719362</v>
      </c>
      <c r="D19" s="207">
        <f>'PART 1er sem 2018'!J$6*'CALCULO GARANTIA'!$N19</f>
        <v>384254.88974176627</v>
      </c>
      <c r="E19" s="191">
        <f>'PART 1er sem 2018'!J$7*'CALCULO GARANTIA'!$N19</f>
        <v>533425.72960337705</v>
      </c>
      <c r="F19" s="191">
        <f>'PART 1er sem 2018'!J$8*'CALCULO GARANTIA'!$N19</f>
        <v>48130.683773386823</v>
      </c>
      <c r="G19" s="191">
        <f>'PART 1er sem 2018'!J$9*'CALCULO GARANTIA'!$N19</f>
        <v>415954.54793072591</v>
      </c>
      <c r="H19" s="191">
        <f>'PART 1er sem 2018'!J$10*'CALCULO GARANTIA'!$N19</f>
        <v>76814.553597339473</v>
      </c>
      <c r="I19" s="191">
        <f>+'PART 1er sem 2018'!J$11*'CALCULO GARANTIA'!$N19</f>
        <v>499201.39941700408</v>
      </c>
      <c r="J19" s="192">
        <f t="shared" si="0"/>
        <v>16587267.444117079</v>
      </c>
    </row>
    <row r="20" spans="1:10">
      <c r="A20" s="190" t="s">
        <v>14</v>
      </c>
      <c r="B20" s="191">
        <f>'PART 1er sem 2018'!J$4*'CALCULO GARANTIA'!$N20</f>
        <v>66906032.481539175</v>
      </c>
      <c r="C20" s="191">
        <f>'PART 1er sem 2018'!J$5*'CALCULO GARANTIA'!$N20</f>
        <v>9688059.217204202</v>
      </c>
      <c r="D20" s="207">
        <f>'PART 1er sem 2018'!J$6*'CALCULO GARANTIA'!$N20</f>
        <v>2011803.7629423984</v>
      </c>
      <c r="E20" s="191">
        <f>'PART 1er sem 2018'!J$7*'CALCULO GARANTIA'!$N20</f>
        <v>2792802.1704227733</v>
      </c>
      <c r="F20" s="191">
        <f>'PART 1er sem 2018'!J$8*'CALCULO GARANTIA'!$N20</f>
        <v>251992.86544762854</v>
      </c>
      <c r="G20" s="191">
        <f>'PART 1er sem 2018'!J$9*'CALCULO GARANTIA'!$N20</f>
        <v>2177770.3994929316</v>
      </c>
      <c r="H20" s="191">
        <f>'PART 1er sem 2018'!J$10*'CALCULO GARANTIA'!$N20</f>
        <v>402170.04936416546</v>
      </c>
      <c r="I20" s="191">
        <f>+'PART 1er sem 2018'!J$11*'CALCULO GARANTIA'!$N20</f>
        <v>2613617.3686382081</v>
      </c>
      <c r="J20" s="192">
        <f t="shared" si="0"/>
        <v>86844248.315051481</v>
      </c>
    </row>
    <row r="21" spans="1:10">
      <c r="A21" s="190" t="s">
        <v>15</v>
      </c>
      <c r="B21" s="191">
        <f>'PART 1er sem 2018'!J$4*'CALCULO GARANTIA'!$N21</f>
        <v>8451835.4953044001</v>
      </c>
      <c r="C21" s="191">
        <f>'PART 1er sem 2018'!J$5*'CALCULO GARANTIA'!$N21</f>
        <v>1223834.0809578034</v>
      </c>
      <c r="D21" s="207">
        <f>'PART 1er sem 2018'!J$6*'CALCULO GARANTIA'!$N21</f>
        <v>254139.03384444653</v>
      </c>
      <c r="E21" s="191">
        <f>'PART 1er sem 2018'!J$7*'CALCULO GARANTIA'!$N21</f>
        <v>352797.85155180597</v>
      </c>
      <c r="F21" s="191">
        <f>'PART 1er sem 2018'!J$8*'CALCULO GARANTIA'!$N21</f>
        <v>31832.738629979165</v>
      </c>
      <c r="G21" s="191">
        <f>'PART 1er sem 2018'!J$9*'CALCULO GARANTIA'!$N21</f>
        <v>275104.59790208394</v>
      </c>
      <c r="H21" s="191">
        <f>'PART 1er sem 2018'!J$10*'CALCULO GARANTIA'!$N21</f>
        <v>50803.716380914615</v>
      </c>
      <c r="I21" s="191">
        <f>+'PART 1er sem 2018'!J$11*'CALCULO GARANTIA'!$N21</f>
        <v>330162.51641427953</v>
      </c>
      <c r="J21" s="192">
        <f t="shared" si="0"/>
        <v>10970510.030985715</v>
      </c>
    </row>
    <row r="22" spans="1:10">
      <c r="A22" s="190" t="s">
        <v>16</v>
      </c>
      <c r="B22" s="191">
        <f>'PART 1er sem 2018'!J$4*'CALCULO GARANTIA'!$N22</f>
        <v>6222587.4911406925</v>
      </c>
      <c r="C22" s="191">
        <f>'PART 1er sem 2018'!J$5*'CALCULO GARANTIA'!$N22</f>
        <v>901036.78042841714</v>
      </c>
      <c r="D22" s="207">
        <f>'PART 1er sem 2018'!J$6*'CALCULO GARANTIA'!$N22</f>
        <v>187107.5666214299</v>
      </c>
      <c r="E22" s="191">
        <f>'PART 1er sem 2018'!J$7*'CALCULO GARANTIA'!$N22</f>
        <v>259744.22942652323</v>
      </c>
      <c r="F22" s="191">
        <f>'PART 1er sem 2018'!J$8*'CALCULO GARANTIA'!$N22</f>
        <v>23436.566094750448</v>
      </c>
      <c r="G22" s="191">
        <f>'PART 1er sem 2018'!J$9*'CALCULO GARANTIA'!$N22</f>
        <v>202543.27366071663</v>
      </c>
      <c r="H22" s="191">
        <f>'PART 1er sem 2018'!J$10*'CALCULO GARANTIA'!$N22</f>
        <v>37403.77699388162</v>
      </c>
      <c r="I22" s="191">
        <f>+'PART 1er sem 2018'!J$11*'CALCULO GARANTIA'!$N22</f>
        <v>243079.16852196565</v>
      </c>
      <c r="J22" s="192">
        <f t="shared" si="0"/>
        <v>8076938.8528883783</v>
      </c>
    </row>
    <row r="23" spans="1:10">
      <c r="A23" s="190" t="s">
        <v>17</v>
      </c>
      <c r="B23" s="191">
        <f>'PART 1er sem 2018'!J$4*'CALCULO GARANTIA'!$N23</f>
        <v>54572927.017996497</v>
      </c>
      <c r="C23" s="191">
        <f>'PART 1er sem 2018'!J$5*'CALCULO GARANTIA'!$N23</f>
        <v>7902213.4327333579</v>
      </c>
      <c r="D23" s="207">
        <f>'PART 1er sem 2018'!J$6*'CALCULO GARANTIA'!$N23</f>
        <v>1640958.4585646996</v>
      </c>
      <c r="E23" s="191">
        <f>'PART 1er sem 2018'!J$7*'CALCULO GARANTIA'!$N23</f>
        <v>2277991.7351135393</v>
      </c>
      <c r="F23" s="191">
        <f>'PART 1er sem 2018'!J$8*'CALCULO GARANTIA'!$N23</f>
        <v>205541.8285178353</v>
      </c>
      <c r="G23" s="191">
        <f>'PART 1er sem 2018'!J$9*'CALCULO GARANTIA'!$N23</f>
        <v>1776331.6799015601</v>
      </c>
      <c r="H23" s="191">
        <f>'PART 1er sem 2018'!J$10*'CALCULO GARANTIA'!$N23</f>
        <v>328036.14171607728</v>
      </c>
      <c r="I23" s="191">
        <f>+'PART 1er sem 2018'!J$11*'CALCULO GARANTIA'!$N23</f>
        <v>2131836.9154682197</v>
      </c>
      <c r="J23" s="192">
        <f t="shared" si="0"/>
        <v>70835837.21001178</v>
      </c>
    </row>
    <row r="24" spans="1:10">
      <c r="A24" s="190" t="s">
        <v>18</v>
      </c>
      <c r="B24" s="191">
        <f>'PART 1er sem 2018'!J$4*'CALCULO GARANTIA'!$N24</f>
        <v>58746977.540306643</v>
      </c>
      <c r="C24" s="191">
        <f>'PART 1er sem 2018'!J$5*'CALCULO GARANTIA'!$N24</f>
        <v>8506620.0480396934</v>
      </c>
      <c r="D24" s="207">
        <f>'PART 1er sem 2018'!J$6*'CALCULO GARANTIA'!$N24</f>
        <v>1766468.375025704</v>
      </c>
      <c r="E24" s="191">
        <f>'PART 1er sem 2018'!J$7*'CALCULO GARANTIA'!$N24</f>
        <v>2452225.6109808399</v>
      </c>
      <c r="F24" s="191">
        <f>'PART 1er sem 2018'!J$8*'CALCULO GARANTIA'!$N24</f>
        <v>221262.84667760032</v>
      </c>
      <c r="G24" s="191">
        <f>'PART 1er sem 2018'!J$9*'CALCULO GARANTIA'!$N24</f>
        <v>1912195.7169147129</v>
      </c>
      <c r="H24" s="191">
        <f>'PART 1er sem 2018'!J$10*'CALCULO GARANTIA'!$N24</f>
        <v>353126.22765218734</v>
      </c>
      <c r="I24" s="191">
        <f>+'PART 1er sem 2018'!J$11*'CALCULO GARANTIA'!$N24</f>
        <v>2294892.0322948424</v>
      </c>
      <c r="J24" s="192">
        <f t="shared" si="0"/>
        <v>76253768.397892222</v>
      </c>
    </row>
    <row r="25" spans="1:10">
      <c r="A25" s="190" t="s">
        <v>19</v>
      </c>
      <c r="B25" s="191">
        <f>'PART 1er sem 2018'!J$4*'CALCULO GARANTIA'!$N25</f>
        <v>10488935.5198525</v>
      </c>
      <c r="C25" s="191">
        <f>'PART 1er sem 2018'!J$5*'CALCULO GARANTIA'!$N25</f>
        <v>1518808.1653146301</v>
      </c>
      <c r="D25" s="207">
        <f>'PART 1er sem 2018'!J$6*'CALCULO GARANTIA'!$N25</f>
        <v>315392.78545506118</v>
      </c>
      <c r="E25" s="191">
        <f>'PART 1er sem 2018'!J$7*'CALCULO GARANTIA'!$N25</f>
        <v>437830.80237721914</v>
      </c>
      <c r="F25" s="191">
        <f>'PART 1er sem 2018'!J$8*'CALCULO GARANTIA'!$N25</f>
        <v>39505.21080251383</v>
      </c>
      <c r="G25" s="191">
        <f>'PART 1er sem 2018'!J$9*'CALCULO GARANTIA'!$N25</f>
        <v>341411.56559578562</v>
      </c>
      <c r="H25" s="191">
        <f>'PART 1er sem 2018'!J$10*'CALCULO GARANTIA'!$N25</f>
        <v>63048.660327610356</v>
      </c>
      <c r="I25" s="191">
        <f>+'PART 1er sem 2018'!J$11*'CALCULO GARANTIA'!$N25</f>
        <v>409739.79529838153</v>
      </c>
      <c r="J25" s="192">
        <f t="shared" si="0"/>
        <v>13614672.505023699</v>
      </c>
    </row>
    <row r="26" spans="1:10">
      <c r="A26" s="190" t="s">
        <v>20</v>
      </c>
      <c r="B26" s="191">
        <f>'PART 1er sem 2018'!J$4*'CALCULO GARANTIA'!$N26</f>
        <v>143377540.63642439</v>
      </c>
      <c r="C26" s="191">
        <f>'PART 1er sem 2018'!J$5*'CALCULO GARANTIA'!$N26</f>
        <v>20761208.706943586</v>
      </c>
      <c r="D26" s="207">
        <f>'PART 1er sem 2018'!J$6*'CALCULO GARANTIA'!$N26</f>
        <v>4311232.7106434563</v>
      </c>
      <c r="E26" s="191">
        <f>'PART 1er sem 2018'!J$7*'CALCULO GARANTIA'!$N26</f>
        <v>5984887.9365215907</v>
      </c>
      <c r="F26" s="191">
        <f>'PART 1er sem 2018'!J$8*'CALCULO GARANTIA'!$N26</f>
        <v>540012.85034761962</v>
      </c>
      <c r="G26" s="191">
        <f>'PART 1er sem 2018'!J$9*'CALCULO GARANTIA'!$N26</f>
        <v>4666894.0358442971</v>
      </c>
      <c r="H26" s="191">
        <f>'PART 1er sem 2018'!J$10*'CALCULO GARANTIA'!$N26</f>
        <v>861837.8710675108</v>
      </c>
      <c r="I26" s="191">
        <f>+'PART 1er sem 2018'!J$11*'CALCULO GARANTIA'!$N26</f>
        <v>5600900.4955328442</v>
      </c>
      <c r="J26" s="192">
        <f t="shared" si="0"/>
        <v>186104515.24332532</v>
      </c>
    </row>
    <row r="27" spans="1:10">
      <c r="A27" s="190" t="s">
        <v>21</v>
      </c>
      <c r="B27" s="191">
        <f>'PART 1er sem 2018'!J$4*'CALCULO GARANTIA'!$N27</f>
        <v>21169151.983539131</v>
      </c>
      <c r="C27" s="191">
        <f>'PART 1er sem 2018'!J$5*'CALCULO GARANTIA'!$N27</f>
        <v>3065313.9991690754</v>
      </c>
      <c r="D27" s="207">
        <f>'PART 1er sem 2018'!J$6*'CALCULO GARANTIA'!$N27</f>
        <v>636537.21554232889</v>
      </c>
      <c r="E27" s="191">
        <f>'PART 1er sem 2018'!J$7*'CALCULO GARANTIA'!$N27</f>
        <v>883646.08410983684</v>
      </c>
      <c r="F27" s="191">
        <f>'PART 1er sem 2018'!J$8*'CALCULO GARANTIA'!$N27</f>
        <v>79730.856390270521</v>
      </c>
      <c r="G27" s="191">
        <f>'PART 1er sem 2018'!J$9*'CALCULO GARANTIA'!$N27</f>
        <v>689049.26599614182</v>
      </c>
      <c r="H27" s="191">
        <f>'PART 1er sem 2018'!J$10*'CALCULO GARANTIA'!$N27</f>
        <v>127247.1043708434</v>
      </c>
      <c r="I27" s="191">
        <f>+'PART 1er sem 2018'!J$11*'CALCULO GARANTIA'!$N27</f>
        <v>826951.78971770685</v>
      </c>
      <c r="J27" s="192">
        <f t="shared" si="0"/>
        <v>27477628.298835333</v>
      </c>
    </row>
    <row r="28" spans="1:10">
      <c r="A28" s="190" t="s">
        <v>22</v>
      </c>
      <c r="B28" s="191">
        <f>'PART 1er sem 2018'!J$4*'CALCULO GARANTIA'!$N28</f>
        <v>3395540.9879579395</v>
      </c>
      <c r="C28" s="191">
        <f>'PART 1er sem 2018'!J$5*'CALCULO GARANTIA'!$N28</f>
        <v>491677.6700943574</v>
      </c>
      <c r="D28" s="207">
        <f>'PART 1er sem 2018'!J$6*'CALCULO GARANTIA'!$N28</f>
        <v>102100.84028945817</v>
      </c>
      <c r="E28" s="191">
        <f>'PART 1er sem 2018'!J$7*'CALCULO GARANTIA'!$N28</f>
        <v>141737.20797963932</v>
      </c>
      <c r="F28" s="191">
        <f>'PART 1er sem 2018'!J$8*'CALCULO GARANTIA'!$N28</f>
        <v>12788.863299232184</v>
      </c>
      <c r="G28" s="191">
        <f>'PART 1er sem 2018'!J$9*'CALCULO GARANTIA'!$N28</f>
        <v>110523.79553189236</v>
      </c>
      <c r="H28" s="191">
        <f>'PART 1er sem 2018'!J$10*'CALCULO GARANTIA'!$N28</f>
        <v>20410.489698696245</v>
      </c>
      <c r="I28" s="191">
        <f>+'PART 1er sem 2018'!J$11*'CALCULO GARANTIA'!$N28</f>
        <v>132643.41902949513</v>
      </c>
      <c r="J28" s="192">
        <f t="shared" si="0"/>
        <v>4407423.2738807099</v>
      </c>
    </row>
    <row r="29" spans="1:10">
      <c r="A29" s="190" t="s">
        <v>23</v>
      </c>
      <c r="B29" s="191">
        <f>'PART 1er sem 2018'!J$4*'CALCULO GARANTIA'!$N29</f>
        <v>15538129.297440037</v>
      </c>
      <c r="C29" s="191">
        <f>'PART 1er sem 2018'!J$5*'CALCULO GARANTIA'!$N29</f>
        <v>2249936.3835347774</v>
      </c>
      <c r="D29" s="207">
        <f>'PART 1er sem 2018'!J$6*'CALCULO GARANTIA'!$N29</f>
        <v>467217.46650125476</v>
      </c>
      <c r="E29" s="191">
        <f>'PART 1er sem 2018'!J$7*'CALCULO GARANTIA'!$N29</f>
        <v>648595.04616678355</v>
      </c>
      <c r="F29" s="191">
        <f>'PART 1er sem 2018'!J$8*'CALCULO GARANTIA'!$N29</f>
        <v>58522.342158579391</v>
      </c>
      <c r="G29" s="191">
        <f>'PART 1er sem 2018'!J$9*'CALCULO GARANTIA'!$N29</f>
        <v>505761.24143657123</v>
      </c>
      <c r="H29" s="191">
        <f>'PART 1er sem 2018'!J$10*'CALCULO GARANTIA'!$N29</f>
        <v>93399.204747381664</v>
      </c>
      <c r="I29" s="191">
        <f>+'PART 1er sem 2018'!J$11*'CALCULO GARANTIA'!$N29</f>
        <v>606981.50976357574</v>
      </c>
      <c r="J29" s="192">
        <f t="shared" si="0"/>
        <v>20168542.491748963</v>
      </c>
    </row>
    <row r="30" spans="1:10">
      <c r="A30" s="190" t="s">
        <v>24</v>
      </c>
      <c r="B30" s="191">
        <f>'PART 1er sem 2018'!J$4*'CALCULO GARANTIA'!$N30</f>
        <v>14966421.676386749</v>
      </c>
      <c r="C30" s="191">
        <f>'PART 1er sem 2018'!J$5*'CALCULO GARANTIA'!$N30</f>
        <v>2167152.5584855275</v>
      </c>
      <c r="D30" s="207">
        <f>'PART 1er sem 2018'!J$6*'CALCULO GARANTIA'!$N30</f>
        <v>450026.73644779949</v>
      </c>
      <c r="E30" s="191">
        <f>'PART 1er sem 2018'!J$7*'CALCULO GARANTIA'!$N30</f>
        <v>624730.73639224388</v>
      </c>
      <c r="F30" s="191">
        <f>'PART 1er sem 2018'!J$8*'CALCULO GARANTIA'!$N30</f>
        <v>56369.079795171194</v>
      </c>
      <c r="G30" s="191">
        <f>'PART 1er sem 2018'!J$9*'CALCULO GARANTIA'!$N30</f>
        <v>487152.33745414024</v>
      </c>
      <c r="H30" s="191">
        <f>'PART 1er sem 2018'!J$10*'CALCULO GARANTIA'!$N30</f>
        <v>89962.688283125462</v>
      </c>
      <c r="I30" s="191">
        <f>+'PART 1er sem 2018'!J$11*'CALCULO GARANTIA'!$N30</f>
        <v>584648.32226542314</v>
      </c>
      <c r="J30" s="192">
        <f t="shared" si="0"/>
        <v>19426464.135510184</v>
      </c>
    </row>
    <row r="31" spans="1:10">
      <c r="A31" s="190" t="s">
        <v>25</v>
      </c>
      <c r="B31" s="191">
        <f>'PART 1er sem 2018'!J$4*'CALCULO GARANTIA'!$N31</f>
        <v>241319700.53449771</v>
      </c>
      <c r="C31" s="191">
        <f>'PART 1er sem 2018'!J$5*'CALCULO GARANTIA'!$N31</f>
        <v>34943329.65717674</v>
      </c>
      <c r="D31" s="207">
        <f>'PART 1er sem 2018'!J$6*'CALCULO GARANTIA'!$N31</f>
        <v>7256264.698424493</v>
      </c>
      <c r="E31" s="191">
        <f>'PART 1er sem 2018'!J$7*'CALCULO GARANTIA'!$N31</f>
        <v>10073205.037295831</v>
      </c>
      <c r="F31" s="191">
        <f>'PART 1er sem 2018'!J$8*'CALCULO GARANTIA'!$N31</f>
        <v>908899.2512510845</v>
      </c>
      <c r="G31" s="191">
        <f>'PART 1er sem 2018'!J$9*'CALCULO GARANTIA'!$N31</f>
        <v>7854880.6609259816</v>
      </c>
      <c r="H31" s="191">
        <f>'PART 1er sem 2018'!J$10*'CALCULO GARANTIA'!$N31</f>
        <v>1450565.1026801388</v>
      </c>
      <c r="I31" s="191">
        <f>+'PART 1er sem 2018'!J$11*'CALCULO GARANTIA'!$N31</f>
        <v>9426913.1992778517</v>
      </c>
      <c r="J31" s="192">
        <f t="shared" si="0"/>
        <v>313233758.14152992</v>
      </c>
    </row>
    <row r="32" spans="1:10">
      <c r="A32" s="190" t="s">
        <v>26</v>
      </c>
      <c r="B32" s="191">
        <f>'PART 1er sem 2018'!J$4*'CALCULO GARANTIA'!$N32</f>
        <v>6314332.458009081</v>
      </c>
      <c r="C32" s="191">
        <f>'PART 1er sem 2018'!J$5*'CALCULO GARANTIA'!$N32</f>
        <v>914321.54174118268</v>
      </c>
      <c r="D32" s="207">
        <f>'PART 1er sem 2018'!J$6*'CALCULO GARANTIA'!$N32</f>
        <v>189866.25463103168</v>
      </c>
      <c r="E32" s="191">
        <f>'PART 1er sem 2018'!J$7*'CALCULO GARANTIA'!$N32</f>
        <v>263573.8623174901</v>
      </c>
      <c r="F32" s="191">
        <f>'PART 1er sem 2018'!J$8*'CALCULO GARANTIA'!$N32</f>
        <v>23782.111574493872</v>
      </c>
      <c r="G32" s="191">
        <f>'PART 1er sem 2018'!J$9*'CALCULO GARANTIA'!$N32</f>
        <v>205529.54359390336</v>
      </c>
      <c r="H32" s="191">
        <f>'PART 1er sem 2018'!J$10*'CALCULO GARANTIA'!$N32</f>
        <v>37955.253093806597</v>
      </c>
      <c r="I32" s="191">
        <f>+'PART 1er sem 2018'!J$11*'CALCULO GARANTIA'!$N32</f>
        <v>246663.09406647494</v>
      </c>
      <c r="J32" s="192">
        <f t="shared" si="0"/>
        <v>8196024.1190274647</v>
      </c>
    </row>
    <row r="33" spans="1:10">
      <c r="A33" s="190" t="s">
        <v>27</v>
      </c>
      <c r="B33" s="191">
        <f>'PART 1er sem 2018'!J$4*'CALCULO GARANTIA'!$N33</f>
        <v>10869146.901779411</v>
      </c>
      <c r="C33" s="191">
        <f>'PART 1er sem 2018'!J$5*'CALCULO GARANTIA'!$N33</f>
        <v>1573863.1468542889</v>
      </c>
      <c r="D33" s="207">
        <f>'PART 1er sem 2018'!J$6*'CALCULO GARANTIA'!$N33</f>
        <v>326825.39714198414</v>
      </c>
      <c r="E33" s="191">
        <f>'PART 1er sem 2018'!J$7*'CALCULO GARANTIA'!$N33</f>
        <v>453701.64590628218</v>
      </c>
      <c r="F33" s="191">
        <f>'PART 1er sem 2018'!J$8*'CALCULO GARANTIA'!$N33</f>
        <v>40937.227498975415</v>
      </c>
      <c r="G33" s="191">
        <f>'PART 1er sem 2018'!J$9*'CALCULO GARANTIA'!$N33</f>
        <v>353787.326979323</v>
      </c>
      <c r="H33" s="191">
        <f>'PART 1er sem 2018'!J$10*'CALCULO GARANTIA'!$N33</f>
        <v>65334.098943037963</v>
      </c>
      <c r="I33" s="191">
        <f>+'PART 1er sem 2018'!J$11*'CALCULO GARANTIA'!$N33</f>
        <v>424592.37337992154</v>
      </c>
      <c r="J33" s="192">
        <f t="shared" si="0"/>
        <v>14108188.118483223</v>
      </c>
    </row>
    <row r="34" spans="1:10">
      <c r="A34" s="190" t="s">
        <v>28</v>
      </c>
      <c r="B34" s="191">
        <f>'PART 1er sem 2018'!J$4*'CALCULO GARANTIA'!$N34</f>
        <v>5938059.8637200464</v>
      </c>
      <c r="C34" s="191">
        <f>'PART 1er sem 2018'!J$5*'CALCULO GARANTIA'!$N34</f>
        <v>859836.90052009327</v>
      </c>
      <c r="D34" s="207">
        <f>'PART 1er sem 2018'!J$6*'CALCULO GARANTIA'!$N34</f>
        <v>178552.0787188425</v>
      </c>
      <c r="E34" s="191">
        <f>'PART 1er sem 2018'!J$7*'CALCULO GARANTIA'!$N34</f>
        <v>247867.43228383095</v>
      </c>
      <c r="F34" s="191">
        <f>'PART 1er sem 2018'!J$8*'CALCULO GARANTIA'!$N34</f>
        <v>22364.929809150533</v>
      </c>
      <c r="G34" s="191">
        <f>'PART 1er sem 2018'!J$9*'CALCULO GARANTIA'!$N34</f>
        <v>193281.98851418507</v>
      </c>
      <c r="H34" s="191">
        <f>'PART 1er sem 2018'!J$10*'CALCULO GARANTIA'!$N34</f>
        <v>35693.49040654282</v>
      </c>
      <c r="I34" s="191">
        <f>+'PART 1er sem 2018'!J$11*'CALCULO GARANTIA'!$N34</f>
        <v>231964.38079203697</v>
      </c>
      <c r="J34" s="192">
        <f t="shared" si="0"/>
        <v>7707621.0647647288</v>
      </c>
    </row>
    <row r="35" spans="1:10">
      <c r="A35" s="190" t="s">
        <v>29</v>
      </c>
      <c r="B35" s="191">
        <f>'PART 1er sem 2018'!J$4*'CALCULO GARANTIA'!$N35</f>
        <v>8701408.9430953264</v>
      </c>
      <c r="C35" s="191">
        <f>'PART 1er sem 2018'!J$5*'CALCULO GARANTIA'!$N35</f>
        <v>1259972.5613243899</v>
      </c>
      <c r="D35" s="207">
        <f>'PART 1er sem 2018'!J$6*'CALCULO GARANTIA'!$N35</f>
        <v>261643.48124289047</v>
      </c>
      <c r="E35" s="191">
        <f>'PART 1er sem 2018'!J$7*'CALCULO GARANTIA'!$N35</f>
        <v>363215.58581011387</v>
      </c>
      <c r="F35" s="191">
        <f>'PART 1er sem 2018'!J$8*'CALCULO GARANTIA'!$N35</f>
        <v>32772.724546283978</v>
      </c>
      <c r="G35" s="191">
        <f>'PART 1er sem 2018'!J$9*'CALCULO GARANTIA'!$N35</f>
        <v>283228.13545078615</v>
      </c>
      <c r="H35" s="191">
        <f>'PART 1er sem 2018'!J$10*'CALCULO GARANTIA'!$N35</f>
        <v>52303.894497824411</v>
      </c>
      <c r="I35" s="191">
        <f>+'PART 1er sem 2018'!J$11*'CALCULO GARANTIA'!$N35</f>
        <v>339911.85401066538</v>
      </c>
      <c r="J35" s="192">
        <f t="shared" si="0"/>
        <v>11294457.179978279</v>
      </c>
    </row>
    <row r="36" spans="1:10">
      <c r="A36" s="190" t="s">
        <v>30</v>
      </c>
      <c r="B36" s="191">
        <f>'PART 1er sem 2018'!J$4*'CALCULO GARANTIA'!$N36</f>
        <v>8001195.1565771364</v>
      </c>
      <c r="C36" s="191">
        <f>'PART 1er sem 2018'!J$5*'CALCULO GARANTIA'!$N36</f>
        <v>1158580.9172994245</v>
      </c>
      <c r="D36" s="207">
        <f>'PART 1er sem 2018'!J$6*'CALCULO GARANTIA'!$N36</f>
        <v>240588.68725297443</v>
      </c>
      <c r="E36" s="191">
        <f>'PART 1er sem 2018'!J$7*'CALCULO GARANTIA'!$N36</f>
        <v>333987.15138923365</v>
      </c>
      <c r="F36" s="191">
        <f>'PART 1er sem 2018'!J$8*'CALCULO GARANTIA'!$N36</f>
        <v>30135.460432030326</v>
      </c>
      <c r="G36" s="191">
        <f>'PART 1er sem 2018'!J$9*'CALCULO GARANTIA'!$N36</f>
        <v>260436.39603600421</v>
      </c>
      <c r="H36" s="191">
        <f>'PART 1er sem 2018'!J$10*'CALCULO GARANTIA'!$N36</f>
        <v>48094.931529243215</v>
      </c>
      <c r="I36" s="191">
        <f>+'PART 1er sem 2018'!J$11*'CALCULO GARANTIA'!$N36</f>
        <v>312558.70144241484</v>
      </c>
      <c r="J36" s="192">
        <f t="shared" si="0"/>
        <v>10385577.401958462</v>
      </c>
    </row>
    <row r="37" spans="1:10">
      <c r="A37" s="190" t="s">
        <v>31</v>
      </c>
      <c r="B37" s="191">
        <f>'PART 1er sem 2018'!J$4*'CALCULO GARANTIA'!$N37</f>
        <v>76081103.062713042</v>
      </c>
      <c r="C37" s="191">
        <f>'PART 1er sem 2018'!J$5*'CALCULO GARANTIA'!$N37</f>
        <v>11016618.448944133</v>
      </c>
      <c r="D37" s="207">
        <f>'PART 1er sem 2018'!J$6*'CALCULO GARANTIA'!$N37</f>
        <v>2287689.8203851376</v>
      </c>
      <c r="E37" s="191">
        <f>'PART 1er sem 2018'!J$7*'CALCULO GARANTIA'!$N37</f>
        <v>3175789.4151073955</v>
      </c>
      <c r="F37" s="191">
        <f>'PART 1er sem 2018'!J$8*'CALCULO GARANTIA'!$N37</f>
        <v>286549.57492030854</v>
      </c>
      <c r="G37" s="191">
        <f>'PART 1er sem 2018'!J$9*'CALCULO GARANTIA'!$N37</f>
        <v>2476416.0728924428</v>
      </c>
      <c r="H37" s="191">
        <f>'PART 1er sem 2018'!J$10*'CALCULO GARANTIA'!$N37</f>
        <v>457321.10901739675</v>
      </c>
      <c r="I37" s="191">
        <f>+'PART 1er sem 2018'!J$11*'CALCULO GARANTIA'!$N37</f>
        <v>2972032.3416984347</v>
      </c>
      <c r="J37" s="192">
        <f t="shared" si="0"/>
        <v>98753519.845678315</v>
      </c>
    </row>
    <row r="38" spans="1:10">
      <c r="A38" s="190" t="s">
        <v>32</v>
      </c>
      <c r="B38" s="191">
        <f>'PART 1er sem 2018'!J$4*'CALCULO GARANTIA'!$N38</f>
        <v>14826480.932362072</v>
      </c>
      <c r="C38" s="191">
        <f>'PART 1er sem 2018'!J$5*'CALCULO GARANTIA'!$N38</f>
        <v>2146889.0013035233</v>
      </c>
      <c r="D38" s="207">
        <f>'PART 1er sem 2018'!J$6*'CALCULO GARANTIA'!$N38</f>
        <v>445818.84509666479</v>
      </c>
      <c r="E38" s="191">
        <f>'PART 1er sem 2018'!J$7*'CALCULO GARANTIA'!$N38</f>
        <v>618889.30776246323</v>
      </c>
      <c r="F38" s="191">
        <f>'PART 1er sem 2018'!J$8*'CALCULO GARANTIA'!$N38</f>
        <v>55842.011192061575</v>
      </c>
      <c r="G38" s="191">
        <f>'PART 1er sem 2018'!J$9*'CALCULO GARANTIA'!$N38</f>
        <v>482597.31007145916</v>
      </c>
      <c r="H38" s="191">
        <f>'PART 1er sem 2018'!J$10*'CALCULO GARANTIA'!$N38</f>
        <v>89121.508888009019</v>
      </c>
      <c r="I38" s="191">
        <f>+'PART 1er sem 2018'!J$11*'CALCULO GARANTIA'!$N38</f>
        <v>579181.67679867882</v>
      </c>
      <c r="J38" s="192">
        <f t="shared" si="0"/>
        <v>19244820.593474936</v>
      </c>
    </row>
    <row r="39" spans="1:10">
      <c r="A39" s="190" t="s">
        <v>33</v>
      </c>
      <c r="B39" s="191">
        <f>'PART 1er sem 2018'!J$4*'CALCULO GARANTIA'!$N39</f>
        <v>54359918.448204055</v>
      </c>
      <c r="C39" s="191">
        <f>'PART 1er sem 2018'!J$5*'CALCULO GARANTIA'!$N39</f>
        <v>7871369.5826143036</v>
      </c>
      <c r="D39" s="207">
        <f>'PART 1er sem 2018'!J$6*'CALCULO GARANTIA'!$N39</f>
        <v>1634553.4839106477</v>
      </c>
      <c r="E39" s="191">
        <f>'PART 1er sem 2018'!J$7*'CALCULO GARANTIA'!$N39</f>
        <v>2269100.2977652084</v>
      </c>
      <c r="F39" s="191">
        <f>'PART 1er sem 2018'!J$8*'CALCULO GARANTIA'!$N39</f>
        <v>204739.55945664548</v>
      </c>
      <c r="G39" s="191">
        <f>'PART 1er sem 2018'!J$9*'CALCULO GARANTIA'!$N39</f>
        <v>1769398.317678052</v>
      </c>
      <c r="H39" s="191">
        <f>'PART 1er sem 2018'!J$10*'CALCULO GARANTIA'!$N39</f>
        <v>326755.75392664952</v>
      </c>
      <c r="I39" s="191">
        <f>+'PART 1er sem 2018'!J$11*'CALCULO GARANTIA'!$N39</f>
        <v>2123515.948329241</v>
      </c>
      <c r="J39" s="192">
        <f t="shared" ref="J39:J57" si="1">SUM(B39:I39)</f>
        <v>70559351.391884804</v>
      </c>
    </row>
    <row r="40" spans="1:10">
      <c r="A40" s="190" t="s">
        <v>34</v>
      </c>
      <c r="B40" s="191">
        <f>'PART 1er sem 2018'!J$4*'CALCULO GARANTIA'!$N40</f>
        <v>10974940.416129831</v>
      </c>
      <c r="C40" s="191">
        <f>'PART 1er sem 2018'!J$5*'CALCULO GARANTIA'!$N40</f>
        <v>1589182.1516406781</v>
      </c>
      <c r="D40" s="207">
        <f>'PART 1er sem 2018'!J$6*'CALCULO GARANTIA'!$N40</f>
        <v>330006.51224283548</v>
      </c>
      <c r="E40" s="191">
        <f>'PART 1er sem 2018'!J$7*'CALCULO GARANTIA'!$N40</f>
        <v>458117.69548411405</v>
      </c>
      <c r="F40" s="191">
        <f>'PART 1er sem 2018'!J$8*'CALCULO GARANTIA'!$N40</f>
        <v>41335.68500479588</v>
      </c>
      <c r="G40" s="191">
        <f>'PART 1er sem 2018'!J$9*'CALCULO GARANTIA'!$N40</f>
        <v>357230.87273245439</v>
      </c>
      <c r="H40" s="191">
        <f>'PART 1er sem 2018'!J$10*'CALCULO GARANTIA'!$N40</f>
        <v>65970.020418436412</v>
      </c>
      <c r="I40" s="191">
        <f>+'PART 1er sem 2018'!J$11*'CALCULO GARANTIA'!$N40</f>
        <v>428725.0914075796</v>
      </c>
      <c r="J40" s="192">
        <f t="shared" si="1"/>
        <v>14245508.445060726</v>
      </c>
    </row>
    <row r="41" spans="1:10">
      <c r="A41" s="190" t="s">
        <v>35</v>
      </c>
      <c r="B41" s="191">
        <f>'PART 1er sem 2018'!J$4*'CALCULO GARANTIA'!$N41</f>
        <v>10356331.168832565</v>
      </c>
      <c r="C41" s="191">
        <f>'PART 1er sem 2018'!J$5*'CALCULO GARANTIA'!$N41</f>
        <v>1499606.9250453834</v>
      </c>
      <c r="D41" s="207">
        <f>'PART 1er sem 2018'!J$6*'CALCULO GARANTIA'!$N41</f>
        <v>311405.49279295263</v>
      </c>
      <c r="E41" s="191">
        <f>'PART 1er sem 2018'!J$7*'CALCULO GARANTIA'!$N41</f>
        <v>432295.61062245234</v>
      </c>
      <c r="F41" s="191">
        <f>'PART 1er sem 2018'!J$8*'CALCULO GARANTIA'!$N41</f>
        <v>39005.773769036226</v>
      </c>
      <c r="G41" s="191">
        <f>'PART 1er sem 2018'!J$9*'CALCULO GARANTIA'!$N41</f>
        <v>337095.33550734236</v>
      </c>
      <c r="H41" s="191">
        <f>'PART 1er sem 2018'!J$10*'CALCULO GARANTIA'!$N41</f>
        <v>62251.579759272892</v>
      </c>
      <c r="I41" s="191">
        <f>+'PART 1er sem 2018'!J$11*'CALCULO GARANTIA'!$N41</f>
        <v>404559.73870067002</v>
      </c>
      <c r="J41" s="192">
        <f t="shared" si="1"/>
        <v>13442551.625029676</v>
      </c>
    </row>
    <row r="42" spans="1:10">
      <c r="A42" s="190" t="s">
        <v>36</v>
      </c>
      <c r="B42" s="191">
        <f>'PART 1er sem 2018'!J$4*'CALCULO GARANTIA'!$N42</f>
        <v>11705879.942309961</v>
      </c>
      <c r="C42" s="191">
        <f>'PART 1er sem 2018'!J$5*'CALCULO GARANTIA'!$N42</f>
        <v>1695022.9129469502</v>
      </c>
      <c r="D42" s="207">
        <f>'PART 1er sem 2018'!J$6*'CALCULO GARANTIA'!$N42</f>
        <v>351985.20137909928</v>
      </c>
      <c r="E42" s="191">
        <f>'PART 1er sem 2018'!J$7*'CALCULO GARANTIA'!$N42</f>
        <v>488628.68858069199</v>
      </c>
      <c r="F42" s="191">
        <f>'PART 1er sem 2018'!J$8*'CALCULO GARANTIA'!$N42</f>
        <v>44088.67361941572</v>
      </c>
      <c r="G42" s="191">
        <f>'PART 1er sem 2018'!J$9*'CALCULO GARANTIA'!$N42</f>
        <v>381022.72534863953</v>
      </c>
      <c r="H42" s="191">
        <f>'PART 1er sem 2018'!J$10*'CALCULO GARANTIA'!$N42</f>
        <v>70363.67483827057</v>
      </c>
      <c r="I42" s="191">
        <f>+'PART 1er sem 2018'!J$11*'CALCULO GARANTIA'!$N42</f>
        <v>457278.51432315435</v>
      </c>
      <c r="J42" s="192">
        <f t="shared" si="1"/>
        <v>15194270.333346184</v>
      </c>
    </row>
    <row r="43" spans="1:10">
      <c r="A43" s="190" t="s">
        <v>37</v>
      </c>
      <c r="B43" s="191">
        <f>'PART 1er sem 2018'!J$4*'CALCULO GARANTIA'!$N43</f>
        <v>16488239.311281471</v>
      </c>
      <c r="C43" s="191">
        <f>'PART 1er sem 2018'!J$5*'CALCULO GARANTIA'!$N43</f>
        <v>2387513.2467196374</v>
      </c>
      <c r="D43" s="207">
        <f>'PART 1er sem 2018'!J$6*'CALCULO GARANTIA'!$N43</f>
        <v>495786.41357763176</v>
      </c>
      <c r="E43" s="191">
        <f>'PART 1er sem 2018'!J$7*'CALCULO GARANTIA'!$N43</f>
        <v>688254.68836016755</v>
      </c>
      <c r="F43" s="191">
        <f>'PART 1er sem 2018'!J$8*'CALCULO GARANTIA'!$N43</f>
        <v>62100.807896245882</v>
      </c>
      <c r="G43" s="191">
        <f>'PART 1er sem 2018'!J$9*'CALCULO GARANTIA'!$N43</f>
        <v>536687.02477272425</v>
      </c>
      <c r="H43" s="191">
        <f>'PART 1er sem 2018'!J$10*'CALCULO GARANTIA'!$N43</f>
        <v>99110.286050452938</v>
      </c>
      <c r="I43" s="191">
        <f>+'PART 1er sem 2018'!J$11*'CALCULO GARANTIA'!$N43</f>
        <v>644096.60898842115</v>
      </c>
      <c r="J43" s="192">
        <f t="shared" si="1"/>
        <v>21401788.387646753</v>
      </c>
    </row>
    <row r="44" spans="1:10">
      <c r="A44" s="190" t="s">
        <v>38</v>
      </c>
      <c r="B44" s="191">
        <f>'PART 1er sem 2018'!J$4*'CALCULO GARANTIA'!$N44</f>
        <v>38682932.028037503</v>
      </c>
      <c r="C44" s="191">
        <f>'PART 1er sem 2018'!J$5*'CALCULO GARANTIA'!$N44</f>
        <v>5601326.5513258083</v>
      </c>
      <c r="D44" s="207">
        <f>'PART 1er sem 2018'!J$6*'CALCULO GARANTIA'!$N44</f>
        <v>1163160.7095686593</v>
      </c>
      <c r="E44" s="191">
        <f>'PART 1er sem 2018'!J$7*'CALCULO GARANTIA'!$N44</f>
        <v>1614709.0556599454</v>
      </c>
      <c r="F44" s="191">
        <f>'PART 1er sem 2018'!J$8*'CALCULO GARANTIA'!$N44</f>
        <v>145694.23001357389</v>
      </c>
      <c r="G44" s="191">
        <f>'PART 1er sem 2018'!J$9*'CALCULO GARANTIA'!$N44</f>
        <v>1259117.3203926191</v>
      </c>
      <c r="H44" s="191">
        <f>'PART 1er sem 2018'!J$10*'CALCULO GARANTIA'!$N44</f>
        <v>232521.88339757026</v>
      </c>
      <c r="I44" s="191">
        <f>+'PART 1er sem 2018'!J$11*'CALCULO GARANTIA'!$N44</f>
        <v>1511110.1236831879</v>
      </c>
      <c r="J44" s="192">
        <f t="shared" si="1"/>
        <v>50210571.902078852</v>
      </c>
    </row>
    <row r="45" spans="1:10">
      <c r="A45" s="190" t="s">
        <v>39</v>
      </c>
      <c r="B45" s="191">
        <f>'PART 1er sem 2018'!J$4*'CALCULO GARANTIA'!$N45</f>
        <v>725673822.01112807</v>
      </c>
      <c r="C45" s="191">
        <f>'PART 1er sem 2018'!J$5*'CALCULO GARANTIA'!$N45</f>
        <v>105078282.17072269</v>
      </c>
      <c r="D45" s="207">
        <f>'PART 1er sem 2018'!J$6*'CALCULO GARANTIA'!$N45</f>
        <v>21820354.183960941</v>
      </c>
      <c r="E45" s="191">
        <f>'PART 1er sem 2018'!J$7*'CALCULO GARANTIA'!$N45</f>
        <v>30291191.241849057</v>
      </c>
      <c r="F45" s="191">
        <f>'PART 1er sem 2018'!J$8*'CALCULO GARANTIA'!$N45</f>
        <v>2733156.0250471118</v>
      </c>
      <c r="G45" s="191">
        <f>'PART 1er sem 2018'!J$9*'CALCULO GARANTIA'!$N45</f>
        <v>23620455.594923969</v>
      </c>
      <c r="H45" s="191">
        <f>'PART 1er sem 2018'!J$10*'CALCULO GARANTIA'!$N45</f>
        <v>4362002.4382857289</v>
      </c>
      <c r="I45" s="191">
        <f>+'PART 1er sem 2018'!J$11*'CALCULO GARANTIA'!$N45</f>
        <v>28347723.438804694</v>
      </c>
      <c r="J45" s="192">
        <f t="shared" si="1"/>
        <v>941926987.10472226</v>
      </c>
    </row>
    <row r="46" spans="1:10">
      <c r="A46" s="190" t="s">
        <v>40</v>
      </c>
      <c r="B46" s="191">
        <f>'PART 1er sem 2018'!J$4*'CALCULO GARANTIA'!$N46</f>
        <v>4134529.7149300175</v>
      </c>
      <c r="C46" s="191">
        <f>'PART 1er sem 2018'!J$5*'CALCULO GARANTIA'!$N46</f>
        <v>598683.96358108101</v>
      </c>
      <c r="D46" s="207">
        <f>'PART 1er sem 2018'!J$6*'CALCULO GARANTIA'!$N46</f>
        <v>124321.56159892533</v>
      </c>
      <c r="E46" s="191">
        <f>'PART 1er sem 2018'!J$7*'CALCULO GARANTIA'!$N46</f>
        <v>172584.19208641688</v>
      </c>
      <c r="F46" s="191">
        <f>'PART 1er sem 2018'!J$8*'CALCULO GARANTIA'!$N46</f>
        <v>15572.168181263132</v>
      </c>
      <c r="G46" s="191">
        <f>'PART 1er sem 2018'!J$9*'CALCULO GARANTIA'!$N46</f>
        <v>134577.64711250746</v>
      </c>
      <c r="H46" s="191">
        <f>'PART 1er sem 2018'!J$10*'CALCULO GARANTIA'!$N46</f>
        <v>24852.527610418572</v>
      </c>
      <c r="I46" s="191">
        <f>+'PART 1er sem 2018'!J$11*'CALCULO GARANTIA'!$N46</f>
        <v>161511.27593873552</v>
      </c>
      <c r="J46" s="192">
        <f t="shared" si="1"/>
        <v>5366633.0510393642</v>
      </c>
    </row>
    <row r="47" spans="1:10">
      <c r="A47" s="190" t="s">
        <v>41</v>
      </c>
      <c r="B47" s="191">
        <f>'PART 1er sem 2018'!J$4*'CALCULO GARANTIA'!$N47</f>
        <v>11416706.199568868</v>
      </c>
      <c r="C47" s="191">
        <f>'PART 1er sem 2018'!J$5*'CALCULO GARANTIA'!$N47</f>
        <v>1653150.2709768964</v>
      </c>
      <c r="D47" s="207">
        <f>'PART 1er sem 2018'!J$6*'CALCULO GARANTIA'!$N47</f>
        <v>343290.00899938092</v>
      </c>
      <c r="E47" s="191">
        <f>'PART 1er sem 2018'!J$7*'CALCULO GARANTIA'!$N47</f>
        <v>476557.95255880285</v>
      </c>
      <c r="F47" s="191">
        <f>'PART 1er sem 2018'!J$8*'CALCULO GARANTIA'!$N47</f>
        <v>42999.538345019508</v>
      </c>
      <c r="G47" s="191">
        <f>'PART 1er sem 2018'!J$9*'CALCULO GARANTIA'!$N47</f>
        <v>371610.21060378599</v>
      </c>
      <c r="H47" s="191">
        <f>'PART 1er sem 2018'!J$10*'CALCULO GARANTIA'!$N47</f>
        <v>68625.46059839474</v>
      </c>
      <c r="I47" s="191">
        <f>+'PART 1er sem 2018'!J$11*'CALCULO GARANTIA'!$N47</f>
        <v>445982.23073630774</v>
      </c>
      <c r="J47" s="192">
        <f t="shared" si="1"/>
        <v>14818921.872387458</v>
      </c>
    </row>
    <row r="48" spans="1:10">
      <c r="A48" s="190" t="s">
        <v>42</v>
      </c>
      <c r="B48" s="191">
        <f>'PART 1er sem 2018'!J$4*'CALCULO GARANTIA'!$N48</f>
        <v>8769211.8554962389</v>
      </c>
      <c r="C48" s="191">
        <f>'PART 1er sem 2018'!J$5*'CALCULO GARANTIA'!$N48</f>
        <v>1269790.4896348186</v>
      </c>
      <c r="D48" s="207">
        <f>'PART 1er sem 2018'!J$6*'CALCULO GARANTIA'!$N48</f>
        <v>263682.25337220856</v>
      </c>
      <c r="E48" s="191">
        <f>'PART 1er sem 2018'!J$7*'CALCULO GARANTIA'!$N48</f>
        <v>366045.82568372326</v>
      </c>
      <c r="F48" s="191">
        <f>'PART 1er sem 2018'!J$8*'CALCULO GARANTIA'!$N48</f>
        <v>33028.095393244832</v>
      </c>
      <c r="G48" s="191">
        <f>'PART 1er sem 2018'!J$9*'CALCULO GARANTIA'!$N48</f>
        <v>285435.09901071421</v>
      </c>
      <c r="H48" s="191">
        <f>'PART 1er sem 2018'!J$10*'CALCULO GARANTIA'!$N48</f>
        <v>52711.455664074012</v>
      </c>
      <c r="I48" s="191">
        <f>+'PART 1er sem 2018'!J$11*'CALCULO GARANTIA'!$N48</f>
        <v>342560.50709802605</v>
      </c>
      <c r="J48" s="192">
        <f t="shared" si="1"/>
        <v>11382465.58135305</v>
      </c>
    </row>
    <row r="49" spans="1:10">
      <c r="A49" s="190" t="s">
        <v>43</v>
      </c>
      <c r="B49" s="191">
        <f>'PART 1er sem 2018'!J$4*'CALCULO GARANTIA'!$N49</f>
        <v>9485389.5502516255</v>
      </c>
      <c r="C49" s="191">
        <f>'PART 1er sem 2018'!J$5*'CALCULO GARANTIA'!$N49</f>
        <v>1373493.7232519879</v>
      </c>
      <c r="D49" s="207">
        <f>'PART 1er sem 2018'!J$6*'CALCULO GARANTIA'!$N49</f>
        <v>285217.06761548098</v>
      </c>
      <c r="E49" s="191">
        <f>'PART 1er sem 2018'!J$7*'CALCULO GARANTIA'!$N49</f>
        <v>395940.62808249204</v>
      </c>
      <c r="F49" s="191">
        <f>'PART 1er sem 2018'!J$8*'CALCULO GARANTIA'!$N49</f>
        <v>35725.485490630781</v>
      </c>
      <c r="G49" s="191">
        <f>'PART 1er sem 2018'!J$9*'CALCULO GARANTIA'!$N49</f>
        <v>308746.45863804989</v>
      </c>
      <c r="H49" s="191">
        <f>'PART 1er sem 2018'!J$10*'CALCULO GARANTIA'!$N49</f>
        <v>57016.377181169795</v>
      </c>
      <c r="I49" s="191">
        <f>+'PART 1er sem 2018'!J$11*'CALCULO GARANTIA'!$N49</f>
        <v>370537.27380527958</v>
      </c>
      <c r="J49" s="192">
        <f t="shared" si="1"/>
        <v>12312066.564316716</v>
      </c>
    </row>
    <row r="50" spans="1:10">
      <c r="A50" s="190" t="s">
        <v>44</v>
      </c>
      <c r="B50" s="191">
        <f>'PART 1er sem 2018'!J$4*'CALCULO GARANTIA'!$N50</f>
        <v>28272536.027421765</v>
      </c>
      <c r="C50" s="191">
        <f>'PART 1er sem 2018'!J$5*'CALCULO GARANTIA'!$N50</f>
        <v>4093890.9855367364</v>
      </c>
      <c r="D50" s="207">
        <f>'PART 1er sem 2018'!J$6*'CALCULO GARANTIA'!$N50</f>
        <v>850129.53628039046</v>
      </c>
      <c r="E50" s="191">
        <f>'PART 1er sem 2018'!J$7*'CALCULO GARANTIA'!$N50</f>
        <v>1180156.6622938856</v>
      </c>
      <c r="F50" s="191">
        <f>'PART 1er sem 2018'!J$8*'CALCULO GARANTIA'!$N50</f>
        <v>106484.82809060784</v>
      </c>
      <c r="G50" s="191">
        <f>'PART 1er sem 2018'!J$9*'CALCULO GARANTIA'!$N50</f>
        <v>920262.19154611207</v>
      </c>
      <c r="H50" s="191">
        <f>'PART 1er sem 2018'!J$10*'CALCULO GARANTIA'!$N50</f>
        <v>169945.32164099987</v>
      </c>
      <c r="I50" s="191">
        <f>+'PART 1er sem 2018'!J$11*'CALCULO GARANTIA'!$N50</f>
        <v>1104438.3963001822</v>
      </c>
      <c r="J50" s="192">
        <f t="shared" si="1"/>
        <v>36697843.949110679</v>
      </c>
    </row>
    <row r="51" spans="1:10">
      <c r="A51" s="190" t="s">
        <v>45</v>
      </c>
      <c r="B51" s="191">
        <f>'PART 1er sem 2018'!J$4*'CALCULO GARANTIA'!$N51</f>
        <v>24329999.483997282</v>
      </c>
      <c r="C51" s="191">
        <f>'PART 1er sem 2018'!J$5*'CALCULO GARANTIA'!$N51</f>
        <v>3523007.821761827</v>
      </c>
      <c r="D51" s="207">
        <f>'PART 1er sem 2018'!J$6*'CALCULO GARANTIA'!$N51</f>
        <v>731581.03535429237</v>
      </c>
      <c r="E51" s="191">
        <f>'PART 1er sem 2018'!J$7*'CALCULO GARANTIA'!$N51</f>
        <v>1015586.6794827677</v>
      </c>
      <c r="F51" s="191">
        <f>'PART 1er sem 2018'!J$8*'CALCULO GARANTIA'!$N51</f>
        <v>91635.777207435982</v>
      </c>
      <c r="G51" s="191">
        <f>'PART 1er sem 2018'!J$9*'CALCULO GARANTIA'!$N51</f>
        <v>791933.86202577967</v>
      </c>
      <c r="H51" s="191">
        <f>'PART 1er sem 2018'!J$10*'CALCULO GARANTIA'!$N51</f>
        <v>146246.85892425539</v>
      </c>
      <c r="I51" s="191">
        <f>+'PART 1er sem 2018'!J$11*'CALCULO GARANTIA'!$N51</f>
        <v>950427.14194537862</v>
      </c>
      <c r="J51" s="192">
        <f t="shared" si="1"/>
        <v>31580418.660699017</v>
      </c>
    </row>
    <row r="52" spans="1:10">
      <c r="A52" s="190" t="s">
        <v>46</v>
      </c>
      <c r="B52" s="191">
        <f>'PART 1er sem 2018'!J$4*'CALCULO GARANTIA'!$N52</f>
        <v>220151222.07042012</v>
      </c>
      <c r="C52" s="191">
        <f>'PART 1er sem 2018'!J$5*'CALCULO GARANTIA'!$N52</f>
        <v>31878113.18428722</v>
      </c>
      <c r="D52" s="207">
        <f>'PART 1er sem 2018'!J$6*'CALCULO GARANTIA'!$N52</f>
        <v>6619747.7350019943</v>
      </c>
      <c r="E52" s="191">
        <f>'PART 1er sem 2018'!J$7*'CALCULO GARANTIA'!$N52</f>
        <v>9189587.067341689</v>
      </c>
      <c r="F52" s="191">
        <f>'PART 1er sem 2018'!J$8*'CALCULO GARANTIA'!$N52</f>
        <v>829170.93158422678</v>
      </c>
      <c r="G52" s="191">
        <f>'PART 1er sem 2018'!J$9*'CALCULO GARANTIA'!$N52</f>
        <v>7165853.3177773394</v>
      </c>
      <c r="H52" s="191">
        <f>'PART 1er sem 2018'!J$10*'CALCULO GARANTIA'!$N52</f>
        <v>1323322.0468135192</v>
      </c>
      <c r="I52" s="191">
        <f>+'PART 1er sem 2018'!J$11*'CALCULO GARANTIA'!$N52</f>
        <v>8599987.7199255563</v>
      </c>
      <c r="J52" s="192">
        <f t="shared" si="1"/>
        <v>285757004.07315171</v>
      </c>
    </row>
    <row r="53" spans="1:10">
      <c r="A53" s="190" t="s">
        <v>47</v>
      </c>
      <c r="B53" s="191">
        <f>'PART 1er sem 2018'!J$4*'CALCULO GARANTIA'!$N53</f>
        <v>374929367.34880078</v>
      </c>
      <c r="C53" s="191">
        <f>'PART 1er sem 2018'!J$5*'CALCULO GARANTIA'!$N53</f>
        <v>54290140.640850745</v>
      </c>
      <c r="D53" s="207">
        <f>'PART 1er sem 2018'!J$6*'CALCULO GARANTIA'!$N53</f>
        <v>11273786.295399502</v>
      </c>
      <c r="E53" s="191">
        <f>'PART 1er sem 2018'!J$7*'CALCULO GARANTIA'!$N53</f>
        <v>15650360.842662234</v>
      </c>
      <c r="F53" s="191">
        <f>'PART 1er sem 2018'!J$8*'CALCULO GARANTIA'!$N53</f>
        <v>1412122.6758552722</v>
      </c>
      <c r="G53" s="191">
        <f>'PART 1er sem 2018'!J$9*'CALCULO GARANTIA'!$N53</f>
        <v>12203833.463568816</v>
      </c>
      <c r="H53" s="191">
        <f>'PART 1er sem 2018'!J$10*'CALCULO GARANTIA'!$N53</f>
        <v>2253688.5925248596</v>
      </c>
      <c r="I53" s="191">
        <f>+'PART 1er sem 2018'!J$11*'CALCULO GARANTIA'!$N53</f>
        <v>14646241.454920268</v>
      </c>
      <c r="J53" s="192">
        <f t="shared" si="1"/>
        <v>486659541.31458247</v>
      </c>
    </row>
    <row r="54" spans="1:10">
      <c r="A54" s="190" t="s">
        <v>48</v>
      </c>
      <c r="B54" s="191">
        <f>'PART 1er sem 2018'!J$4*'CALCULO GARANTIA'!$N54</f>
        <v>114627173.52068572</v>
      </c>
      <c r="C54" s="191">
        <f>'PART 1er sem 2018'!J$5*'CALCULO GARANTIA'!$N54</f>
        <v>16598127.310501631</v>
      </c>
      <c r="D54" s="207">
        <f>'PART 1er sem 2018'!J$6*'CALCULO GARANTIA'!$N54</f>
        <v>3446735.2265731245</v>
      </c>
      <c r="E54" s="191">
        <f>'PART 1er sem 2018'!J$7*'CALCULO GARANTIA'!$N54</f>
        <v>4784785.5735031068</v>
      </c>
      <c r="F54" s="191">
        <f>'PART 1er sem 2018'!J$8*'CALCULO GARANTIA'!$N54</f>
        <v>431728.33363882673</v>
      </c>
      <c r="G54" s="191">
        <f>'PART 1er sem 2018'!J$9*'CALCULO GARANTIA'!$N54</f>
        <v>3731078.5920502474</v>
      </c>
      <c r="H54" s="191">
        <f>'PART 1er sem 2018'!J$10*'CALCULO GARANTIA'!$N54</f>
        <v>689020.32183732942</v>
      </c>
      <c r="I54" s="191">
        <f>+'PART 1er sem 2018'!J$11*'CALCULO GARANTIA'!$N54</f>
        <v>4477796.1047717743</v>
      </c>
      <c r="J54" s="192">
        <f t="shared" si="1"/>
        <v>148786444.98356175</v>
      </c>
    </row>
    <row r="55" spans="1:10">
      <c r="A55" s="190" t="s">
        <v>49</v>
      </c>
      <c r="B55" s="191">
        <f>'PART 1er sem 2018'!J$4*'CALCULO GARANTIA'!$N55</f>
        <v>30556911.359066486</v>
      </c>
      <c r="C55" s="191">
        <f>'PART 1er sem 2018'!J$5*'CALCULO GARANTIA'!$N55</f>
        <v>4424670.7772304229</v>
      </c>
      <c r="D55" s="207">
        <f>'PART 1er sem 2018'!J$6*'CALCULO GARANTIA'!$N55</f>
        <v>918818.63228146767</v>
      </c>
      <c r="E55" s="191">
        <f>'PART 1er sem 2018'!J$7*'CALCULO GARANTIA'!$N55</f>
        <v>1275511.4180259332</v>
      </c>
      <c r="F55" s="191">
        <f>'PART 1er sem 2018'!J$8*'CALCULO GARANTIA'!$N55</f>
        <v>115088.63053155909</v>
      </c>
      <c r="G55" s="191">
        <f>'PART 1er sem 2018'!J$9*'CALCULO GARANTIA'!$N55</f>
        <v>994617.89302879048</v>
      </c>
      <c r="H55" s="191">
        <f>'PART 1er sem 2018'!J$10*'CALCULO GARANTIA'!$N55</f>
        <v>183676.62965343252</v>
      </c>
      <c r="I55" s="191">
        <f>+'PART 1er sem 2018'!J$11*'CALCULO GARANTIA'!$N55</f>
        <v>1193675.2382086108</v>
      </c>
      <c r="J55" s="192">
        <f t="shared" si="1"/>
        <v>39662970.578026704</v>
      </c>
    </row>
    <row r="56" spans="1:10">
      <c r="A56" s="190" t="s">
        <v>50</v>
      </c>
      <c r="B56" s="191">
        <f>'PART 1er sem 2018'!J$4*'CALCULO GARANTIA'!$N56</f>
        <v>7341241.8289706903</v>
      </c>
      <c r="C56" s="191">
        <f>'PART 1er sem 2018'!J$5*'CALCULO GARANTIA'!$N56</f>
        <v>1063019.0272679634</v>
      </c>
      <c r="D56" s="207">
        <f>'PART 1er sem 2018'!J$6*'CALCULO GARANTIA'!$N56</f>
        <v>220744.48877638194</v>
      </c>
      <c r="E56" s="191">
        <f>'PART 1er sem 2018'!J$7*'CALCULO GARANTIA'!$N56</f>
        <v>306439.27540024015</v>
      </c>
      <c r="F56" s="191">
        <f>'PART 1er sem 2018'!J$8*'CALCULO GARANTIA'!$N56</f>
        <v>27649.832097528011</v>
      </c>
      <c r="G56" s="191">
        <f>'PART 1er sem 2018'!J$9*'CALCULO GARANTIA'!$N56</f>
        <v>238955.12194753182</v>
      </c>
      <c r="H56" s="191">
        <f>'PART 1er sem 2018'!J$10*'CALCULO GARANTIA'!$N56</f>
        <v>44127.972908363052</v>
      </c>
      <c r="I56" s="191">
        <f>+'PART 1er sem 2018'!J$11*'CALCULO GARANTIA'!$N56</f>
        <v>286778.28351076244</v>
      </c>
      <c r="J56" s="192">
        <f t="shared" si="1"/>
        <v>9528955.8308794629</v>
      </c>
    </row>
    <row r="57" spans="1:10" ht="13.5" thickBot="1">
      <c r="A57" s="190" t="s">
        <v>51</v>
      </c>
      <c r="B57" s="191">
        <f>'PART 1er sem 2018'!J$4*'CALCULO GARANTIA'!$N57</f>
        <v>10114110.212070214</v>
      </c>
      <c r="C57" s="191">
        <f>'PART 1er sem 2018'!J$5*'CALCULO GARANTIA'!$N57</f>
        <v>1464533.0926012162</v>
      </c>
      <c r="D57" s="207">
        <f>'PART 1er sem 2018'!J$6*'CALCULO GARANTIA'!$N57</f>
        <v>304122.12813652254</v>
      </c>
      <c r="E57" s="191">
        <f>'PART 1er sem 2018'!J$7*'CALCULO GARANTIA'!$N57</f>
        <v>422184.78520541044</v>
      </c>
      <c r="F57" s="191">
        <f>'PART 1er sem 2018'!J$8*'CALCULO GARANTIA'!$N57</f>
        <v>38093.480053475483</v>
      </c>
      <c r="G57" s="191">
        <f>'PART 1er sem 2018'!J$9*'CALCULO GARANTIA'!$N57</f>
        <v>329211.11923851108</v>
      </c>
      <c r="H57" s="191">
        <f>'PART 1er sem 2018'!J$10*'CALCULO GARANTIA'!$N57</f>
        <v>60795.597233855187</v>
      </c>
      <c r="I57" s="191">
        <f>+'PART 1er sem 2018'!J$11*'CALCULO GARANTIA'!$N57</f>
        <v>395097.6188265477</v>
      </c>
      <c r="J57" s="192">
        <f t="shared" si="1"/>
        <v>13128148.033365753</v>
      </c>
    </row>
    <row r="58" spans="1:10" ht="14.25" thickTop="1" thickBot="1">
      <c r="A58" s="193" t="s">
        <v>52</v>
      </c>
      <c r="B58" s="194">
        <f t="shared" ref="B58:J58" si="2">SUM(B7:B57)</f>
        <v>2874321731.4397125</v>
      </c>
      <c r="C58" s="194">
        <f t="shared" si="2"/>
        <v>416204609.81852931</v>
      </c>
      <c r="D58" s="208">
        <f>SUM(D7:D57)</f>
        <v>86428249.602351785</v>
      </c>
      <c r="E58" s="194">
        <f>SUM(E7:E57)</f>
        <v>119980391.48821315</v>
      </c>
      <c r="F58" s="194">
        <f>SUM(F7:F57)</f>
        <v>10825758.791238064</v>
      </c>
      <c r="G58" s="194">
        <f t="shared" si="2"/>
        <v>93558272.000000045</v>
      </c>
      <c r="H58" s="194">
        <f t="shared" si="2"/>
        <v>17277457.200000003</v>
      </c>
      <c r="I58" s="194">
        <f t="shared" si="2"/>
        <v>112282509.09090908</v>
      </c>
      <c r="J58" s="195">
        <f t="shared" si="2"/>
        <v>3730878979.430954</v>
      </c>
    </row>
    <row r="59" spans="1:10" ht="13.5" thickTop="1">
      <c r="A59" s="196"/>
      <c r="B59" s="196"/>
      <c r="C59" s="196"/>
      <c r="D59" s="196"/>
      <c r="E59" s="196"/>
      <c r="F59" s="196"/>
      <c r="G59" s="196"/>
      <c r="H59" s="196"/>
      <c r="I59" s="196"/>
      <c r="J59" s="196"/>
    </row>
    <row r="60" spans="1:10" ht="16.5" customHeight="1">
      <c r="A60" s="184" t="s">
        <v>149</v>
      </c>
    </row>
    <row r="63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AF3" sqref="AF3:AK3"/>
    </sheetView>
  </sheetViews>
  <sheetFormatPr baseColWidth="10" defaultColWidth="9.7109375" defaultRowHeight="12.75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1.7109375" style="90" customWidth="1"/>
    <col min="10" max="10" width="12.28515625" style="25" customWidth="1"/>
    <col min="11" max="11" width="15.140625" style="25" customWidth="1"/>
    <col min="12" max="12" width="12" style="90" customWidth="1"/>
    <col min="13" max="13" width="13.42578125" style="92" customWidth="1"/>
    <col min="14" max="14" width="16.85546875" style="25" customWidth="1"/>
    <col min="15" max="15" width="15.28515625" style="25" customWidth="1"/>
    <col min="16" max="16" width="14.140625" style="25" customWidth="1"/>
    <col min="17" max="17" width="14.85546875" style="25" customWidth="1"/>
    <col min="18" max="18" width="14" style="25" customWidth="1"/>
    <col min="19" max="19" width="15" style="25" customWidth="1"/>
    <col min="20" max="20" width="14" style="25" customWidth="1"/>
    <col min="21" max="21" width="15" style="25" customWidth="1"/>
    <col min="22" max="22" width="15.28515625" style="25" customWidth="1"/>
    <col min="23" max="23" width="12.28515625" style="25" customWidth="1"/>
    <col min="24" max="24" width="13.42578125" style="25" customWidth="1"/>
    <col min="25" max="25" width="11.85546875" style="25" customWidth="1"/>
    <col min="26" max="26" width="14.28515625" style="25" customWidth="1"/>
    <col min="27" max="27" width="13.425781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7.7109375" style="25" customWidth="1"/>
    <col min="34" max="34" width="15.85546875" style="25" customWidth="1"/>
    <col min="35" max="35" width="13.28515625" style="90" customWidth="1"/>
    <col min="36" max="36" width="14.28515625" style="90" customWidth="1"/>
    <col min="37" max="37" width="17.5703125" style="92" customWidth="1"/>
    <col min="38" max="38" width="0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26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ht="18.75" thickBot="1">
      <c r="B3" s="230" t="s">
        <v>139</v>
      </c>
      <c r="C3" s="230"/>
      <c r="D3" s="230"/>
      <c r="E3" s="230"/>
      <c r="F3" s="230"/>
      <c r="G3" s="231" t="s">
        <v>69</v>
      </c>
      <c r="H3" s="231"/>
      <c r="I3" s="231"/>
      <c r="J3" s="231"/>
      <c r="K3" s="231"/>
      <c r="L3" s="231"/>
      <c r="M3" s="231"/>
      <c r="N3" s="231" t="s">
        <v>124</v>
      </c>
      <c r="O3" s="231"/>
      <c r="P3" s="231"/>
      <c r="Q3" s="231"/>
      <c r="R3" s="231"/>
      <c r="S3" s="231"/>
      <c r="T3" s="231" t="s">
        <v>124</v>
      </c>
      <c r="U3" s="231"/>
      <c r="V3" s="231"/>
      <c r="W3" s="231"/>
      <c r="X3" s="231"/>
      <c r="Y3" s="231"/>
      <c r="Z3" s="231" t="s">
        <v>124</v>
      </c>
      <c r="AA3" s="231"/>
      <c r="AB3" s="231"/>
      <c r="AC3" s="231"/>
      <c r="AD3" s="231"/>
      <c r="AE3" s="231"/>
      <c r="AF3" s="230" t="s">
        <v>124</v>
      </c>
      <c r="AG3" s="230"/>
      <c r="AH3" s="230"/>
      <c r="AI3" s="230"/>
      <c r="AJ3" s="230"/>
      <c r="AK3" s="230"/>
      <c r="AM3" s="230" t="s">
        <v>169</v>
      </c>
      <c r="AN3" s="230"/>
      <c r="AO3" s="230"/>
      <c r="AP3" s="230"/>
      <c r="AQ3" s="230"/>
    </row>
    <row r="4" spans="1:43" ht="64.5" thickBot="1">
      <c r="A4" s="19" t="s">
        <v>0</v>
      </c>
      <c r="B4" s="20" t="s">
        <v>212</v>
      </c>
      <c r="C4" s="19" t="s">
        <v>213</v>
      </c>
      <c r="D4" s="20" t="s">
        <v>166</v>
      </c>
      <c r="E4" s="23" t="s">
        <v>167</v>
      </c>
      <c r="F4" s="149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4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4" t="s">
        <v>104</v>
      </c>
      <c r="AM4" s="151" t="s">
        <v>127</v>
      </c>
      <c r="AN4" s="151" t="s">
        <v>125</v>
      </c>
      <c r="AO4" s="151" t="s">
        <v>126</v>
      </c>
      <c r="AP4" s="151" t="s">
        <v>193</v>
      </c>
      <c r="AQ4" s="151" t="s">
        <v>115</v>
      </c>
    </row>
    <row r="5" spans="1:43">
      <c r="A5" s="110"/>
      <c r="B5" s="111" t="s">
        <v>131</v>
      </c>
      <c r="C5" s="110" t="s">
        <v>131</v>
      </c>
      <c r="D5" s="111"/>
      <c r="E5" s="114"/>
      <c r="F5" s="117"/>
      <c r="G5" s="110"/>
      <c r="H5" s="111"/>
      <c r="I5" s="112"/>
      <c r="J5" s="113"/>
      <c r="K5" s="111"/>
      <c r="L5" s="112"/>
      <c r="M5" s="116"/>
      <c r="N5" s="113"/>
      <c r="O5" s="113"/>
      <c r="P5" s="113"/>
      <c r="Q5" s="113"/>
      <c r="R5" s="113"/>
      <c r="S5" s="113"/>
      <c r="T5" s="113"/>
      <c r="U5" s="113"/>
      <c r="V5" s="110"/>
      <c r="W5" s="113"/>
      <c r="X5" s="113"/>
      <c r="Y5" s="113"/>
      <c r="Z5" s="113"/>
      <c r="AA5" s="113"/>
      <c r="AB5" s="113"/>
      <c r="AC5" s="113"/>
      <c r="AD5" s="113"/>
      <c r="AE5" s="110"/>
      <c r="AF5" s="112"/>
      <c r="AG5" s="110"/>
      <c r="AH5" s="114"/>
      <c r="AI5" s="115"/>
      <c r="AJ5" s="112"/>
      <c r="AK5" s="116"/>
      <c r="AL5" s="125"/>
      <c r="AM5" s="118" t="s">
        <v>131</v>
      </c>
      <c r="AN5" s="118" t="s">
        <v>131</v>
      </c>
      <c r="AO5" s="118" t="s">
        <v>131</v>
      </c>
      <c r="AP5" s="118" t="s">
        <v>131</v>
      </c>
      <c r="AQ5" s="118"/>
    </row>
    <row r="6" spans="1:43" s="28" customFormat="1" ht="33.75">
      <c r="A6" s="119"/>
      <c r="B6" s="123" t="s">
        <v>162</v>
      </c>
      <c r="C6" s="105" t="s">
        <v>163</v>
      </c>
      <c r="D6" s="105" t="s">
        <v>54</v>
      </c>
      <c r="E6" s="105" t="s">
        <v>55</v>
      </c>
      <c r="F6" s="124" t="s">
        <v>77</v>
      </c>
      <c r="G6" s="119" t="s">
        <v>57</v>
      </c>
      <c r="H6" s="105" t="s">
        <v>75</v>
      </c>
      <c r="I6" s="120" t="s">
        <v>78</v>
      </c>
      <c r="J6" s="26" t="s">
        <v>68</v>
      </c>
      <c r="K6" s="105" t="s">
        <v>79</v>
      </c>
      <c r="L6" s="120" t="s">
        <v>80</v>
      </c>
      <c r="M6" s="121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19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0" t="s">
        <v>81</v>
      </c>
      <c r="AG6" s="105" t="s">
        <v>65</v>
      </c>
      <c r="AH6" s="105" t="s">
        <v>61</v>
      </c>
      <c r="AI6" s="120" t="s">
        <v>82</v>
      </c>
      <c r="AJ6" s="120" t="s">
        <v>83</v>
      </c>
      <c r="AK6" s="122" t="s">
        <v>67</v>
      </c>
      <c r="AL6" s="27"/>
      <c r="AM6" s="26">
        <f>+AP6*0.5</f>
        <v>3373480300.9635997</v>
      </c>
      <c r="AN6" s="26">
        <f>+AP6*0.25</f>
        <v>1686740150.4817998</v>
      </c>
      <c r="AO6" s="26">
        <f>+AP6*0.25</f>
        <v>1686740150.4817998</v>
      </c>
      <c r="AP6" s="26">
        <f>+'ESTIMACIÓN 2018'!T9:T9</f>
        <v>6746960601.9271994</v>
      </c>
    </row>
    <row r="7" spans="1:43" s="36" customFormat="1" ht="23.25" customHeight="1" thickBot="1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>
      <c r="A8" s="5" t="s">
        <v>1</v>
      </c>
      <c r="B8" s="40">
        <v>479538</v>
      </c>
      <c r="C8" s="40">
        <v>115989</v>
      </c>
      <c r="D8" s="49">
        <f t="shared" ref="D8:D39" si="0">+C8/B8</f>
        <v>0.24187655618532838</v>
      </c>
      <c r="E8" s="50">
        <f>+D8*C8</f>
        <v>28055.019875380054</v>
      </c>
      <c r="F8" s="145">
        <f t="shared" ref="F8:F39" si="1">+E8/E$59</f>
        <v>1.4537047243590453E-5</v>
      </c>
      <c r="G8" s="37">
        <v>2791</v>
      </c>
      <c r="H8" s="129">
        <f t="shared" ref="H8:H39" si="2">+G8/$G$59</f>
        <v>5.9976903197579094E-4</v>
      </c>
      <c r="I8" s="39">
        <f>+H8*I$4</f>
        <v>5.0980367717942232E-4</v>
      </c>
      <c r="J8" s="40">
        <v>47.45</v>
      </c>
      <c r="K8" s="126">
        <f t="shared" ref="K8:K39" si="3">+J8/$J$59</f>
        <v>7.3886478603129777E-4</v>
      </c>
      <c r="L8" s="41">
        <f>+K8*L$4</f>
        <v>1.1082971790469465E-4</v>
      </c>
      <c r="M8" s="145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5">
        <f t="shared" ref="AK8:AK58" si="10">+AJ8+AF8</f>
        <v>1.2024615204675394E-3</v>
      </c>
      <c r="AM8" s="51">
        <f t="shared" ref="AM8:AM39" si="11">+F8*AM$6</f>
        <v>49040.442510429588</v>
      </c>
      <c r="AN8" s="52">
        <f t="shared" ref="AN8:AN39" si="12">+M8*AN$6</f>
        <v>1046847.2662182138</v>
      </c>
      <c r="AO8" s="52">
        <f t="shared" ref="AO8:AO39" si="13">+AK8*AO$6</f>
        <v>2028240.1259819914</v>
      </c>
      <c r="AP8" s="52">
        <f>SUM(AM8:AO8)</f>
        <v>3124127.8347106348</v>
      </c>
      <c r="AQ8" s="53">
        <f>+AP8/AP$59</f>
        <v>4.6304225250970926E-4</v>
      </c>
    </row>
    <row r="9" spans="1:43" ht="14.25">
      <c r="A9" s="7" t="s">
        <v>2</v>
      </c>
      <c r="B9" s="57">
        <v>2532155</v>
      </c>
      <c r="C9" s="57">
        <v>996699</v>
      </c>
      <c r="D9" s="66">
        <f t="shared" si="0"/>
        <v>0.39361689943941031</v>
      </c>
      <c r="E9" s="67">
        <f t="shared" ref="E9:E58" si="14">+D9*C9</f>
        <v>392317.57005436084</v>
      </c>
      <c r="F9" s="146">
        <f t="shared" si="1"/>
        <v>2.0328408519060411E-4</v>
      </c>
      <c r="G9" s="54">
        <v>3443</v>
      </c>
      <c r="H9" s="130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27">
        <f t="shared" si="3"/>
        <v>1.524428317970032E-2</v>
      </c>
      <c r="L9" s="58">
        <f t="shared" ref="L9:L58" si="16">+K9*L$4</f>
        <v>2.2866424769550477E-3</v>
      </c>
      <c r="M9" s="146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6">
        <f t="shared" si="10"/>
        <v>6.7003841024929206E-3</v>
      </c>
      <c r="AM9" s="68">
        <f t="shared" si="11"/>
        <v>685774.85688990913</v>
      </c>
      <c r="AN9" s="69">
        <f t="shared" si="12"/>
        <v>4917759.0272322511</v>
      </c>
      <c r="AO9" s="69">
        <f t="shared" si="13"/>
        <v>11301806.889324768</v>
      </c>
      <c r="AP9" s="69">
        <f t="shared" ref="AP9:AP58" si="23">SUM(AM9:AO9)</f>
        <v>16905340.773446929</v>
      </c>
      <c r="AQ9" s="70">
        <f t="shared" ref="AQ9:AQ58" si="24">+AP9/AP$59</f>
        <v>2.5056231643946596E-3</v>
      </c>
    </row>
    <row r="10" spans="1:43" ht="14.25">
      <c r="A10" s="7" t="s">
        <v>3</v>
      </c>
      <c r="B10" s="57">
        <v>989819</v>
      </c>
      <c r="C10" s="57">
        <v>231032</v>
      </c>
      <c r="D10" s="66">
        <f t="shared" si="0"/>
        <v>0.23340833020986665</v>
      </c>
      <c r="E10" s="67">
        <f t="shared" si="14"/>
        <v>53924.79334504591</v>
      </c>
      <c r="F10" s="146">
        <f t="shared" si="1"/>
        <v>2.7941782680600045E-5</v>
      </c>
      <c r="G10" s="54">
        <v>1374</v>
      </c>
      <c r="H10" s="130">
        <f t="shared" si="2"/>
        <v>2.9526429592788847E-4</v>
      </c>
      <c r="I10" s="56">
        <f t="shared" si="15"/>
        <v>2.509746515387052E-4</v>
      </c>
      <c r="J10" s="57">
        <v>696.75</v>
      </c>
      <c r="K10" s="127">
        <f t="shared" si="3"/>
        <v>1.0849400203736705E-2</v>
      </c>
      <c r="L10" s="58">
        <f t="shared" si="16"/>
        <v>1.6274100305605057E-3</v>
      </c>
      <c r="M10" s="146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6">
        <f t="shared" si="10"/>
        <v>8.7056695028393145E-3</v>
      </c>
      <c r="AM10" s="68">
        <f t="shared" si="11"/>
        <v>94261.05344681014</v>
      </c>
      <c r="AN10" s="69">
        <f t="shared" si="12"/>
        <v>3168346.8613467305</v>
      </c>
      <c r="AO10" s="69">
        <f t="shared" si="13"/>
        <v>14684202.287264001</v>
      </c>
      <c r="AP10" s="69">
        <f t="shared" si="23"/>
        <v>17946810.20205754</v>
      </c>
      <c r="AQ10" s="70">
        <f t="shared" si="24"/>
        <v>2.6599844375749309E-3</v>
      </c>
    </row>
    <row r="11" spans="1:43" ht="13.5" customHeight="1">
      <c r="A11" s="7" t="s">
        <v>4</v>
      </c>
      <c r="B11" s="57">
        <v>31951312</v>
      </c>
      <c r="C11" s="57">
        <v>14228172</v>
      </c>
      <c r="D11" s="66">
        <f t="shared" si="0"/>
        <v>0.44530791098656608</v>
      </c>
      <c r="E11" s="67">
        <f t="shared" si="14"/>
        <v>6335917.5504775522</v>
      </c>
      <c r="F11" s="146">
        <f t="shared" si="1"/>
        <v>3.2830321693556935E-3</v>
      </c>
      <c r="G11" s="54">
        <v>32593</v>
      </c>
      <c r="H11" s="130">
        <f t="shared" si="2"/>
        <v>7.0040387170143149E-3</v>
      </c>
      <c r="I11" s="56">
        <f t="shared" si="15"/>
        <v>5.9534329094621677E-3</v>
      </c>
      <c r="J11" s="57">
        <v>190.52</v>
      </c>
      <c r="K11" s="127">
        <f t="shared" si="3"/>
        <v>2.9666705802883636E-3</v>
      </c>
      <c r="L11" s="58">
        <f t="shared" si="16"/>
        <v>4.4500058704325453E-4</v>
      </c>
      <c r="M11" s="146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6">
        <f t="shared" si="10"/>
        <v>1.5189599064161979E-2</v>
      </c>
      <c r="AM11" s="68">
        <f t="shared" si="11"/>
        <v>11075244.350751225</v>
      </c>
      <c r="AN11" s="69">
        <f t="shared" si="12"/>
        <v>10792494.678743344</v>
      </c>
      <c r="AO11" s="69">
        <f t="shared" si="13"/>
        <v>25620906.611242782</v>
      </c>
      <c r="AP11" s="69">
        <f t="shared" si="23"/>
        <v>47488645.640737355</v>
      </c>
      <c r="AQ11" s="70">
        <f t="shared" si="24"/>
        <v>7.0385242248446967E-3</v>
      </c>
    </row>
    <row r="12" spans="1:43" ht="14.25">
      <c r="A12" s="7" t="s">
        <v>5</v>
      </c>
      <c r="B12" s="57">
        <v>11434785</v>
      </c>
      <c r="C12" s="57">
        <v>3579757</v>
      </c>
      <c r="D12" s="66">
        <f t="shared" si="0"/>
        <v>0.31305853148966073</v>
      </c>
      <c r="E12" s="67">
        <f t="shared" si="14"/>
        <v>1120673.4695098335</v>
      </c>
      <c r="F12" s="146">
        <f t="shared" si="1"/>
        <v>5.8069048759432334E-4</v>
      </c>
      <c r="G12" s="54">
        <v>18480</v>
      </c>
      <c r="H12" s="130">
        <f t="shared" si="2"/>
        <v>3.9712403120432159E-3</v>
      </c>
      <c r="I12" s="56">
        <f t="shared" si="15"/>
        <v>3.3755542652367334E-3</v>
      </c>
      <c r="J12" s="57">
        <v>4572.87</v>
      </c>
      <c r="K12" s="127">
        <f t="shared" si="3"/>
        <v>7.1206166788175776E-2</v>
      </c>
      <c r="L12" s="58">
        <f t="shared" si="16"/>
        <v>1.0680925018226366E-2</v>
      </c>
      <c r="M12" s="146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6">
        <f t="shared" si="10"/>
        <v>1.4897846468279709E-2</v>
      </c>
      <c r="AM12" s="68">
        <f t="shared" si="11"/>
        <v>1958947.9208563974</v>
      </c>
      <c r="AN12" s="69">
        <f t="shared" si="12"/>
        <v>23709627.981832851</v>
      </c>
      <c r="AO12" s="69">
        <f t="shared" si="13"/>
        <v>25128795.793760866</v>
      </c>
      <c r="AP12" s="69">
        <f t="shared" si="23"/>
        <v>50797371.696450114</v>
      </c>
      <c r="AQ12" s="70">
        <f t="shared" si="24"/>
        <v>7.5289266817328629E-3</v>
      </c>
    </row>
    <row r="13" spans="1:43" ht="14.25">
      <c r="A13" s="7" t="s">
        <v>6</v>
      </c>
      <c r="B13" s="57">
        <v>443655950</v>
      </c>
      <c r="C13" s="57">
        <v>243619322.05000001</v>
      </c>
      <c r="D13" s="66">
        <f t="shared" si="0"/>
        <v>0.54911767113683474</v>
      </c>
      <c r="E13" s="67">
        <f t="shared" si="14"/>
        <v>133775674.76803054</v>
      </c>
      <c r="F13" s="146">
        <f t="shared" si="1"/>
        <v>6.9317480892346253E-2</v>
      </c>
      <c r="G13" s="54">
        <v>523370</v>
      </c>
      <c r="H13" s="130">
        <f t="shared" si="2"/>
        <v>0.11246904989794686</v>
      </c>
      <c r="I13" s="56">
        <f t="shared" si="15"/>
        <v>9.5598692413254832E-2</v>
      </c>
      <c r="J13" s="57">
        <v>238.03</v>
      </c>
      <c r="K13" s="127">
        <f t="shared" si="3"/>
        <v>3.7064696526665922E-3</v>
      </c>
      <c r="L13" s="58">
        <f t="shared" si="16"/>
        <v>5.5597044789998883E-4</v>
      </c>
      <c r="M13" s="146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6">
        <f t="shared" si="10"/>
        <v>3.9971285953087153E-2</v>
      </c>
      <c r="AM13" s="68">
        <f t="shared" si="11"/>
        <v>233841156.3027508</v>
      </c>
      <c r="AN13" s="69">
        <f t="shared" si="12"/>
        <v>162187930.50395101</v>
      </c>
      <c r="AO13" s="69">
        <f t="shared" si="13"/>
        <v>67421172.883461282</v>
      </c>
      <c r="AP13" s="69">
        <f t="shared" si="23"/>
        <v>463450259.69016308</v>
      </c>
      <c r="AQ13" s="70">
        <f t="shared" si="24"/>
        <v>6.8690227649733607E-2</v>
      </c>
    </row>
    <row r="14" spans="1:43" ht="14.25">
      <c r="A14" s="7" t="s">
        <v>7</v>
      </c>
      <c r="B14" s="57">
        <v>1396923</v>
      </c>
      <c r="C14" s="57">
        <v>719920.55</v>
      </c>
      <c r="D14" s="66">
        <f t="shared" si="0"/>
        <v>0.51536165558158897</v>
      </c>
      <c r="E14" s="67">
        <f t="shared" si="14"/>
        <v>371019.44653520815</v>
      </c>
      <c r="F14" s="146">
        <f t="shared" si="1"/>
        <v>1.9224820536684929E-4</v>
      </c>
      <c r="G14" s="54">
        <v>15470</v>
      </c>
      <c r="H14" s="130">
        <f t="shared" si="2"/>
        <v>3.3244095036422377E-3</v>
      </c>
      <c r="I14" s="56">
        <f t="shared" si="15"/>
        <v>2.825748078095902E-3</v>
      </c>
      <c r="J14" s="57">
        <v>2664.8</v>
      </c>
      <c r="K14" s="127">
        <f t="shared" si="3"/>
        <v>4.149477095503061E-2</v>
      </c>
      <c r="L14" s="58">
        <f t="shared" si="16"/>
        <v>6.224215643254591E-3</v>
      </c>
      <c r="M14" s="146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6">
        <f t="shared" si="10"/>
        <v>3.2711552009463477E-2</v>
      </c>
      <c r="AM14" s="68">
        <f t="shared" si="11"/>
        <v>648545.5337006707</v>
      </c>
      <c r="AN14" s="69">
        <f t="shared" si="12"/>
        <v>15264937.169205559</v>
      </c>
      <c r="AO14" s="69">
        <f t="shared" si="13"/>
        <v>55175888.158935644</v>
      </c>
      <c r="AP14" s="69">
        <f t="shared" si="23"/>
        <v>71089370.861841872</v>
      </c>
      <c r="AQ14" s="70">
        <f t="shared" si="24"/>
        <v>1.0536503035386915E-2</v>
      </c>
    </row>
    <row r="15" spans="1:43" ht="14.25">
      <c r="A15" s="7" t="s">
        <v>8</v>
      </c>
      <c r="B15" s="57">
        <v>2619952</v>
      </c>
      <c r="C15" s="57">
        <v>739085</v>
      </c>
      <c r="D15" s="66">
        <f t="shared" si="0"/>
        <v>0.28209867967046726</v>
      </c>
      <c r="E15" s="67">
        <f t="shared" si="14"/>
        <v>208494.90266424729</v>
      </c>
      <c r="F15" s="146">
        <f t="shared" si="1"/>
        <v>1.0803415087713949E-4</v>
      </c>
      <c r="G15" s="54">
        <v>3773</v>
      </c>
      <c r="H15" s="130">
        <f t="shared" si="2"/>
        <v>8.1079489704215658E-4</v>
      </c>
      <c r="I15" s="56">
        <f t="shared" si="15"/>
        <v>6.8917566248583311E-4</v>
      </c>
      <c r="J15" s="57">
        <v>465.62</v>
      </c>
      <c r="K15" s="127">
        <f t="shared" si="3"/>
        <v>7.2503734809671837E-3</v>
      </c>
      <c r="L15" s="58">
        <f t="shared" si="16"/>
        <v>1.0875560221450776E-3</v>
      </c>
      <c r="M15" s="146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6">
        <f t="shared" si="10"/>
        <v>3.4441749558831313E-3</v>
      </c>
      <c r="AM15" s="68">
        <f t="shared" si="11"/>
        <v>364451.0798153595</v>
      </c>
      <c r="AN15" s="69">
        <f t="shared" si="12"/>
        <v>2996884.6691001239</v>
      </c>
      <c r="AO15" s="69">
        <f t="shared" si="13"/>
        <v>5809428.1833719593</v>
      </c>
      <c r="AP15" s="69">
        <f t="shared" si="23"/>
        <v>9170763.9322874434</v>
      </c>
      <c r="AQ15" s="70">
        <f t="shared" si="24"/>
        <v>1.3592437355670801E-3</v>
      </c>
    </row>
    <row r="16" spans="1:43" ht="14.25">
      <c r="A16" s="7" t="s">
        <v>9</v>
      </c>
      <c r="B16" s="57">
        <v>58792022</v>
      </c>
      <c r="C16" s="57">
        <v>26808501</v>
      </c>
      <c r="D16" s="66">
        <f t="shared" si="0"/>
        <v>0.45598875643365355</v>
      </c>
      <c r="E16" s="67">
        <f t="shared" si="14"/>
        <v>12224375.032840358</v>
      </c>
      <c r="F16" s="146">
        <f t="shared" si="1"/>
        <v>6.3342075024411491E-3</v>
      </c>
      <c r="G16" s="54">
        <v>86445</v>
      </c>
      <c r="H16" s="130">
        <f t="shared" si="2"/>
        <v>1.8576508050572284E-2</v>
      </c>
      <c r="I16" s="56">
        <f t="shared" si="15"/>
        <v>1.5790031842986441E-2</v>
      </c>
      <c r="J16" s="57">
        <v>1140.97</v>
      </c>
      <c r="K16" s="127">
        <f t="shared" si="3"/>
        <v>1.7766544887631817E-2</v>
      </c>
      <c r="L16" s="58">
        <f t="shared" si="16"/>
        <v>2.6649817331447726E-3</v>
      </c>
      <c r="M16" s="146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6">
        <f t="shared" si="10"/>
        <v>2.1274556130539607E-2</v>
      </c>
      <c r="AM16" s="68">
        <f t="shared" si="11"/>
        <v>21368324.231701057</v>
      </c>
      <c r="AN16" s="69">
        <f t="shared" si="12"/>
        <v>31128812.376547217</v>
      </c>
      <c r="AO16" s="69">
        <f t="shared" si="13"/>
        <v>35884648.009059876</v>
      </c>
      <c r="AP16" s="69">
        <f t="shared" si="23"/>
        <v>88381784.617308155</v>
      </c>
      <c r="AQ16" s="70">
        <f t="shared" si="24"/>
        <v>1.3099496177888277E-2</v>
      </c>
    </row>
    <row r="17" spans="1:43" ht="14.25">
      <c r="A17" s="7" t="s">
        <v>10</v>
      </c>
      <c r="B17" s="57">
        <v>22277988</v>
      </c>
      <c r="C17" s="57">
        <v>4025421.55</v>
      </c>
      <c r="D17" s="66">
        <f t="shared" si="0"/>
        <v>0.18069053408234173</v>
      </c>
      <c r="E17" s="67">
        <f t="shared" si="14"/>
        <v>727355.56977606786</v>
      </c>
      <c r="F17" s="146">
        <f t="shared" si="1"/>
        <v>3.7688806950382221E-4</v>
      </c>
      <c r="G17" s="54">
        <v>16092</v>
      </c>
      <c r="H17" s="130">
        <f t="shared" si="2"/>
        <v>3.4580735444480213E-3</v>
      </c>
      <c r="I17" s="56">
        <f t="shared" si="15"/>
        <v>2.9393625127808179E-3</v>
      </c>
      <c r="J17" s="57">
        <v>102.38</v>
      </c>
      <c r="K17" s="127">
        <f t="shared" si="3"/>
        <v>1.5942039366466652E-3</v>
      </c>
      <c r="L17" s="58">
        <f t="shared" si="16"/>
        <v>2.3913059049699976E-4</v>
      </c>
      <c r="M17" s="146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6">
        <f t="shared" si="10"/>
        <v>4.0532322911484417E-3</v>
      </c>
      <c r="AM17" s="68">
        <f t="shared" si="11"/>
        <v>1271424.4781393441</v>
      </c>
      <c r="AN17" s="69">
        <f t="shared" si="12"/>
        <v>5361291.9353281893</v>
      </c>
      <c r="AO17" s="69">
        <f t="shared" si="13"/>
        <v>6836749.6447094129</v>
      </c>
      <c r="AP17" s="69">
        <f t="shared" si="23"/>
        <v>13469466.058176946</v>
      </c>
      <c r="AQ17" s="70">
        <f t="shared" si="24"/>
        <v>1.9963753833584755E-3</v>
      </c>
    </row>
    <row r="18" spans="1:43" ht="14.25">
      <c r="A18" s="7" t="s">
        <v>11</v>
      </c>
      <c r="B18" s="57">
        <v>4380370</v>
      </c>
      <c r="C18" s="57">
        <v>5594177</v>
      </c>
      <c r="D18" s="66">
        <f t="shared" si="0"/>
        <v>1.2771014777290504</v>
      </c>
      <c r="E18" s="67">
        <f t="shared" si="14"/>
        <v>7144331.713377866</v>
      </c>
      <c r="F18" s="146">
        <f t="shared" si="1"/>
        <v>3.7019217274694102E-3</v>
      </c>
      <c r="G18" s="54">
        <v>7855</v>
      </c>
      <c r="H18" s="130">
        <f t="shared" si="2"/>
        <v>1.6879920265746463E-3</v>
      </c>
      <c r="I18" s="56">
        <f t="shared" si="15"/>
        <v>1.4347932225884494E-3</v>
      </c>
      <c r="J18" s="57">
        <v>1006.89</v>
      </c>
      <c r="K18" s="127">
        <f t="shared" si="3"/>
        <v>1.5678726331023254E-2</v>
      </c>
      <c r="L18" s="58">
        <f t="shared" si="16"/>
        <v>2.3518089496534882E-3</v>
      </c>
      <c r="M18" s="146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6">
        <f t="shared" si="10"/>
        <v>8.4664590097587207E-3</v>
      </c>
      <c r="AM18" s="68">
        <f t="shared" si="11"/>
        <v>12488360.023327194</v>
      </c>
      <c r="AN18" s="69">
        <f t="shared" si="12"/>
        <v>6387013.917822076</v>
      </c>
      <c r="AO18" s="69">
        <f t="shared" si="13"/>
        <v>14280716.344168415</v>
      </c>
      <c r="AP18" s="69">
        <f t="shared" si="23"/>
        <v>33156090.285317689</v>
      </c>
      <c r="AQ18" s="70">
        <f t="shared" si="24"/>
        <v>4.9142261592348699E-3</v>
      </c>
    </row>
    <row r="19" spans="1:43" ht="14.25">
      <c r="A19" s="7" t="s">
        <v>12</v>
      </c>
      <c r="B19" s="57">
        <v>3975546</v>
      </c>
      <c r="C19" s="57">
        <v>1434848</v>
      </c>
      <c r="D19" s="66">
        <f t="shared" si="0"/>
        <v>0.36091847509750863</v>
      </c>
      <c r="E19" s="67">
        <f t="shared" si="14"/>
        <v>517863.15215671004</v>
      </c>
      <c r="F19" s="146">
        <f t="shared" si="1"/>
        <v>2.6833704421015962E-4</v>
      </c>
      <c r="G19" s="54">
        <v>10864</v>
      </c>
      <c r="H19" s="130">
        <f t="shared" si="2"/>
        <v>2.3346079410193452E-3</v>
      </c>
      <c r="I19" s="56">
        <f t="shared" si="15"/>
        <v>1.9844167498664434E-3</v>
      </c>
      <c r="J19" s="57">
        <v>4292.05</v>
      </c>
      <c r="K19" s="127">
        <f t="shared" si="3"/>
        <v>6.6833395255756198E-2</v>
      </c>
      <c r="L19" s="58">
        <f t="shared" si="16"/>
        <v>1.002500928836343E-2</v>
      </c>
      <c r="M19" s="146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6">
        <f t="shared" si="10"/>
        <v>1.5865661602731191E-2</v>
      </c>
      <c r="AM19" s="68">
        <f t="shared" si="11"/>
        <v>905229.73266177205</v>
      </c>
      <c r="AN19" s="69">
        <f t="shared" si="12"/>
        <v>20256781.082923904</v>
      </c>
      <c r="AO19" s="69">
        <f t="shared" si="13"/>
        <v>26761248.439284123</v>
      </c>
      <c r="AP19" s="69">
        <f t="shared" si="23"/>
        <v>47923259.254869804</v>
      </c>
      <c r="AQ19" s="70">
        <f t="shared" si="24"/>
        <v>7.1029404323453456E-3</v>
      </c>
    </row>
    <row r="20" spans="1:43" ht="14.25">
      <c r="A20" s="7" t="s">
        <v>13</v>
      </c>
      <c r="B20" s="57">
        <v>34819152</v>
      </c>
      <c r="C20" s="57">
        <v>12542027</v>
      </c>
      <c r="D20" s="66">
        <f t="shared" si="0"/>
        <v>0.36020483784326512</v>
      </c>
      <c r="E20" s="67">
        <f t="shared" si="14"/>
        <v>4517698.8017608533</v>
      </c>
      <c r="F20" s="146">
        <f t="shared" si="1"/>
        <v>2.3409001742017064E-3</v>
      </c>
      <c r="G20" s="54">
        <v>24526</v>
      </c>
      <c r="H20" s="130">
        <f t="shared" si="2"/>
        <v>5.2704891717084371E-3</v>
      </c>
      <c r="I20" s="56">
        <f t="shared" si="15"/>
        <v>4.4799157959521715E-3</v>
      </c>
      <c r="J20" s="57">
        <v>146.56</v>
      </c>
      <c r="K20" s="127">
        <f t="shared" si="3"/>
        <v>2.2821501167702212E-3</v>
      </c>
      <c r="L20" s="58">
        <f t="shared" si="16"/>
        <v>3.4232251751553319E-4</v>
      </c>
      <c r="M20" s="146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6">
        <f t="shared" si="10"/>
        <v>3.1037677644834673E-3</v>
      </c>
      <c r="AM20" s="68">
        <f t="shared" si="11"/>
        <v>7896980.6241917154</v>
      </c>
      <c r="AN20" s="69">
        <f t="shared" si="12"/>
        <v>8133862.9785176162</v>
      </c>
      <c r="AO20" s="69">
        <f t="shared" si="13"/>
        <v>5235249.7061254028</v>
      </c>
      <c r="AP20" s="69">
        <f t="shared" si="23"/>
        <v>21266093.308834732</v>
      </c>
      <c r="AQ20" s="70">
        <f t="shared" si="24"/>
        <v>3.1519516065886453E-3</v>
      </c>
    </row>
    <row r="21" spans="1:43" ht="14.25">
      <c r="A21" s="7" t="s">
        <v>14</v>
      </c>
      <c r="B21" s="57">
        <v>5611362</v>
      </c>
      <c r="C21" s="57">
        <v>637894</v>
      </c>
      <c r="D21" s="66">
        <f t="shared" si="0"/>
        <v>0.11367899629359146</v>
      </c>
      <c r="E21" s="67">
        <f t="shared" si="14"/>
        <v>72515.149661704228</v>
      </c>
      <c r="F21" s="146">
        <f t="shared" si="1"/>
        <v>3.7574600238772643E-5</v>
      </c>
      <c r="G21" s="54">
        <v>35445</v>
      </c>
      <c r="H21" s="130">
        <f t="shared" si="2"/>
        <v>7.6169162803231489E-3</v>
      </c>
      <c r="I21" s="56">
        <f t="shared" si="15"/>
        <v>6.4743788382746765E-3</v>
      </c>
      <c r="J21" s="57">
        <v>5091.18</v>
      </c>
      <c r="K21" s="127">
        <f t="shared" si="3"/>
        <v>7.9276999396139566E-2</v>
      </c>
      <c r="L21" s="58">
        <f t="shared" si="16"/>
        <v>1.1891549909420934E-2</v>
      </c>
      <c r="M21" s="146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6">
        <f t="shared" si="10"/>
        <v>7.6653090462183035E-2</v>
      </c>
      <c r="AM21" s="68">
        <f t="shared" si="11"/>
        <v>126757.17372208167</v>
      </c>
      <c r="AN21" s="69">
        <f t="shared" si="12"/>
        <v>30978549.419626109</v>
      </c>
      <c r="AO21" s="69">
        <f t="shared" si="13"/>
        <v>129293845.34107763</v>
      </c>
      <c r="AP21" s="69">
        <f t="shared" si="23"/>
        <v>160399151.93442583</v>
      </c>
      <c r="AQ21" s="70">
        <f t="shared" si="24"/>
        <v>2.3773542102589047E-2</v>
      </c>
    </row>
    <row r="22" spans="1:43" ht="14.25">
      <c r="A22" s="7" t="s">
        <v>15</v>
      </c>
      <c r="B22" s="57">
        <v>1345912</v>
      </c>
      <c r="C22" s="57">
        <v>290883</v>
      </c>
      <c r="D22" s="66">
        <f t="shared" si="0"/>
        <v>0.21612334238791242</v>
      </c>
      <c r="E22" s="67">
        <f t="shared" si="14"/>
        <v>62866.606203823132</v>
      </c>
      <c r="F22" s="146">
        <f t="shared" si="1"/>
        <v>3.2575090963709152E-5</v>
      </c>
      <c r="G22" s="54">
        <v>1716</v>
      </c>
      <c r="H22" s="130">
        <f t="shared" si="2"/>
        <v>3.6875802897544147E-4</v>
      </c>
      <c r="I22" s="56">
        <f t="shared" si="15"/>
        <v>3.1344432462912525E-4</v>
      </c>
      <c r="J22" s="57">
        <v>720.74</v>
      </c>
      <c r="K22" s="127">
        <f t="shared" si="3"/>
        <v>1.1222959028117967E-2</v>
      </c>
      <c r="L22" s="58">
        <f t="shared" si="16"/>
        <v>1.683443854217695E-3</v>
      </c>
      <c r="M22" s="146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6">
        <f t="shared" si="10"/>
        <v>1.0033256295573299E-2</v>
      </c>
      <c r="AM22" s="68">
        <f t="shared" si="11"/>
        <v>109891.42766817019</v>
      </c>
      <c r="AN22" s="69">
        <f t="shared" si="12"/>
        <v>3368231.4672834128</v>
      </c>
      <c r="AO22" s="69">
        <f t="shared" si="13"/>
        <v>16923496.233817771</v>
      </c>
      <c r="AP22" s="69">
        <f t="shared" si="23"/>
        <v>20401619.128769353</v>
      </c>
      <c r="AQ22" s="70">
        <f t="shared" si="24"/>
        <v>3.0238236640868837E-3</v>
      </c>
    </row>
    <row r="23" spans="1:43" ht="14.25">
      <c r="A23" s="7" t="s">
        <v>16</v>
      </c>
      <c r="B23" s="57">
        <v>1830199</v>
      </c>
      <c r="C23" s="57">
        <v>471485</v>
      </c>
      <c r="D23" s="66">
        <f t="shared" si="0"/>
        <v>0.25761406273306892</v>
      </c>
      <c r="E23" s="67">
        <f t="shared" si="14"/>
        <v>121461.16636770099</v>
      </c>
      <c r="F23" s="146">
        <f t="shared" si="1"/>
        <v>6.2936569697402502E-5</v>
      </c>
      <c r="G23" s="54">
        <v>3345</v>
      </c>
      <c r="H23" s="130">
        <f t="shared" si="2"/>
        <v>7.1882028375457561E-4</v>
      </c>
      <c r="I23" s="56">
        <f t="shared" si="15"/>
        <v>6.1099724119138929E-4</v>
      </c>
      <c r="J23" s="57">
        <v>615.78</v>
      </c>
      <c r="K23" s="127">
        <f t="shared" si="3"/>
        <v>9.5885807785532663E-3</v>
      </c>
      <c r="L23" s="58">
        <f t="shared" si="16"/>
        <v>1.4382871167829899E-3</v>
      </c>
      <c r="M23" s="146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6">
        <f t="shared" si="10"/>
        <v>2.4273538769986279E-3</v>
      </c>
      <c r="AM23" s="68">
        <f t="shared" si="11"/>
        <v>212315.27808440995</v>
      </c>
      <c r="AN23" s="69">
        <f t="shared" si="12"/>
        <v>3456610.2063497026</v>
      </c>
      <c r="AO23" s="69">
        <f t="shared" si="13"/>
        <v>4094315.2437612461</v>
      </c>
      <c r="AP23" s="69">
        <f t="shared" si="23"/>
        <v>7763240.7281953581</v>
      </c>
      <c r="AQ23" s="70">
        <f t="shared" si="24"/>
        <v>1.1506278435919528E-3</v>
      </c>
    </row>
    <row r="24" spans="1:43" ht="14.25">
      <c r="A24" s="7" t="s">
        <v>17</v>
      </c>
      <c r="B24" s="57">
        <v>9105746</v>
      </c>
      <c r="C24" s="57">
        <v>892233</v>
      </c>
      <c r="D24" s="66">
        <f t="shared" si="0"/>
        <v>9.7985711439787584E-2</v>
      </c>
      <c r="E24" s="67">
        <f t="shared" si="14"/>
        <v>87426.085275056001</v>
      </c>
      <c r="F24" s="146">
        <f t="shared" si="1"/>
        <v>4.5300881539597907E-5</v>
      </c>
      <c r="G24" s="54">
        <v>39991</v>
      </c>
      <c r="H24" s="130">
        <f t="shared" si="2"/>
        <v>8.5938242055692785E-3</v>
      </c>
      <c r="I24" s="56">
        <f t="shared" si="15"/>
        <v>7.3047505747338868E-3</v>
      </c>
      <c r="J24" s="57">
        <v>7010.79</v>
      </c>
      <c r="K24" s="127">
        <f t="shared" si="3"/>
        <v>0.1091680896366778</v>
      </c>
      <c r="L24" s="58">
        <f t="shared" si="16"/>
        <v>1.637521344550167E-2</v>
      </c>
      <c r="M24" s="146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6">
        <f t="shared" si="10"/>
        <v>4.6780203077559736E-2</v>
      </c>
      <c r="AM24" s="68">
        <f t="shared" si="11"/>
        <v>152821.63149011912</v>
      </c>
      <c r="AN24" s="69">
        <f t="shared" si="12"/>
        <v>39941946.074895732</v>
      </c>
      <c r="AO24" s="69">
        <f t="shared" si="13"/>
        <v>78906046.778612271</v>
      </c>
      <c r="AP24" s="69">
        <f t="shared" si="23"/>
        <v>119000814.48499812</v>
      </c>
      <c r="AQ24" s="70">
        <f t="shared" si="24"/>
        <v>1.7637692215218621E-2</v>
      </c>
    </row>
    <row r="25" spans="1:43" ht="14.25">
      <c r="A25" s="7" t="s">
        <v>18</v>
      </c>
      <c r="B25" s="57">
        <v>369597244</v>
      </c>
      <c r="C25" s="57">
        <v>74155651.00999999</v>
      </c>
      <c r="D25" s="66">
        <f t="shared" si="0"/>
        <v>0.20063908000894073</v>
      </c>
      <c r="E25" s="67">
        <f t="shared" si="14"/>
        <v>14878521.596110474</v>
      </c>
      <c r="F25" s="146">
        <f t="shared" si="1"/>
        <v>7.7094855864723848E-3</v>
      </c>
      <c r="G25" s="54">
        <v>143668</v>
      </c>
      <c r="H25" s="130">
        <f t="shared" si="2"/>
        <v>3.0873384910748092E-2</v>
      </c>
      <c r="I25" s="56">
        <f t="shared" si="15"/>
        <v>2.6242377174135877E-2</v>
      </c>
      <c r="J25" s="57">
        <v>1040.01</v>
      </c>
      <c r="K25" s="127">
        <f t="shared" si="3"/>
        <v>1.6194452394529189E-2</v>
      </c>
      <c r="L25" s="58">
        <f t="shared" si="16"/>
        <v>2.4291678591793781E-3</v>
      </c>
      <c r="M25" s="146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6">
        <f t="shared" si="10"/>
        <v>2.7268078429431852E-2</v>
      </c>
      <c r="AM25" s="68">
        <f t="shared" si="11"/>
        <v>26007797.756527394</v>
      </c>
      <c r="AN25" s="69">
        <f t="shared" si="12"/>
        <v>48361446.184039868</v>
      </c>
      <c r="AO25" s="69">
        <f t="shared" si="13"/>
        <v>45994162.713409401</v>
      </c>
      <c r="AP25" s="69">
        <f t="shared" si="23"/>
        <v>120363406.65397665</v>
      </c>
      <c r="AQ25" s="70">
        <f t="shared" si="24"/>
        <v>1.7839648658922964E-2</v>
      </c>
    </row>
    <row r="26" spans="1:43" ht="14.25">
      <c r="A26" s="7" t="s">
        <v>19</v>
      </c>
      <c r="B26" s="57">
        <v>4099290</v>
      </c>
      <c r="C26" s="57">
        <v>1274026</v>
      </c>
      <c r="D26" s="66">
        <f t="shared" si="0"/>
        <v>0.31079186883582277</v>
      </c>
      <c r="E26" s="67">
        <f t="shared" si="14"/>
        <v>395956.92148542794</v>
      </c>
      <c r="F26" s="146">
        <f t="shared" si="1"/>
        <v>2.0516985907080297E-4</v>
      </c>
      <c r="G26" s="54">
        <v>5527</v>
      </c>
      <c r="H26" s="130">
        <f t="shared" si="2"/>
        <v>1.1877188963562151E-3</v>
      </c>
      <c r="I26" s="56">
        <f t="shared" si="15"/>
        <v>1.0095610619027828E-3</v>
      </c>
      <c r="J26" s="57">
        <v>1894.8</v>
      </c>
      <c r="K26" s="127">
        <f t="shared" si="3"/>
        <v>2.9504762836082252E-2</v>
      </c>
      <c r="L26" s="58">
        <f t="shared" si="16"/>
        <v>4.425714425412338E-3</v>
      </c>
      <c r="M26" s="146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6">
        <f t="shared" si="10"/>
        <v>5.0795958724273293E-3</v>
      </c>
      <c r="AM26" s="68">
        <f t="shared" si="11"/>
        <v>692136.47792683169</v>
      </c>
      <c r="AN26" s="69">
        <f t="shared" si="12"/>
        <v>9167897.3933839444</v>
      </c>
      <c r="AO26" s="69">
        <f t="shared" si="13"/>
        <v>8567958.3062448036</v>
      </c>
      <c r="AP26" s="69">
        <f t="shared" si="23"/>
        <v>18427992.17755558</v>
      </c>
      <c r="AQ26" s="70">
        <f t="shared" si="24"/>
        <v>2.7313027694710135E-3</v>
      </c>
    </row>
    <row r="27" spans="1:43" ht="14.25">
      <c r="A27" s="7" t="s">
        <v>20</v>
      </c>
      <c r="B27" s="57">
        <v>366527493</v>
      </c>
      <c r="C27" s="57">
        <v>127647607.33</v>
      </c>
      <c r="D27" s="66">
        <f t="shared" si="0"/>
        <v>0.34826202609035933</v>
      </c>
      <c r="E27" s="67">
        <f t="shared" si="14"/>
        <v>44454814.354332402</v>
      </c>
      <c r="F27" s="146">
        <f t="shared" si="1"/>
        <v>2.3034798739924922E-2</v>
      </c>
      <c r="G27" s="54">
        <v>357937</v>
      </c>
      <c r="H27" s="130">
        <f t="shared" si="2"/>
        <v>7.6918498028777746E-2</v>
      </c>
      <c r="I27" s="56">
        <f t="shared" si="15"/>
        <v>6.5380723324461085E-2</v>
      </c>
      <c r="J27" s="57">
        <v>151.27000000000001</v>
      </c>
      <c r="K27" s="127">
        <f t="shared" si="3"/>
        <v>2.3554915950043079E-3</v>
      </c>
      <c r="L27" s="58">
        <f t="shared" si="16"/>
        <v>3.5332373925064616E-4</v>
      </c>
      <c r="M27" s="146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6">
        <f t="shared" si="10"/>
        <v>5.9814059808863618E-2</v>
      </c>
      <c r="AM27" s="68">
        <f t="shared" si="11"/>
        <v>77707439.785797879</v>
      </c>
      <c r="AN27" s="69">
        <f t="shared" si="12"/>
        <v>110876256.43602285</v>
      </c>
      <c r="AO27" s="69">
        <f t="shared" si="13"/>
        <v>100890776.24293</v>
      </c>
      <c r="AP27" s="69">
        <f t="shared" si="23"/>
        <v>289474472.46475071</v>
      </c>
      <c r="AQ27" s="70">
        <f t="shared" si="24"/>
        <v>4.2904426088106296E-2</v>
      </c>
    </row>
    <row r="28" spans="1:43" ht="14.25">
      <c r="A28" s="7" t="s">
        <v>21</v>
      </c>
      <c r="B28" s="57">
        <v>12886730</v>
      </c>
      <c r="C28" s="57">
        <v>4150430.84</v>
      </c>
      <c r="D28" s="66">
        <f t="shared" si="0"/>
        <v>0.32207013260928102</v>
      </c>
      <c r="E28" s="67">
        <f t="shared" si="14"/>
        <v>1336729.8110244495</v>
      </c>
      <c r="F28" s="146">
        <f t="shared" si="1"/>
        <v>6.9264268929750388E-4</v>
      </c>
      <c r="G28" s="54">
        <v>14437</v>
      </c>
      <c r="H28" s="130">
        <f t="shared" si="2"/>
        <v>3.1024240468056226E-3</v>
      </c>
      <c r="I28" s="56">
        <f t="shared" si="15"/>
        <v>2.637060439784779E-3</v>
      </c>
      <c r="J28" s="57">
        <v>2479.16</v>
      </c>
      <c r="K28" s="127">
        <f t="shared" si="3"/>
        <v>3.8604088997625963E-2</v>
      </c>
      <c r="L28" s="58">
        <f t="shared" si="16"/>
        <v>5.7906133496438946E-3</v>
      </c>
      <c r="M28" s="146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6">
        <f t="shared" si="10"/>
        <v>1.5897883330101534E-2</v>
      </c>
      <c r="AM28" s="68">
        <f t="shared" si="11"/>
        <v>2336616.4679515804</v>
      </c>
      <c r="AN28" s="69">
        <f t="shared" si="12"/>
        <v>14215295.755792441</v>
      </c>
      <c r="AO28" s="69">
        <f t="shared" si="13"/>
        <v>26815598.120557558</v>
      </c>
      <c r="AP28" s="69">
        <f t="shared" si="23"/>
        <v>43367510.344301581</v>
      </c>
      <c r="AQ28" s="70">
        <f t="shared" si="24"/>
        <v>6.4277106245313031E-3</v>
      </c>
    </row>
    <row r="29" spans="1:43" ht="14.25">
      <c r="A29" s="7" t="s">
        <v>22</v>
      </c>
      <c r="B29" s="57">
        <v>1016075</v>
      </c>
      <c r="C29" s="57">
        <v>221868</v>
      </c>
      <c r="D29" s="66">
        <f t="shared" si="0"/>
        <v>0.21835789680879855</v>
      </c>
      <c r="E29" s="67">
        <f t="shared" si="14"/>
        <v>48446.629849174518</v>
      </c>
      <c r="F29" s="146">
        <f t="shared" si="1"/>
        <v>2.5103206129902942E-5</v>
      </c>
      <c r="G29" s="54">
        <v>1277</v>
      </c>
      <c r="H29" s="130">
        <f t="shared" si="2"/>
        <v>2.7441958216878717E-4</v>
      </c>
      <c r="I29" s="56">
        <f t="shared" si="15"/>
        <v>2.3325664484346909E-4</v>
      </c>
      <c r="J29" s="57">
        <v>388.05</v>
      </c>
      <c r="K29" s="127">
        <f t="shared" si="3"/>
        <v>6.0424969487765032E-3</v>
      </c>
      <c r="L29" s="58">
        <f t="shared" si="16"/>
        <v>9.0637454231647541E-4</v>
      </c>
      <c r="M29" s="146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6">
        <f t="shared" si="10"/>
        <v>9.7205213352830283E-4</v>
      </c>
      <c r="AM29" s="68">
        <f t="shared" si="11"/>
        <v>84685.171370256256</v>
      </c>
      <c r="AN29" s="69">
        <f t="shared" si="12"/>
        <v>1922261.6801239171</v>
      </c>
      <c r="AO29" s="69">
        <f t="shared" si="13"/>
        <v>1639599.3619836841</v>
      </c>
      <c r="AP29" s="69">
        <f t="shared" si="23"/>
        <v>3646546.2134778574</v>
      </c>
      <c r="AQ29" s="70">
        <f t="shared" si="24"/>
        <v>5.4047243323701328E-4</v>
      </c>
    </row>
    <row r="30" spans="1:43" ht="14.25">
      <c r="A30" s="7" t="s">
        <v>23</v>
      </c>
      <c r="B30" s="57">
        <v>1153078</v>
      </c>
      <c r="C30" s="57">
        <v>194827</v>
      </c>
      <c r="D30" s="66">
        <f t="shared" si="0"/>
        <v>0.16896255066873186</v>
      </c>
      <c r="E30" s="67">
        <f t="shared" si="14"/>
        <v>32918.466859137021</v>
      </c>
      <c r="F30" s="146">
        <f t="shared" si="1"/>
        <v>1.7057101012349895E-5</v>
      </c>
      <c r="G30" s="54">
        <v>5942</v>
      </c>
      <c r="H30" s="130">
        <f t="shared" si="2"/>
        <v>1.2768998882121639E-3</v>
      </c>
      <c r="I30" s="56">
        <f t="shared" si="15"/>
        <v>1.0853649049803393E-3</v>
      </c>
      <c r="J30" s="57">
        <v>1314.52</v>
      </c>
      <c r="K30" s="127">
        <f t="shared" si="3"/>
        <v>2.0468968146129852E-2</v>
      </c>
      <c r="L30" s="58">
        <f t="shared" si="16"/>
        <v>3.0703452219194775E-3</v>
      </c>
      <c r="M30" s="146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6">
        <f t="shared" si="10"/>
        <v>1.6702901369743402E-2</v>
      </c>
      <c r="AM30" s="68">
        <f t="shared" si="11"/>
        <v>57541.794256708643</v>
      </c>
      <c r="AN30" s="69">
        <f t="shared" si="12"/>
        <v>7009603.1248057373</v>
      </c>
      <c r="AO30" s="69">
        <f t="shared" si="13"/>
        <v>28173454.369883645</v>
      </c>
      <c r="AP30" s="69">
        <f t="shared" si="23"/>
        <v>35240599.288946092</v>
      </c>
      <c r="AQ30" s="70">
        <f t="shared" si="24"/>
        <v>5.223181424666979E-3</v>
      </c>
    </row>
    <row r="31" spans="1:43" ht="14.25">
      <c r="A31" s="7" t="s">
        <v>24</v>
      </c>
      <c r="B31" s="57">
        <v>50701386</v>
      </c>
      <c r="C31" s="57">
        <v>9853275</v>
      </c>
      <c r="D31" s="66">
        <f t="shared" si="0"/>
        <v>0.19433936184703116</v>
      </c>
      <c r="E31" s="67">
        <f t="shared" si="14"/>
        <v>1914879.1756033059</v>
      </c>
      <c r="F31" s="146">
        <f t="shared" si="1"/>
        <v>9.922177622815069E-4</v>
      </c>
      <c r="G31" s="54">
        <v>55213</v>
      </c>
      <c r="H31" s="130">
        <f t="shared" si="2"/>
        <v>1.1864940008054225E-2</v>
      </c>
      <c r="I31" s="56">
        <f t="shared" si="15"/>
        <v>1.0085199006846091E-2</v>
      </c>
      <c r="J31" s="57">
        <v>184.87</v>
      </c>
      <c r="K31" s="127">
        <f t="shared" si="3"/>
        <v>2.8786919492856905E-3</v>
      </c>
      <c r="L31" s="58">
        <f t="shared" si="16"/>
        <v>4.3180379239285356E-4</v>
      </c>
      <c r="M31" s="146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6">
        <f t="shared" si="10"/>
        <v>5.7548687858912165E-3</v>
      </c>
      <c r="AM31" s="68">
        <f t="shared" si="11"/>
        <v>3347227.0753228473</v>
      </c>
      <c r="AN31" s="69">
        <f t="shared" si="12"/>
        <v>17739450.884205807</v>
      </c>
      <c r="AO31" s="69">
        <f t="shared" si="13"/>
        <v>9706968.2419171631</v>
      </c>
      <c r="AP31" s="69">
        <f t="shared" si="23"/>
        <v>30793646.201445818</v>
      </c>
      <c r="AQ31" s="70">
        <f t="shared" si="24"/>
        <v>4.5640767774232927E-3</v>
      </c>
    </row>
    <row r="32" spans="1:43" ht="14.25">
      <c r="A32" s="7" t="s">
        <v>25</v>
      </c>
      <c r="B32" s="57">
        <v>443025120</v>
      </c>
      <c r="C32" s="57">
        <v>228201604.11000001</v>
      </c>
      <c r="D32" s="66">
        <f t="shared" si="0"/>
        <v>0.51509856621674188</v>
      </c>
      <c r="E32" s="67">
        <f t="shared" si="14"/>
        <v>117546319.08542156</v>
      </c>
      <c r="F32" s="146">
        <f t="shared" si="1"/>
        <v>6.0908044315965151E-2</v>
      </c>
      <c r="G32" s="54">
        <v>678006</v>
      </c>
      <c r="H32" s="130">
        <f t="shared" si="2"/>
        <v>0.14569939172116736</v>
      </c>
      <c r="I32" s="56">
        <f t="shared" si="15"/>
        <v>0.12384448296299225</v>
      </c>
      <c r="J32" s="57">
        <v>117.79</v>
      </c>
      <c r="K32" s="127">
        <f t="shared" si="3"/>
        <v>1.8341598134167874E-3</v>
      </c>
      <c r="L32" s="58">
        <f t="shared" si="16"/>
        <v>2.7512397201251811E-4</v>
      </c>
      <c r="M32" s="146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6">
        <f t="shared" si="10"/>
        <v>6.7906130548090318E-2</v>
      </c>
      <c r="AM32" s="68">
        <f t="shared" si="11"/>
        <v>205472087.67012638</v>
      </c>
      <c r="AN32" s="69">
        <f t="shared" si="12"/>
        <v>209357524.47929177</v>
      </c>
      <c r="AO32" s="69">
        <f t="shared" si="13"/>
        <v>114539996.85932261</v>
      </c>
      <c r="AP32" s="69">
        <f t="shared" si="23"/>
        <v>529369609.00874072</v>
      </c>
      <c r="AQ32" s="70">
        <f t="shared" si="24"/>
        <v>7.8460456528756328E-2</v>
      </c>
    </row>
    <row r="33" spans="1:43" ht="14.25">
      <c r="A33" s="7" t="s">
        <v>26</v>
      </c>
      <c r="B33" s="57">
        <v>795895</v>
      </c>
      <c r="C33" s="57">
        <v>207054</v>
      </c>
      <c r="D33" s="66">
        <f t="shared" si="0"/>
        <v>0.26015240703861692</v>
      </c>
      <c r="E33" s="67">
        <f t="shared" si="14"/>
        <v>53865.596486973787</v>
      </c>
      <c r="F33" s="146">
        <f t="shared" si="1"/>
        <v>2.7911109113933933E-5</v>
      </c>
      <c r="G33" s="54">
        <v>2030</v>
      </c>
      <c r="H33" s="130">
        <f t="shared" si="2"/>
        <v>4.3623473124717146E-4</v>
      </c>
      <c r="I33" s="56">
        <f t="shared" si="15"/>
        <v>3.7079952156009573E-4</v>
      </c>
      <c r="J33" s="57">
        <v>497.27</v>
      </c>
      <c r="K33" s="127">
        <f t="shared" si="3"/>
        <v>7.743209528973307E-3</v>
      </c>
      <c r="L33" s="58">
        <f t="shared" si="16"/>
        <v>1.1614814293459961E-3</v>
      </c>
      <c r="M33" s="146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6">
        <f t="shared" si="10"/>
        <v>3.9785184367690171E-3</v>
      </c>
      <c r="AM33" s="68">
        <f t="shared" si="11"/>
        <v>94157.576773901717</v>
      </c>
      <c r="AN33" s="69">
        <f t="shared" si="12"/>
        <v>2584559.8017117367</v>
      </c>
      <c r="AO33" s="69">
        <f t="shared" si="13"/>
        <v>6710726.7867303872</v>
      </c>
      <c r="AP33" s="69">
        <f t="shared" si="23"/>
        <v>9389444.165216025</v>
      </c>
      <c r="AQ33" s="70">
        <f t="shared" si="24"/>
        <v>1.391655401475744E-3</v>
      </c>
    </row>
    <row r="34" spans="1:43" ht="14.25">
      <c r="A34" s="7" t="s">
        <v>27</v>
      </c>
      <c r="B34" s="57">
        <v>2090818</v>
      </c>
      <c r="C34" s="57">
        <v>642185</v>
      </c>
      <c r="D34" s="66">
        <f t="shared" si="0"/>
        <v>0.30714533737513261</v>
      </c>
      <c r="E34" s="67">
        <f t="shared" si="14"/>
        <v>197244.12848224954</v>
      </c>
      <c r="F34" s="146">
        <f t="shared" si="1"/>
        <v>1.0220442640939115E-4</v>
      </c>
      <c r="G34" s="54">
        <v>16604</v>
      </c>
      <c r="H34" s="130">
        <f t="shared" si="2"/>
        <v>3.5680992500630713E-3</v>
      </c>
      <c r="I34" s="56">
        <f t="shared" si="15"/>
        <v>3.0328843625536104E-3</v>
      </c>
      <c r="J34" s="57">
        <v>170.12</v>
      </c>
      <c r="K34" s="127">
        <f t="shared" si="3"/>
        <v>2.6490132223318096E-3</v>
      </c>
      <c r="L34" s="58">
        <f t="shared" si="16"/>
        <v>3.9735198334977145E-4</v>
      </c>
      <c r="M34" s="146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6">
        <f t="shared" si="10"/>
        <v>1.0009227049937402E-2</v>
      </c>
      <c r="AM34" s="68">
        <f t="shared" si="11"/>
        <v>344784.61916336493</v>
      </c>
      <c r="AN34" s="69">
        <f t="shared" si="12"/>
        <v>5785917.3702772101</v>
      </c>
      <c r="AO34" s="69">
        <f t="shared" si="13"/>
        <v>16882965.140417915</v>
      </c>
      <c r="AP34" s="69">
        <f t="shared" si="23"/>
        <v>23013667.12985849</v>
      </c>
      <c r="AQ34" s="70">
        <f t="shared" si="24"/>
        <v>3.4109680621648912E-3</v>
      </c>
    </row>
    <row r="35" spans="1:43" ht="14.25">
      <c r="A35" s="7" t="s">
        <v>28</v>
      </c>
      <c r="B35" s="57">
        <v>685187</v>
      </c>
      <c r="C35" s="57">
        <v>360817</v>
      </c>
      <c r="D35" s="66">
        <f t="shared" si="0"/>
        <v>0.52659638901496963</v>
      </c>
      <c r="E35" s="67">
        <f t="shared" si="14"/>
        <v>190004.9292952143</v>
      </c>
      <c r="F35" s="146">
        <f t="shared" si="1"/>
        <v>9.8453347955155439E-5</v>
      </c>
      <c r="G35" s="54">
        <v>1594</v>
      </c>
      <c r="H35" s="130">
        <f t="shared" si="2"/>
        <v>3.425409663093553E-4</v>
      </c>
      <c r="I35" s="56">
        <f t="shared" si="15"/>
        <v>2.9115982136295197E-4</v>
      </c>
      <c r="J35" s="57">
        <v>444.11</v>
      </c>
      <c r="K35" s="127">
        <f t="shared" si="3"/>
        <v>6.9154318255924057E-3</v>
      </c>
      <c r="L35" s="58">
        <f t="shared" si="16"/>
        <v>1.0373147738388607E-3</v>
      </c>
      <c r="M35" s="146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6">
        <f t="shared" si="10"/>
        <v>7.0010598604681555E-3</v>
      </c>
      <c r="AM35" s="68">
        <f t="shared" si="11"/>
        <v>332130.42989063176</v>
      </c>
      <c r="AN35" s="69">
        <f t="shared" si="12"/>
        <v>2240791.4386219541</v>
      </c>
      <c r="AO35" s="69">
        <f t="shared" si="13"/>
        <v>11808968.762578145</v>
      </c>
      <c r="AP35" s="69">
        <f t="shared" si="23"/>
        <v>14381890.63109073</v>
      </c>
      <c r="AQ35" s="70">
        <f t="shared" si="24"/>
        <v>2.1316102878950693E-3</v>
      </c>
    </row>
    <row r="36" spans="1:43" ht="14.25">
      <c r="A36" s="7" t="s">
        <v>29</v>
      </c>
      <c r="B36" s="57">
        <v>1701073</v>
      </c>
      <c r="C36" s="57">
        <v>457885</v>
      </c>
      <c r="D36" s="66">
        <f t="shared" si="0"/>
        <v>0.2691742212121408</v>
      </c>
      <c r="E36" s="67">
        <f t="shared" si="14"/>
        <v>123250.83827972109</v>
      </c>
      <c r="F36" s="146">
        <f t="shared" si="1"/>
        <v>6.3863909804489513E-5</v>
      </c>
      <c r="G36" s="54">
        <v>6914</v>
      </c>
      <c r="H36" s="130">
        <f t="shared" si="2"/>
        <v>1.4857768137157357E-3</v>
      </c>
      <c r="I36" s="56">
        <f t="shared" si="15"/>
        <v>1.2629102916583753E-3</v>
      </c>
      <c r="J36" s="57">
        <v>127.8</v>
      </c>
      <c r="K36" s="127">
        <f t="shared" si="3"/>
        <v>1.990029918963116E-3</v>
      </c>
      <c r="L36" s="58">
        <f t="shared" si="16"/>
        <v>2.9850448784446741E-4</v>
      </c>
      <c r="M36" s="146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6">
        <f t="shared" si="10"/>
        <v>7.7164556114936193E-3</v>
      </c>
      <c r="AM36" s="68">
        <f t="shared" si="11"/>
        <v>215443.64166796146</v>
      </c>
      <c r="AN36" s="69">
        <f t="shared" si="12"/>
        <v>2633701.0001431312</v>
      </c>
      <c r="AO36" s="69">
        <f t="shared" si="13"/>
        <v>13015655.499316877</v>
      </c>
      <c r="AP36" s="69">
        <f t="shared" si="23"/>
        <v>15864800.14112797</v>
      </c>
      <c r="AQ36" s="70">
        <f t="shared" si="24"/>
        <v>2.3513995526513601E-3</v>
      </c>
    </row>
    <row r="37" spans="1:43" ht="14.25">
      <c r="A37" s="7" t="s">
        <v>30</v>
      </c>
      <c r="B37" s="57">
        <v>496551</v>
      </c>
      <c r="C37" s="57">
        <v>71527</v>
      </c>
      <c r="D37" s="66">
        <f t="shared" si="0"/>
        <v>0.14404764062503148</v>
      </c>
      <c r="E37" s="67">
        <f t="shared" si="14"/>
        <v>10303.295590986627</v>
      </c>
      <c r="F37" s="146">
        <f t="shared" si="1"/>
        <v>5.338776997349063E-6</v>
      </c>
      <c r="G37" s="54">
        <v>3558</v>
      </c>
      <c r="H37" s="130">
        <f t="shared" si="2"/>
        <v>7.6459269644208675E-4</v>
      </c>
      <c r="I37" s="56">
        <f t="shared" si="15"/>
        <v>6.4990379197577377E-4</v>
      </c>
      <c r="J37" s="57">
        <v>561.88</v>
      </c>
      <c r="K37" s="127">
        <f t="shared" si="3"/>
        <v>8.7492802102268827E-3</v>
      </c>
      <c r="L37" s="58">
        <f t="shared" si="16"/>
        <v>1.3123920315340324E-3</v>
      </c>
      <c r="M37" s="146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6">
        <f t="shared" si="10"/>
        <v>8.9709204139591381E-3</v>
      </c>
      <c r="AM37" s="68">
        <f t="shared" si="11"/>
        <v>18010.25903179466</v>
      </c>
      <c r="AN37" s="69">
        <f t="shared" si="12"/>
        <v>3309883.1526367376</v>
      </c>
      <c r="AO37" s="69">
        <f t="shared" si="13"/>
        <v>15131611.649001686</v>
      </c>
      <c r="AP37" s="69">
        <f t="shared" si="23"/>
        <v>18459505.060670219</v>
      </c>
      <c r="AQ37" s="70">
        <f t="shared" si="24"/>
        <v>2.7359734478659102E-3</v>
      </c>
    </row>
    <row r="38" spans="1:43" ht="14.25">
      <c r="A38" s="7" t="s">
        <v>31</v>
      </c>
      <c r="B38" s="57">
        <v>177122744</v>
      </c>
      <c r="C38" s="57">
        <v>44506089.519999996</v>
      </c>
      <c r="D38" s="66">
        <f t="shared" si="0"/>
        <v>0.25127258371742478</v>
      </c>
      <c r="E38" s="67">
        <f t="shared" si="14"/>
        <v>11183160.1048494</v>
      </c>
      <c r="F38" s="146">
        <f t="shared" si="1"/>
        <v>5.7946894174007212E-3</v>
      </c>
      <c r="G38" s="54">
        <v>256970</v>
      </c>
      <c r="H38" s="130">
        <f t="shared" si="2"/>
        <v>5.5221299945116084E-2</v>
      </c>
      <c r="I38" s="56">
        <f t="shared" si="15"/>
        <v>4.6938104953348672E-2</v>
      </c>
      <c r="J38" s="57">
        <v>247</v>
      </c>
      <c r="K38" s="127">
        <f t="shared" si="3"/>
        <v>3.8461454615327825E-3</v>
      </c>
      <c r="L38" s="58">
        <f t="shared" si="16"/>
        <v>5.769218192299174E-4</v>
      </c>
      <c r="M38" s="146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6">
        <f t="shared" si="10"/>
        <v>2.8754909790974444E-2</v>
      </c>
      <c r="AM38" s="68">
        <f t="shared" si="11"/>
        <v>19548270.599803571</v>
      </c>
      <c r="AN38" s="69">
        <f t="shared" si="12"/>
        <v>80145503.408525959</v>
      </c>
      <c r="AO38" s="69">
        <f t="shared" si="13"/>
        <v>48502060.867918812</v>
      </c>
      <c r="AP38" s="69">
        <f t="shared" si="23"/>
        <v>148195834.87624833</v>
      </c>
      <c r="AQ38" s="70">
        <f t="shared" si="24"/>
        <v>2.1964828849588613E-2</v>
      </c>
    </row>
    <row r="39" spans="1:43" ht="14.25">
      <c r="A39" s="7" t="s">
        <v>32</v>
      </c>
      <c r="B39" s="57">
        <v>3439722</v>
      </c>
      <c r="C39" s="57">
        <v>1230552</v>
      </c>
      <c r="D39" s="66">
        <f t="shared" si="0"/>
        <v>0.35774751564225249</v>
      </c>
      <c r="E39" s="67">
        <f t="shared" si="14"/>
        <v>440226.92086860508</v>
      </c>
      <c r="F39" s="146">
        <f t="shared" si="1"/>
        <v>2.281088937022389E-4</v>
      </c>
      <c r="G39" s="54">
        <v>5349</v>
      </c>
      <c r="H39" s="130">
        <f t="shared" si="2"/>
        <v>1.1494677721384829E-3</v>
      </c>
      <c r="I39" s="56">
        <f t="shared" si="15"/>
        <v>9.7704760631771043E-4</v>
      </c>
      <c r="J39" s="57">
        <v>3428.68</v>
      </c>
      <c r="K39" s="127">
        <f t="shared" si="3"/>
        <v>5.3389481866591988E-2</v>
      </c>
      <c r="L39" s="58">
        <f t="shared" si="16"/>
        <v>8.0084222799887972E-3</v>
      </c>
      <c r="M39" s="146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6">
        <f t="shared" si="10"/>
        <v>8.3837715003909005E-3</v>
      </c>
      <c r="AM39" s="68">
        <f t="shared" si="11"/>
        <v>769520.85937910271</v>
      </c>
      <c r="AN39" s="69">
        <f t="shared" si="12"/>
        <v>15156152.828178318</v>
      </c>
      <c r="AO39" s="69">
        <f t="shared" si="13"/>
        <v>14141244.002174372</v>
      </c>
      <c r="AP39" s="69">
        <f t="shared" si="23"/>
        <v>30066917.689731792</v>
      </c>
      <c r="AQ39" s="70">
        <f t="shared" si="24"/>
        <v>4.4563647935254701E-3</v>
      </c>
    </row>
    <row r="40" spans="1:43" ht="14.25">
      <c r="A40" s="7" t="s">
        <v>33</v>
      </c>
      <c r="B40" s="57">
        <v>34714201</v>
      </c>
      <c r="C40" s="57">
        <v>10573187</v>
      </c>
      <c r="D40" s="66">
        <f t="shared" ref="D40:D59" si="25">+C40/B40</f>
        <v>0.30457814656313131</v>
      </c>
      <c r="E40" s="67">
        <f t="shared" si="14"/>
        <v>3220361.6997253946</v>
      </c>
      <c r="F40" s="146">
        <f t="shared" ref="F40:F58" si="26">+E40/E$59</f>
        <v>1.6686692926366402E-3</v>
      </c>
      <c r="G40" s="54">
        <v>78669</v>
      </c>
      <c r="H40" s="130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27">
        <f t="shared" ref="K40:K59" si="28">+J40/$J$59</f>
        <v>3.9546316778505917E-2</v>
      </c>
      <c r="L40" s="58">
        <f t="shared" si="16"/>
        <v>5.9319475167758876E-3</v>
      </c>
      <c r="M40" s="146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6">
        <f t="shared" si="10"/>
        <v>4.5537887298726175E-2</v>
      </c>
      <c r="AM40" s="68">
        <f t="shared" ref="AM40:AM58" si="31">+F40*AM$6</f>
        <v>5629222.98753257</v>
      </c>
      <c r="AN40" s="69">
        <f t="shared" ref="AN40:AN58" si="32">+M40*AN$6</f>
        <v>34243551.276106782</v>
      </c>
      <c r="AO40" s="69">
        <f t="shared" ref="AO40:AO58" si="33">+AK40*AO$6</f>
        <v>76810582.874876633</v>
      </c>
      <c r="AP40" s="69">
        <f t="shared" si="23"/>
        <v>116683357.13851598</v>
      </c>
      <c r="AQ40" s="70">
        <f t="shared" si="24"/>
        <v>1.729421053758437E-2</v>
      </c>
    </row>
    <row r="41" spans="1:43" ht="14.25">
      <c r="A41" s="7" t="s">
        <v>34</v>
      </c>
      <c r="B41" s="57">
        <v>1578033</v>
      </c>
      <c r="C41" s="57">
        <v>697553</v>
      </c>
      <c r="D41" s="66">
        <f t="shared" si="25"/>
        <v>0.44203955177109733</v>
      </c>
      <c r="E41" s="67">
        <f t="shared" si="14"/>
        <v>308346.01545658428</v>
      </c>
      <c r="F41" s="146">
        <f t="shared" si="26"/>
        <v>1.5977321042637526E-4</v>
      </c>
      <c r="G41" s="54">
        <v>5488</v>
      </c>
      <c r="H41" s="130">
        <f t="shared" si="27"/>
        <v>1.1793380320613187E-3</v>
      </c>
      <c r="I41" s="56">
        <f t="shared" si="15"/>
        <v>1.0024373272521209E-3</v>
      </c>
      <c r="J41" s="57">
        <v>264.23</v>
      </c>
      <c r="K41" s="127">
        <f t="shared" si="28"/>
        <v>4.114441357493147E-3</v>
      </c>
      <c r="L41" s="58">
        <f t="shared" si="16"/>
        <v>6.1716620362397201E-4</v>
      </c>
      <c r="M41" s="146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6">
        <f t="shared" si="10"/>
        <v>1.3964163617687278E-2</v>
      </c>
      <c r="AM41" s="68">
        <f t="shared" si="31"/>
        <v>538991.77799508895</v>
      </c>
      <c r="AN41" s="69">
        <f t="shared" si="32"/>
        <v>2731850.3033907954</v>
      </c>
      <c r="AO41" s="69">
        <f t="shared" si="33"/>
        <v>23553915.441850312</v>
      </c>
      <c r="AP41" s="69">
        <f t="shared" si="23"/>
        <v>26824757.523236196</v>
      </c>
      <c r="AQ41" s="70">
        <f t="shared" si="24"/>
        <v>3.9758283923540293E-3</v>
      </c>
    </row>
    <row r="42" spans="1:43" ht="14.25">
      <c r="A42" s="7" t="s">
        <v>35</v>
      </c>
      <c r="B42" s="57">
        <v>710682</v>
      </c>
      <c r="C42" s="57">
        <v>262924</v>
      </c>
      <c r="D42" s="66">
        <f t="shared" si="25"/>
        <v>0.36996012281160912</v>
      </c>
      <c r="E42" s="67">
        <f t="shared" si="14"/>
        <v>97271.395330119514</v>
      </c>
      <c r="F42" s="146">
        <f t="shared" si="26"/>
        <v>5.040234780246277E-5</v>
      </c>
      <c r="G42" s="54">
        <v>862</v>
      </c>
      <c r="H42" s="130">
        <f t="shared" si="27"/>
        <v>1.8523859031283833E-4</v>
      </c>
      <c r="I42" s="56">
        <f t="shared" si="15"/>
        <v>1.5745280176591257E-4</v>
      </c>
      <c r="J42" s="57">
        <v>207.92</v>
      </c>
      <c r="K42" s="127">
        <f t="shared" si="28"/>
        <v>3.2376136208983647E-3</v>
      </c>
      <c r="L42" s="58">
        <f t="shared" si="16"/>
        <v>4.8564204313475466E-4</v>
      </c>
      <c r="M42" s="146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6">
        <f t="shared" si="10"/>
        <v>1.4448528707631827E-2</v>
      </c>
      <c r="AM42" s="68">
        <f t="shared" si="31"/>
        <v>170031.32743392413</v>
      </c>
      <c r="AN42" s="69">
        <f t="shared" si="32"/>
        <v>1084733.8954618212</v>
      </c>
      <c r="AO42" s="69">
        <f t="shared" si="33"/>
        <v>24370913.486551512</v>
      </c>
      <c r="AP42" s="69">
        <f t="shared" si="23"/>
        <v>25625678.709447257</v>
      </c>
      <c r="AQ42" s="70">
        <f t="shared" si="24"/>
        <v>3.7981070620343544E-3</v>
      </c>
    </row>
    <row r="43" spans="1:43" ht="14.25">
      <c r="A43" s="7" t="s">
        <v>36</v>
      </c>
      <c r="B43" s="57">
        <v>675385</v>
      </c>
      <c r="C43" s="57">
        <v>85535</v>
      </c>
      <c r="D43" s="66">
        <f t="shared" si="25"/>
        <v>0.12664628323104599</v>
      </c>
      <c r="E43" s="67">
        <f t="shared" si="14"/>
        <v>10832.689836167518</v>
      </c>
      <c r="F43" s="146">
        <f t="shared" si="26"/>
        <v>5.613089016619207E-6</v>
      </c>
      <c r="G43" s="54">
        <v>7095</v>
      </c>
      <c r="H43" s="130">
        <f t="shared" si="27"/>
        <v>1.5246726198023062E-3</v>
      </c>
      <c r="I43" s="56">
        <f t="shared" si="15"/>
        <v>1.2959717268319602E-3</v>
      </c>
      <c r="J43" s="57">
        <v>1006.78</v>
      </c>
      <c r="K43" s="127">
        <f t="shared" si="28"/>
        <v>1.5677013472720547E-2</v>
      </c>
      <c r="L43" s="58">
        <f t="shared" si="16"/>
        <v>2.3515520209080819E-3</v>
      </c>
      <c r="M43" s="146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6">
        <f t="shared" si="10"/>
        <v>1.1843769745889727E-2</v>
      </c>
      <c r="AM43" s="68">
        <f t="shared" si="31"/>
        <v>18935.645225120039</v>
      </c>
      <c r="AN43" s="69">
        <f t="shared" si="32"/>
        <v>6152424.755148978</v>
      </c>
      <c r="AO43" s="69">
        <f t="shared" si="33"/>
        <v>19977361.963453826</v>
      </c>
      <c r="AP43" s="69">
        <f t="shared" si="23"/>
        <v>26148722.363827921</v>
      </c>
      <c r="AQ43" s="70">
        <f t="shared" si="24"/>
        <v>3.875629917915751E-3</v>
      </c>
    </row>
    <row r="44" spans="1:43" ht="14.25">
      <c r="A44" s="7" t="s">
        <v>37</v>
      </c>
      <c r="B44" s="57">
        <v>4108792</v>
      </c>
      <c r="C44" s="57">
        <v>684339</v>
      </c>
      <c r="D44" s="66">
        <f t="shared" si="25"/>
        <v>0.1665547927468706</v>
      </c>
      <c r="E44" s="67">
        <f t="shared" si="14"/>
        <v>113979.94031360067</v>
      </c>
      <c r="F44" s="146">
        <f t="shared" si="26"/>
        <v>5.9060082100119597E-5</v>
      </c>
      <c r="G44" s="54">
        <v>5447</v>
      </c>
      <c r="H44" s="130">
        <f t="shared" si="27"/>
        <v>1.1705273798538634E-3</v>
      </c>
      <c r="I44" s="56">
        <f t="shared" si="15"/>
        <v>9.9494827287578387E-4</v>
      </c>
      <c r="J44" s="57">
        <v>3872.26</v>
      </c>
      <c r="K44" s="127">
        <f t="shared" si="28"/>
        <v>6.0296660829453175E-2</v>
      </c>
      <c r="L44" s="58">
        <f t="shared" si="16"/>
        <v>9.0444991244179752E-3</v>
      </c>
      <c r="M44" s="146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6">
        <f t="shared" si="10"/>
        <v>9.3940765183880247E-3</v>
      </c>
      <c r="AM44" s="68">
        <f t="shared" si="31"/>
        <v>199238.02353804637</v>
      </c>
      <c r="AN44" s="69">
        <f t="shared" si="32"/>
        <v>16933939.013665389</v>
      </c>
      <c r="AO44" s="69">
        <f t="shared" si="33"/>
        <v>15845366.040263359</v>
      </c>
      <c r="AP44" s="69">
        <f t="shared" si="23"/>
        <v>32978543.077466793</v>
      </c>
      <c r="AQ44" s="70">
        <f t="shared" si="24"/>
        <v>4.8879110199705053E-3</v>
      </c>
    </row>
    <row r="45" spans="1:43" ht="14.25">
      <c r="A45" s="7" t="s">
        <v>38</v>
      </c>
      <c r="B45" s="57">
        <v>53027371</v>
      </c>
      <c r="C45" s="57">
        <v>16186491</v>
      </c>
      <c r="D45" s="66">
        <f t="shared" si="25"/>
        <v>0.30524785020928152</v>
      </c>
      <c r="E45" s="67">
        <f t="shared" si="14"/>
        <v>4940891.5801818836</v>
      </c>
      <c r="F45" s="146">
        <f t="shared" si="26"/>
        <v>2.5601826213494821E-3</v>
      </c>
      <c r="G45" s="54">
        <v>59113</v>
      </c>
      <c r="H45" s="130">
        <f t="shared" si="27"/>
        <v>1.2703026437543865E-2</v>
      </c>
      <c r="I45" s="56">
        <f t="shared" si="15"/>
        <v>1.0797572471912285E-2</v>
      </c>
      <c r="J45" s="57">
        <v>1869.3</v>
      </c>
      <c r="K45" s="127">
        <f t="shared" si="28"/>
        <v>2.9107691138636562E-2</v>
      </c>
      <c r="L45" s="58">
        <f t="shared" si="16"/>
        <v>4.3661536707954845E-3</v>
      </c>
      <c r="M45" s="146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6">
        <f t="shared" si="10"/>
        <v>2.8645154357091869E-2</v>
      </c>
      <c r="AM45" s="68">
        <f t="shared" si="31"/>
        <v>8636725.6399918292</v>
      </c>
      <c r="AN45" s="69">
        <f t="shared" si="32"/>
        <v>25577265.715815704</v>
      </c>
      <c r="AO45" s="69">
        <f t="shared" si="33"/>
        <v>48316931.970855527</v>
      </c>
      <c r="AP45" s="69">
        <f t="shared" si="23"/>
        <v>82530923.326663062</v>
      </c>
      <c r="AQ45" s="70">
        <f t="shared" si="24"/>
        <v>1.223231143562465E-2</v>
      </c>
    </row>
    <row r="46" spans="1:43" ht="14.25">
      <c r="A46" s="7" t="s">
        <v>39</v>
      </c>
      <c r="B46" s="57">
        <v>1643953678</v>
      </c>
      <c r="C46" s="57">
        <v>1146404960.6099999</v>
      </c>
      <c r="D46" s="66">
        <f t="shared" si="25"/>
        <v>0.69734626708259351</v>
      </c>
      <c r="E46" s="67">
        <f t="shared" si="14"/>
        <v>799441219.84635103</v>
      </c>
      <c r="F46" s="146">
        <f t="shared" si="26"/>
        <v>0.41424011934415189</v>
      </c>
      <c r="G46" s="54">
        <v>1135550</v>
      </c>
      <c r="H46" s="130">
        <f t="shared" si="27"/>
        <v>0.24402283205306677</v>
      </c>
      <c r="I46" s="56">
        <f t="shared" si="15"/>
        <v>0.20741940724510674</v>
      </c>
      <c r="J46" s="57">
        <v>323.60000000000002</v>
      </c>
      <c r="K46" s="127">
        <f t="shared" si="28"/>
        <v>5.0389176977814112E-3</v>
      </c>
      <c r="L46" s="58">
        <f t="shared" si="16"/>
        <v>7.558376546672117E-4</v>
      </c>
      <c r="M46" s="146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6">
        <f t="shared" si="10"/>
        <v>0.13808866567189929</v>
      </c>
      <c r="AM46" s="68">
        <f t="shared" si="31"/>
        <v>1397430882.4763069</v>
      </c>
      <c r="AN46" s="69">
        <f t="shared" si="32"/>
        <v>351137543.90883029</v>
      </c>
      <c r="AO46" s="69">
        <f t="shared" si="33"/>
        <v>232919696.71525034</v>
      </c>
      <c r="AP46" s="69">
        <f t="shared" si="23"/>
        <v>1981488123.1003873</v>
      </c>
      <c r="AQ46" s="70">
        <f t="shared" si="24"/>
        <v>0.29368603731499415</v>
      </c>
    </row>
    <row r="47" spans="1:43" ht="14.25">
      <c r="A47" s="7" t="s">
        <v>40</v>
      </c>
      <c r="B47" s="57">
        <v>1644701</v>
      </c>
      <c r="C47" s="57">
        <v>507232</v>
      </c>
      <c r="D47" s="66">
        <f t="shared" si="25"/>
        <v>0.30840377673510261</v>
      </c>
      <c r="E47" s="67">
        <f t="shared" si="14"/>
        <v>156432.26448089955</v>
      </c>
      <c r="F47" s="146">
        <f t="shared" si="26"/>
        <v>8.1057266374503598E-5</v>
      </c>
      <c r="G47" s="54">
        <v>1034</v>
      </c>
      <c r="H47" s="130">
        <f t="shared" si="27"/>
        <v>2.2220035079289422E-4</v>
      </c>
      <c r="I47" s="56">
        <f t="shared" si="15"/>
        <v>1.8887029817396008E-4</v>
      </c>
      <c r="J47" s="57">
        <v>1172.6600000000001</v>
      </c>
      <c r="K47" s="127">
        <f t="shared" si="28"/>
        <v>1.8260003793202563E-2</v>
      </c>
      <c r="L47" s="58">
        <f t="shared" si="16"/>
        <v>2.7390005689803842E-3</v>
      </c>
      <c r="M47" s="146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6">
        <f t="shared" si="10"/>
        <v>1.0454268753916371E-3</v>
      </c>
      <c r="AM47" s="68">
        <f t="shared" si="31"/>
        <v>273445.09136434708</v>
      </c>
      <c r="AN47" s="69">
        <f t="shared" si="32"/>
        <v>4938557.3470551968</v>
      </c>
      <c r="AO47" s="69">
        <f t="shared" si="33"/>
        <v>1763363.4851158077</v>
      </c>
      <c r="AP47" s="69">
        <f t="shared" si="23"/>
        <v>6975365.9235353516</v>
      </c>
      <c r="AQ47" s="70">
        <f t="shared" si="24"/>
        <v>1.033853068823747E-3</v>
      </c>
    </row>
    <row r="48" spans="1:43" ht="14.25">
      <c r="A48" s="7" t="s">
        <v>41</v>
      </c>
      <c r="B48" s="57">
        <v>62339071</v>
      </c>
      <c r="C48" s="57">
        <v>13914494.860000001</v>
      </c>
      <c r="D48" s="66">
        <f t="shared" si="25"/>
        <v>0.22320664451351868</v>
      </c>
      <c r="E48" s="67">
        <f t="shared" si="14"/>
        <v>3105807.7078012032</v>
      </c>
      <c r="F48" s="146">
        <f t="shared" si="26"/>
        <v>1.6093117587642357E-3</v>
      </c>
      <c r="G48" s="54">
        <v>20843</v>
      </c>
      <c r="H48" s="130">
        <f t="shared" si="27"/>
        <v>4.4790347307314257E-3</v>
      </c>
      <c r="I48" s="56">
        <f t="shared" si="15"/>
        <v>3.8071795211217117E-3</v>
      </c>
      <c r="J48" s="57">
        <v>308.89</v>
      </c>
      <c r="K48" s="127">
        <f t="shared" si="28"/>
        <v>4.8098618283921504E-3</v>
      </c>
      <c r="L48" s="58">
        <f t="shared" si="16"/>
        <v>7.2147927425882249E-4</v>
      </c>
      <c r="M48" s="146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6">
        <f t="shared" si="10"/>
        <v>7.2872223514353898E-3</v>
      </c>
      <c r="AM48" s="68">
        <f t="shared" si="31"/>
        <v>5428981.516300234</v>
      </c>
      <c r="AN48" s="69">
        <f t="shared" si="32"/>
        <v>7638670.6180008892</v>
      </c>
      <c r="AO48" s="69">
        <f t="shared" si="33"/>
        <v>12291650.525654465</v>
      </c>
      <c r="AP48" s="69">
        <f t="shared" si="23"/>
        <v>25359302.659955587</v>
      </c>
      <c r="AQ48" s="70">
        <f t="shared" si="24"/>
        <v>3.7586261660860982E-3</v>
      </c>
    </row>
    <row r="49" spans="1:43" ht="14.25">
      <c r="A49" s="7" t="s">
        <v>42</v>
      </c>
      <c r="B49" s="57">
        <v>3451857</v>
      </c>
      <c r="C49" s="57">
        <v>745242</v>
      </c>
      <c r="D49" s="66">
        <f t="shared" si="25"/>
        <v>0.21589596556288398</v>
      </c>
      <c r="E49" s="67">
        <f t="shared" si="14"/>
        <v>160894.74116801479</v>
      </c>
      <c r="F49" s="146">
        <f t="shared" si="26"/>
        <v>8.3369552543330854E-5</v>
      </c>
      <c r="G49" s="54">
        <v>5359</v>
      </c>
      <c r="H49" s="130">
        <f t="shared" si="27"/>
        <v>1.1516167117012767E-3</v>
      </c>
      <c r="I49" s="56">
        <f t="shared" si="15"/>
        <v>9.788742049460853E-4</v>
      </c>
      <c r="J49" s="57">
        <v>1341.58</v>
      </c>
      <c r="K49" s="127">
        <f t="shared" si="28"/>
        <v>2.089033128859575E-2</v>
      </c>
      <c r="L49" s="58">
        <f t="shared" si="16"/>
        <v>3.1335496932893623E-3</v>
      </c>
      <c r="M49" s="146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6">
        <f t="shared" si="10"/>
        <v>3.5904404406326856E-3</v>
      </c>
      <c r="AM49" s="68">
        <f t="shared" si="31"/>
        <v>281245.54320507642</v>
      </c>
      <c r="AN49" s="69">
        <f t="shared" si="32"/>
        <v>6936590.5049546082</v>
      </c>
      <c r="AO49" s="69">
        <f t="shared" si="33"/>
        <v>6056140.0491287159</v>
      </c>
      <c r="AP49" s="69">
        <f t="shared" si="23"/>
        <v>13273976.0972884</v>
      </c>
      <c r="AQ49" s="70">
        <f t="shared" si="24"/>
        <v>1.9674008609886981E-3</v>
      </c>
    </row>
    <row r="50" spans="1:43" ht="14.25">
      <c r="A50" s="7" t="s">
        <v>43</v>
      </c>
      <c r="B50" s="57">
        <v>1460042</v>
      </c>
      <c r="C50" s="57">
        <v>536095</v>
      </c>
      <c r="D50" s="66">
        <f t="shared" si="25"/>
        <v>0.36717779351552898</v>
      </c>
      <c r="E50" s="67">
        <f t="shared" si="14"/>
        <v>196842.17921470752</v>
      </c>
      <c r="F50" s="146">
        <f t="shared" si="26"/>
        <v>1.0199615154386833E-4</v>
      </c>
      <c r="G50" s="54">
        <v>2628</v>
      </c>
      <c r="H50" s="130">
        <f t="shared" si="27"/>
        <v>5.6474131710224952E-4</v>
      </c>
      <c r="I50" s="56">
        <f t="shared" si="15"/>
        <v>4.800301195369121E-4</v>
      </c>
      <c r="J50" s="57">
        <v>673.76</v>
      </c>
      <c r="K50" s="127">
        <f t="shared" si="28"/>
        <v>1.0491412818470961E-2</v>
      </c>
      <c r="L50" s="58">
        <f t="shared" si="16"/>
        <v>1.5737119227706442E-3</v>
      </c>
      <c r="M50" s="146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6">
        <f t="shared" si="10"/>
        <v>1.0697237425868811E-2</v>
      </c>
      <c r="AM50" s="68">
        <f t="shared" si="31"/>
        <v>344082.00800733786</v>
      </c>
      <c r="AN50" s="69">
        <f t="shared" si="32"/>
        <v>3464129.1614926462</v>
      </c>
      <c r="AO50" s="69">
        <f t="shared" si="33"/>
        <v>18043459.865449499</v>
      </c>
      <c r="AP50" s="69">
        <f t="shared" si="23"/>
        <v>21851671.034949481</v>
      </c>
      <c r="AQ50" s="70">
        <f t="shared" si="24"/>
        <v>3.2387429428160251E-3</v>
      </c>
    </row>
    <row r="51" spans="1:43" ht="14.25">
      <c r="A51" s="7" t="s">
        <v>44</v>
      </c>
      <c r="B51" s="57">
        <v>17855109</v>
      </c>
      <c r="C51" s="57">
        <v>6777223</v>
      </c>
      <c r="D51" s="66">
        <f t="shared" si="25"/>
        <v>0.37956771924495114</v>
      </c>
      <c r="E51" s="67">
        <f t="shared" si="14"/>
        <v>2572415.0769244255</v>
      </c>
      <c r="F51" s="146">
        <f t="shared" si="26"/>
        <v>1.3329279276751238E-3</v>
      </c>
      <c r="G51" s="54">
        <v>34671</v>
      </c>
      <c r="H51" s="130">
        <f t="shared" si="27"/>
        <v>7.4505883581628971E-3</v>
      </c>
      <c r="I51" s="56">
        <f t="shared" si="15"/>
        <v>6.3330001044384623E-3</v>
      </c>
      <c r="J51" s="57">
        <v>1542.15</v>
      </c>
      <c r="K51" s="127">
        <f t="shared" si="28"/>
        <v>2.4013494831995066E-2</v>
      </c>
      <c r="L51" s="58">
        <f t="shared" si="16"/>
        <v>3.6020242247992596E-3</v>
      </c>
      <c r="M51" s="146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6">
        <f t="shared" si="10"/>
        <v>1.0231743355373026E-2</v>
      </c>
      <c r="AM51" s="68">
        <f t="shared" si="31"/>
        <v>4496606.1066162642</v>
      </c>
      <c r="AN51" s="69">
        <f t="shared" si="32"/>
        <v>16757804.432138776</v>
      </c>
      <c r="AO51" s="69">
        <f t="shared" si="33"/>
        <v>17258292.326933052</v>
      </c>
      <c r="AP51" s="69">
        <f t="shared" si="23"/>
        <v>38512702.865688093</v>
      </c>
      <c r="AQ51" s="70">
        <f t="shared" si="24"/>
        <v>5.7081558849902481E-3</v>
      </c>
    </row>
    <row r="52" spans="1:43" ht="14.25">
      <c r="A52" s="7" t="s">
        <v>45</v>
      </c>
      <c r="B52" s="57">
        <v>281026895</v>
      </c>
      <c r="C52" s="57">
        <v>21565896.16</v>
      </c>
      <c r="D52" s="66">
        <f t="shared" si="25"/>
        <v>7.6739616540972E-2</v>
      </c>
      <c r="E52" s="67">
        <f t="shared" si="14"/>
        <v>1654958.6016808206</v>
      </c>
      <c r="F52" s="146">
        <f t="shared" si="26"/>
        <v>8.5753677900378151E-4</v>
      </c>
      <c r="G52" s="54">
        <v>32660</v>
      </c>
      <c r="H52" s="130">
        <f t="shared" si="27"/>
        <v>7.018436612085034E-3</v>
      </c>
      <c r="I52" s="56">
        <f t="shared" si="15"/>
        <v>5.9656711202722788E-3</v>
      </c>
      <c r="J52" s="57">
        <v>1658.08</v>
      </c>
      <c r="K52" s="127">
        <f t="shared" si="28"/>
        <v>2.5818691768656987E-2</v>
      </c>
      <c r="L52" s="58">
        <f t="shared" si="16"/>
        <v>3.8728037652985478E-3</v>
      </c>
      <c r="M52" s="146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6">
        <f t="shared" si="10"/>
        <v>1.782762420039443E-2</v>
      </c>
      <c r="AM52" s="68">
        <f t="shared" si="31"/>
        <v>2892883.4313210328</v>
      </c>
      <c r="AN52" s="69">
        <f t="shared" si="32"/>
        <v>16594950.608999144</v>
      </c>
      <c r="AO52" s="69">
        <f t="shared" si="33"/>
        <v>30070569.526506279</v>
      </c>
      <c r="AP52" s="69">
        <f t="shared" si="23"/>
        <v>49558403.566826455</v>
      </c>
      <c r="AQ52" s="70">
        <f t="shared" si="24"/>
        <v>7.3452931609932041E-3</v>
      </c>
    </row>
    <row r="53" spans="1:43" ht="14.25">
      <c r="A53" s="7" t="s">
        <v>46</v>
      </c>
      <c r="B53" s="57">
        <v>546007792</v>
      </c>
      <c r="C53" s="57">
        <v>273934217.07000005</v>
      </c>
      <c r="D53" s="66">
        <f t="shared" si="25"/>
        <v>0.50170386042769155</v>
      </c>
      <c r="E53" s="67">
        <f t="shared" si="14"/>
        <v>137433854.20725626</v>
      </c>
      <c r="F53" s="146">
        <f t="shared" si="26"/>
        <v>7.1213010732274235E-2</v>
      </c>
      <c r="G53" s="54">
        <v>443273</v>
      </c>
      <c r="H53" s="130">
        <f t="shared" si="27"/>
        <v>9.5256688681836177E-2</v>
      </c>
      <c r="I53" s="56">
        <f t="shared" si="15"/>
        <v>8.0968185379560742E-2</v>
      </c>
      <c r="J53" s="57">
        <v>60.1</v>
      </c>
      <c r="K53" s="127">
        <f t="shared" si="28"/>
        <v>9.3584349084259205E-4</v>
      </c>
      <c r="L53" s="58">
        <f t="shared" si="16"/>
        <v>1.403765236263888E-4</v>
      </c>
      <c r="M53" s="146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6">
        <f t="shared" si="10"/>
        <v>3.4836648133901124E-2</v>
      </c>
      <c r="AM53" s="68">
        <f t="shared" si="31"/>
        <v>240235688.87763655</v>
      </c>
      <c r="AN53" s="69">
        <f t="shared" si="32"/>
        <v>136809067.90994424</v>
      </c>
      <c r="AO53" s="69">
        <f t="shared" si="33"/>
        <v>58760373.115657896</v>
      </c>
      <c r="AP53" s="69">
        <f t="shared" si="23"/>
        <v>435805129.90323865</v>
      </c>
      <c r="AQ53" s="70">
        <f t="shared" si="24"/>
        <v>6.4592807875409164E-2</v>
      </c>
    </row>
    <row r="54" spans="1:43" ht="14.25">
      <c r="A54" s="7" t="s">
        <v>47</v>
      </c>
      <c r="B54" s="57">
        <v>802588968</v>
      </c>
      <c r="C54" s="57">
        <v>648216317.71000004</v>
      </c>
      <c r="D54" s="66">
        <f t="shared" si="25"/>
        <v>0.80765665060823522</v>
      </c>
      <c r="E54" s="67">
        <f t="shared" si="14"/>
        <v>523536220.03126228</v>
      </c>
      <c r="F54" s="146">
        <f t="shared" si="26"/>
        <v>0.27127661281765986</v>
      </c>
      <c r="G54" s="54">
        <v>122659</v>
      </c>
      <c r="H54" s="130">
        <f t="shared" si="27"/>
        <v>2.6358677783274286E-2</v>
      </c>
      <c r="I54" s="56">
        <f t="shared" si="15"/>
        <v>2.2404876115783144E-2</v>
      </c>
      <c r="J54" s="57">
        <v>72.010000000000005</v>
      </c>
      <c r="K54" s="127">
        <f t="shared" si="28"/>
        <v>1.1212993307084037E-3</v>
      </c>
      <c r="L54" s="58">
        <f t="shared" si="16"/>
        <v>1.6819489960626053E-4</v>
      </c>
      <c r="M54" s="146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6">
        <f t="shared" si="10"/>
        <v>1.4535275481205024E-2</v>
      </c>
      <c r="AM54" s="68">
        <f t="shared" si="31"/>
        <v>915146309.45250511</v>
      </c>
      <c r="AN54" s="69">
        <f t="shared" si="32"/>
        <v>38074905.201334283</v>
      </c>
      <c r="AO54" s="69">
        <f t="shared" si="33"/>
        <v>24517232.752462178</v>
      </c>
      <c r="AP54" s="69">
        <f t="shared" si="23"/>
        <v>977738447.4063015</v>
      </c>
      <c r="AQ54" s="70">
        <f t="shared" si="24"/>
        <v>0.14491539303297851</v>
      </c>
    </row>
    <row r="55" spans="1:43" ht="14.25">
      <c r="A55" s="7" t="s">
        <v>48</v>
      </c>
      <c r="B55" s="57">
        <v>247515007</v>
      </c>
      <c r="C55" s="57">
        <v>121128581.79000001</v>
      </c>
      <c r="D55" s="66">
        <f t="shared" si="25"/>
        <v>0.48937873811425103</v>
      </c>
      <c r="E55" s="67">
        <f t="shared" si="14"/>
        <v>59277752.505959049</v>
      </c>
      <c r="F55" s="146">
        <f t="shared" si="26"/>
        <v>3.0715483093605028E-2</v>
      </c>
      <c r="G55" s="54">
        <v>268955</v>
      </c>
      <c r="H55" s="130">
        <f t="shared" si="27"/>
        <v>5.7796804011124629E-2</v>
      </c>
      <c r="I55" s="56">
        <f t="shared" si="15"/>
        <v>4.9127283409455935E-2</v>
      </c>
      <c r="J55" s="57">
        <v>885.01</v>
      </c>
      <c r="K55" s="127">
        <f t="shared" si="28"/>
        <v>1.3780879331624E-2</v>
      </c>
      <c r="L55" s="58">
        <f t="shared" si="16"/>
        <v>2.0671318997435998E-3</v>
      </c>
      <c r="M55" s="146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6">
        <f t="shared" si="10"/>
        <v>3.6978618665828682E-2</v>
      </c>
      <c r="AM55" s="68">
        <f t="shared" si="31"/>
        <v>103618077.15085705</v>
      </c>
      <c r="AN55" s="69">
        <f t="shared" si="32"/>
        <v>86351675.782466978</v>
      </c>
      <c r="AO55" s="69">
        <f t="shared" si="33"/>
        <v>62373320.813008964</v>
      </c>
      <c r="AP55" s="69">
        <f t="shared" si="23"/>
        <v>252343073.746333</v>
      </c>
      <c r="AQ55" s="70">
        <f t="shared" si="24"/>
        <v>3.7401000040559566E-2</v>
      </c>
    </row>
    <row r="56" spans="1:43" ht="14.25">
      <c r="A56" s="7" t="s">
        <v>49</v>
      </c>
      <c r="B56" s="57">
        <v>115569186</v>
      </c>
      <c r="C56" s="57">
        <v>61393149</v>
      </c>
      <c r="D56" s="66">
        <f t="shared" si="25"/>
        <v>0.53122420538637349</v>
      </c>
      <c r="E56" s="67">
        <f t="shared" si="14"/>
        <v>32613526.793692231</v>
      </c>
      <c r="F56" s="146">
        <f t="shared" si="26"/>
        <v>1.6899092636040575E-2</v>
      </c>
      <c r="G56" s="54">
        <v>40469</v>
      </c>
      <c r="H56" s="130">
        <f t="shared" si="27"/>
        <v>8.6965435166708287E-3</v>
      </c>
      <c r="I56" s="56">
        <f t="shared" si="15"/>
        <v>7.3920619891702042E-3</v>
      </c>
      <c r="J56" s="57">
        <v>746.48</v>
      </c>
      <c r="K56" s="127">
        <f t="shared" si="28"/>
        <v>1.1623767870951384E-2</v>
      </c>
      <c r="L56" s="58">
        <f t="shared" si="16"/>
        <v>1.7435651806427075E-3</v>
      </c>
      <c r="M56" s="146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6">
        <f t="shared" si="10"/>
        <v>1.1014773725219315E-2</v>
      </c>
      <c r="AM56" s="68">
        <f t="shared" si="31"/>
        <v>57008756.11184191</v>
      </c>
      <c r="AN56" s="69">
        <f t="shared" si="32"/>
        <v>15409429.147155851</v>
      </c>
      <c r="AO56" s="69">
        <f t="shared" si="33"/>
        <v>18579061.090799402</v>
      </c>
      <c r="AP56" s="69">
        <f t="shared" si="23"/>
        <v>90997246.349797174</v>
      </c>
      <c r="AQ56" s="70">
        <f t="shared" si="24"/>
        <v>1.3487146541778345E-2</v>
      </c>
    </row>
    <row r="57" spans="1:43" ht="14.25">
      <c r="A57" s="7" t="s">
        <v>50</v>
      </c>
      <c r="B57" s="57">
        <v>4428119</v>
      </c>
      <c r="C57" s="57">
        <v>1339229</v>
      </c>
      <c r="D57" s="66">
        <f t="shared" si="25"/>
        <v>0.30243744578680021</v>
      </c>
      <c r="E57" s="67">
        <f t="shared" si="14"/>
        <v>405032.99808361067</v>
      </c>
      <c r="F57" s="146">
        <f t="shared" si="26"/>
        <v>2.0987273773138851E-4</v>
      </c>
      <c r="G57" s="54">
        <v>1971</v>
      </c>
      <c r="H57" s="130">
        <f t="shared" si="27"/>
        <v>4.2355598782668714E-4</v>
      </c>
      <c r="I57" s="56">
        <f t="shared" si="15"/>
        <v>3.6002258965268404E-4</v>
      </c>
      <c r="J57" s="57">
        <v>1766.28</v>
      </c>
      <c r="K57" s="127">
        <f t="shared" si="28"/>
        <v>2.7503521480955966E-2</v>
      </c>
      <c r="L57" s="58">
        <f t="shared" si="16"/>
        <v>4.1255282221433947E-3</v>
      </c>
      <c r="M57" s="146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6">
        <f t="shared" si="10"/>
        <v>2.2429611655747409E-3</v>
      </c>
      <c r="AM57" s="68">
        <f t="shared" si="31"/>
        <v>708001.54644613911</v>
      </c>
      <c r="AN57" s="69">
        <f t="shared" si="32"/>
        <v>7565958.6512826774</v>
      </c>
      <c r="AO57" s="69">
        <f t="shared" si="33"/>
        <v>3783292.6539463717</v>
      </c>
      <c r="AP57" s="69">
        <f t="shared" si="23"/>
        <v>12057252.851675188</v>
      </c>
      <c r="AQ57" s="70">
        <f t="shared" si="24"/>
        <v>1.787064363208399E-3</v>
      </c>
    </row>
    <row r="58" spans="1:43" ht="14.25">
      <c r="A58" s="7" t="s">
        <v>51</v>
      </c>
      <c r="B58" s="57">
        <v>2813893</v>
      </c>
      <c r="C58" s="57">
        <v>482832</v>
      </c>
      <c r="D58" s="66">
        <f t="shared" si="25"/>
        <v>0.17158861406599327</v>
      </c>
      <c r="E58" s="67">
        <f t="shared" si="14"/>
        <v>82848.473706711666</v>
      </c>
      <c r="F58" s="146">
        <f t="shared" si="26"/>
        <v>4.2928936842092102E-5</v>
      </c>
      <c r="G58" s="54">
        <v>4113</v>
      </c>
      <c r="H58" s="130">
        <f t="shared" si="27"/>
        <v>8.8385884217715089E-4</v>
      </c>
      <c r="I58" s="56">
        <f t="shared" si="15"/>
        <v>7.5128001585057823E-4</v>
      </c>
      <c r="J58" s="57">
        <v>879.68</v>
      </c>
      <c r="K58" s="127">
        <f t="shared" si="28"/>
        <v>1.3697883561138291E-2</v>
      </c>
      <c r="L58" s="58">
        <f t="shared" si="16"/>
        <v>2.0546825341707436E-3</v>
      </c>
      <c r="M58" s="146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6">
        <f t="shared" si="10"/>
        <v>2.0987952321394206E-3</v>
      </c>
      <c r="AM58" s="68">
        <f t="shared" si="31"/>
        <v>144819.92277810822</v>
      </c>
      <c r="AN58" s="69">
        <f t="shared" si="32"/>
        <v>4732929.6938692592</v>
      </c>
      <c r="AO58" s="69">
        <f t="shared" si="33"/>
        <v>3540122.1856893306</v>
      </c>
      <c r="AP58" s="69">
        <f t="shared" si="23"/>
        <v>8417871.8023366984</v>
      </c>
      <c r="AQ58" s="70">
        <f t="shared" si="24"/>
        <v>1.2476539139612316E-3</v>
      </c>
    </row>
    <row r="59" spans="1:43" ht="15.75" thickBot="1">
      <c r="A59" s="11" t="s">
        <v>52</v>
      </c>
      <c r="B59" s="150">
        <f>SUM(B8:B58)</f>
        <v>5898005919</v>
      </c>
      <c r="C59" s="150">
        <f>SUM(C8:C58)</f>
        <v>3135538344.1599998</v>
      </c>
      <c r="D59" s="85">
        <f t="shared" si="25"/>
        <v>0.53162685613100003</v>
      </c>
      <c r="E59" s="86">
        <f t="shared" ref="E59:J59" si="34">SUM(E8:E58)</f>
        <v>1929898101.400876</v>
      </c>
      <c r="F59" s="147">
        <f t="shared" si="34"/>
        <v>1.0000000000000002</v>
      </c>
      <c r="G59" s="71">
        <f t="shared" si="34"/>
        <v>4653458</v>
      </c>
      <c r="H59" s="131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28">
        <f t="shared" si="28"/>
        <v>1</v>
      </c>
      <c r="L59" s="75">
        <f>SUM(L8:L58)</f>
        <v>0.15</v>
      </c>
      <c r="M59" s="147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47">
        <f>SUM(AK8:AK58)</f>
        <v>1.0000000000000002</v>
      </c>
      <c r="AM59" s="87">
        <f>SUM(AM8:AM58)</f>
        <v>3373480300.9636006</v>
      </c>
      <c r="AN59" s="88">
        <f>SUM(AN8:AN58)</f>
        <v>1686740150.4817998</v>
      </c>
      <c r="AO59" s="88">
        <f>SUM(AO8:AO58)</f>
        <v>1686740150.4818001</v>
      </c>
      <c r="AP59" s="88">
        <f>SUM(AP8:AP58)</f>
        <v>6746960601.9272003</v>
      </c>
      <c r="AQ59" s="89">
        <f>SUM(AQ8:AQ58)</f>
        <v>0.99999999999999989</v>
      </c>
    </row>
    <row r="60" spans="1:43" ht="13.5" thickTop="1">
      <c r="K60" s="91"/>
      <c r="V60" s="93"/>
    </row>
    <row r="61" spans="1:43" ht="65.25" customHeight="1">
      <c r="B61" s="229" t="s">
        <v>168</v>
      </c>
      <c r="C61" s="229"/>
      <c r="D61" s="229"/>
      <c r="E61" s="229"/>
      <c r="F61" s="229"/>
      <c r="K61" s="91"/>
      <c r="V61" s="93"/>
    </row>
    <row r="62" spans="1:43" s="22" customFormat="1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>
      <c r="V63" s="93"/>
    </row>
    <row r="64" spans="1:43">
      <c r="V64" s="93"/>
    </row>
    <row r="65" spans="9:38">
      <c r="V65" s="93"/>
    </row>
    <row r="66" spans="9:38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Z3:AE3"/>
    <mergeCell ref="AF3:AK3"/>
  </mergeCells>
  <phoneticPr fontId="0" type="noConversion"/>
  <printOptions horizontalCentered="1"/>
  <pageMargins left="0.27559055118110237" right="0.19685039370078741" top="0.39370078740157483" bottom="0.23622047244094491" header="0.23622047244094491" footer="0.23622047244094491"/>
  <pageSetup scale="85" orientation="portrait" r:id="rId1"/>
  <headerFooter alignWithMargins="0">
    <oddHeader>&amp;LANEXO II</oddHead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J3" sqref="J3"/>
    </sheetView>
  </sheetViews>
  <sheetFormatPr baseColWidth="10" defaultColWidth="9.7109375" defaultRowHeight="12.75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07" customFormat="1" ht="51" customHeight="1">
      <c r="A1" s="232" t="s">
        <v>191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26.25" customHeight="1"/>
    <row r="3" spans="1:14" ht="37.5" customHeight="1" thickBot="1">
      <c r="B3" s="234" t="s">
        <v>128</v>
      </c>
      <c r="C3" s="235"/>
      <c r="E3" s="236" t="s">
        <v>130</v>
      </c>
      <c r="F3" s="236"/>
      <c r="H3" s="140" t="s">
        <v>129</v>
      </c>
    </row>
    <row r="4" spans="1:14" ht="39" customHeight="1" thickBot="1">
      <c r="A4" s="19" t="s">
        <v>0</v>
      </c>
      <c r="B4" s="19" t="s">
        <v>186</v>
      </c>
      <c r="C4" s="144" t="s">
        <v>116</v>
      </c>
      <c r="E4" s="97" t="s">
        <v>194</v>
      </c>
      <c r="F4" s="144" t="s">
        <v>117</v>
      </c>
      <c r="H4" s="144" t="s">
        <v>123</v>
      </c>
      <c r="J4" s="151" t="s">
        <v>120</v>
      </c>
      <c r="K4" s="151" t="s">
        <v>121</v>
      </c>
      <c r="L4" s="151" t="s">
        <v>122</v>
      </c>
      <c r="M4" s="151" t="s">
        <v>192</v>
      </c>
      <c r="N4" s="152" t="s">
        <v>115</v>
      </c>
    </row>
    <row r="5" spans="1:14">
      <c r="A5" s="113"/>
      <c r="B5" s="110"/>
      <c r="C5" s="116"/>
      <c r="D5" s="125"/>
      <c r="E5" s="132"/>
      <c r="F5" s="116"/>
      <c r="G5" s="125"/>
      <c r="H5" s="116"/>
      <c r="I5" s="125"/>
      <c r="J5" s="118" t="s">
        <v>131</v>
      </c>
      <c r="K5" s="118" t="s">
        <v>131</v>
      </c>
      <c r="L5" s="118" t="s">
        <v>131</v>
      </c>
      <c r="M5" s="118" t="s">
        <v>131</v>
      </c>
      <c r="N5" s="133"/>
    </row>
    <row r="6" spans="1:14" s="28" customFormat="1" ht="11.25">
      <c r="A6" s="98"/>
      <c r="B6" s="119" t="s">
        <v>57</v>
      </c>
      <c r="C6" s="134" t="s">
        <v>75</v>
      </c>
      <c r="D6" s="27"/>
      <c r="E6" s="99" t="s">
        <v>56</v>
      </c>
      <c r="F6" s="134" t="s">
        <v>76</v>
      </c>
      <c r="G6" s="27"/>
      <c r="H6" s="122" t="s">
        <v>72</v>
      </c>
      <c r="I6" s="27"/>
      <c r="J6" s="153">
        <f>+M6*0.35</f>
        <v>77986850.574233189</v>
      </c>
      <c r="K6" s="153">
        <f>+M6*0.35</f>
        <v>77986850.574233189</v>
      </c>
      <c r="L6" s="153">
        <f>+M6*0.3</f>
        <v>66845871.920771308</v>
      </c>
      <c r="M6" s="153">
        <f>+'ESTIMACIÓN 2018'!R10</f>
        <v>222819573.06923771</v>
      </c>
      <c r="N6" s="154"/>
    </row>
    <row r="7" spans="1:14" s="36" customFormat="1" ht="23.25" customHeight="1" thickBot="1">
      <c r="A7" s="29"/>
      <c r="B7" s="29"/>
      <c r="C7" s="100"/>
      <c r="D7" s="30"/>
      <c r="E7" s="101"/>
      <c r="F7" s="102"/>
      <c r="G7" s="30"/>
      <c r="H7" s="32"/>
      <c r="I7" s="30"/>
      <c r="J7" s="153" t="s">
        <v>118</v>
      </c>
      <c r="K7" s="153" t="s">
        <v>71</v>
      </c>
      <c r="L7" s="153" t="s">
        <v>119</v>
      </c>
      <c r="M7" s="155" t="s">
        <v>133</v>
      </c>
      <c r="N7" s="156" t="s">
        <v>73</v>
      </c>
    </row>
    <row r="8" spans="1:14" ht="13.5" thickTop="1">
      <c r="A8" s="5" t="s">
        <v>1</v>
      </c>
      <c r="B8" s="157">
        <v>2639</v>
      </c>
      <c r="C8" s="145">
        <f t="shared" ref="C8:C58" si="0">+B8/$B$59</f>
        <v>5.1547962458863201E-4</v>
      </c>
      <c r="E8" s="103">
        <v>2963</v>
      </c>
      <c r="F8" s="145">
        <f t="shared" ref="F8:F59" si="1">(E8/E$59)</f>
        <v>5.6657472837731736E-4</v>
      </c>
      <c r="H8" s="158">
        <f>+'COEF Art 14 F I'!AQ8</f>
        <v>4.6304225250970926E-4</v>
      </c>
      <c r="J8" s="159">
        <f t="shared" ref="J8:J39" si="2">+C8*J$6</f>
        <v>40200.632456855463</v>
      </c>
      <c r="K8" s="160">
        <f t="shared" ref="K8:K39" si="3">+F8*K$6</f>
        <v>44185.378681098606</v>
      </c>
      <c r="L8" s="160">
        <f t="shared" ref="L8:L39" si="4">+H8*L$6</f>
        <v>30952.463105169471</v>
      </c>
      <c r="M8" s="160">
        <f>SUM(J8:L8)</f>
        <v>115338.47424312355</v>
      </c>
      <c r="N8" s="161">
        <f>+M8/M$59</f>
        <v>5.1763169929099529E-4</v>
      </c>
    </row>
    <row r="9" spans="1:14">
      <c r="A9" s="7" t="s">
        <v>2</v>
      </c>
      <c r="B9" s="162">
        <v>2439</v>
      </c>
      <c r="C9" s="146">
        <f t="shared" si="0"/>
        <v>4.7641334004231659E-4</v>
      </c>
      <c r="E9" s="104">
        <v>3471</v>
      </c>
      <c r="F9" s="146">
        <f t="shared" si="1"/>
        <v>6.6371275133232145E-4</v>
      </c>
      <c r="H9" s="163">
        <f>+'COEF Art 14 F I'!AQ9</f>
        <v>2.5056231643946596E-3</v>
      </c>
      <c r="J9" s="164">
        <f t="shared" si="2"/>
        <v>37153.975961451491</v>
      </c>
      <c r="K9" s="165">
        <f t="shared" si="3"/>
        <v>51760.867162366943</v>
      </c>
      <c r="L9" s="165">
        <f t="shared" si="4"/>
        <v>167490.56512884313</v>
      </c>
      <c r="M9" s="165">
        <f t="shared" ref="M9:M58" si="5">SUM(J9:L9)</f>
        <v>256405.40825266155</v>
      </c>
      <c r="N9" s="166">
        <f t="shared" ref="N9:N58" si="6">+M9/M$59</f>
        <v>1.1507310812995215E-3</v>
      </c>
    </row>
    <row r="10" spans="1:14">
      <c r="A10" s="7" t="s">
        <v>3</v>
      </c>
      <c r="B10" s="162">
        <v>1292</v>
      </c>
      <c r="C10" s="146">
        <f t="shared" si="0"/>
        <v>2.5236819816919762E-4</v>
      </c>
      <c r="E10" s="104">
        <v>1250</v>
      </c>
      <c r="F10" s="146">
        <f t="shared" si="1"/>
        <v>2.3902072577510855E-4</v>
      </c>
      <c r="H10" s="163">
        <f>+'COEF Art 14 F I'!AQ10</f>
        <v>2.6599844375749309E-3</v>
      </c>
      <c r="J10" s="164">
        <f t="shared" si="2"/>
        <v>19681.400960309686</v>
      </c>
      <c r="K10" s="165">
        <f t="shared" si="3"/>
        <v>18640.473625168157</v>
      </c>
      <c r="L10" s="165">
        <f t="shared" si="4"/>
        <v>177808.97902537874</v>
      </c>
      <c r="M10" s="165">
        <f t="shared" si="5"/>
        <v>216130.85361085657</v>
      </c>
      <c r="N10" s="166">
        <f t="shared" si="6"/>
        <v>9.6998145465298678E-4</v>
      </c>
    </row>
    <row r="11" spans="1:14" ht="13.5" customHeight="1">
      <c r="A11" s="7" t="s">
        <v>4</v>
      </c>
      <c r="B11" s="162">
        <v>34353</v>
      </c>
      <c r="C11" s="146">
        <f t="shared" si="0"/>
        <v>6.7102203650978689E-3</v>
      </c>
      <c r="E11" s="104">
        <v>36097</v>
      </c>
      <c r="F11" s="146">
        <f t="shared" si="1"/>
        <v>6.9023449106432747E-3</v>
      </c>
      <c r="H11" s="163">
        <f>+'COEF Art 14 F I'!AQ11</f>
        <v>7.0385242248446967E-3</v>
      </c>
      <c r="J11" s="164">
        <f t="shared" si="2"/>
        <v>523308.95293306396</v>
      </c>
      <c r="K11" s="165">
        <f t="shared" si="3"/>
        <v>538292.14115815598</v>
      </c>
      <c r="L11" s="165">
        <f t="shared" si="4"/>
        <v>470496.28884521476</v>
      </c>
      <c r="M11" s="165">
        <f t="shared" si="5"/>
        <v>1532097.3829364346</v>
      </c>
      <c r="N11" s="166">
        <f t="shared" si="6"/>
        <v>6.875955113962811E-3</v>
      </c>
    </row>
    <row r="12" spans="1:14">
      <c r="A12" s="7" t="s">
        <v>5</v>
      </c>
      <c r="B12" s="162">
        <v>18194</v>
      </c>
      <c r="C12" s="146">
        <f t="shared" si="0"/>
        <v>3.5538599051783142E-3</v>
      </c>
      <c r="E12" s="104">
        <v>19587</v>
      </c>
      <c r="F12" s="146">
        <f t="shared" si="1"/>
        <v>3.7453591646056409E-3</v>
      </c>
      <c r="H12" s="163">
        <f>+'COEF Art 14 F I'!AQ12</f>
        <v>7.5289266817328629E-3</v>
      </c>
      <c r="J12" s="164">
        <f t="shared" si="2"/>
        <v>277154.3413868997</v>
      </c>
      <c r="K12" s="165">
        <f t="shared" si="3"/>
        <v>292088.76551693497</v>
      </c>
      <c r="L12" s="165">
        <f t="shared" si="4"/>
        <v>503277.66866799269</v>
      </c>
      <c r="M12" s="165">
        <f t="shared" si="5"/>
        <v>1072520.7755718273</v>
      </c>
      <c r="N12" s="166">
        <f t="shared" si="6"/>
        <v>4.813404678944244E-3</v>
      </c>
    </row>
    <row r="13" spans="1:14">
      <c r="A13" s="7" t="s">
        <v>6</v>
      </c>
      <c r="B13" s="162">
        <v>597207</v>
      </c>
      <c r="C13" s="146">
        <f t="shared" si="0"/>
        <v>0.11665329297525698</v>
      </c>
      <c r="E13" s="104">
        <v>625188</v>
      </c>
      <c r="F13" s="146">
        <f t="shared" si="1"/>
        <v>0.11954631160471085</v>
      </c>
      <c r="H13" s="163">
        <f>+'COEF Art 14 F I'!AQ13</f>
        <v>6.8690227649733607E-2</v>
      </c>
      <c r="J13" s="164">
        <f t="shared" si="2"/>
        <v>9097422.9282536115</v>
      </c>
      <c r="K13" s="165">
        <f t="shared" si="3"/>
        <v>9323040.3398173042</v>
      </c>
      <c r="L13" s="165">
        <f t="shared" si="4"/>
        <v>4591658.1596827162</v>
      </c>
      <c r="M13" s="165">
        <f t="shared" si="5"/>
        <v>23012121.427753631</v>
      </c>
      <c r="N13" s="166">
        <f t="shared" si="6"/>
        <v>0.10327692989790885</v>
      </c>
    </row>
    <row r="14" spans="1:14">
      <c r="A14" s="7" t="s">
        <v>7</v>
      </c>
      <c r="B14" s="162">
        <v>16152</v>
      </c>
      <c r="C14" s="146">
        <f t="shared" si="0"/>
        <v>3.1549931399604335E-3</v>
      </c>
      <c r="E14" s="104">
        <v>16245</v>
      </c>
      <c r="F14" s="146">
        <f t="shared" si="1"/>
        <v>3.1063133521733108E-3</v>
      </c>
      <c r="H14" s="163">
        <f>+'COEF Art 14 F I'!AQ14</f>
        <v>1.0536503035386915E-2</v>
      </c>
      <c r="J14" s="164">
        <f t="shared" si="2"/>
        <v>246047.97856882511</v>
      </c>
      <c r="K14" s="165">
        <f t="shared" si="3"/>
        <v>242251.59523268539</v>
      </c>
      <c r="L14" s="165">
        <f t="shared" si="4"/>
        <v>704321.7323962918</v>
      </c>
      <c r="M14" s="165">
        <f t="shared" si="5"/>
        <v>1192621.3061978023</v>
      </c>
      <c r="N14" s="166">
        <f t="shared" si="6"/>
        <v>5.3524081828628866E-3</v>
      </c>
    </row>
    <row r="15" spans="1:14">
      <c r="A15" s="7" t="s">
        <v>8</v>
      </c>
      <c r="B15" s="162">
        <v>3977</v>
      </c>
      <c r="C15" s="146">
        <f t="shared" si="0"/>
        <v>7.7683306820348224E-4</v>
      </c>
      <c r="E15" s="104">
        <v>4171</v>
      </c>
      <c r="F15" s="146">
        <f t="shared" si="1"/>
        <v>7.9756435776638223E-4</v>
      </c>
      <c r="H15" s="163">
        <f>+'COEF Art 14 F I'!AQ15</f>
        <v>1.3592437355670801E-3</v>
      </c>
      <c r="J15" s="164">
        <f t="shared" si="2"/>
        <v>60582.764411108066</v>
      </c>
      <c r="K15" s="165">
        <f t="shared" si="3"/>
        <v>62199.532392461108</v>
      </c>
      <c r="L15" s="165">
        <f t="shared" si="4"/>
        <v>90859.832656827784</v>
      </c>
      <c r="M15" s="165">
        <f t="shared" si="5"/>
        <v>213642.12946039694</v>
      </c>
      <c r="N15" s="166">
        <f t="shared" si="6"/>
        <v>9.5881221975957682E-4</v>
      </c>
    </row>
    <row r="16" spans="1:14">
      <c r="A16" s="7" t="s">
        <v>9</v>
      </c>
      <c r="B16" s="162">
        <v>95534</v>
      </c>
      <c r="C16" s="146">
        <f t="shared" si="0"/>
        <v>1.8660792139238488E-2</v>
      </c>
      <c r="E16" s="104">
        <v>99323</v>
      </c>
      <c r="F16" s="146">
        <f t="shared" si="1"/>
        <v>1.8992204436928884E-2</v>
      </c>
      <c r="H16" s="163">
        <f>+'COEF Art 14 F I'!AQ16</f>
        <v>1.3099496177888277E-2</v>
      </c>
      <c r="J16" s="164">
        <f t="shared" si="2"/>
        <v>1455296.4081596173</v>
      </c>
      <c r="K16" s="165">
        <f t="shared" si="3"/>
        <v>1481142.2094980616</v>
      </c>
      <c r="L16" s="165">
        <f t="shared" si="4"/>
        <v>875647.2437337531</v>
      </c>
      <c r="M16" s="165">
        <f t="shared" si="5"/>
        <v>3812085.8613914321</v>
      </c>
      <c r="N16" s="166">
        <f t="shared" si="6"/>
        <v>1.710839765502507E-2</v>
      </c>
    </row>
    <row r="17" spans="1:14">
      <c r="A17" s="7" t="s">
        <v>10</v>
      </c>
      <c r="B17" s="162">
        <v>38306</v>
      </c>
      <c r="C17" s="146">
        <f t="shared" si="0"/>
        <v>7.4823654791557935E-3</v>
      </c>
      <c r="E17" s="104">
        <v>22654</v>
      </c>
      <c r="F17" s="146">
        <f t="shared" si="1"/>
        <v>4.3318204173674471E-3</v>
      </c>
      <c r="H17" s="163">
        <f>+'COEF Art 14 F I'!AQ17</f>
        <v>1.9963753833584755E-3</v>
      </c>
      <c r="J17" s="164">
        <f t="shared" si="2"/>
        <v>583526.11856472364</v>
      </c>
      <c r="K17" s="165">
        <f t="shared" si="3"/>
        <v>337825.03160364757</v>
      </c>
      <c r="L17" s="165">
        <f t="shared" si="4"/>
        <v>133449.45318176138</v>
      </c>
      <c r="M17" s="165">
        <f t="shared" si="5"/>
        <v>1054800.6033501325</v>
      </c>
      <c r="N17" s="166">
        <f t="shared" si="6"/>
        <v>4.7338776787906782E-3</v>
      </c>
    </row>
    <row r="18" spans="1:14">
      <c r="A18" s="7" t="s">
        <v>11</v>
      </c>
      <c r="B18" s="162">
        <v>7757</v>
      </c>
      <c r="C18" s="146">
        <f t="shared" si="0"/>
        <v>1.5151858461288437E-3</v>
      </c>
      <c r="E18" s="104">
        <v>8085</v>
      </c>
      <c r="F18" s="146">
        <f t="shared" si="1"/>
        <v>1.5459860543134021E-3</v>
      </c>
      <c r="H18" s="163">
        <f>+'COEF Art 14 F I'!AQ18</f>
        <v>4.9142261592348699E-3</v>
      </c>
      <c r="J18" s="164">
        <f t="shared" si="2"/>
        <v>118164.57217424322</v>
      </c>
      <c r="K18" s="165">
        <f t="shared" si="3"/>
        <v>120566.58340758765</v>
      </c>
      <c r="L18" s="165">
        <f t="shared" si="4"/>
        <v>328495.73242991802</v>
      </c>
      <c r="M18" s="165">
        <f t="shared" si="5"/>
        <v>567226.8880117489</v>
      </c>
      <c r="N18" s="166">
        <f t="shared" si="6"/>
        <v>2.5456780129252477E-3</v>
      </c>
    </row>
    <row r="19" spans="1:14">
      <c r="A19" s="7" t="s">
        <v>12</v>
      </c>
      <c r="B19" s="162">
        <v>10835</v>
      </c>
      <c r="C19" s="146">
        <f t="shared" si="0"/>
        <v>2.1164159652966382E-3</v>
      </c>
      <c r="E19" s="104">
        <v>11461</v>
      </c>
      <c r="F19" s="146">
        <f t="shared" si="1"/>
        <v>2.1915332304868152E-3</v>
      </c>
      <c r="H19" s="163">
        <f>+'COEF Art 14 F I'!AQ19</f>
        <v>7.1029404323453456E-3</v>
      </c>
      <c r="J19" s="164">
        <f t="shared" si="2"/>
        <v>165052.61563851041</v>
      </c>
      <c r="K19" s="165">
        <f t="shared" si="3"/>
        <v>170910.77457444181</v>
      </c>
      <c r="L19" s="165">
        <f t="shared" si="4"/>
        <v>474802.24640142493</v>
      </c>
      <c r="M19" s="165">
        <f t="shared" si="5"/>
        <v>810765.63661437714</v>
      </c>
      <c r="N19" s="166">
        <f t="shared" si="6"/>
        <v>3.6386643482278136E-3</v>
      </c>
    </row>
    <row r="20" spans="1:14">
      <c r="A20" s="7" t="s">
        <v>13</v>
      </c>
      <c r="B20" s="162">
        <v>42715</v>
      </c>
      <c r="C20" s="146">
        <f t="shared" si="0"/>
        <v>8.3435817219793176E-3</v>
      </c>
      <c r="E20" s="104">
        <v>34225</v>
      </c>
      <c r="F20" s="146">
        <f t="shared" si="1"/>
        <v>6.5443874717224723E-3</v>
      </c>
      <c r="H20" s="163">
        <f>+'COEF Art 14 F I'!AQ20</f>
        <v>3.1519516065886453E-3</v>
      </c>
      <c r="J20" s="164">
        <f t="shared" si="2"/>
        <v>650689.66100590432</v>
      </c>
      <c r="K20" s="165">
        <f t="shared" si="3"/>
        <v>510376.16785710416</v>
      </c>
      <c r="L20" s="165">
        <f t="shared" si="4"/>
        <v>210694.95339449393</v>
      </c>
      <c r="M20" s="165">
        <f t="shared" si="5"/>
        <v>1371760.7822575024</v>
      </c>
      <c r="N20" s="166">
        <f t="shared" si="6"/>
        <v>6.156374699772222E-3</v>
      </c>
    </row>
    <row r="21" spans="1:14">
      <c r="A21" s="7" t="s">
        <v>14</v>
      </c>
      <c r="B21" s="162">
        <v>34110</v>
      </c>
      <c r="C21" s="146">
        <f t="shared" si="0"/>
        <v>6.6627548293740953E-3</v>
      </c>
      <c r="E21" s="104">
        <v>37645</v>
      </c>
      <c r="F21" s="146">
        <f t="shared" si="1"/>
        <v>7.1983481774431689E-3</v>
      </c>
      <c r="H21" s="163">
        <f>+'COEF Art 14 F I'!AQ21</f>
        <v>2.3773542102589047E-2</v>
      </c>
      <c r="J21" s="164">
        <f t="shared" si="2"/>
        <v>519607.2652911481</v>
      </c>
      <c r="K21" s="165">
        <f t="shared" si="3"/>
        <v>561376.50369556423</v>
      </c>
      <c r="L21" s="165">
        <f t="shared" si="4"/>
        <v>1589163.1504927317</v>
      </c>
      <c r="M21" s="165">
        <f t="shared" si="5"/>
        <v>2670146.9194794437</v>
      </c>
      <c r="N21" s="166">
        <f t="shared" si="6"/>
        <v>1.198344868316276E-2</v>
      </c>
    </row>
    <row r="22" spans="1:14">
      <c r="A22" s="7" t="s">
        <v>15</v>
      </c>
      <c r="B22" s="162">
        <v>1632</v>
      </c>
      <c r="C22" s="146">
        <f t="shared" si="0"/>
        <v>3.1878088189793386E-4</v>
      </c>
      <c r="E22" s="104">
        <v>1812</v>
      </c>
      <c r="F22" s="146">
        <f t="shared" si="1"/>
        <v>3.4648444408359735E-4</v>
      </c>
      <c r="H22" s="163">
        <f>+'COEF Art 14 F I'!AQ22</f>
        <v>3.0238236640868837E-3</v>
      </c>
      <c r="J22" s="164">
        <f t="shared" si="2"/>
        <v>24860.717002496447</v>
      </c>
      <c r="K22" s="165">
        <f t="shared" si="3"/>
        <v>27021.23056704376</v>
      </c>
      <c r="L22" s="165">
        <f t="shared" si="4"/>
        <v>202130.12936054924</v>
      </c>
      <c r="M22" s="165">
        <f t="shared" si="5"/>
        <v>254012.07693008945</v>
      </c>
      <c r="N22" s="166">
        <f t="shared" si="6"/>
        <v>1.1399899633196015E-3</v>
      </c>
    </row>
    <row r="23" spans="1:14">
      <c r="A23" s="7" t="s">
        <v>16</v>
      </c>
      <c r="B23" s="162">
        <v>2861</v>
      </c>
      <c r="C23" s="146">
        <f t="shared" si="0"/>
        <v>5.588432004350421E-4</v>
      </c>
      <c r="E23" s="104">
        <v>3618</v>
      </c>
      <c r="F23" s="146">
        <f t="shared" si="1"/>
        <v>6.9182158868347416E-4</v>
      </c>
      <c r="H23" s="163">
        <f>+'COEF Art 14 F I'!AQ23</f>
        <v>1.1506278435919528E-3</v>
      </c>
      <c r="J23" s="164">
        <f t="shared" si="2"/>
        <v>43582.421166753877</v>
      </c>
      <c r="K23" s="165">
        <f t="shared" si="3"/>
        <v>53952.986860686717</v>
      </c>
      <c r="L23" s="165">
        <f t="shared" si="4"/>
        <v>76914.721461220965</v>
      </c>
      <c r="M23" s="165">
        <f t="shared" si="5"/>
        <v>174450.12948866157</v>
      </c>
      <c r="N23" s="166">
        <f t="shared" si="6"/>
        <v>7.8292102926906689E-4</v>
      </c>
    </row>
    <row r="24" spans="1:14">
      <c r="A24" s="7" t="s">
        <v>17</v>
      </c>
      <c r="B24" s="162">
        <v>41130</v>
      </c>
      <c r="C24" s="146">
        <f t="shared" si="0"/>
        <v>8.0339814169497672E-3</v>
      </c>
      <c r="E24" s="104">
        <v>42048</v>
      </c>
      <c r="F24" s="146">
        <f t="shared" si="1"/>
        <v>8.0402747819134108E-3</v>
      </c>
      <c r="H24" s="163">
        <f>+'COEF Art 14 F I'!AQ24</f>
        <v>1.7637692215218621E-2</v>
      </c>
      <c r="J24" s="164">
        <f t="shared" si="2"/>
        <v>626544.90827982768</v>
      </c>
      <c r="K24" s="165">
        <f t="shared" si="3"/>
        <v>627035.70799285651</v>
      </c>
      <c r="L24" s="165">
        <f t="shared" si="4"/>
        <v>1179006.9147964891</v>
      </c>
      <c r="M24" s="165">
        <f t="shared" si="5"/>
        <v>2432587.5310691735</v>
      </c>
      <c r="N24" s="166">
        <f t="shared" si="6"/>
        <v>1.0917297334167703E-2</v>
      </c>
    </row>
    <row r="25" spans="1:14">
      <c r="A25" s="7" t="s">
        <v>18</v>
      </c>
      <c r="B25" s="162">
        <v>247370</v>
      </c>
      <c r="C25" s="146">
        <f t="shared" si="0"/>
        <v>4.8319134041110233E-2</v>
      </c>
      <c r="E25" s="104">
        <v>199786</v>
      </c>
      <c r="F25" s="146">
        <f t="shared" si="1"/>
        <v>3.8202395775764668E-2</v>
      </c>
      <c r="H25" s="163">
        <f>+'COEF Art 14 F I'!AQ25</f>
        <v>1.7839648658922964E-2</v>
      </c>
      <c r="J25" s="164">
        <f t="shared" si="2"/>
        <v>3768257.0863404078</v>
      </c>
      <c r="K25" s="165">
        <f t="shared" si="3"/>
        <v>2979284.5309422761</v>
      </c>
      <c r="L25" s="165">
        <f t="shared" si="4"/>
        <v>1192506.869365924</v>
      </c>
      <c r="M25" s="165">
        <f t="shared" si="5"/>
        <v>7940048.486648608</v>
      </c>
      <c r="N25" s="166">
        <f t="shared" si="6"/>
        <v>3.563443003358311E-2</v>
      </c>
    </row>
    <row r="26" spans="1:14">
      <c r="A26" s="7" t="s">
        <v>19</v>
      </c>
      <c r="B26" s="162">
        <v>5479</v>
      </c>
      <c r="C26" s="146">
        <f t="shared" si="0"/>
        <v>1.0702208651463111E-3</v>
      </c>
      <c r="E26" s="104">
        <v>5790</v>
      </c>
      <c r="F26" s="146">
        <f t="shared" si="1"/>
        <v>1.1071440017903027E-3</v>
      </c>
      <c r="H26" s="163">
        <f>+'COEF Art 14 F I'!AQ26</f>
        <v>2.7313027694710135E-3</v>
      </c>
      <c r="J26" s="164">
        <f t="shared" si="2"/>
        <v>83463.154691591932</v>
      </c>
      <c r="K26" s="165">
        <f t="shared" si="3"/>
        <v>86342.673831778899</v>
      </c>
      <c r="L26" s="165">
        <f t="shared" si="4"/>
        <v>182576.31510490732</v>
      </c>
      <c r="M26" s="165">
        <f t="shared" si="5"/>
        <v>352382.14362827817</v>
      </c>
      <c r="N26" s="166">
        <f t="shared" si="6"/>
        <v>1.5814685342691193E-3</v>
      </c>
    </row>
    <row r="27" spans="1:14">
      <c r="A27" s="7" t="s">
        <v>20</v>
      </c>
      <c r="B27" s="162">
        <v>425148</v>
      </c>
      <c r="C27" s="146">
        <f t="shared" si="0"/>
        <v>8.3044763711484545E-2</v>
      </c>
      <c r="E27" s="104">
        <v>418756</v>
      </c>
      <c r="F27" s="146">
        <f t="shared" si="1"/>
        <v>8.0073090434145081E-2</v>
      </c>
      <c r="H27" s="163">
        <f>+'COEF Art 14 F I'!AQ27</f>
        <v>4.2904426088106296E-2</v>
      </c>
      <c r="J27" s="164">
        <f t="shared" si="2"/>
        <v>6476399.5785400476</v>
      </c>
      <c r="K27" s="165">
        <f t="shared" si="3"/>
        <v>6244648.138704733</v>
      </c>
      <c r="L27" s="165">
        <f t="shared" si="4"/>
        <v>2867983.7711197524</v>
      </c>
      <c r="M27" s="165">
        <f t="shared" si="5"/>
        <v>15589031.488364534</v>
      </c>
      <c r="N27" s="166">
        <f t="shared" si="6"/>
        <v>6.996257677740228E-2</v>
      </c>
    </row>
    <row r="28" spans="1:14">
      <c r="A28" s="7" t="s">
        <v>21</v>
      </c>
      <c r="B28" s="162">
        <v>14795</v>
      </c>
      <c r="C28" s="146">
        <f t="shared" si="0"/>
        <v>2.8899283993136836E-3</v>
      </c>
      <c r="E28" s="104">
        <v>15072</v>
      </c>
      <c r="F28" s="146">
        <f t="shared" si="1"/>
        <v>2.882016303105949E-3</v>
      </c>
      <c r="H28" s="163">
        <f>+'COEF Art 14 F I'!AQ28</f>
        <v>6.4277106245313031E-3</v>
      </c>
      <c r="J28" s="164">
        <f t="shared" si="2"/>
        <v>225376.41424750915</v>
      </c>
      <c r="K28" s="165">
        <f t="shared" si="3"/>
        <v>224759.3747828276</v>
      </c>
      <c r="L28" s="165">
        <f t="shared" si="4"/>
        <v>429665.92115120043</v>
      </c>
      <c r="M28" s="165">
        <f t="shared" si="5"/>
        <v>879801.7101815372</v>
      </c>
      <c r="N28" s="166">
        <f t="shared" si="6"/>
        <v>3.9484938332062635E-3</v>
      </c>
    </row>
    <row r="29" spans="1:14">
      <c r="A29" s="7" t="s">
        <v>22</v>
      </c>
      <c r="B29" s="162">
        <v>1044</v>
      </c>
      <c r="C29" s="146">
        <f t="shared" si="0"/>
        <v>2.0392600533176652E-4</v>
      </c>
      <c r="E29" s="104">
        <v>1218</v>
      </c>
      <c r="F29" s="146">
        <f t="shared" si="1"/>
        <v>2.3290179519526577E-4</v>
      </c>
      <c r="H29" s="163">
        <f>+'COEF Art 14 F I'!AQ29</f>
        <v>5.4047243323701328E-4</v>
      </c>
      <c r="J29" s="164">
        <f t="shared" si="2"/>
        <v>15903.546906008756</v>
      </c>
      <c r="K29" s="165">
        <f t="shared" si="3"/>
        <v>18163.277500363853</v>
      </c>
      <c r="L29" s="165">
        <f t="shared" si="4"/>
        <v>36128.351048869008</v>
      </c>
      <c r="M29" s="165">
        <f t="shared" si="5"/>
        <v>70195.17545524161</v>
      </c>
      <c r="N29" s="166">
        <f t="shared" si="6"/>
        <v>3.1503146015556536E-4</v>
      </c>
    </row>
    <row r="30" spans="1:14">
      <c r="A30" s="7" t="s">
        <v>23</v>
      </c>
      <c r="B30" s="162">
        <v>6011</v>
      </c>
      <c r="C30" s="146">
        <f t="shared" si="0"/>
        <v>1.17413718203951E-3</v>
      </c>
      <c r="E30" s="104">
        <v>6301</v>
      </c>
      <c r="F30" s="146">
        <f t="shared" si="1"/>
        <v>1.2048556744871672E-3</v>
      </c>
      <c r="H30" s="163">
        <f>+'COEF Art 14 F I'!AQ30</f>
        <v>5.223181424666979E-3</v>
      </c>
      <c r="J30" s="164">
        <f t="shared" si="2"/>
        <v>91567.2609693665</v>
      </c>
      <c r="K30" s="165">
        <f t="shared" si="3"/>
        <v>93962.899449747652</v>
      </c>
      <c r="L30" s="165">
        <f t="shared" si="4"/>
        <v>349148.1165322407</v>
      </c>
      <c r="M30" s="165">
        <f t="shared" si="5"/>
        <v>534678.27695135493</v>
      </c>
      <c r="N30" s="166">
        <f t="shared" si="6"/>
        <v>2.399601927184432E-3</v>
      </c>
    </row>
    <row r="31" spans="1:14">
      <c r="A31" s="7" t="s">
        <v>24</v>
      </c>
      <c r="B31" s="162">
        <v>67294</v>
      </c>
      <c r="C31" s="146">
        <f t="shared" si="0"/>
        <v>1.3144632761298751E-2</v>
      </c>
      <c r="E31" s="104">
        <v>80495</v>
      </c>
      <c r="F31" s="146">
        <f t="shared" si="1"/>
        <v>1.539197865701389E-2</v>
      </c>
      <c r="H31" s="163">
        <f>+'COEF Art 14 F I'!AQ31</f>
        <v>4.5640767774232927E-3</v>
      </c>
      <c r="J31" s="164">
        <f t="shared" si="2"/>
        <v>1025108.5110085759</v>
      </c>
      <c r="K31" s="165">
        <f t="shared" si="3"/>
        <v>1200371.9395663287</v>
      </c>
      <c r="L31" s="165">
        <f t="shared" si="4"/>
        <v>305089.6917002041</v>
      </c>
      <c r="M31" s="165">
        <f t="shared" si="5"/>
        <v>2530570.142275109</v>
      </c>
      <c r="N31" s="166">
        <f t="shared" si="6"/>
        <v>1.1357037029636417E-2</v>
      </c>
    </row>
    <row r="32" spans="1:14">
      <c r="A32" s="7" t="s">
        <v>25</v>
      </c>
      <c r="B32" s="162">
        <v>682880</v>
      </c>
      <c r="C32" s="146">
        <f t="shared" si="0"/>
        <v>0.1333879219549394</v>
      </c>
      <c r="E32" s="104">
        <v>713863</v>
      </c>
      <c r="F32" s="146">
        <f t="shared" si="1"/>
        <v>0.13650244189119706</v>
      </c>
      <c r="H32" s="163">
        <f>+'COEF Art 14 F I'!AQ32</f>
        <v>7.8460456528756328E-2</v>
      </c>
      <c r="J32" s="164">
        <f t="shared" si="2"/>
        <v>10402503.937907338</v>
      </c>
      <c r="K32" s="165">
        <f t="shared" si="3"/>
        <v>10645395.538786734</v>
      </c>
      <c r="L32" s="165">
        <f t="shared" si="4"/>
        <v>5244757.6279664906</v>
      </c>
      <c r="M32" s="165">
        <f t="shared" si="5"/>
        <v>26292657.104660559</v>
      </c>
      <c r="N32" s="166">
        <f t="shared" si="6"/>
        <v>0.11799976430477468</v>
      </c>
    </row>
    <row r="33" spans="1:14">
      <c r="A33" s="7" t="s">
        <v>26</v>
      </c>
      <c r="B33" s="162">
        <v>1764</v>
      </c>
      <c r="C33" s="146">
        <f t="shared" si="0"/>
        <v>3.4456462969850206E-4</v>
      </c>
      <c r="E33" s="104">
        <v>2106</v>
      </c>
      <c r="F33" s="146">
        <f t="shared" si="1"/>
        <v>4.0270211878590289E-4</v>
      </c>
      <c r="H33" s="163">
        <f>+'COEF Art 14 F I'!AQ33</f>
        <v>1.391655401475744E-3</v>
      </c>
      <c r="J33" s="164">
        <f t="shared" si="2"/>
        <v>26871.510289463073</v>
      </c>
      <c r="K33" s="165">
        <f t="shared" si="3"/>
        <v>31405.469963683314</v>
      </c>
      <c r="L33" s="165">
        <f t="shared" si="4"/>
        <v>93026.418724897158</v>
      </c>
      <c r="M33" s="165">
        <f t="shared" si="5"/>
        <v>151303.39897804355</v>
      </c>
      <c r="N33" s="166">
        <f t="shared" si="6"/>
        <v>6.7903998241226524E-4</v>
      </c>
    </row>
    <row r="34" spans="1:14">
      <c r="A34" s="7" t="s">
        <v>27</v>
      </c>
      <c r="B34" s="162">
        <v>13836</v>
      </c>
      <c r="C34" s="146">
        <f t="shared" si="0"/>
        <v>2.702605564914101E-3</v>
      </c>
      <c r="E34" s="104">
        <v>18225</v>
      </c>
      <c r="F34" s="146">
        <f t="shared" si="1"/>
        <v>3.4849221818010825E-3</v>
      </c>
      <c r="H34" s="163">
        <f>+'COEF Art 14 F I'!AQ34</f>
        <v>3.4109680621648912E-3</v>
      </c>
      <c r="J34" s="164">
        <f t="shared" si="2"/>
        <v>210767.69635204706</v>
      </c>
      <c r="K34" s="165">
        <f t="shared" si="3"/>
        <v>271778.10545495176</v>
      </c>
      <c r="L34" s="165">
        <f t="shared" si="4"/>
        <v>228009.13420931582</v>
      </c>
      <c r="M34" s="165">
        <f t="shared" si="5"/>
        <v>710554.93601631466</v>
      </c>
      <c r="N34" s="166">
        <f t="shared" si="6"/>
        <v>3.1889251299997826E-3</v>
      </c>
    </row>
    <row r="35" spans="1:14">
      <c r="A35" s="7" t="s">
        <v>28</v>
      </c>
      <c r="B35" s="162">
        <v>1511</v>
      </c>
      <c r="C35" s="146">
        <f t="shared" si="0"/>
        <v>2.9514577974741303E-4</v>
      </c>
      <c r="E35" s="104">
        <v>1766</v>
      </c>
      <c r="F35" s="146">
        <f t="shared" si="1"/>
        <v>3.3768848137507337E-4</v>
      </c>
      <c r="H35" s="163">
        <f>+'COEF Art 14 F I'!AQ35</f>
        <v>2.1316102878950693E-3</v>
      </c>
      <c r="J35" s="164">
        <f t="shared" si="2"/>
        <v>23017.489822777039</v>
      </c>
      <c r="K35" s="165">
        <f t="shared" si="3"/>
        <v>26335.261137637575</v>
      </c>
      <c r="L35" s="165">
        <f t="shared" si="4"/>
        <v>142489.34828963227</v>
      </c>
      <c r="M35" s="165">
        <f t="shared" si="5"/>
        <v>191842.09925004689</v>
      </c>
      <c r="N35" s="166">
        <f t="shared" si="6"/>
        <v>8.6097507776139134E-4</v>
      </c>
    </row>
    <row r="36" spans="1:14">
      <c r="A36" s="7" t="s">
        <v>29</v>
      </c>
      <c r="B36" s="162">
        <v>6921</v>
      </c>
      <c r="C36" s="146">
        <f t="shared" si="0"/>
        <v>1.3518887767252452E-3</v>
      </c>
      <c r="E36" s="104">
        <v>7355</v>
      </c>
      <c r="F36" s="146">
        <f t="shared" si="1"/>
        <v>1.4063979504607387E-3</v>
      </c>
      <c r="H36" s="163">
        <f>+'COEF Art 14 F I'!AQ36</f>
        <v>2.3513995526513601E-3</v>
      </c>
      <c r="J36" s="164">
        <f t="shared" si="2"/>
        <v>105429.5480234546</v>
      </c>
      <c r="K36" s="165">
        <f t="shared" si="3"/>
        <v>109680.54681048944</v>
      </c>
      <c r="L36" s="165">
        <f t="shared" si="4"/>
        <v>157181.35333109176</v>
      </c>
      <c r="M36" s="165">
        <f t="shared" si="5"/>
        <v>372291.44816503581</v>
      </c>
      <c r="N36" s="166">
        <f t="shared" si="6"/>
        <v>1.6708202203105029E-3</v>
      </c>
    </row>
    <row r="37" spans="1:14">
      <c r="A37" s="7" t="s">
        <v>30</v>
      </c>
      <c r="B37" s="162">
        <v>3571</v>
      </c>
      <c r="C37" s="146">
        <f t="shared" si="0"/>
        <v>6.9752851057446193E-4</v>
      </c>
      <c r="E37" s="104">
        <v>3690</v>
      </c>
      <c r="F37" s="146">
        <f t="shared" si="1"/>
        <v>7.0558918248812049E-4</v>
      </c>
      <c r="H37" s="163">
        <f>+'COEF Art 14 F I'!AQ37</f>
        <v>2.7359734478659102E-3</v>
      </c>
      <c r="J37" s="164">
        <f t="shared" si="2"/>
        <v>54398.051725437996</v>
      </c>
      <c r="K37" s="165">
        <f t="shared" si="3"/>
        <v>55026.678141496406</v>
      </c>
      <c r="L37" s="165">
        <f t="shared" si="4"/>
        <v>182888.53067467571</v>
      </c>
      <c r="M37" s="165">
        <f t="shared" si="5"/>
        <v>292313.26054161013</v>
      </c>
      <c r="N37" s="166">
        <f t="shared" si="6"/>
        <v>1.3118832269316775E-3</v>
      </c>
    </row>
    <row r="38" spans="1:14">
      <c r="A38" s="7" t="s">
        <v>31</v>
      </c>
      <c r="B38" s="162">
        <v>333481</v>
      </c>
      <c r="C38" s="146">
        <f t="shared" si="0"/>
        <v>6.5139318183949066E-2</v>
      </c>
      <c r="E38" s="104">
        <v>355198</v>
      </c>
      <c r="F38" s="146">
        <f t="shared" si="1"/>
        <v>6.7919747003093611E-2</v>
      </c>
      <c r="H38" s="163">
        <f>+'COEF Art 14 F I'!AQ38</f>
        <v>2.1964828849588613E-2</v>
      </c>
      <c r="J38" s="164">
        <f t="shared" si="2"/>
        <v>5080010.2737190668</v>
      </c>
      <c r="K38" s="165">
        <f t="shared" si="3"/>
        <v>5296847.1605699835</v>
      </c>
      <c r="L38" s="165">
        <f t="shared" si="4"/>
        <v>1468258.1360412631</v>
      </c>
      <c r="M38" s="165">
        <f t="shared" si="5"/>
        <v>11845115.570330312</v>
      </c>
      <c r="N38" s="166">
        <f t="shared" si="6"/>
        <v>5.3160121470341534E-2</v>
      </c>
    </row>
    <row r="39" spans="1:14">
      <c r="A39" s="7" t="s">
        <v>32</v>
      </c>
      <c r="B39" s="162">
        <v>5238</v>
      </c>
      <c r="C39" s="146">
        <f t="shared" si="0"/>
        <v>1.0231459922680009E-3</v>
      </c>
      <c r="E39" s="104">
        <v>6184</v>
      </c>
      <c r="F39" s="146">
        <f t="shared" si="1"/>
        <v>1.1824833345546171E-3</v>
      </c>
      <c r="H39" s="163">
        <f>+'COEF Art 14 F I'!AQ39</f>
        <v>4.4563647935254701E-3</v>
      </c>
      <c r="J39" s="164">
        <f t="shared" si="2"/>
        <v>79791.933614630136</v>
      </c>
      <c r="K39" s="165">
        <f t="shared" si="3"/>
        <v>92218.15111843191</v>
      </c>
      <c r="L39" s="165">
        <f t="shared" si="4"/>
        <v>297889.59022023808</v>
      </c>
      <c r="M39" s="165">
        <f t="shared" si="5"/>
        <v>469899.67495330016</v>
      </c>
      <c r="N39" s="166">
        <f t="shared" si="6"/>
        <v>2.1088797024455585E-3</v>
      </c>
    </row>
    <row r="40" spans="1:14">
      <c r="A40" s="7" t="s">
        <v>33</v>
      </c>
      <c r="B40" s="162">
        <v>79853</v>
      </c>
      <c r="C40" s="146">
        <f t="shared" si="0"/>
        <v>1.5597800099384627E-2</v>
      </c>
      <c r="E40" s="104">
        <v>87455</v>
      </c>
      <c r="F40" s="146">
        <f t="shared" si="1"/>
        <v>1.6722846058129695E-2</v>
      </c>
      <c r="H40" s="163">
        <f>+'COEF Art 14 F I'!AQ40</f>
        <v>1.729421053758437E-2</v>
      </c>
      <c r="J40" s="164">
        <f t="shared" ref="J40:J58" si="7">+C40*J$6</f>
        <v>1216423.3056374686</v>
      </c>
      <c r="K40" s="165">
        <f t="shared" ref="K40:K58" si="8">+F40*K$6</f>
        <v>1304162.0967112649</v>
      </c>
      <c r="L40" s="165">
        <f t="shared" ref="L40:L58" si="9">+H40*L$6</f>
        <v>1156046.5825662182</v>
      </c>
      <c r="M40" s="165">
        <f t="shared" si="5"/>
        <v>3676631.984914952</v>
      </c>
      <c r="N40" s="166">
        <f t="shared" si="6"/>
        <v>1.6500489316405329E-2</v>
      </c>
    </row>
    <row r="41" spans="1:14">
      <c r="A41" s="7" t="s">
        <v>34</v>
      </c>
      <c r="B41" s="162">
        <v>5630</v>
      </c>
      <c r="C41" s="146">
        <f t="shared" si="0"/>
        <v>1.0997159099787792E-3</v>
      </c>
      <c r="E41" s="104">
        <v>5842</v>
      </c>
      <c r="F41" s="146">
        <f t="shared" si="1"/>
        <v>1.1170872639825473E-3</v>
      </c>
      <c r="H41" s="163">
        <f>+'COEF Art 14 F I'!AQ41</f>
        <v>3.9758283923540293E-3</v>
      </c>
      <c r="J41" s="164">
        <f t="shared" si="7"/>
        <v>85763.380345621932</v>
      </c>
      <c r="K41" s="165">
        <f t="shared" si="8"/>
        <v>87118.117534585908</v>
      </c>
      <c r="L41" s="165">
        <f t="shared" si="9"/>
        <v>265767.71549426357</v>
      </c>
      <c r="M41" s="165">
        <f t="shared" si="5"/>
        <v>438649.21337447141</v>
      </c>
      <c r="N41" s="166">
        <f t="shared" si="6"/>
        <v>1.968629628592674E-3</v>
      </c>
    </row>
    <row r="42" spans="1:14">
      <c r="A42" s="7" t="s">
        <v>35</v>
      </c>
      <c r="B42" s="162">
        <v>955</v>
      </c>
      <c r="C42" s="146">
        <f t="shared" si="0"/>
        <v>1.8654150870865615E-4</v>
      </c>
      <c r="E42" s="104">
        <v>806.01252710000017</v>
      </c>
      <c r="F42" s="146">
        <f t="shared" si="1"/>
        <v>1.5412295936901712E-4</v>
      </c>
      <c r="H42" s="163">
        <f>+'COEF Art 14 F I'!AQ42</f>
        <v>3.7981070620343544E-3</v>
      </c>
      <c r="J42" s="164">
        <f t="shared" si="7"/>
        <v>14547.784765553986</v>
      </c>
      <c r="K42" s="165">
        <f t="shared" si="8"/>
        <v>12019.564202370151</v>
      </c>
      <c r="L42" s="165">
        <f t="shared" si="9"/>
        <v>253887.77821012546</v>
      </c>
      <c r="M42" s="165">
        <f t="shared" si="5"/>
        <v>280455.12717804959</v>
      </c>
      <c r="N42" s="166">
        <f t="shared" si="6"/>
        <v>1.2586646824374924E-3</v>
      </c>
    </row>
    <row r="43" spans="1:14">
      <c r="A43" s="7" t="s">
        <v>36</v>
      </c>
      <c r="B43" s="162">
        <v>6996</v>
      </c>
      <c r="C43" s="146">
        <f t="shared" si="0"/>
        <v>1.3665386334301135E-3</v>
      </c>
      <c r="E43" s="104">
        <v>7369</v>
      </c>
      <c r="F43" s="146">
        <f t="shared" si="1"/>
        <v>1.4090749825894199E-3</v>
      </c>
      <c r="H43" s="163">
        <f>+'COEF Art 14 F I'!AQ43</f>
        <v>3.875629917915751E-3</v>
      </c>
      <c r="J43" s="164">
        <f t="shared" si="7"/>
        <v>106572.04420923108</v>
      </c>
      <c r="K43" s="165">
        <f t="shared" si="8"/>
        <v>109889.32011509132</v>
      </c>
      <c r="L43" s="165">
        <f t="shared" si="9"/>
        <v>259069.86110530572</v>
      </c>
      <c r="M43" s="165">
        <f t="shared" si="5"/>
        <v>475531.22542962816</v>
      </c>
      <c r="N43" s="166">
        <f t="shared" si="6"/>
        <v>2.1341537409815627E-3</v>
      </c>
    </row>
    <row r="44" spans="1:14">
      <c r="A44" s="7" t="s">
        <v>37</v>
      </c>
      <c r="B44" s="162">
        <v>5326</v>
      </c>
      <c r="C44" s="146">
        <f t="shared" si="0"/>
        <v>1.0403351574683798E-3</v>
      </c>
      <c r="E44" s="104">
        <v>5759</v>
      </c>
      <c r="F44" s="146">
        <f t="shared" si="1"/>
        <v>1.1012162877910802E-3</v>
      </c>
      <c r="H44" s="163">
        <f>+'COEF Art 14 F I'!AQ44</f>
        <v>4.8879110199705053E-3</v>
      </c>
      <c r="J44" s="164">
        <f t="shared" si="7"/>
        <v>81132.462472607891</v>
      </c>
      <c r="K44" s="165">
        <f t="shared" si="8"/>
        <v>85880.390085874737</v>
      </c>
      <c r="L44" s="165">
        <f t="shared" si="9"/>
        <v>326736.67400107504</v>
      </c>
      <c r="M44" s="165">
        <f t="shared" si="5"/>
        <v>493749.52655955765</v>
      </c>
      <c r="N44" s="166">
        <f t="shared" si="6"/>
        <v>2.2159163118319631E-3</v>
      </c>
    </row>
    <row r="45" spans="1:14">
      <c r="A45" s="7" t="s">
        <v>38</v>
      </c>
      <c r="B45" s="162">
        <v>60829</v>
      </c>
      <c r="C45" s="146">
        <f t="shared" si="0"/>
        <v>1.1881815113339104E-2</v>
      </c>
      <c r="E45" s="104">
        <v>65407</v>
      </c>
      <c r="F45" s="146">
        <f t="shared" si="1"/>
        <v>1.250690288861802E-2</v>
      </c>
      <c r="H45" s="163">
        <f>+'COEF Art 14 F I'!AQ45</f>
        <v>1.223231143562465E-2</v>
      </c>
      <c r="J45" s="164">
        <f t="shared" si="7"/>
        <v>926625.33979464229</v>
      </c>
      <c r="K45" s="165">
        <f t="shared" si="8"/>
        <v>975373.96672109899</v>
      </c>
      <c r="L45" s="165">
        <f t="shared" si="9"/>
        <v>817679.52352075162</v>
      </c>
      <c r="M45" s="165">
        <f t="shared" si="5"/>
        <v>2719678.830036493</v>
      </c>
      <c r="N45" s="166">
        <f t="shared" si="6"/>
        <v>1.2205744731372392E-2</v>
      </c>
    </row>
    <row r="46" spans="1:14">
      <c r="A46" s="7" t="s">
        <v>39</v>
      </c>
      <c r="B46" s="162">
        <v>1109171</v>
      </c>
      <c r="C46" s="146">
        <f t="shared" si="0"/>
        <v>0.21665594948260614</v>
      </c>
      <c r="E46" s="104">
        <v>1204766</v>
      </c>
      <c r="F46" s="146">
        <f t="shared" si="1"/>
        <v>0.23037123496733955</v>
      </c>
      <c r="H46" s="163">
        <f>+'COEF Art 14 F I'!AQ46</f>
        <v>0.29368603731499415</v>
      </c>
      <c r="J46" s="164">
        <f t="shared" si="7"/>
        <v>16896315.15831862</v>
      </c>
      <c r="K46" s="165">
        <f t="shared" si="8"/>
        <v>17965927.077999473</v>
      </c>
      <c r="L46" s="165">
        <f t="shared" si="9"/>
        <v>19631699.235276964</v>
      </c>
      <c r="M46" s="165">
        <f t="shared" si="5"/>
        <v>54493941.471595064</v>
      </c>
      <c r="N46" s="166">
        <f t="shared" si="6"/>
        <v>0.24456532575197934</v>
      </c>
    </row>
    <row r="47" spans="1:14">
      <c r="A47" s="7" t="s">
        <v>40</v>
      </c>
      <c r="B47" s="162">
        <v>971</v>
      </c>
      <c r="C47" s="146">
        <f t="shared" si="0"/>
        <v>1.8966681147236138E-4</v>
      </c>
      <c r="E47" s="104">
        <v>1124</v>
      </c>
      <c r="F47" s="146">
        <f t="shared" si="1"/>
        <v>2.1492743661697761E-4</v>
      </c>
      <c r="H47" s="163">
        <f>+'COEF Art 14 F I'!AQ47</f>
        <v>1.033853068823747E-3</v>
      </c>
      <c r="J47" s="164">
        <f t="shared" si="7"/>
        <v>14791.517285186304</v>
      </c>
      <c r="K47" s="165">
        <f t="shared" si="8"/>
        <v>16761.513883751206</v>
      </c>
      <c r="L47" s="165">
        <f t="shared" si="9"/>
        <v>69108.809823488555</v>
      </c>
      <c r="M47" s="165">
        <f t="shared" si="5"/>
        <v>100661.84099242606</v>
      </c>
      <c r="N47" s="166">
        <f t="shared" si="6"/>
        <v>4.5176390747839288E-4</v>
      </c>
    </row>
    <row r="48" spans="1:14">
      <c r="A48" s="7" t="s">
        <v>41</v>
      </c>
      <c r="B48" s="162">
        <v>87168</v>
      </c>
      <c r="C48" s="146">
        <f t="shared" si="0"/>
        <v>1.7026649456666116E-2</v>
      </c>
      <c r="E48" s="104">
        <v>29363</v>
      </c>
      <c r="F48" s="146">
        <f t="shared" si="1"/>
        <v>5.6146924567476103E-3</v>
      </c>
      <c r="H48" s="163">
        <f>+'COEF Art 14 F I'!AQ48</f>
        <v>3.7586261660860982E-3</v>
      </c>
      <c r="J48" s="164">
        <f t="shared" si="7"/>
        <v>1327854.766956869</v>
      </c>
      <c r="K48" s="165">
        <f t="shared" si="8"/>
        <v>437872.18164465012</v>
      </c>
      <c r="L48" s="165">
        <f t="shared" si="9"/>
        <v>251248.64329625102</v>
      </c>
      <c r="M48" s="165">
        <f t="shared" si="5"/>
        <v>2016975.5918977703</v>
      </c>
      <c r="N48" s="166">
        <f t="shared" si="6"/>
        <v>9.0520575195206371E-3</v>
      </c>
    </row>
    <row r="49" spans="1:14">
      <c r="A49" s="7" t="s">
        <v>42</v>
      </c>
      <c r="B49" s="162">
        <v>4469</v>
      </c>
      <c r="C49" s="146">
        <f t="shared" si="0"/>
        <v>8.7293612818741819E-4</v>
      </c>
      <c r="E49" s="104">
        <v>5064</v>
      </c>
      <c r="F49" s="146">
        <f t="shared" si="1"/>
        <v>9.6832076426011976E-4</v>
      </c>
      <c r="H49" s="163">
        <f>+'COEF Art 14 F I'!AQ49</f>
        <v>1.9674008609886981E-3</v>
      </c>
      <c r="J49" s="164">
        <f t="shared" si="7"/>
        <v>68077.539389801852</v>
      </c>
      <c r="K49" s="165">
        <f t="shared" si="8"/>
        <v>75516.286750281244</v>
      </c>
      <c r="L49" s="165">
        <f t="shared" si="9"/>
        <v>131512.62597046571</v>
      </c>
      <c r="M49" s="165">
        <f t="shared" si="5"/>
        <v>275106.45211054879</v>
      </c>
      <c r="N49" s="166">
        <f t="shared" si="6"/>
        <v>1.2346601706532481E-3</v>
      </c>
    </row>
    <row r="50" spans="1:14">
      <c r="A50" s="7" t="s">
        <v>43</v>
      </c>
      <c r="B50" s="162">
        <v>2640</v>
      </c>
      <c r="C50" s="146">
        <f t="shared" si="0"/>
        <v>5.1567495601136364E-4</v>
      </c>
      <c r="E50" s="104">
        <v>2757</v>
      </c>
      <c r="F50" s="146">
        <f t="shared" si="1"/>
        <v>5.2718411276957947E-4</v>
      </c>
      <c r="H50" s="163">
        <f>+'COEF Art 14 F I'!AQ50</f>
        <v>3.2387429428160251E-3</v>
      </c>
      <c r="J50" s="164">
        <f t="shared" si="7"/>
        <v>40215.86573933249</v>
      </c>
      <c r="K50" s="165">
        <f t="shared" si="8"/>
        <v>41113.428627670895</v>
      </c>
      <c r="L50" s="165">
        <f t="shared" si="9"/>
        <v>216496.59593978195</v>
      </c>
      <c r="M50" s="165">
        <f t="shared" si="5"/>
        <v>297825.89030678535</v>
      </c>
      <c r="N50" s="166">
        <f t="shared" si="6"/>
        <v>1.336623556918138E-3</v>
      </c>
    </row>
    <row r="51" spans="1:14">
      <c r="A51" s="7" t="s">
        <v>44</v>
      </c>
      <c r="B51" s="162">
        <v>35456</v>
      </c>
      <c r="C51" s="146">
        <f t="shared" si="0"/>
        <v>6.9256709243707987E-3</v>
      </c>
      <c r="E51" s="104">
        <v>38078</v>
      </c>
      <c r="F51" s="146">
        <f t="shared" si="1"/>
        <v>7.2811449568516672E-3</v>
      </c>
      <c r="H51" s="163">
        <f>+'COEF Art 14 F I'!AQ51</f>
        <v>5.7081558849902481E-3</v>
      </c>
      <c r="J51" s="164">
        <f t="shared" si="7"/>
        <v>540111.26350521692</v>
      </c>
      <c r="K51" s="165">
        <f t="shared" si="8"/>
        <v>567833.56375932251</v>
      </c>
      <c r="L51" s="165">
        <f t="shared" si="9"/>
        <v>381566.65719185513</v>
      </c>
      <c r="M51" s="165">
        <f t="shared" si="5"/>
        <v>1489511.4844563946</v>
      </c>
      <c r="N51" s="166">
        <f t="shared" si="6"/>
        <v>6.6848323239249397E-3</v>
      </c>
    </row>
    <row r="52" spans="1:14">
      <c r="A52" s="7" t="s">
        <v>45</v>
      </c>
      <c r="B52" s="162">
        <v>54192</v>
      </c>
      <c r="C52" s="146">
        <f t="shared" si="0"/>
        <v>1.0585400460669627E-2</v>
      </c>
      <c r="E52" s="104">
        <v>37492</v>
      </c>
      <c r="F52" s="146">
        <f t="shared" si="1"/>
        <v>7.1690920406082964E-3</v>
      </c>
      <c r="H52" s="163">
        <f>+'COEF Art 14 F I'!AQ52</f>
        <v>7.3452931609932041E-3</v>
      </c>
      <c r="J52" s="164">
        <f t="shared" si="7"/>
        <v>825522.04399466142</v>
      </c>
      <c r="K52" s="165">
        <f t="shared" si="8"/>
        <v>559094.90972384368</v>
      </c>
      <c r="L52" s="165">
        <f t="shared" si="9"/>
        <v>491002.52586026915</v>
      </c>
      <c r="M52" s="165">
        <f t="shared" si="5"/>
        <v>1875619.4795787742</v>
      </c>
      <c r="N52" s="166">
        <f t="shared" si="6"/>
        <v>8.4176603237452376E-3</v>
      </c>
    </row>
    <row r="53" spans="1:14">
      <c r="A53" s="7" t="s">
        <v>46</v>
      </c>
      <c r="B53" s="162">
        <v>430143</v>
      </c>
      <c r="C53" s="146">
        <f t="shared" si="0"/>
        <v>8.4020444168028771E-2</v>
      </c>
      <c r="E53" s="104">
        <v>455788</v>
      </c>
      <c r="F53" s="146">
        <f t="shared" si="1"/>
        <v>8.7154222847668147E-2</v>
      </c>
      <c r="H53" s="163">
        <f>+'COEF Art 14 F I'!AQ53</f>
        <v>6.4592807875409164E-2</v>
      </c>
      <c r="J53" s="164">
        <f t="shared" si="7"/>
        <v>6552489.824512762</v>
      </c>
      <c r="K53" s="165">
        <f t="shared" si="8"/>
        <v>6796883.3541345159</v>
      </c>
      <c r="L53" s="165">
        <f t="shared" si="9"/>
        <v>4317762.562242589</v>
      </c>
      <c r="M53" s="165">
        <f t="shared" si="5"/>
        <v>17667135.740889866</v>
      </c>
      <c r="N53" s="166">
        <f t="shared" si="6"/>
        <v>7.9288975818116683E-2</v>
      </c>
    </row>
    <row r="54" spans="1:14">
      <c r="A54" s="7" t="s">
        <v>47</v>
      </c>
      <c r="B54" s="162">
        <v>123156</v>
      </c>
      <c r="C54" s="146">
        <f t="shared" si="0"/>
        <v>2.4056236697930111E-2</v>
      </c>
      <c r="E54" s="104">
        <v>133819</v>
      </c>
      <c r="F54" s="146">
        <f t="shared" si="1"/>
        <v>2.55884116019994E-2</v>
      </c>
      <c r="H54" s="163">
        <f>+'COEF Art 14 F I'!AQ54</f>
        <v>0.14491539303297851</v>
      </c>
      <c r="J54" s="164">
        <f t="shared" si="7"/>
        <v>1876070.1367398605</v>
      </c>
      <c r="K54" s="165">
        <f t="shared" si="8"/>
        <v>1995559.632037102</v>
      </c>
      <c r="L54" s="165">
        <f t="shared" si="9"/>
        <v>9686995.8020307161</v>
      </c>
      <c r="M54" s="165">
        <f t="shared" si="5"/>
        <v>13558625.570807679</v>
      </c>
      <c r="N54" s="166">
        <f t="shared" si="6"/>
        <v>6.0850244814868899E-2</v>
      </c>
    </row>
    <row r="55" spans="1:14">
      <c r="A55" s="7" t="s">
        <v>48</v>
      </c>
      <c r="B55" s="162">
        <v>296954</v>
      </c>
      <c r="C55" s="146">
        <f t="shared" si="0"/>
        <v>5.8004447305832756E-2</v>
      </c>
      <c r="E55" s="104">
        <v>292701</v>
      </c>
      <c r="F55" s="146">
        <f t="shared" si="1"/>
        <v>5.5969284364080038E-2</v>
      </c>
      <c r="H55" s="163">
        <f>+'COEF Art 14 F I'!AQ55</f>
        <v>3.7401000040559566E-2</v>
      </c>
      <c r="J55" s="164">
        <f t="shared" si="7"/>
        <v>4523584.1646809625</v>
      </c>
      <c r="K55" s="165">
        <f t="shared" si="8"/>
        <v>4364868.2164482763</v>
      </c>
      <c r="L55" s="165">
        <f t="shared" si="9"/>
        <v>2500102.4584200075</v>
      </c>
      <c r="M55" s="165">
        <f t="shared" si="5"/>
        <v>11388554.839549247</v>
      </c>
      <c r="N55" s="166">
        <f t="shared" si="6"/>
        <v>5.1111106096637368E-2</v>
      </c>
    </row>
    <row r="56" spans="1:14">
      <c r="A56" s="7" t="s">
        <v>49</v>
      </c>
      <c r="B56" s="162">
        <v>42407</v>
      </c>
      <c r="C56" s="146">
        <f t="shared" si="0"/>
        <v>8.2834196437779912E-3</v>
      </c>
      <c r="E56" s="104">
        <v>44100</v>
      </c>
      <c r="F56" s="146">
        <f t="shared" si="1"/>
        <v>8.43265120534583E-3</v>
      </c>
      <c r="H56" s="163">
        <f>+'COEF Art 14 F I'!AQ56</f>
        <v>1.3487146541778345E-2</v>
      </c>
      <c r="J56" s="164">
        <f t="shared" si="7"/>
        <v>645997.81000298215</v>
      </c>
      <c r="K56" s="165">
        <f t="shared" si="8"/>
        <v>657635.90949593263</v>
      </c>
      <c r="L56" s="165">
        <f t="shared" si="9"/>
        <v>901560.07030838891</v>
      </c>
      <c r="M56" s="165">
        <f t="shared" si="5"/>
        <v>2205193.7898073038</v>
      </c>
      <c r="N56" s="166">
        <f t="shared" si="6"/>
        <v>9.8967687597268442E-3</v>
      </c>
    </row>
    <row r="57" spans="1:14">
      <c r="A57" s="7" t="s">
        <v>50</v>
      </c>
      <c r="B57" s="162">
        <v>1632</v>
      </c>
      <c r="C57" s="146">
        <f t="shared" si="0"/>
        <v>3.1878088189793386E-4</v>
      </c>
      <c r="E57" s="104">
        <v>2092</v>
      </c>
      <c r="F57" s="146">
        <f t="shared" si="1"/>
        <v>4.0002508665722169E-4</v>
      </c>
      <c r="H57" s="163">
        <f>+'COEF Art 14 F I'!AQ57</f>
        <v>1.787064363208399E-3</v>
      </c>
      <c r="J57" s="164">
        <f t="shared" si="7"/>
        <v>24860.717002496447</v>
      </c>
      <c r="K57" s="165">
        <f t="shared" si="8"/>
        <v>31196.69665908143</v>
      </c>
      <c r="L57" s="165">
        <f t="shared" si="9"/>
        <v>119457.87553720338</v>
      </c>
      <c r="M57" s="165">
        <f t="shared" si="5"/>
        <v>175515.28919878125</v>
      </c>
      <c r="N57" s="166">
        <f t="shared" si="6"/>
        <v>7.8770139795682431E-4</v>
      </c>
    </row>
    <row r="58" spans="1:14">
      <c r="A58" s="7" t="s">
        <v>51</v>
      </c>
      <c r="B58" s="162">
        <v>4080</v>
      </c>
      <c r="C58" s="146">
        <f t="shared" si="0"/>
        <v>7.9695220474483466E-4</v>
      </c>
      <c r="E58" s="104">
        <v>4242</v>
      </c>
      <c r="F58" s="146">
        <f t="shared" si="1"/>
        <v>8.111407349904084E-4</v>
      </c>
      <c r="H58" s="163">
        <f>+'COEF Art 14 F I'!AQ58</f>
        <v>1.2476539139612316E-3</v>
      </c>
      <c r="J58" s="164">
        <f t="shared" si="7"/>
        <v>62151.792506241116</v>
      </c>
      <c r="K58" s="165">
        <f t="shared" si="8"/>
        <v>63258.311294370666</v>
      </c>
      <c r="L58" s="165">
        <f t="shared" si="9"/>
        <v>83400.513734101507</v>
      </c>
      <c r="M58" s="165">
        <f t="shared" si="5"/>
        <v>208810.6175347133</v>
      </c>
      <c r="N58" s="166">
        <f t="shared" si="6"/>
        <v>9.3712870309570488E-4</v>
      </c>
    </row>
    <row r="59" spans="1:14" ht="13.5" thickBot="1">
      <c r="A59" s="11" t="s">
        <v>52</v>
      </c>
      <c r="B59" s="167">
        <f>SUM(B8:B58)</f>
        <v>5119504</v>
      </c>
      <c r="C59" s="147">
        <f>SUM(C8:C58)</f>
        <v>0.99999999999999989</v>
      </c>
      <c r="E59" s="168">
        <f>SUM(E8:E58)</f>
        <v>5229672.0125270998</v>
      </c>
      <c r="F59" s="147">
        <f t="shared" si="1"/>
        <v>1</v>
      </c>
      <c r="H59" s="169">
        <f>SUM(H8:H58)</f>
        <v>0.99999999999999989</v>
      </c>
      <c r="J59" s="170">
        <f>SUM(J8:J58)</f>
        <v>77986850.574233204</v>
      </c>
      <c r="K59" s="171">
        <f>SUM(K8:K58)</f>
        <v>77986850.574233204</v>
      </c>
      <c r="L59" s="171">
        <f>SUM(L8:L58)</f>
        <v>66845871.920771316</v>
      </c>
      <c r="M59" s="171">
        <f>SUM(M8:M58)</f>
        <v>222819573.06923762</v>
      </c>
      <c r="N59" s="172">
        <f>SUM(N8:N58)</f>
        <v>1.0000000000000002</v>
      </c>
    </row>
    <row r="60" spans="1:14" ht="13.5" thickTop="1"/>
    <row r="61" spans="1:14" ht="15.75" customHeight="1">
      <c r="A61" s="25" t="s">
        <v>97</v>
      </c>
    </row>
    <row r="62" spans="1:14">
      <c r="A62" s="25" t="s">
        <v>187</v>
      </c>
    </row>
    <row r="63" spans="1:14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zoomScale="130" zoomScaleNormal="130" zoomScaleSheetLayoutView="100" workbookViewId="0">
      <selection activeCell="R4" sqref="R4"/>
    </sheetView>
  </sheetViews>
  <sheetFormatPr baseColWidth="10" defaultColWidth="11.42578125" defaultRowHeight="12.75"/>
  <cols>
    <col min="1" max="1" width="61.140625" style="176" customWidth="1"/>
    <col min="2" max="7" width="14.140625" style="176" bestFit="1" customWidth="1"/>
    <col min="8" max="8" width="14.28515625" style="176" bestFit="1" customWidth="1"/>
    <col min="9" max="9" width="14.140625" style="176" bestFit="1" customWidth="1"/>
    <col min="10" max="14" width="13.28515625" style="176" bestFit="1" customWidth="1"/>
    <col min="15" max="15" width="14.28515625" style="176" bestFit="1" customWidth="1"/>
    <col min="16" max="18" width="14.42578125" style="176" customWidth="1"/>
    <col min="19" max="19" width="11.42578125" style="176"/>
    <col min="20" max="20" width="12.7109375" style="176" bestFit="1" customWidth="1"/>
    <col min="21" max="16384" width="11.42578125" style="176"/>
  </cols>
  <sheetData>
    <row r="1" spans="1:20" ht="27.75" customHeight="1">
      <c r="A1" s="227" t="s">
        <v>210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3" spans="1:20" ht="25.5">
      <c r="A3" s="177" t="s">
        <v>143</v>
      </c>
      <c r="B3" s="177" t="s">
        <v>172</v>
      </c>
      <c r="C3" s="177" t="s">
        <v>173</v>
      </c>
      <c r="D3" s="177" t="s">
        <v>174</v>
      </c>
      <c r="E3" s="177" t="s">
        <v>175</v>
      </c>
      <c r="F3" s="177" t="s">
        <v>176</v>
      </c>
      <c r="G3" s="177" t="s">
        <v>177</v>
      </c>
      <c r="H3" s="177" t="s">
        <v>178</v>
      </c>
      <c r="I3" s="177" t="s">
        <v>179</v>
      </c>
      <c r="J3" s="177" t="s">
        <v>180</v>
      </c>
      <c r="K3" s="177" t="s">
        <v>181</v>
      </c>
      <c r="L3" s="177" t="s">
        <v>182</v>
      </c>
      <c r="M3" s="177" t="s">
        <v>183</v>
      </c>
      <c r="N3" s="177" t="s">
        <v>184</v>
      </c>
      <c r="O3" s="177" t="s">
        <v>185</v>
      </c>
      <c r="P3" s="177" t="s">
        <v>211</v>
      </c>
      <c r="Q3" s="177" t="s">
        <v>145</v>
      </c>
      <c r="R3" s="177" t="s">
        <v>144</v>
      </c>
    </row>
    <row r="4" spans="1:20" ht="25.5" customHeight="1">
      <c r="A4" s="178" t="s">
        <v>146</v>
      </c>
      <c r="B4" s="209">
        <v>2098863055</v>
      </c>
      <c r="C4" s="209">
        <v>2637188791</v>
      </c>
      <c r="D4" s="209">
        <v>2183972563</v>
      </c>
      <c r="E4" s="209">
        <v>2333082754</v>
      </c>
      <c r="F4" s="209">
        <v>2347089014.3668742</v>
      </c>
      <c r="G4" s="209">
        <v>2771412479.831687</v>
      </c>
      <c r="H4" s="201">
        <f>SUM(B4:G4)</f>
        <v>14371608657.198563</v>
      </c>
      <c r="I4" s="203">
        <v>2195675450.3831558</v>
      </c>
      <c r="J4" s="201">
        <v>2443569763.9543929</v>
      </c>
      <c r="K4" s="201">
        <v>2180339735.6604309</v>
      </c>
      <c r="L4" s="201">
        <v>1546959255.3447921</v>
      </c>
      <c r="M4" s="201">
        <v>1970012275.9083912</v>
      </c>
      <c r="N4" s="201">
        <v>2009580333.760607</v>
      </c>
      <c r="O4" s="201">
        <f>SUM(I4:N4)</f>
        <v>12346136815.01177</v>
      </c>
      <c r="P4" s="201">
        <f>+O4+H4</f>
        <v>26717745472.210335</v>
      </c>
      <c r="Q4" s="180">
        <v>20</v>
      </c>
      <c r="R4" s="201">
        <f>+Q4/100*P4</f>
        <v>5343549094.4420671</v>
      </c>
    </row>
    <row r="5" spans="1:20" ht="25.5" customHeight="1">
      <c r="A5" s="178" t="s">
        <v>147</v>
      </c>
      <c r="B5" s="209">
        <v>56570021</v>
      </c>
      <c r="C5" s="209">
        <v>77785870</v>
      </c>
      <c r="D5" s="209">
        <v>59540420</v>
      </c>
      <c r="E5" s="209">
        <v>64784001</v>
      </c>
      <c r="F5" s="209">
        <v>75879497.358228773</v>
      </c>
      <c r="G5" s="209">
        <v>81644800.460300356</v>
      </c>
      <c r="H5" s="201">
        <f t="shared" ref="H5:H10" si="0">SUM(B5:G5)</f>
        <v>416204609.81852913</v>
      </c>
      <c r="I5" s="201">
        <v>59878147.405318089</v>
      </c>
      <c r="J5" s="201">
        <v>66638459.930727251</v>
      </c>
      <c r="K5" s="201">
        <v>59459927.951904334</v>
      </c>
      <c r="L5" s="201">
        <v>42187042.855260029</v>
      </c>
      <c r="M5" s="201">
        <v>53724099.081466757</v>
      </c>
      <c r="N5" s="201">
        <v>54803157.464254469</v>
      </c>
      <c r="O5" s="201">
        <f t="shared" ref="O5:O10" si="1">SUM(I5:N5)</f>
        <v>336690834.68893087</v>
      </c>
      <c r="P5" s="201">
        <f t="shared" ref="P5:P10" si="2">+O5+H5</f>
        <v>752895444.50746</v>
      </c>
      <c r="Q5" s="180">
        <v>100</v>
      </c>
      <c r="R5" s="201">
        <f t="shared" ref="R5:R7" si="3">+Q5/100*P5</f>
        <v>752895444.50746</v>
      </c>
    </row>
    <row r="6" spans="1:20" ht="25.5" customHeight="1">
      <c r="A6" s="178" t="s">
        <v>148</v>
      </c>
      <c r="B6" s="209">
        <v>77438613</v>
      </c>
      <c r="C6" s="209">
        <v>82987317</v>
      </c>
      <c r="D6" s="209">
        <v>128791591</v>
      </c>
      <c r="E6" s="209">
        <v>64891310</v>
      </c>
      <c r="F6" s="209">
        <v>92807724.039687663</v>
      </c>
      <c r="G6" s="221">
        <v>-14775307.02792877</v>
      </c>
      <c r="H6" s="201">
        <f t="shared" si="0"/>
        <v>432141248.01175886</v>
      </c>
      <c r="I6" s="201">
        <v>97175060.837226644</v>
      </c>
      <c r="J6" s="201">
        <v>108146238.29347765</v>
      </c>
      <c r="K6" s="201">
        <v>96496340.760038957</v>
      </c>
      <c r="L6" s="201">
        <v>68464517.251221448</v>
      </c>
      <c r="M6" s="201">
        <v>87187777.559782207</v>
      </c>
      <c r="N6" s="201">
        <v>88938960.061881512</v>
      </c>
      <c r="O6" s="201">
        <f t="shared" si="1"/>
        <v>546408894.76362836</v>
      </c>
      <c r="P6" s="201">
        <f t="shared" si="2"/>
        <v>978550142.77538729</v>
      </c>
      <c r="Q6" s="180">
        <v>20</v>
      </c>
      <c r="R6" s="201">
        <f t="shared" si="3"/>
        <v>195710028.55507746</v>
      </c>
    </row>
    <row r="7" spans="1:20" ht="25.5" customHeight="1">
      <c r="A7" s="178" t="s">
        <v>151</v>
      </c>
      <c r="B7" s="209">
        <v>118965952.88081867</v>
      </c>
      <c r="C7" s="209">
        <v>75298111</v>
      </c>
      <c r="D7" s="209">
        <v>75298111</v>
      </c>
      <c r="E7" s="209">
        <v>182129074</v>
      </c>
      <c r="F7" s="209">
        <v>72912597.560246944</v>
      </c>
      <c r="G7" s="209">
        <v>75298111</v>
      </c>
      <c r="H7" s="201">
        <f t="shared" si="0"/>
        <v>599901957.44106555</v>
      </c>
      <c r="I7" s="201">
        <v>100511544.17960002</v>
      </c>
      <c r="J7" s="201">
        <v>111859414.48804609</v>
      </c>
      <c r="K7" s="201">
        <v>99809520.404815838</v>
      </c>
      <c r="L7" s="201">
        <v>70815230.689260542</v>
      </c>
      <c r="M7" s="201">
        <v>90181349.830079451</v>
      </c>
      <c r="N7" s="201">
        <v>91992658.780234143</v>
      </c>
      <c r="O7" s="201">
        <f t="shared" si="1"/>
        <v>565169718.3720361</v>
      </c>
      <c r="P7" s="201">
        <f t="shared" si="2"/>
        <v>1165071675.8131018</v>
      </c>
      <c r="Q7" s="180">
        <v>20</v>
      </c>
      <c r="R7" s="201">
        <f t="shared" si="3"/>
        <v>233014335.16262037</v>
      </c>
    </row>
    <row r="8" spans="1:20" ht="25.5" customHeight="1">
      <c r="A8" s="178" t="s">
        <v>153</v>
      </c>
      <c r="B8" s="209">
        <v>9462297</v>
      </c>
      <c r="C8" s="209">
        <v>9349182</v>
      </c>
      <c r="D8" s="209">
        <v>8386916</v>
      </c>
      <c r="E8" s="209">
        <v>9239103</v>
      </c>
      <c r="F8" s="209">
        <v>9091621.937570909</v>
      </c>
      <c r="G8" s="209">
        <v>8599674.0186194144</v>
      </c>
      <c r="H8" s="201">
        <f t="shared" si="0"/>
        <v>54128793.956190318</v>
      </c>
      <c r="I8" s="201">
        <v>9242661.409177741</v>
      </c>
      <c r="J8" s="201">
        <v>10286168.638445003</v>
      </c>
      <c r="K8" s="201">
        <v>9178105.9583140183</v>
      </c>
      <c r="L8" s="201">
        <v>6511900.7494712258</v>
      </c>
      <c r="M8" s="201">
        <v>8292735.8116462464</v>
      </c>
      <c r="N8" s="201">
        <v>8459296.9312702641</v>
      </c>
      <c r="O8" s="201">
        <f t="shared" si="1"/>
        <v>51970869.498324499</v>
      </c>
      <c r="P8" s="201">
        <f t="shared" si="2"/>
        <v>106099663.45451482</v>
      </c>
      <c r="Q8" s="180">
        <v>20</v>
      </c>
      <c r="R8" s="201">
        <f>+Q8/100*P8</f>
        <v>21219932.690902963</v>
      </c>
    </row>
    <row r="9" spans="1:20" ht="25.5" customHeight="1">
      <c r="A9" s="178" t="s">
        <v>152</v>
      </c>
      <c r="B9" s="209">
        <f>84739453+13678356</f>
        <v>98417809</v>
      </c>
      <c r="C9" s="209">
        <f>85966401+14541786</f>
        <v>100508187</v>
      </c>
      <c r="D9" s="209">
        <f>86075485+14541786</f>
        <v>100617271</v>
      </c>
      <c r="E9" s="209">
        <f>61022055+14541786</f>
        <v>75563841</v>
      </c>
      <c r="F9" s="209">
        <f>80064036+14541786</f>
        <v>94605822</v>
      </c>
      <c r="G9" s="209">
        <f>69923930+14541786</f>
        <v>84465716</v>
      </c>
      <c r="H9" s="201">
        <f t="shared" si="0"/>
        <v>554178646</v>
      </c>
      <c r="I9" s="201">
        <v>79794682.8300028</v>
      </c>
      <c r="J9" s="201">
        <v>88803595.382778421</v>
      </c>
      <c r="K9" s="201">
        <v>79237356.15767619</v>
      </c>
      <c r="L9" s="201">
        <v>56219202.664781027</v>
      </c>
      <c r="M9" s="201">
        <v>71593688.721113354</v>
      </c>
      <c r="N9" s="201">
        <v>73031661.089008525</v>
      </c>
      <c r="O9" s="201">
        <f t="shared" si="1"/>
        <v>448680186.84536034</v>
      </c>
      <c r="P9" s="201">
        <f t="shared" si="2"/>
        <v>1002858832.8453603</v>
      </c>
      <c r="Q9" s="180">
        <v>20</v>
      </c>
      <c r="R9" s="201">
        <f t="shared" ref="R9" si="4">+Q9/100*P9</f>
        <v>200571766.56907207</v>
      </c>
      <c r="T9" s="206">
        <f>SUM(R4:R9)</f>
        <v>6746960601.9271994</v>
      </c>
    </row>
    <row r="10" spans="1:20" ht="25.5" customHeight="1">
      <c r="A10" s="178" t="s">
        <v>165</v>
      </c>
      <c r="B10" s="209">
        <v>99814605</v>
      </c>
      <c r="C10" s="209">
        <v>102258965</v>
      </c>
      <c r="D10" s="209">
        <v>95572178</v>
      </c>
      <c r="E10" s="209">
        <v>66175746</v>
      </c>
      <c r="F10" s="209">
        <v>103926768.54545453</v>
      </c>
      <c r="G10" s="209">
        <v>93664282.909090906</v>
      </c>
      <c r="H10" s="201">
        <f t="shared" si="0"/>
        <v>561412545.45454538</v>
      </c>
      <c r="I10" s="201">
        <v>98291279.843725353</v>
      </c>
      <c r="J10" s="201">
        <v>109388479.72481284</v>
      </c>
      <c r="K10" s="201">
        <v>97604763.52495344</v>
      </c>
      <c r="L10" s="201">
        <v>69250947.378130063</v>
      </c>
      <c r="M10" s="201">
        <v>88189275.82083942</v>
      </c>
      <c r="N10" s="201">
        <v>89960573.59918192</v>
      </c>
      <c r="O10" s="201">
        <f t="shared" si="1"/>
        <v>552685319.89164305</v>
      </c>
      <c r="P10" s="201">
        <f t="shared" si="2"/>
        <v>1114097865.3461885</v>
      </c>
      <c r="Q10" s="180">
        <v>20</v>
      </c>
      <c r="R10" s="201">
        <f>+Q10/100*P10</f>
        <v>222819573.06923771</v>
      </c>
    </row>
    <row r="11" spans="1:20" ht="25.5" customHeight="1">
      <c r="A11" s="200" t="s">
        <v>53</v>
      </c>
      <c r="B11" s="202">
        <f t="shared" ref="B11:G11" si="5">SUM(B4:B10)</f>
        <v>2559532352.8808188</v>
      </c>
      <c r="C11" s="202">
        <f t="shared" si="5"/>
        <v>3085376423</v>
      </c>
      <c r="D11" s="202">
        <f t="shared" si="5"/>
        <v>2652179050</v>
      </c>
      <c r="E11" s="202">
        <f t="shared" si="5"/>
        <v>2795865829</v>
      </c>
      <c r="F11" s="202">
        <f t="shared" si="5"/>
        <v>2796313045.808063</v>
      </c>
      <c r="G11" s="202">
        <f t="shared" si="5"/>
        <v>3100309757.1917691</v>
      </c>
      <c r="H11" s="204">
        <f t="shared" ref="H11" si="6">SUM(A11:G11)</f>
        <v>16989576457.880651</v>
      </c>
      <c r="I11" s="202">
        <f>SUM(I4:I10)</f>
        <v>2640568826.888207</v>
      </c>
      <c r="J11" s="202">
        <f t="shared" ref="J11:O11" si="7">SUM(J4:J10)</f>
        <v>2938692120.4126806</v>
      </c>
      <c r="K11" s="202">
        <f t="shared" si="7"/>
        <v>2622125750.4181333</v>
      </c>
      <c r="L11" s="202">
        <f t="shared" si="7"/>
        <v>1860408096.9329164</v>
      </c>
      <c r="M11" s="202">
        <f t="shared" si="7"/>
        <v>2369181202.7333188</v>
      </c>
      <c r="N11" s="202">
        <f t="shared" si="7"/>
        <v>2416766641.6864376</v>
      </c>
      <c r="O11" s="202">
        <f t="shared" si="7"/>
        <v>14847742639.071693</v>
      </c>
      <c r="P11" s="202">
        <f>SUM(P4:P10)</f>
        <v>31837319096.952347</v>
      </c>
      <c r="Q11" s="202"/>
      <c r="R11" s="202">
        <f t="shared" ref="R11" si="8">SUM(R4:R10)</f>
        <v>6969780174.9964371</v>
      </c>
    </row>
    <row r="12" spans="1:20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  <c r="Q12" s="183"/>
      <c r="R12" s="182"/>
    </row>
    <row r="13" spans="1:20">
      <c r="A13" s="184" t="s">
        <v>149</v>
      </c>
      <c r="B13" s="184"/>
      <c r="C13" s="184"/>
      <c r="D13" s="184"/>
      <c r="E13" s="184"/>
      <c r="F13" s="184"/>
      <c r="G13" s="184"/>
      <c r="H13" s="184"/>
      <c r="I13" s="205"/>
      <c r="J13" s="205"/>
      <c r="K13" s="205"/>
      <c r="L13" s="205"/>
      <c r="M13" s="205"/>
      <c r="N13" s="205"/>
      <c r="O13" s="184"/>
    </row>
    <row r="14" spans="1:20">
      <c r="I14" s="206"/>
      <c r="J14" s="206"/>
      <c r="K14" s="206"/>
      <c r="L14" s="206"/>
      <c r="M14" s="206"/>
      <c r="N14" s="206"/>
    </row>
    <row r="15" spans="1:20">
      <c r="I15" s="206"/>
      <c r="J15" s="206"/>
      <c r="K15" s="206"/>
      <c r="L15" s="206"/>
      <c r="M15" s="206"/>
      <c r="N15" s="206"/>
      <c r="R15" s="206"/>
    </row>
  </sheetData>
  <mergeCells count="1">
    <mergeCell ref="A1:R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8" sqref="B8"/>
    </sheetView>
  </sheetViews>
  <sheetFormatPr baseColWidth="10" defaultColWidth="9.7109375" defaultRowHeight="12.75"/>
  <cols>
    <col min="1" max="1" width="27" style="1" customWidth="1"/>
    <col min="2" max="2" width="15.42578125" style="1" customWidth="1"/>
    <col min="3" max="3" width="15.5703125" style="1" customWidth="1"/>
    <col min="4" max="4" width="15.85546875" style="1" customWidth="1"/>
    <col min="5" max="5" width="12.140625" style="1" customWidth="1"/>
    <col min="6" max="6" width="8.85546875" style="1" customWidth="1"/>
    <col min="7" max="7" width="16.285156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5.28515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>
      <c r="A1" s="237" t="s">
        <v>209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8.25" customHeight="1" thickBot="1">
      <c r="B2" s="108"/>
    </row>
    <row r="3" spans="1:14" ht="69" customHeight="1" thickBot="1">
      <c r="A3" s="241" t="s">
        <v>0</v>
      </c>
      <c r="B3" s="239" t="s">
        <v>195</v>
      </c>
      <c r="C3" s="239" t="s">
        <v>196</v>
      </c>
      <c r="D3" s="239" t="s">
        <v>197</v>
      </c>
      <c r="E3" s="244" t="s">
        <v>198</v>
      </c>
      <c r="F3" s="245"/>
      <c r="G3" s="141" t="s">
        <v>199</v>
      </c>
      <c r="H3" s="239" t="s">
        <v>200</v>
      </c>
      <c r="I3" s="239" t="s">
        <v>201</v>
      </c>
      <c r="J3" s="239" t="s">
        <v>202</v>
      </c>
      <c r="K3" s="174" t="s">
        <v>203</v>
      </c>
      <c r="L3" s="239" t="s">
        <v>204</v>
      </c>
      <c r="M3" s="239" t="s">
        <v>205</v>
      </c>
      <c r="N3" s="239" t="s">
        <v>230</v>
      </c>
    </row>
    <row r="4" spans="1:14" ht="20.45" customHeight="1" thickBot="1">
      <c r="A4" s="242"/>
      <c r="B4" s="240"/>
      <c r="C4" s="240"/>
      <c r="D4" s="243"/>
      <c r="E4" s="246"/>
      <c r="F4" s="247"/>
      <c r="G4" s="199">
        <f>+D59</f>
        <v>1.5768747166366791E-2</v>
      </c>
      <c r="H4" s="240"/>
      <c r="I4" s="240"/>
      <c r="J4" s="240"/>
      <c r="K4" s="173">
        <f>+H58/J58</f>
        <v>0.99999999999999611</v>
      </c>
      <c r="L4" s="240"/>
      <c r="M4" s="240"/>
      <c r="N4" s="240"/>
    </row>
    <row r="5" spans="1:14" ht="20.45" customHeight="1">
      <c r="A5" s="113"/>
      <c r="B5" s="135" t="s">
        <v>131</v>
      </c>
      <c r="C5" s="135" t="s">
        <v>131</v>
      </c>
      <c r="D5" s="136" t="s">
        <v>131</v>
      </c>
      <c r="E5" s="136" t="s">
        <v>131</v>
      </c>
      <c r="F5" s="136" t="s">
        <v>132</v>
      </c>
      <c r="G5" s="137" t="s">
        <v>131</v>
      </c>
      <c r="H5" s="135" t="s">
        <v>131</v>
      </c>
      <c r="I5" s="135" t="s">
        <v>131</v>
      </c>
      <c r="J5" s="137" t="s">
        <v>131</v>
      </c>
      <c r="K5" s="135" t="s">
        <v>131</v>
      </c>
      <c r="L5" s="135" t="s">
        <v>131</v>
      </c>
      <c r="M5" s="135"/>
      <c r="N5" s="135"/>
    </row>
    <row r="6" spans="1:14" ht="16.5" thickBot="1">
      <c r="A6" s="2"/>
      <c r="B6" s="3"/>
      <c r="C6" s="3"/>
      <c r="D6" s="4" t="s">
        <v>155</v>
      </c>
      <c r="E6" s="4"/>
      <c r="F6" s="138"/>
      <c r="G6" s="4" t="s">
        <v>156</v>
      </c>
      <c r="H6" s="4" t="s">
        <v>157</v>
      </c>
      <c r="I6" s="4" t="s">
        <v>158</v>
      </c>
      <c r="J6" s="4" t="s">
        <v>159</v>
      </c>
      <c r="K6" s="4" t="s">
        <v>160</v>
      </c>
      <c r="L6" s="4"/>
      <c r="M6" s="4"/>
      <c r="N6" s="4" t="s">
        <v>161</v>
      </c>
    </row>
    <row r="7" spans="1:14" ht="12.75" customHeight="1" thickTop="1">
      <c r="A7" s="5" t="s">
        <v>1</v>
      </c>
      <c r="B7" s="6">
        <v>9093488.9490233809</v>
      </c>
      <c r="C7" s="6">
        <f t="shared" ref="C7:C57" si="0">(+B7*G$4)+B7</f>
        <v>9236881.8771206811</v>
      </c>
      <c r="D7" s="6">
        <f>+'COEF Art 14 F I'!AP8+'COEF Art 14 F II'!M8</f>
        <v>3239466.3089537583</v>
      </c>
      <c r="E7" s="6">
        <f>+D7-C7</f>
        <v>-5997415.5681669228</v>
      </c>
      <c r="F7" s="211">
        <f>+(D7-C7)/C7</f>
        <v>-0.64929005783025517</v>
      </c>
      <c r="G7" s="6">
        <f>IF(F7&lt;0,C7,0)</f>
        <v>9236881.8771206811</v>
      </c>
      <c r="H7" s="6">
        <f>IF(F7&lt;0,G7-D7,0)</f>
        <v>5997415.5681669228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9236881.8771206811</v>
      </c>
      <c r="M7" s="211">
        <f t="shared" ref="M7:M38" si="2">+(L7-B7)/B7</f>
        <v>1.5768747166366798E-2</v>
      </c>
      <c r="N7" s="214">
        <f>+L7/L$58</f>
        <v>1.325275926241878E-3</v>
      </c>
    </row>
    <row r="8" spans="1:14" ht="12.75" customHeight="1">
      <c r="A8" s="7" t="s">
        <v>2</v>
      </c>
      <c r="B8" s="8">
        <v>18012177.152566426</v>
      </c>
      <c r="C8" s="8">
        <f t="shared" si="0"/>
        <v>18296206.620001055</v>
      </c>
      <c r="D8" s="8">
        <f>+'COEF Art 14 F I'!AP9+'COEF Art 14 F II'!M9</f>
        <v>17161746.181699589</v>
      </c>
      <c r="E8" s="8">
        <f t="shared" ref="E8:E57" si="3">+D8-C8</f>
        <v>-1134460.4383014664</v>
      </c>
      <c r="F8" s="212">
        <f t="shared" ref="F8:F58" si="4">+(D8-C8)/C8</f>
        <v>-6.2005226649621263E-2</v>
      </c>
      <c r="G8" s="8">
        <f t="shared" ref="G8:G57" si="5">IF(F8&lt;0,C8,0)</f>
        <v>18296206.620001055</v>
      </c>
      <c r="H8" s="8">
        <f t="shared" ref="H8:H57" si="6">IF(F8&lt;0,G8-D8,0)</f>
        <v>1134460.4383014664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18296206.620001055</v>
      </c>
      <c r="M8" s="212">
        <f t="shared" si="2"/>
        <v>1.5768747166366864E-2</v>
      </c>
      <c r="N8" s="215">
        <f t="shared" ref="N8:N57" si="9">+L8/L$58</f>
        <v>2.6250765677857855E-3</v>
      </c>
    </row>
    <row r="9" spans="1:14" ht="12.75" customHeight="1">
      <c r="A9" s="7" t="s">
        <v>3</v>
      </c>
      <c r="B9" s="8">
        <v>17759702.976368759</v>
      </c>
      <c r="C9" s="8">
        <f t="shared" si="0"/>
        <v>18039751.242352888</v>
      </c>
      <c r="D9" s="8">
        <f>+'COEF Art 14 F I'!AP10+'COEF Art 14 F II'!M10</f>
        <v>18162941.055668399</v>
      </c>
      <c r="E9" s="8">
        <f t="shared" si="3"/>
        <v>123189.81331551075</v>
      </c>
      <c r="F9" s="212">
        <f t="shared" si="4"/>
        <v>6.8287977844334932E-3</v>
      </c>
      <c r="G9" s="8">
        <f t="shared" si="5"/>
        <v>0</v>
      </c>
      <c r="H9" s="8">
        <f t="shared" si="6"/>
        <v>0</v>
      </c>
      <c r="I9" s="8">
        <f t="shared" si="7"/>
        <v>18162941.055668399</v>
      </c>
      <c r="J9" s="8">
        <f t="shared" ref="J9:J57" si="10">IF(I9=0,0,D9-C9)</f>
        <v>123189.81331551075</v>
      </c>
      <c r="K9" s="8">
        <f t="shared" si="8"/>
        <v>123189.81331551027</v>
      </c>
      <c r="L9" s="8">
        <f t="shared" si="1"/>
        <v>18039751.242352888</v>
      </c>
      <c r="M9" s="212">
        <f t="shared" si="2"/>
        <v>1.5768747166366701E-2</v>
      </c>
      <c r="N9" s="215">
        <f t="shared" si="9"/>
        <v>2.5882812354784362E-3</v>
      </c>
    </row>
    <row r="10" spans="1:14" ht="12.75" customHeight="1">
      <c r="A10" s="7" t="s">
        <v>4</v>
      </c>
      <c r="B10" s="8">
        <v>49421852.800506614</v>
      </c>
      <c r="C10" s="8">
        <f t="shared" si="0"/>
        <v>50201173.501811199</v>
      </c>
      <c r="D10" s="8">
        <f>+'COEF Art 14 F I'!AP11+'COEF Art 14 F II'!M11</f>
        <v>49020743.023673788</v>
      </c>
      <c r="E10" s="8">
        <f t="shared" si="3"/>
        <v>-1180430.4781374112</v>
      </c>
      <c r="F10" s="212">
        <f t="shared" si="4"/>
        <v>-2.3514001681550784E-2</v>
      </c>
      <c r="G10" s="8">
        <f t="shared" si="5"/>
        <v>50201173.501811199</v>
      </c>
      <c r="H10" s="8">
        <f t="shared" si="6"/>
        <v>1180430.4781374112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50201173.501811199</v>
      </c>
      <c r="M10" s="212">
        <f t="shared" si="2"/>
        <v>1.5768747166366778E-2</v>
      </c>
      <c r="N10" s="215">
        <f t="shared" si="9"/>
        <v>7.2026910808326702E-3</v>
      </c>
    </row>
    <row r="11" spans="1:14" ht="12.75" customHeight="1">
      <c r="A11" s="7" t="s">
        <v>5</v>
      </c>
      <c r="B11" s="8">
        <v>65457554.68593242</v>
      </c>
      <c r="C11" s="8">
        <f t="shared" si="0"/>
        <v>66489738.315903515</v>
      </c>
      <c r="D11" s="8">
        <f>+'COEF Art 14 F I'!AP12+'COEF Art 14 F II'!M12</f>
        <v>51869892.472021945</v>
      </c>
      <c r="E11" s="8">
        <f t="shared" si="3"/>
        <v>-14619845.84388157</v>
      </c>
      <c r="F11" s="212">
        <f t="shared" si="4"/>
        <v>-0.21988123602502863</v>
      </c>
      <c r="G11" s="8">
        <f t="shared" si="5"/>
        <v>66489738.315903515</v>
      </c>
      <c r="H11" s="8">
        <f t="shared" si="6"/>
        <v>14619845.84388157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66489738.315903515</v>
      </c>
      <c r="M11" s="212">
        <f t="shared" si="2"/>
        <v>1.5768747166366764E-2</v>
      </c>
      <c r="N11" s="215">
        <f t="shared" si="9"/>
        <v>9.5397181326364443E-3</v>
      </c>
    </row>
    <row r="12" spans="1:14" ht="12.75" customHeight="1">
      <c r="A12" s="7" t="s">
        <v>6</v>
      </c>
      <c r="B12" s="8">
        <v>426904184.71092719</v>
      </c>
      <c r="C12" s="8">
        <f t="shared" si="0"/>
        <v>433635928.86389774</v>
      </c>
      <c r="D12" s="8">
        <f>+'COEF Art 14 F I'!AP13+'COEF Art 14 F II'!M13</f>
        <v>486462381.1179167</v>
      </c>
      <c r="E12" s="8">
        <f t="shared" si="3"/>
        <v>52826452.254018962</v>
      </c>
      <c r="F12" s="212">
        <f t="shared" si="4"/>
        <v>0.12182212943567974</v>
      </c>
      <c r="G12" s="8">
        <f t="shared" si="5"/>
        <v>0</v>
      </c>
      <c r="H12" s="8">
        <f t="shared" si="6"/>
        <v>0</v>
      </c>
      <c r="I12" s="8">
        <f t="shared" si="7"/>
        <v>486462381.1179167</v>
      </c>
      <c r="J12" s="8">
        <f t="shared" si="10"/>
        <v>52826452.254018962</v>
      </c>
      <c r="K12" s="8">
        <f t="shared" si="8"/>
        <v>52826452.254018754</v>
      </c>
      <c r="L12" s="8">
        <f t="shared" si="1"/>
        <v>433635928.86389792</v>
      </c>
      <c r="M12" s="212">
        <f t="shared" si="2"/>
        <v>1.5768747166367197E-2</v>
      </c>
      <c r="N12" s="215">
        <f t="shared" si="9"/>
        <v>6.2216586172908914E-2</v>
      </c>
    </row>
    <row r="13" spans="1:14" ht="12.75" customHeight="1">
      <c r="A13" s="7" t="s">
        <v>7</v>
      </c>
      <c r="B13" s="8">
        <v>72964242.294004127</v>
      </c>
      <c r="C13" s="8">
        <f t="shared" si="0"/>
        <v>74114796.982923806</v>
      </c>
      <c r="D13" s="8">
        <f>+'COEF Art 14 F I'!AP14+'COEF Art 14 F II'!M14</f>
        <v>72281992.16803968</v>
      </c>
      <c r="E13" s="8">
        <f t="shared" si="3"/>
        <v>-1832804.8148841262</v>
      </c>
      <c r="F13" s="212">
        <f t="shared" si="4"/>
        <v>-2.4729269855605324E-2</v>
      </c>
      <c r="G13" s="8">
        <f t="shared" si="5"/>
        <v>74114796.982923806</v>
      </c>
      <c r="H13" s="8">
        <f t="shared" si="6"/>
        <v>1832804.8148841262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74114796.982923806</v>
      </c>
      <c r="M13" s="212">
        <f t="shared" si="2"/>
        <v>1.5768747166366802E-2</v>
      </c>
      <c r="N13" s="215">
        <f t="shared" si="9"/>
        <v>1.0633735228666907E-2</v>
      </c>
    </row>
    <row r="14" spans="1:14" ht="12.75" customHeight="1">
      <c r="A14" s="7" t="s">
        <v>8</v>
      </c>
      <c r="B14" s="8">
        <v>11880911.202273678</v>
      </c>
      <c r="C14" s="8">
        <f t="shared" si="0"/>
        <v>12068258.287128387</v>
      </c>
      <c r="D14" s="8">
        <f>+'COEF Art 14 F I'!AP15+'COEF Art 14 F II'!M15</f>
        <v>9384406.0617478397</v>
      </c>
      <c r="E14" s="8">
        <f t="shared" si="3"/>
        <v>-2683852.2253805473</v>
      </c>
      <c r="F14" s="212">
        <f t="shared" si="4"/>
        <v>-0.22238935905465804</v>
      </c>
      <c r="G14" s="8">
        <f t="shared" si="5"/>
        <v>12068258.287128387</v>
      </c>
      <c r="H14" s="8">
        <f t="shared" si="6"/>
        <v>2683852.2253805473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12068258.287128387</v>
      </c>
      <c r="M14" s="212">
        <f t="shared" si="2"/>
        <v>1.576874716636683E-2</v>
      </c>
      <c r="N14" s="215">
        <f t="shared" si="9"/>
        <v>1.7315120397085634E-3</v>
      </c>
    </row>
    <row r="15" spans="1:14" ht="12.75" customHeight="1">
      <c r="A15" s="7" t="s">
        <v>9</v>
      </c>
      <c r="B15" s="8">
        <v>118098582.1698456</v>
      </c>
      <c r="C15" s="8">
        <f t="shared" si="0"/>
        <v>119960848.85278828</v>
      </c>
      <c r="D15" s="8">
        <f>+'COEF Art 14 F I'!AP16+'COEF Art 14 F II'!M16</f>
        <v>92193870.47869958</v>
      </c>
      <c r="E15" s="8">
        <f t="shared" si="3"/>
        <v>-27766978.374088705</v>
      </c>
      <c r="F15" s="212">
        <f t="shared" si="4"/>
        <v>-0.23146700477389384</v>
      </c>
      <c r="G15" s="8">
        <f t="shared" si="5"/>
        <v>119960848.85278828</v>
      </c>
      <c r="H15" s="8">
        <f t="shared" si="6"/>
        <v>27766978.374088705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119960848.85278828</v>
      </c>
      <c r="M15" s="212">
        <f t="shared" si="2"/>
        <v>1.5768747166366791E-2</v>
      </c>
      <c r="N15" s="215">
        <f t="shared" si="9"/>
        <v>1.7211568491519839E-2</v>
      </c>
    </row>
    <row r="16" spans="1:14" ht="12.75" customHeight="1">
      <c r="A16" s="7" t="s">
        <v>10</v>
      </c>
      <c r="B16" s="8">
        <v>16872065.091419283</v>
      </c>
      <c r="C16" s="8">
        <f t="shared" si="0"/>
        <v>17138116.420020357</v>
      </c>
      <c r="D16" s="8">
        <f>+'COEF Art 14 F I'!AP17+'COEF Art 14 F II'!M17</f>
        <v>14524266.661527079</v>
      </c>
      <c r="E16" s="8">
        <f t="shared" si="3"/>
        <v>-2613849.7584932782</v>
      </c>
      <c r="F16" s="212">
        <f t="shared" si="4"/>
        <v>-0.15251674655680589</v>
      </c>
      <c r="G16" s="8">
        <f t="shared" si="5"/>
        <v>17138116.420020357</v>
      </c>
      <c r="H16" s="8">
        <f t="shared" si="6"/>
        <v>2613849.7584932782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17138116.420020357</v>
      </c>
      <c r="M16" s="212">
        <f t="shared" si="2"/>
        <v>1.5768747166366767E-2</v>
      </c>
      <c r="N16" s="215">
        <f t="shared" si="9"/>
        <v>2.4589177835912337E-3</v>
      </c>
    </row>
    <row r="17" spans="1:14" s="9" customFormat="1" ht="12.75" customHeight="1">
      <c r="A17" s="7" t="s">
        <v>11</v>
      </c>
      <c r="B17" s="8">
        <v>24684566.343440365</v>
      </c>
      <c r="C17" s="8">
        <f t="shared" si="0"/>
        <v>25073811.029021483</v>
      </c>
      <c r="D17" s="8">
        <f>+'COEF Art 14 F I'!AP18+'COEF Art 14 F II'!M18</f>
        <v>33723317.173329435</v>
      </c>
      <c r="E17" s="8">
        <f t="shared" si="3"/>
        <v>8649506.1443079524</v>
      </c>
      <c r="F17" s="212">
        <f t="shared" si="4"/>
        <v>0.34496176645411625</v>
      </c>
      <c r="G17" s="8">
        <f t="shared" si="5"/>
        <v>0</v>
      </c>
      <c r="H17" s="8">
        <f t="shared" si="6"/>
        <v>0</v>
      </c>
      <c r="I17" s="8">
        <f t="shared" si="7"/>
        <v>33723317.173329435</v>
      </c>
      <c r="J17" s="8">
        <f t="shared" si="10"/>
        <v>8649506.1443079524</v>
      </c>
      <c r="K17" s="8">
        <f t="shared" si="8"/>
        <v>8649506.1443079188</v>
      </c>
      <c r="L17" s="8">
        <f t="shared" si="1"/>
        <v>25073811.029021516</v>
      </c>
      <c r="M17" s="212">
        <f t="shared" si="2"/>
        <v>1.5768747166368131E-2</v>
      </c>
      <c r="N17" s="215">
        <f t="shared" si="9"/>
        <v>3.5975038522695355E-3</v>
      </c>
    </row>
    <row r="18" spans="1:14" ht="12.75" customHeight="1">
      <c r="A18" s="7" t="s">
        <v>12</v>
      </c>
      <c r="B18" s="8">
        <v>59956001.748471357</v>
      </c>
      <c r="C18" s="8">
        <f t="shared" si="0"/>
        <v>60901432.781149246</v>
      </c>
      <c r="D18" s="8">
        <f>+'COEF Art 14 F I'!AP19+'COEF Art 14 F II'!M19</f>
        <v>48734024.891484179</v>
      </c>
      <c r="E18" s="8">
        <f t="shared" si="3"/>
        <v>-12167407.889665067</v>
      </c>
      <c r="F18" s="212">
        <f t="shared" si="4"/>
        <v>-0.19978853261776186</v>
      </c>
      <c r="G18" s="8">
        <f t="shared" si="5"/>
        <v>60901432.781149246</v>
      </c>
      <c r="H18" s="8">
        <f t="shared" si="6"/>
        <v>12167407.889665067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60901432.781149246</v>
      </c>
      <c r="M18" s="212">
        <f t="shared" si="2"/>
        <v>1.5768747166366771E-2</v>
      </c>
      <c r="N18" s="215">
        <f t="shared" si="9"/>
        <v>8.737927345202158E-3</v>
      </c>
    </row>
    <row r="19" spans="1:14" ht="12.75" customHeight="1">
      <c r="A19" s="7" t="s">
        <v>13</v>
      </c>
      <c r="B19" s="8">
        <v>30506186.397207264</v>
      </c>
      <c r="C19" s="8">
        <f t="shared" si="0"/>
        <v>30987230.737514883</v>
      </c>
      <c r="D19" s="8">
        <f>+'COEF Art 14 F I'!AP20+'COEF Art 14 F II'!M20</f>
        <v>22637854.091092233</v>
      </c>
      <c r="E19" s="8">
        <f t="shared" si="3"/>
        <v>-8349376.6464226507</v>
      </c>
      <c r="F19" s="212">
        <f t="shared" si="4"/>
        <v>-0.26944571837180747</v>
      </c>
      <c r="G19" s="8">
        <f t="shared" si="5"/>
        <v>30987230.737514883</v>
      </c>
      <c r="H19" s="8">
        <f t="shared" si="6"/>
        <v>8349376.6464226507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30987230.737514883</v>
      </c>
      <c r="M19" s="212">
        <f t="shared" si="2"/>
        <v>1.5768747166366798E-2</v>
      </c>
      <c r="N19" s="215">
        <f t="shared" si="9"/>
        <v>4.4459408990658346E-3</v>
      </c>
    </row>
    <row r="20" spans="1:14" ht="12.75" customHeight="1">
      <c r="A20" s="7" t="s">
        <v>14</v>
      </c>
      <c r="B20" s="8">
        <v>159718099.17153791</v>
      </c>
      <c r="C20" s="8">
        <f t="shared" si="0"/>
        <v>162236653.49526659</v>
      </c>
      <c r="D20" s="8">
        <f>+'COEF Art 14 F I'!AP21+'COEF Art 14 F II'!M21</f>
        <v>163069298.85390526</v>
      </c>
      <c r="E20" s="8">
        <f t="shared" si="3"/>
        <v>832645.35863867402</v>
      </c>
      <c r="F20" s="212">
        <f t="shared" si="4"/>
        <v>5.1322887935614826E-3</v>
      </c>
      <c r="G20" s="8">
        <f t="shared" si="5"/>
        <v>0</v>
      </c>
      <c r="H20" s="8">
        <f t="shared" si="6"/>
        <v>0</v>
      </c>
      <c r="I20" s="8">
        <f t="shared" si="7"/>
        <v>163069298.85390526</v>
      </c>
      <c r="J20" s="8">
        <f t="shared" si="10"/>
        <v>832645.35863867402</v>
      </c>
      <c r="K20" s="8">
        <f t="shared" si="8"/>
        <v>832645.35863867076</v>
      </c>
      <c r="L20" s="8">
        <f t="shared" si="1"/>
        <v>162236653.49526659</v>
      </c>
      <c r="M20" s="212">
        <f t="shared" si="2"/>
        <v>1.5768747166366805E-2</v>
      </c>
      <c r="N20" s="215">
        <f t="shared" si="9"/>
        <v>2.3277155006592377E-2</v>
      </c>
    </row>
    <row r="21" spans="1:14" ht="12.75" customHeight="1">
      <c r="A21" s="7" t="s">
        <v>15</v>
      </c>
      <c r="B21" s="8">
        <v>20176224.022744469</v>
      </c>
      <c r="C21" s="8">
        <f t="shared" si="0"/>
        <v>20494377.798131105</v>
      </c>
      <c r="D21" s="8">
        <f>+'COEF Art 14 F I'!AP22+'COEF Art 14 F II'!M22</f>
        <v>20655631.205699444</v>
      </c>
      <c r="E21" s="8">
        <f t="shared" si="3"/>
        <v>161253.40756833926</v>
      </c>
      <c r="F21" s="212">
        <f t="shared" si="4"/>
        <v>7.868177758636033E-3</v>
      </c>
      <c r="G21" s="8">
        <f t="shared" si="5"/>
        <v>0</v>
      </c>
      <c r="H21" s="8">
        <f t="shared" si="6"/>
        <v>0</v>
      </c>
      <c r="I21" s="8">
        <f t="shared" si="7"/>
        <v>20655631.205699444</v>
      </c>
      <c r="J21" s="8">
        <f t="shared" si="10"/>
        <v>161253.40756833926</v>
      </c>
      <c r="K21" s="8">
        <f t="shared" si="8"/>
        <v>161253.40756833862</v>
      </c>
      <c r="L21" s="8">
        <f t="shared" si="1"/>
        <v>20494377.798131105</v>
      </c>
      <c r="M21" s="212">
        <f t="shared" si="2"/>
        <v>1.5768747166366878E-2</v>
      </c>
      <c r="N21" s="215">
        <f t="shared" si="9"/>
        <v>2.9404625803914372E-3</v>
      </c>
    </row>
    <row r="22" spans="1:14" ht="12.75" customHeight="1">
      <c r="A22" s="7" t="s">
        <v>16</v>
      </c>
      <c r="B22" s="8">
        <v>14854562.573080506</v>
      </c>
      <c r="C22" s="8">
        <f t="shared" si="0"/>
        <v>15088800.414562387</v>
      </c>
      <c r="D22" s="8">
        <f>+'COEF Art 14 F I'!AP23+'COEF Art 14 F II'!M23</f>
        <v>7937690.85768402</v>
      </c>
      <c r="E22" s="8">
        <f t="shared" si="3"/>
        <v>-7151109.5568783674</v>
      </c>
      <c r="F22" s="212">
        <f t="shared" si="4"/>
        <v>-0.47393492924571679</v>
      </c>
      <c r="G22" s="8">
        <f t="shared" si="5"/>
        <v>15088800.414562387</v>
      </c>
      <c r="H22" s="8">
        <f t="shared" si="6"/>
        <v>7151109.5568783674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15088800.414562387</v>
      </c>
      <c r="M22" s="212">
        <f t="shared" si="2"/>
        <v>1.5768747166366778E-2</v>
      </c>
      <c r="N22" s="215">
        <f t="shared" si="9"/>
        <v>2.1648889973162034E-3</v>
      </c>
    </row>
    <row r="23" spans="1:14" ht="12.75" customHeight="1">
      <c r="A23" s="7" t="s">
        <v>17</v>
      </c>
      <c r="B23" s="8">
        <v>130276506.41138341</v>
      </c>
      <c r="C23" s="8">
        <f t="shared" si="0"/>
        <v>132330803.70270208</v>
      </c>
      <c r="D23" s="8">
        <f>+'COEF Art 14 F I'!AP24+'COEF Art 14 F II'!M24</f>
        <v>121433402.0160673</v>
      </c>
      <c r="E23" s="8">
        <f t="shared" si="3"/>
        <v>-10897401.686634779</v>
      </c>
      <c r="F23" s="212">
        <f t="shared" si="4"/>
        <v>-8.2349697740196404E-2</v>
      </c>
      <c r="G23" s="8">
        <f t="shared" si="5"/>
        <v>132330803.70270208</v>
      </c>
      <c r="H23" s="8">
        <f t="shared" si="6"/>
        <v>10897401.686634779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132330803.70270208</v>
      </c>
      <c r="M23" s="212">
        <f t="shared" si="2"/>
        <v>1.5768747166366812E-2</v>
      </c>
      <c r="N23" s="215">
        <f t="shared" si="9"/>
        <v>1.8986366912607792E-2</v>
      </c>
    </row>
    <row r="24" spans="1:14" ht="12.75" customHeight="1">
      <c r="A24" s="7" t="s">
        <v>18</v>
      </c>
      <c r="B24" s="8">
        <v>140240800.96813044</v>
      </c>
      <c r="C24" s="8">
        <f t="shared" si="0"/>
        <v>142452222.70100567</v>
      </c>
      <c r="D24" s="8">
        <f>+'COEF Art 14 F I'!AP25+'COEF Art 14 F II'!M25</f>
        <v>128303455.14062525</v>
      </c>
      <c r="E24" s="8">
        <f t="shared" si="3"/>
        <v>-14148767.560380414</v>
      </c>
      <c r="F24" s="212">
        <f t="shared" si="4"/>
        <v>-9.9322897825732059E-2</v>
      </c>
      <c r="G24" s="8">
        <f t="shared" si="5"/>
        <v>142452222.70100567</v>
      </c>
      <c r="H24" s="8">
        <f t="shared" si="6"/>
        <v>14148767.560380414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142452222.70100567</v>
      </c>
      <c r="M24" s="212">
        <f t="shared" si="2"/>
        <v>1.5768747166366875E-2</v>
      </c>
      <c r="N24" s="215">
        <f t="shared" si="9"/>
        <v>2.0438553171596766E-2</v>
      </c>
    </row>
    <row r="25" spans="1:14" ht="12.75" customHeight="1">
      <c r="A25" s="7" t="s">
        <v>19</v>
      </c>
      <c r="B25" s="8">
        <v>25039189.762536168</v>
      </c>
      <c r="C25" s="8">
        <f t="shared" si="0"/>
        <v>25434026.415152282</v>
      </c>
      <c r="D25" s="8">
        <f>+'COEF Art 14 F I'!AP26+'COEF Art 14 F II'!M26</f>
        <v>18780374.321183857</v>
      </c>
      <c r="E25" s="8">
        <f t="shared" si="3"/>
        <v>-6653652.0939684249</v>
      </c>
      <c r="F25" s="212">
        <f t="shared" si="4"/>
        <v>-0.26160435573049978</v>
      </c>
      <c r="G25" s="8">
        <f t="shared" si="5"/>
        <v>25434026.415152282</v>
      </c>
      <c r="H25" s="8">
        <f t="shared" si="6"/>
        <v>6653652.0939684249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25434026.415152282</v>
      </c>
      <c r="M25" s="212">
        <f t="shared" si="2"/>
        <v>1.5768747166366826E-2</v>
      </c>
      <c r="N25" s="215">
        <f t="shared" si="9"/>
        <v>3.649186312416989E-3</v>
      </c>
    </row>
    <row r="26" spans="1:14" ht="12.75" customHeight="1">
      <c r="A26" s="7" t="s">
        <v>20</v>
      </c>
      <c r="B26" s="8">
        <v>342270904.50563252</v>
      </c>
      <c r="C26" s="8">
        <f t="shared" si="0"/>
        <v>347668087.86118549</v>
      </c>
      <c r="D26" s="8">
        <f>+'COEF Art 14 F I'!AP27+'COEF Art 14 F II'!M27</f>
        <v>305063503.95311522</v>
      </c>
      <c r="E26" s="8">
        <f t="shared" si="3"/>
        <v>-42604583.908070266</v>
      </c>
      <c r="F26" s="212">
        <f t="shared" si="4"/>
        <v>-0.12254384395809469</v>
      </c>
      <c r="G26" s="8">
        <f t="shared" si="5"/>
        <v>347668087.86118549</v>
      </c>
      <c r="H26" s="8">
        <f t="shared" si="6"/>
        <v>42604583.908070266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347668087.86118549</v>
      </c>
      <c r="M26" s="212">
        <f t="shared" si="2"/>
        <v>1.5768747166366733E-2</v>
      </c>
      <c r="N26" s="215">
        <f t="shared" si="9"/>
        <v>4.9882217104697028E-2</v>
      </c>
    </row>
    <row r="27" spans="1:14" s="9" customFormat="1" ht="12.75" customHeight="1">
      <c r="A27" s="7" t="s">
        <v>21</v>
      </c>
      <c r="B27" s="8">
        <v>50535005.446888201</v>
      </c>
      <c r="C27" s="8">
        <f t="shared" si="0"/>
        <v>51331879.170831151</v>
      </c>
      <c r="D27" s="8">
        <f>+'COEF Art 14 F I'!AP28+'COEF Art 14 F II'!M28</f>
        <v>44247312.054483116</v>
      </c>
      <c r="E27" s="8">
        <f t="shared" si="3"/>
        <v>-7084567.1163480356</v>
      </c>
      <c r="F27" s="212">
        <f t="shared" si="4"/>
        <v>-0.13801495738682742</v>
      </c>
      <c r="G27" s="8">
        <f t="shared" si="5"/>
        <v>51331879.170831151</v>
      </c>
      <c r="H27" s="8">
        <f t="shared" si="6"/>
        <v>7084567.1163480356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51331879.170831151</v>
      </c>
      <c r="M27" s="212">
        <f t="shared" si="2"/>
        <v>1.5768747166366826E-2</v>
      </c>
      <c r="N27" s="215">
        <f t="shared" si="9"/>
        <v>7.364920827055697E-3</v>
      </c>
    </row>
    <row r="28" spans="1:14" ht="12.75" customHeight="1">
      <c r="A28" s="7" t="s">
        <v>22</v>
      </c>
      <c r="B28" s="8">
        <v>8105836.3818737632</v>
      </c>
      <c r="C28" s="8">
        <f t="shared" si="0"/>
        <v>8233655.2663514679</v>
      </c>
      <c r="D28" s="8">
        <f>+'COEF Art 14 F I'!AP29+'COEF Art 14 F II'!M29</f>
        <v>3716741.3889330989</v>
      </c>
      <c r="E28" s="8">
        <f t="shared" si="3"/>
        <v>-4516913.8774183691</v>
      </c>
      <c r="F28" s="212">
        <f t="shared" si="4"/>
        <v>-0.54859157097306099</v>
      </c>
      <c r="G28" s="8">
        <f t="shared" si="5"/>
        <v>8233655.2663514679</v>
      </c>
      <c r="H28" s="8">
        <f t="shared" si="6"/>
        <v>4516913.8774183691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8233655.2663514679</v>
      </c>
      <c r="M28" s="212">
        <f t="shared" si="2"/>
        <v>1.5768747166366795E-2</v>
      </c>
      <c r="N28" s="215">
        <f t="shared" si="9"/>
        <v>1.1813364352421169E-3</v>
      </c>
    </row>
    <row r="29" spans="1:14" ht="12.75" customHeight="1">
      <c r="A29" s="7" t="s">
        <v>23</v>
      </c>
      <c r="B29" s="8">
        <v>37092626.539370231</v>
      </c>
      <c r="C29" s="8">
        <f t="shared" si="0"/>
        <v>37677530.789006025</v>
      </c>
      <c r="D29" s="8">
        <f>+'COEF Art 14 F I'!AP30+'COEF Art 14 F II'!M30</f>
        <v>35775277.56589745</v>
      </c>
      <c r="E29" s="8">
        <f t="shared" si="3"/>
        <v>-1902253.2231085747</v>
      </c>
      <c r="F29" s="212">
        <f t="shared" si="4"/>
        <v>-5.0487735880601702E-2</v>
      </c>
      <c r="G29" s="8">
        <f t="shared" si="5"/>
        <v>37677530.789006025</v>
      </c>
      <c r="H29" s="8">
        <f t="shared" si="6"/>
        <v>1902253.2231085747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37677530.789006025</v>
      </c>
      <c r="M29" s="212">
        <f t="shared" si="2"/>
        <v>1.5768747166366719E-2</v>
      </c>
      <c r="N29" s="215">
        <f t="shared" si="9"/>
        <v>5.4058420557037568E-3</v>
      </c>
    </row>
    <row r="30" spans="1:14" ht="12.75" customHeight="1">
      <c r="A30" s="7" t="s">
        <v>24</v>
      </c>
      <c r="B30" s="8">
        <v>35727845.948894948</v>
      </c>
      <c r="C30" s="8">
        <f t="shared" si="0"/>
        <v>36291229.318461977</v>
      </c>
      <c r="D30" s="8">
        <f>+'COEF Art 14 F I'!AP31+'COEF Art 14 F II'!M31</f>
        <v>33324216.343720928</v>
      </c>
      <c r="E30" s="8">
        <f t="shared" si="3"/>
        <v>-2967012.9747410491</v>
      </c>
      <c r="F30" s="212">
        <f t="shared" si="4"/>
        <v>-8.1755648140353243E-2</v>
      </c>
      <c r="G30" s="8">
        <f t="shared" si="5"/>
        <v>36291229.318461977</v>
      </c>
      <c r="H30" s="8">
        <f t="shared" si="6"/>
        <v>2967012.9747410491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36291229.318461977</v>
      </c>
      <c r="M30" s="212">
        <f t="shared" si="2"/>
        <v>1.5768747166366868E-2</v>
      </c>
      <c r="N30" s="215">
        <f t="shared" si="9"/>
        <v>5.2069403061884281E-3</v>
      </c>
    </row>
    <row r="31" spans="1:14" ht="12.75" customHeight="1">
      <c r="A31" s="7" t="s">
        <v>25</v>
      </c>
      <c r="B31" s="8">
        <v>576078455.59590781</v>
      </c>
      <c r="C31" s="8">
        <f t="shared" si="0"/>
        <v>585162491.11019075</v>
      </c>
      <c r="D31" s="8">
        <f>+'COEF Art 14 F I'!AP32+'COEF Art 14 F II'!M32</f>
        <v>555662266.11340129</v>
      </c>
      <c r="E31" s="8">
        <f t="shared" si="3"/>
        <v>-29500224.996789455</v>
      </c>
      <c r="F31" s="212">
        <f t="shared" si="4"/>
        <v>-5.0413731988905502E-2</v>
      </c>
      <c r="G31" s="8">
        <f t="shared" si="5"/>
        <v>585162491.11019075</v>
      </c>
      <c r="H31" s="8">
        <f t="shared" si="6"/>
        <v>29500224.996789455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585162491.11019075</v>
      </c>
      <c r="M31" s="212">
        <f t="shared" si="2"/>
        <v>1.5768747166366816E-2</v>
      </c>
      <c r="N31" s="215">
        <f t="shared" si="9"/>
        <v>8.3957094258068188E-2</v>
      </c>
    </row>
    <row r="32" spans="1:14" ht="12.75" customHeight="1">
      <c r="A32" s="7" t="s">
        <v>26</v>
      </c>
      <c r="B32" s="8">
        <v>15073576.183263082</v>
      </c>
      <c r="C32" s="8">
        <f t="shared" si="0"/>
        <v>15311267.594989926</v>
      </c>
      <c r="D32" s="8">
        <f>+'COEF Art 14 F I'!AP33+'COEF Art 14 F II'!M33</f>
        <v>9540747.5641940683</v>
      </c>
      <c r="E32" s="8">
        <f t="shared" si="3"/>
        <v>-5770520.0307958573</v>
      </c>
      <c r="F32" s="212">
        <f t="shared" si="4"/>
        <v>-0.37688062043171772</v>
      </c>
      <c r="G32" s="8">
        <f t="shared" si="5"/>
        <v>15311267.594989926</v>
      </c>
      <c r="H32" s="8">
        <f t="shared" si="6"/>
        <v>5770520.0307958573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15311267.594989926</v>
      </c>
      <c r="M32" s="212">
        <f t="shared" si="2"/>
        <v>1.5768747166366785E-2</v>
      </c>
      <c r="N32" s="215">
        <f t="shared" si="9"/>
        <v>2.1968078204127515E-3</v>
      </c>
    </row>
    <row r="33" spans="1:14" ht="12.75" customHeight="1">
      <c r="A33" s="7" t="s">
        <v>27</v>
      </c>
      <c r="B33" s="8">
        <v>25946830.478214618</v>
      </c>
      <c r="C33" s="8">
        <f t="shared" si="0"/>
        <v>26355979.487794165</v>
      </c>
      <c r="D33" s="8">
        <f>+'COEF Art 14 F I'!AP34+'COEF Art 14 F II'!M34</f>
        <v>23724222.065874804</v>
      </c>
      <c r="E33" s="8">
        <f t="shared" si="3"/>
        <v>-2631757.4219193608</v>
      </c>
      <c r="F33" s="212">
        <f t="shared" si="4"/>
        <v>-9.9854282522042703E-2</v>
      </c>
      <c r="G33" s="8">
        <f t="shared" si="5"/>
        <v>26355979.487794165</v>
      </c>
      <c r="H33" s="8">
        <f t="shared" si="6"/>
        <v>2631757.4219193608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26355979.487794165</v>
      </c>
      <c r="M33" s="212">
        <f t="shared" si="2"/>
        <v>1.5768747166366809E-2</v>
      </c>
      <c r="N33" s="215">
        <f t="shared" si="9"/>
        <v>3.7814649567204811E-3</v>
      </c>
    </row>
    <row r="34" spans="1:14" ht="12.75" customHeight="1">
      <c r="A34" s="7" t="s">
        <v>28</v>
      </c>
      <c r="B34" s="8">
        <v>14175338.142518848</v>
      </c>
      <c r="C34" s="8">
        <f t="shared" si="0"/>
        <v>14398865.465685984</v>
      </c>
      <c r="D34" s="8">
        <f>+'COEF Art 14 F I'!AP35+'COEF Art 14 F II'!M35</f>
        <v>14573732.730340777</v>
      </c>
      <c r="E34" s="8">
        <f t="shared" si="3"/>
        <v>174867.26465479285</v>
      </c>
      <c r="F34" s="212">
        <f t="shared" si="4"/>
        <v>1.2144516876799773E-2</v>
      </c>
      <c r="G34" s="8">
        <f t="shared" si="5"/>
        <v>0</v>
      </c>
      <c r="H34" s="8">
        <f t="shared" si="6"/>
        <v>0</v>
      </c>
      <c r="I34" s="8">
        <f t="shared" si="7"/>
        <v>14573732.730340777</v>
      </c>
      <c r="J34" s="8">
        <f t="shared" si="10"/>
        <v>174867.26465479285</v>
      </c>
      <c r="K34" s="8">
        <f t="shared" si="8"/>
        <v>174867.26465479218</v>
      </c>
      <c r="L34" s="8">
        <f t="shared" si="1"/>
        <v>14398865.465685984</v>
      </c>
      <c r="M34" s="212">
        <f t="shared" si="2"/>
        <v>1.5768747166366844E-2</v>
      </c>
      <c r="N34" s="215">
        <f t="shared" si="9"/>
        <v>2.0658995124897676E-3</v>
      </c>
    </row>
    <row r="35" spans="1:14" ht="12.75" customHeight="1">
      <c r="A35" s="7" t="s">
        <v>29</v>
      </c>
      <c r="B35" s="8">
        <v>20772005.826064706</v>
      </c>
      <c r="C35" s="8">
        <f t="shared" si="0"/>
        <v>21099554.334074218</v>
      </c>
      <c r="D35" s="8">
        <f>+'COEF Art 14 F I'!AP36+'COEF Art 14 F II'!M36</f>
        <v>16237091.589293007</v>
      </c>
      <c r="E35" s="8">
        <f t="shared" si="3"/>
        <v>-4862462.744781211</v>
      </c>
      <c r="F35" s="212">
        <f t="shared" si="4"/>
        <v>-0.23045333886169783</v>
      </c>
      <c r="G35" s="8">
        <f t="shared" si="5"/>
        <v>21099554.334074218</v>
      </c>
      <c r="H35" s="8">
        <f t="shared" si="6"/>
        <v>4862462.744781211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21099554.334074218</v>
      </c>
      <c r="M35" s="212">
        <f t="shared" si="2"/>
        <v>1.5768747166366774E-2</v>
      </c>
      <c r="N35" s="215">
        <f t="shared" si="9"/>
        <v>3.0272912207141463E-3</v>
      </c>
    </row>
    <row r="36" spans="1:14" ht="12.75" customHeight="1">
      <c r="A36" s="7" t="s">
        <v>30</v>
      </c>
      <c r="B36" s="8">
        <v>19100455.281990096</v>
      </c>
      <c r="C36" s="8">
        <f t="shared" si="0"/>
        <v>19401645.532094292</v>
      </c>
      <c r="D36" s="8">
        <f>+'COEF Art 14 F I'!AP37+'COEF Art 14 F II'!M37</f>
        <v>18751818.32121183</v>
      </c>
      <c r="E36" s="8">
        <f t="shared" si="3"/>
        <v>-649827.21088246256</v>
      </c>
      <c r="F36" s="212">
        <f t="shared" si="4"/>
        <v>-3.3493407031249763E-2</v>
      </c>
      <c r="G36" s="8">
        <f t="shared" si="5"/>
        <v>19401645.532094292</v>
      </c>
      <c r="H36" s="8">
        <f t="shared" si="6"/>
        <v>649827.21088246256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19401645.532094292</v>
      </c>
      <c r="M36" s="212">
        <f t="shared" si="2"/>
        <v>1.576874716636676E-2</v>
      </c>
      <c r="N36" s="215">
        <f t="shared" si="9"/>
        <v>2.7836811269451858E-3</v>
      </c>
    </row>
    <row r="37" spans="1:14" ht="12.75" customHeight="1">
      <c r="A37" s="7" t="s">
        <v>31</v>
      </c>
      <c r="B37" s="8">
        <v>181620830.19051036</v>
      </c>
      <c r="C37" s="8">
        <f t="shared" si="0"/>
        <v>184484763.14193016</v>
      </c>
      <c r="D37" s="8">
        <f>+'COEF Art 14 F I'!AP38+'COEF Art 14 F II'!M38</f>
        <v>160040950.44657865</v>
      </c>
      <c r="E37" s="8">
        <f t="shared" si="3"/>
        <v>-24443812.695351511</v>
      </c>
      <c r="F37" s="212">
        <f t="shared" si="4"/>
        <v>-0.13249773194844328</v>
      </c>
      <c r="G37" s="8">
        <f t="shared" si="5"/>
        <v>184484763.14193016</v>
      </c>
      <c r="H37" s="8">
        <f t="shared" si="6"/>
        <v>24443812.695351511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184484763.14193016</v>
      </c>
      <c r="M37" s="212">
        <f t="shared" si="2"/>
        <v>1.5768747166366826E-2</v>
      </c>
      <c r="N37" s="215">
        <f t="shared" si="9"/>
        <v>2.6469236978772362E-2</v>
      </c>
    </row>
    <row r="38" spans="1:14" ht="12.75" customHeight="1">
      <c r="A38" s="7" t="s">
        <v>32</v>
      </c>
      <c r="B38" s="8">
        <v>35393779.366207667</v>
      </c>
      <c r="C38" s="8">
        <f t="shared" si="0"/>
        <v>35951894.924295567</v>
      </c>
      <c r="D38" s="8">
        <f>+'COEF Art 14 F I'!AP39+'COEF Art 14 F II'!M39</f>
        <v>30536817.364685092</v>
      </c>
      <c r="E38" s="8">
        <f t="shared" si="3"/>
        <v>-5415077.5596104749</v>
      </c>
      <c r="F38" s="212">
        <f t="shared" si="4"/>
        <v>-0.15062008750896394</v>
      </c>
      <c r="G38" s="8">
        <f t="shared" si="5"/>
        <v>35951894.924295567</v>
      </c>
      <c r="H38" s="8">
        <f t="shared" si="6"/>
        <v>5415077.5596104749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35951894.924295567</v>
      </c>
      <c r="M38" s="212">
        <f t="shared" si="2"/>
        <v>1.576874716636684E-2</v>
      </c>
      <c r="N38" s="215">
        <f t="shared" si="9"/>
        <v>5.1582537786873531E-3</v>
      </c>
    </row>
    <row r="39" spans="1:14" s="9" customFormat="1" ht="12.75" customHeight="1">
      <c r="A39" s="7" t="s">
        <v>33</v>
      </c>
      <c r="B39" s="8">
        <v>129768012.29489422</v>
      </c>
      <c r="C39" s="8">
        <f t="shared" si="0"/>
        <v>131814291.27105439</v>
      </c>
      <c r="D39" s="8">
        <f>+'COEF Art 14 F I'!AP40+'COEF Art 14 F II'!M40</f>
        <v>120359989.12343094</v>
      </c>
      <c r="E39" s="8">
        <f t="shared" si="3"/>
        <v>-11454302.14762345</v>
      </c>
      <c r="F39" s="212">
        <f t="shared" si="4"/>
        <v>-8.6897270676588201E-2</v>
      </c>
      <c r="G39" s="8">
        <f t="shared" si="5"/>
        <v>131814291.27105439</v>
      </c>
      <c r="H39" s="8">
        <f t="shared" si="6"/>
        <v>11454302.14762345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131814291.27105439</v>
      </c>
      <c r="M39" s="212">
        <f t="shared" ref="M39:M58" si="12">+(L39-B39)/B39</f>
        <v>1.5768747166366826E-2</v>
      </c>
      <c r="N39" s="215">
        <f t="shared" si="9"/>
        <v>1.8912259491903099E-2</v>
      </c>
    </row>
    <row r="40" spans="1:14" ht="12.75" customHeight="1">
      <c r="A40" s="7" t="s">
        <v>34</v>
      </c>
      <c r="B40" s="8">
        <v>26199380.784816463</v>
      </c>
      <c r="C40" s="8">
        <f t="shared" si="0"/>
        <v>26612512.196327601</v>
      </c>
      <c r="D40" s="8">
        <f>+'COEF Art 14 F I'!AP41+'COEF Art 14 F II'!M41</f>
        <v>27263406.73661067</v>
      </c>
      <c r="E40" s="8">
        <f t="shared" si="3"/>
        <v>650894.54028306901</v>
      </c>
      <c r="F40" s="212">
        <f t="shared" si="4"/>
        <v>2.4458214823209715E-2</v>
      </c>
      <c r="G40" s="8">
        <f t="shared" si="5"/>
        <v>0</v>
      </c>
      <c r="H40" s="8">
        <f t="shared" si="6"/>
        <v>0</v>
      </c>
      <c r="I40" s="8">
        <f t="shared" si="7"/>
        <v>27263406.73661067</v>
      </c>
      <c r="J40" s="8">
        <f t="shared" si="10"/>
        <v>650894.54028306901</v>
      </c>
      <c r="K40" s="8">
        <f t="shared" si="8"/>
        <v>650894.54028306645</v>
      </c>
      <c r="L40" s="8">
        <f t="shared" si="11"/>
        <v>26612512.196327604</v>
      </c>
      <c r="M40" s="212">
        <f t="shared" si="12"/>
        <v>1.5768747166366892E-2</v>
      </c>
      <c r="N40" s="215">
        <f t="shared" si="9"/>
        <v>3.8182713841963048E-3</v>
      </c>
    </row>
    <row r="41" spans="1:14" ht="12.75" customHeight="1">
      <c r="A41" s="7" t="s">
        <v>35</v>
      </c>
      <c r="B41" s="8">
        <v>24722636.619250871</v>
      </c>
      <c r="C41" s="8">
        <f t="shared" si="0"/>
        <v>25112481.625385799</v>
      </c>
      <c r="D41" s="8">
        <f>+'COEF Art 14 F I'!AP42+'COEF Art 14 F II'!M42</f>
        <v>25906133.836625308</v>
      </c>
      <c r="E41" s="8">
        <f t="shared" si="3"/>
        <v>793652.21123950928</v>
      </c>
      <c r="F41" s="212">
        <f t="shared" si="4"/>
        <v>3.1603894154260695E-2</v>
      </c>
      <c r="G41" s="8">
        <f t="shared" si="5"/>
        <v>0</v>
      </c>
      <c r="H41" s="8">
        <f t="shared" si="6"/>
        <v>0</v>
      </c>
      <c r="I41" s="8">
        <f t="shared" si="7"/>
        <v>25906133.836625308</v>
      </c>
      <c r="J41" s="8">
        <f t="shared" si="10"/>
        <v>793652.21123950928</v>
      </c>
      <c r="K41" s="8">
        <f t="shared" si="8"/>
        <v>793652.21123950626</v>
      </c>
      <c r="L41" s="8">
        <f t="shared" si="11"/>
        <v>25112481.625385802</v>
      </c>
      <c r="M41" s="212">
        <f t="shared" si="12"/>
        <v>1.5768747166366909E-2</v>
      </c>
      <c r="N41" s="215">
        <f t="shared" si="9"/>
        <v>3.6030521759459425E-3</v>
      </c>
    </row>
    <row r="42" spans="1:14" ht="12.75" customHeight="1">
      <c r="A42" s="7" t="s">
        <v>36</v>
      </c>
      <c r="B42" s="8">
        <v>27944279.823076542</v>
      </c>
      <c r="C42" s="8">
        <f t="shared" si="0"/>
        <v>28384926.10635284</v>
      </c>
      <c r="D42" s="8">
        <f>+'COEF Art 14 F I'!AP43+'COEF Art 14 F II'!M43</f>
        <v>26624253.589257549</v>
      </c>
      <c r="E42" s="8">
        <f t="shared" si="3"/>
        <v>-1760672.5170952901</v>
      </c>
      <c r="F42" s="212">
        <f t="shared" si="4"/>
        <v>-6.2028434053285536E-2</v>
      </c>
      <c r="G42" s="8">
        <f t="shared" si="5"/>
        <v>28384926.10635284</v>
      </c>
      <c r="H42" s="8">
        <f t="shared" si="6"/>
        <v>1760672.5170952901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28384926.10635284</v>
      </c>
      <c r="M42" s="212">
        <f t="shared" si="12"/>
        <v>1.5768747166366729E-2</v>
      </c>
      <c r="N42" s="215">
        <f t="shared" si="9"/>
        <v>4.072571213677819E-3</v>
      </c>
    </row>
    <row r="43" spans="1:14" ht="12.75" customHeight="1">
      <c r="A43" s="7" t="s">
        <v>37</v>
      </c>
      <c r="B43" s="8">
        <v>39360729.426153548</v>
      </c>
      <c r="C43" s="8">
        <f t="shared" si="0"/>
        <v>39981398.816758335</v>
      </c>
      <c r="D43" s="8">
        <f>+'COEF Art 14 F I'!AP44+'COEF Art 14 F II'!M44</f>
        <v>33472292.604026351</v>
      </c>
      <c r="E43" s="8">
        <f t="shared" si="3"/>
        <v>-6509106.2127319835</v>
      </c>
      <c r="F43" s="212">
        <f t="shared" si="4"/>
        <v>-0.16280336369831239</v>
      </c>
      <c r="G43" s="8">
        <f t="shared" si="5"/>
        <v>39981398.816758335</v>
      </c>
      <c r="H43" s="8">
        <f t="shared" si="6"/>
        <v>6509106.2127319835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39981398.816758335</v>
      </c>
      <c r="M43" s="212">
        <f t="shared" si="12"/>
        <v>1.5768747166366736E-2</v>
      </c>
      <c r="N43" s="215">
        <f t="shared" si="9"/>
        <v>5.7363930874303045E-3</v>
      </c>
    </row>
    <row r="44" spans="1:14" s="9" customFormat="1" ht="12.75" customHeight="1">
      <c r="A44" s="7" t="s">
        <v>38</v>
      </c>
      <c r="B44" s="8">
        <v>92343905.993898213</v>
      </c>
      <c r="C44" s="8">
        <f t="shared" si="0"/>
        <v>93800053.699870735</v>
      </c>
      <c r="D44" s="8">
        <f>+'COEF Art 14 F I'!AP45+'COEF Art 14 F II'!M45</f>
        <v>85250602.156699553</v>
      </c>
      <c r="E44" s="8">
        <f t="shared" si="3"/>
        <v>-8549451.5431711823</v>
      </c>
      <c r="F44" s="212">
        <f t="shared" si="4"/>
        <v>-9.1145486659598401E-2</v>
      </c>
      <c r="G44" s="8">
        <f t="shared" si="5"/>
        <v>93800053.699870735</v>
      </c>
      <c r="H44" s="8">
        <f t="shared" si="6"/>
        <v>8549451.5431711823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93800053.699870735</v>
      </c>
      <c r="M44" s="212">
        <f t="shared" si="12"/>
        <v>1.5768747166366778E-2</v>
      </c>
      <c r="N44" s="215">
        <f t="shared" si="9"/>
        <v>1.3458107909395965E-2</v>
      </c>
    </row>
    <row r="45" spans="1:14" ht="12.75" customHeight="1">
      <c r="A45" s="7" t="s">
        <v>39</v>
      </c>
      <c r="B45" s="8">
        <v>1732328747.8172083</v>
      </c>
      <c r="C45" s="8">
        <f t="shared" si="0"/>
        <v>1759645401.8505666</v>
      </c>
      <c r="D45" s="8">
        <f>+'COEF Art 14 F I'!AP46+'COEF Art 14 F II'!M46</f>
        <v>2035982064.5719824</v>
      </c>
      <c r="E45" s="8">
        <f t="shared" si="3"/>
        <v>276336662.72141576</v>
      </c>
      <c r="F45" s="212">
        <f t="shared" si="4"/>
        <v>0.15704110750427372</v>
      </c>
      <c r="G45" s="8">
        <f t="shared" si="5"/>
        <v>0</v>
      </c>
      <c r="H45" s="8">
        <f t="shared" si="6"/>
        <v>0</v>
      </c>
      <c r="I45" s="8">
        <f t="shared" si="7"/>
        <v>2035982064.5719824</v>
      </c>
      <c r="J45" s="8">
        <f t="shared" si="10"/>
        <v>276336662.72141576</v>
      </c>
      <c r="K45" s="8">
        <f t="shared" si="8"/>
        <v>276336662.72141469</v>
      </c>
      <c r="L45" s="8">
        <f t="shared" si="11"/>
        <v>1759645401.8505678</v>
      </c>
      <c r="M45" s="212">
        <f t="shared" si="12"/>
        <v>1.5768747166367478E-2</v>
      </c>
      <c r="N45" s="215">
        <f t="shared" si="9"/>
        <v>0.25246784800518729</v>
      </c>
    </row>
    <row r="46" spans="1:14" ht="12.75" customHeight="1">
      <c r="A46" s="7" t="s">
        <v>40</v>
      </c>
      <c r="B46" s="8">
        <v>9869950.474481808</v>
      </c>
      <c r="C46" s="8">
        <f t="shared" si="0"/>
        <v>10025587.228058474</v>
      </c>
      <c r="D46" s="8">
        <f>+'COEF Art 14 F I'!AP47+'COEF Art 14 F II'!M47</f>
        <v>7076027.7645277781</v>
      </c>
      <c r="E46" s="8">
        <f t="shared" si="3"/>
        <v>-2949559.463530696</v>
      </c>
      <c r="F46" s="212">
        <f t="shared" si="4"/>
        <v>-0.29420316201287483</v>
      </c>
      <c r="G46" s="8">
        <f t="shared" si="5"/>
        <v>10025587.228058474</v>
      </c>
      <c r="H46" s="8">
        <f t="shared" si="6"/>
        <v>2949559.463530696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10025587.228058474</v>
      </c>
      <c r="M46" s="212">
        <f t="shared" si="12"/>
        <v>1.5768747166366847E-2</v>
      </c>
      <c r="N46" s="215">
        <f t="shared" si="9"/>
        <v>1.4384366474031014E-3</v>
      </c>
    </row>
    <row r="47" spans="1:14" s="9" customFormat="1" ht="12.75" customHeight="1">
      <c r="A47" s="7" t="s">
        <v>41</v>
      </c>
      <c r="B47" s="8">
        <v>27253964.184741981</v>
      </c>
      <c r="C47" s="8">
        <f t="shared" si="0"/>
        <v>27683725.055252392</v>
      </c>
      <c r="D47" s="8">
        <f>+'COEF Art 14 F I'!AP48+'COEF Art 14 F II'!M48</f>
        <v>27376278.251853358</v>
      </c>
      <c r="E47" s="8">
        <f t="shared" si="3"/>
        <v>-307446.80339903384</v>
      </c>
      <c r="F47" s="212">
        <f t="shared" si="4"/>
        <v>-1.1105687648082693E-2</v>
      </c>
      <c r="G47" s="8">
        <f t="shared" si="5"/>
        <v>27683725.055252392</v>
      </c>
      <c r="H47" s="8">
        <f t="shared" si="6"/>
        <v>307446.80339903384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27683725.055252392</v>
      </c>
      <c r="M47" s="212">
        <f t="shared" si="12"/>
        <v>1.5768747166366733E-2</v>
      </c>
      <c r="N47" s="215">
        <f t="shared" si="9"/>
        <v>3.9719653073945829E-3</v>
      </c>
    </row>
    <row r="48" spans="1:14" ht="12.75" customHeight="1">
      <c r="A48" s="7" t="s">
        <v>42</v>
      </c>
      <c r="B48" s="8">
        <v>20933864.95722685</v>
      </c>
      <c r="C48" s="8">
        <f t="shared" si="0"/>
        <v>21263965.780952226</v>
      </c>
      <c r="D48" s="8">
        <f>+'COEF Art 14 F I'!AP49+'COEF Art 14 F II'!M49</f>
        <v>13549082.549398949</v>
      </c>
      <c r="E48" s="8">
        <f t="shared" si="3"/>
        <v>-7714883.231553277</v>
      </c>
      <c r="F48" s="212">
        <f t="shared" si="4"/>
        <v>-0.3628148818064828</v>
      </c>
      <c r="G48" s="8">
        <f t="shared" si="5"/>
        <v>21263965.780952226</v>
      </c>
      <c r="H48" s="8">
        <f t="shared" si="6"/>
        <v>7714883.231553277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21263965.780952226</v>
      </c>
      <c r="M48" s="212">
        <f t="shared" si="12"/>
        <v>1.5768747166366805E-2</v>
      </c>
      <c r="N48" s="215">
        <f t="shared" si="9"/>
        <v>3.0508804075679618E-3</v>
      </c>
    </row>
    <row r="49" spans="1:14" ht="12.75" customHeight="1">
      <c r="A49" s="7" t="s">
        <v>43</v>
      </c>
      <c r="B49" s="8">
        <v>22643524.54744311</v>
      </c>
      <c r="C49" s="8">
        <f t="shared" si="0"/>
        <v>23000584.56098716</v>
      </c>
      <c r="D49" s="8">
        <f>+'COEF Art 14 F I'!AP50+'COEF Art 14 F II'!M50</f>
        <v>22149496.925256267</v>
      </c>
      <c r="E49" s="8">
        <f t="shared" si="3"/>
        <v>-851087.63573089242</v>
      </c>
      <c r="F49" s="212">
        <f t="shared" si="4"/>
        <v>-3.7002869795512913E-2</v>
      </c>
      <c r="G49" s="8">
        <f t="shared" si="5"/>
        <v>23000584.56098716</v>
      </c>
      <c r="H49" s="8">
        <f t="shared" si="6"/>
        <v>851087.63573089242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23000584.56098716</v>
      </c>
      <c r="M49" s="212">
        <f t="shared" si="12"/>
        <v>1.5768747166366733E-2</v>
      </c>
      <c r="N49" s="215">
        <f t="shared" si="9"/>
        <v>3.3000444753623699E-3</v>
      </c>
    </row>
    <row r="50" spans="1:14" ht="12.75" customHeight="1">
      <c r="A50" s="7" t="s">
        <v>44</v>
      </c>
      <c r="B50" s="8">
        <v>67492205.793320507</v>
      </c>
      <c r="C50" s="8">
        <f t="shared" si="0"/>
        <v>68556473.322175771</v>
      </c>
      <c r="D50" s="8">
        <f>+'COEF Art 14 F I'!AP51+'COEF Art 14 F II'!M51</f>
        <v>40002214.350144491</v>
      </c>
      <c r="E50" s="8">
        <f t="shared" si="3"/>
        <v>-28554258.97203128</v>
      </c>
      <c r="F50" s="212">
        <f t="shared" si="4"/>
        <v>-0.41650711578821709</v>
      </c>
      <c r="G50" s="8">
        <f t="shared" si="5"/>
        <v>68556473.322175771</v>
      </c>
      <c r="H50" s="8">
        <f t="shared" si="6"/>
        <v>28554258.97203128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68556473.322175771</v>
      </c>
      <c r="M50" s="212">
        <f t="shared" si="12"/>
        <v>1.576874716636675E-2</v>
      </c>
      <c r="N50" s="215">
        <f t="shared" si="9"/>
        <v>9.8362461370183497E-3</v>
      </c>
    </row>
    <row r="51" spans="1:14" ht="12.75" customHeight="1">
      <c r="A51" s="7" t="s">
        <v>45</v>
      </c>
      <c r="B51" s="8">
        <v>58080581.470747948</v>
      </c>
      <c r="C51" s="8">
        <f t="shared" si="0"/>
        <v>58996439.475235738</v>
      </c>
      <c r="D51" s="8">
        <f>+'COEF Art 14 F I'!AP52+'COEF Art 14 F II'!M52</f>
        <v>51434023.046405226</v>
      </c>
      <c r="E51" s="8">
        <f t="shared" si="3"/>
        <v>-7562416.4288305119</v>
      </c>
      <c r="F51" s="212">
        <f t="shared" si="4"/>
        <v>-0.12818428529072337</v>
      </c>
      <c r="G51" s="8">
        <f t="shared" si="5"/>
        <v>58996439.475235738</v>
      </c>
      <c r="H51" s="8">
        <f t="shared" si="6"/>
        <v>7562416.4288305119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58996439.475235738</v>
      </c>
      <c r="M51" s="212">
        <f t="shared" si="12"/>
        <v>1.5768747166366757E-2</v>
      </c>
      <c r="N51" s="215">
        <f t="shared" si="9"/>
        <v>8.4646054816593843E-3</v>
      </c>
    </row>
    <row r="52" spans="1:14" ht="12.75" customHeight="1">
      <c r="A52" s="7" t="s">
        <v>46</v>
      </c>
      <c r="B52" s="8">
        <v>525545057.97486383</v>
      </c>
      <c r="C52" s="8">
        <f t="shared" si="0"/>
        <v>533832245.11860305</v>
      </c>
      <c r="D52" s="8">
        <f>+'COEF Art 14 F I'!AP53+'COEF Art 14 F II'!M53</f>
        <v>453472265.6441285</v>
      </c>
      <c r="E52" s="8">
        <f t="shared" si="3"/>
        <v>-80359979.474474549</v>
      </c>
      <c r="F52" s="212">
        <f t="shared" si="4"/>
        <v>-0.15053414290592496</v>
      </c>
      <c r="G52" s="8">
        <f t="shared" si="5"/>
        <v>533832245.11860305</v>
      </c>
      <c r="H52" s="8">
        <f t="shared" si="6"/>
        <v>80359979.474474549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533832245.11860305</v>
      </c>
      <c r="M52" s="212">
        <f t="shared" si="12"/>
        <v>1.5768747166366826E-2</v>
      </c>
      <c r="N52" s="215">
        <f t="shared" si="9"/>
        <v>7.659240775393264E-2</v>
      </c>
    </row>
    <row r="53" spans="1:14" ht="12.75" customHeight="1">
      <c r="A53" s="7" t="s">
        <v>47</v>
      </c>
      <c r="B53" s="8">
        <v>895031489.0224694</v>
      </c>
      <c r="C53" s="8">
        <f t="shared" si="0"/>
        <v>909145014.27880156</v>
      </c>
      <c r="D53" s="8">
        <f>+'COEF Art 14 F I'!AP54+'COEF Art 14 F II'!M54</f>
        <v>991297072.97710919</v>
      </c>
      <c r="E53" s="8">
        <f t="shared" si="3"/>
        <v>82152058.698307633</v>
      </c>
      <c r="F53" s="212">
        <f t="shared" si="4"/>
        <v>9.0361886616599316E-2</v>
      </c>
      <c r="G53" s="8">
        <f t="shared" si="5"/>
        <v>0</v>
      </c>
      <c r="H53" s="8">
        <f t="shared" si="6"/>
        <v>0</v>
      </c>
      <c r="I53" s="8">
        <f t="shared" si="7"/>
        <v>991297072.97710919</v>
      </c>
      <c r="J53" s="8">
        <f t="shared" si="10"/>
        <v>82152058.698307633</v>
      </c>
      <c r="K53" s="8">
        <f t="shared" si="8"/>
        <v>82152058.69830732</v>
      </c>
      <c r="L53" s="8">
        <f t="shared" si="11"/>
        <v>909145014.27880192</v>
      </c>
      <c r="M53" s="212">
        <f t="shared" si="12"/>
        <v>1.5768747166367243E-2</v>
      </c>
      <c r="N53" s="215">
        <f t="shared" si="9"/>
        <v>0.13044098830265716</v>
      </c>
    </row>
    <row r="54" spans="1:14" s="9" customFormat="1" ht="12.75" customHeight="1">
      <c r="A54" s="7" t="s">
        <v>48</v>
      </c>
      <c r="B54" s="8">
        <v>273638020.2066465</v>
      </c>
      <c r="C54" s="8">
        <f t="shared" si="0"/>
        <v>277952948.9623903</v>
      </c>
      <c r="D54" s="8">
        <f>+'COEF Art 14 F I'!AP55+'COEF Art 14 F II'!M55</f>
        <v>263731628.58588225</v>
      </c>
      <c r="E54" s="8">
        <f t="shared" si="3"/>
        <v>-14221320.376508057</v>
      </c>
      <c r="F54" s="212">
        <f t="shared" si="4"/>
        <v>-5.1164488197001784E-2</v>
      </c>
      <c r="G54" s="8">
        <f t="shared" si="5"/>
        <v>277952948.9623903</v>
      </c>
      <c r="H54" s="8">
        <f t="shared" si="6"/>
        <v>14221320.376508057</v>
      </c>
      <c r="I54" s="8">
        <f t="shared" si="7"/>
        <v>0</v>
      </c>
      <c r="J54" s="8">
        <f t="shared" si="10"/>
        <v>0</v>
      </c>
      <c r="K54" s="8">
        <f t="shared" si="8"/>
        <v>0</v>
      </c>
      <c r="L54" s="8">
        <f t="shared" si="11"/>
        <v>277952948.9623903</v>
      </c>
      <c r="M54" s="212">
        <f t="shared" si="12"/>
        <v>1.5768747166366885E-2</v>
      </c>
      <c r="N54" s="215">
        <f t="shared" si="9"/>
        <v>3.987972963043019E-2</v>
      </c>
    </row>
    <row r="55" spans="1:14" s="9" customFormat="1" ht="12.75" customHeight="1">
      <c r="A55" s="7" t="s">
        <v>49</v>
      </c>
      <c r="B55" s="8">
        <v>72945467.214333817</v>
      </c>
      <c r="C55" s="8">
        <f t="shared" si="0"/>
        <v>74095725.843769148</v>
      </c>
      <c r="D55" s="8">
        <f>+'COEF Art 14 F I'!AP56+'COEF Art 14 F II'!M56</f>
        <v>93202440.139604479</v>
      </c>
      <c r="E55" s="8">
        <f t="shared" si="3"/>
        <v>19106714.295835331</v>
      </c>
      <c r="F55" s="212">
        <f t="shared" si="4"/>
        <v>0.25786526926157444</v>
      </c>
      <c r="G55" s="8">
        <f t="shared" si="5"/>
        <v>0</v>
      </c>
      <c r="H55" s="8">
        <f t="shared" si="6"/>
        <v>0</v>
      </c>
      <c r="I55" s="8">
        <f t="shared" si="7"/>
        <v>93202440.139604479</v>
      </c>
      <c r="J55" s="8">
        <f t="shared" si="10"/>
        <v>19106714.295835331</v>
      </c>
      <c r="K55" s="8">
        <f t="shared" si="8"/>
        <v>19106714.295835257</v>
      </c>
      <c r="L55" s="8">
        <f t="shared" si="11"/>
        <v>74095725.843769222</v>
      </c>
      <c r="M55" s="212">
        <f t="shared" si="12"/>
        <v>1.5768747166367846E-2</v>
      </c>
      <c r="N55" s="215">
        <f t="shared" si="9"/>
        <v>1.0630998967454107E-2</v>
      </c>
    </row>
    <row r="56" spans="1:14" ht="12.75" customHeight="1">
      <c r="A56" s="7" t="s">
        <v>50</v>
      </c>
      <c r="B56" s="8">
        <v>17525014.516520754</v>
      </c>
      <c r="C56" s="8">
        <f t="shared" si="0"/>
        <v>17801362.039518677</v>
      </c>
      <c r="D56" s="8">
        <f>+'COEF Art 14 F I'!AP57+'COEF Art 14 F II'!M57</f>
        <v>12232768.140873969</v>
      </c>
      <c r="E56" s="8">
        <f t="shared" si="3"/>
        <v>-5568593.8986447081</v>
      </c>
      <c r="F56" s="212">
        <f t="shared" si="4"/>
        <v>-0.31281841728079784</v>
      </c>
      <c r="G56" s="8">
        <f t="shared" si="5"/>
        <v>17801362.039518677</v>
      </c>
      <c r="H56" s="8">
        <f t="shared" si="6"/>
        <v>5568593.8986447081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17801362.039518677</v>
      </c>
      <c r="M56" s="212">
        <f t="shared" si="12"/>
        <v>1.5768747166366774E-2</v>
      </c>
      <c r="N56" s="215">
        <f t="shared" si="9"/>
        <v>2.5540779755694057E-3</v>
      </c>
    </row>
    <row r="57" spans="1:14" ht="12.75" customHeight="1">
      <c r="A57" s="7" t="s">
        <v>51</v>
      </c>
      <c r="B57" s="8">
        <v>24144406.684539549</v>
      </c>
      <c r="C57" s="8">
        <f t="shared" si="0"/>
        <v>24525133.729029991</v>
      </c>
      <c r="D57" s="8">
        <f>+'COEF Art 14 F I'!AP58+'COEF Art 14 F II'!M58</f>
        <v>8626682.4198714122</v>
      </c>
      <c r="E57" s="8">
        <f t="shared" si="3"/>
        <v>-15898451.309158579</v>
      </c>
      <c r="F57" s="212">
        <f t="shared" si="4"/>
        <v>-0.64825136061704114</v>
      </c>
      <c r="G57" s="8">
        <f t="shared" si="5"/>
        <v>24525133.729029991</v>
      </c>
      <c r="H57" s="8">
        <f t="shared" si="6"/>
        <v>15898451.309158579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24525133.729029991</v>
      </c>
      <c r="M57" s="212">
        <f t="shared" si="12"/>
        <v>1.5768747166366844E-2</v>
      </c>
      <c r="N57" s="215">
        <f t="shared" si="9"/>
        <v>3.5187815272871978E-3</v>
      </c>
    </row>
    <row r="58" spans="1:14" s="13" customFormat="1" ht="16.5" customHeight="1" thickBot="1">
      <c r="A58" s="11" t="s">
        <v>52</v>
      </c>
      <c r="B58" s="12">
        <f>SUM(B7:B57)</f>
        <v>6861581629.1253719</v>
      </c>
      <c r="C58" s="12">
        <f>SUM(C7:C57)</f>
        <v>6969780174.9964352</v>
      </c>
      <c r="D58" s="12">
        <f>SUM(D7:D57)</f>
        <v>6969780174.9964371</v>
      </c>
      <c r="E58" s="12">
        <f>SUM(E7:E57)</f>
        <v>1.6763806343078613E-6</v>
      </c>
      <c r="F58" s="213">
        <f t="shared" si="4"/>
        <v>2.7365979771571138E-16</v>
      </c>
      <c r="G58" s="12">
        <f t="shared" ref="G58:L58" si="13">SUM(G7:G57)</f>
        <v>3501289651.30723</v>
      </c>
      <c r="H58" s="12">
        <f t="shared" si="13"/>
        <v>441807896.70958376</v>
      </c>
      <c r="I58" s="12">
        <f t="shared" si="13"/>
        <v>3910298420.3987923</v>
      </c>
      <c r="J58" s="12">
        <f t="shared" si="13"/>
        <v>441807896.70958549</v>
      </c>
      <c r="K58" s="12">
        <f t="shared" si="13"/>
        <v>441807896.70958382</v>
      </c>
      <c r="L58" s="12">
        <f t="shared" si="13"/>
        <v>6969780174.9964361</v>
      </c>
      <c r="M58" s="213">
        <f t="shared" si="12"/>
        <v>1.5768747166366653E-2</v>
      </c>
      <c r="N58" s="216">
        <f>SUM(N7:N57)</f>
        <v>1.0000000000000002</v>
      </c>
    </row>
    <row r="59" spans="1:14" ht="13.5" thickTop="1">
      <c r="D59" s="222">
        <f>+(D58-B58)/B58</f>
        <v>1.5768747166366791E-2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>
      <c r="A60" s="109" t="s">
        <v>228</v>
      </c>
      <c r="D60" s="143"/>
      <c r="F60" s="17"/>
    </row>
    <row r="61" spans="1:14">
      <c r="A61" s="109" t="s">
        <v>223</v>
      </c>
      <c r="D61" s="142"/>
      <c r="E61" s="175"/>
    </row>
    <row r="65" spans="11:11">
      <c r="K65" s="139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zoomScaleSheetLayoutView="100" workbookViewId="0">
      <selection activeCell="E16" sqref="E16"/>
    </sheetView>
  </sheetViews>
  <sheetFormatPr baseColWidth="10" defaultColWidth="11.42578125" defaultRowHeight="12.75"/>
  <cols>
    <col min="1" max="1" width="29" style="185" customWidth="1"/>
    <col min="2" max="2" width="14" style="185" bestFit="1" customWidth="1"/>
    <col min="3" max="3" width="12.42578125" style="185" bestFit="1" customWidth="1"/>
    <col min="4" max="4" width="14.28515625" style="185" customWidth="1"/>
    <col min="5" max="5" width="12.42578125" style="185" bestFit="1" customWidth="1"/>
    <col min="6" max="8" width="11.42578125" style="185"/>
    <col min="9" max="9" width="12.42578125" style="185" bestFit="1" customWidth="1"/>
    <col min="10" max="10" width="14.28515625" style="185" customWidth="1"/>
    <col min="11" max="11" width="13" style="225" customWidth="1"/>
    <col min="12" max="16384" width="11.42578125" style="185"/>
  </cols>
  <sheetData>
    <row r="1" spans="1:11">
      <c r="A1" s="228" t="s">
        <v>150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1">
      <c r="A2" s="228" t="s">
        <v>229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1">
      <c r="A3" s="228" t="s">
        <v>225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1">
      <c r="A4" s="228" t="s">
        <v>224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1" ht="13.5" customHeight="1" thickBot="1">
      <c r="A5" s="186"/>
    </row>
    <row r="6" spans="1:11" ht="52.5" thickTop="1" thickBot="1">
      <c r="A6" s="187" t="s">
        <v>0</v>
      </c>
      <c r="B6" s="188" t="s">
        <v>134</v>
      </c>
      <c r="C6" s="188" t="s">
        <v>135</v>
      </c>
      <c r="D6" s="188" t="s">
        <v>136</v>
      </c>
      <c r="E6" s="188" t="s">
        <v>164</v>
      </c>
      <c r="F6" s="188" t="s">
        <v>154</v>
      </c>
      <c r="G6" s="188" t="s">
        <v>137</v>
      </c>
      <c r="H6" s="188" t="s">
        <v>207</v>
      </c>
      <c r="I6" s="188" t="s">
        <v>171</v>
      </c>
      <c r="J6" s="189" t="s">
        <v>53</v>
      </c>
      <c r="K6" s="226" t="s">
        <v>231</v>
      </c>
    </row>
    <row r="7" spans="1:11" ht="13.5" thickTop="1">
      <c r="A7" s="190" t="s">
        <v>1</v>
      </c>
      <c r="B7" s="191">
        <f>+'PART 1er sem 2018'!J$4*'Dist 1 sem coef 1'!K7</f>
        <v>3829273.1249600174</v>
      </c>
      <c r="C7" s="191">
        <f>+'PART 1er sem 2018'!J$5*'Dist 1 sem coef 1'!K7</f>
        <v>554482.50953600393</v>
      </c>
      <c r="D7" s="191">
        <f>+'PART 1er sem 2018'!J$6*'Dist 1 sem coef 1'!K7</f>
        <v>115142.77257815865</v>
      </c>
      <c r="E7" s="191">
        <f>+'PART 1er sem 2018'!J$7*'Dist 1 sem coef 1'!K7</f>
        <v>159842.12331647001</v>
      </c>
      <c r="F7" s="191">
        <f>+'PART 1er sem 2018'!J$8*'Dist 1 sem coef 1'!K7</f>
        <v>14422.458955498822</v>
      </c>
      <c r="G7" s="191">
        <f>+'PART 1er sem 2018'!J$9*'Dist 1 sem coef 1'!K7</f>
        <v>124641.64072817664</v>
      </c>
      <c r="H7" s="191">
        <f>+'PART 1er sem 2018'!J$10*'Dist 1 sem coef 1'!K7</f>
        <v>23017.639883503285</v>
      </c>
      <c r="I7" s="191">
        <f>+'PART 1er sem 2018'!J$11*'Dist 1 sem coef 1'!K7</f>
        <v>149586.73197990787</v>
      </c>
      <c r="J7" s="192">
        <f t="shared" ref="J7:J57" si="0">SUM(B7:I7)</f>
        <v>4970409.0019377349</v>
      </c>
      <c r="K7" s="225">
        <v>1.3322353872480314E-3</v>
      </c>
    </row>
    <row r="8" spans="1:11">
      <c r="A8" s="190" t="s">
        <v>2</v>
      </c>
      <c r="B8" s="191">
        <f>+'PART 1er sem 2018'!J$4*'Dist 1 sem coef 1'!K8</f>
        <v>7584937.5612590443</v>
      </c>
      <c r="C8" s="191">
        <f>+'PART 1er sem 2018'!J$5*'Dist 1 sem coef 1'!K8</f>
        <v>1098306.4086567932</v>
      </c>
      <c r="D8" s="191">
        <f>+'PART 1er sem 2018'!J$6*'Dist 1 sem coef 1'!K8</f>
        <v>228072.19859635952</v>
      </c>
      <c r="E8" s="191">
        <f>+'PART 1er sem 2018'!J$7*'Dist 1 sem coef 1'!K8</f>
        <v>316611.66113011393</v>
      </c>
      <c r="F8" s="191">
        <f>+'PART 1er sem 2018'!J$8*'Dist 1 sem coef 1'!K8</f>
        <v>28567.680363207863</v>
      </c>
      <c r="G8" s="191">
        <f>+'PART 1er sem 2018'!J$9*'Dist 1 sem coef 1'!K8</f>
        <v>246887.34169777282</v>
      </c>
      <c r="H8" s="191">
        <f>+'PART 1er sem 2018'!J$10*'Dist 1 sem coef 1'!K8</f>
        <v>45592.820262916408</v>
      </c>
      <c r="I8" s="191">
        <f>+'PART 1er sem 2018'!J$11*'Dist 1 sem coef 1'!K8</f>
        <v>296298.01401858462</v>
      </c>
      <c r="J8" s="192">
        <f t="shared" si="0"/>
        <v>9845273.6859847922</v>
      </c>
      <c r="K8" s="225">
        <v>2.6388617106755971E-3</v>
      </c>
    </row>
    <row r="9" spans="1:11">
      <c r="A9" s="190" t="s">
        <v>3</v>
      </c>
      <c r="B9" s="191">
        <f>+'PART 1er sem 2018'!J$4*'Dist 1 sem coef 1'!K9</f>
        <v>7456874.0840437887</v>
      </c>
      <c r="C9" s="191">
        <f>+'PART 1er sem 2018'!J$5*'Dist 1 sem coef 1'!K9</f>
        <v>1079762.6913744269</v>
      </c>
      <c r="D9" s="191">
        <f>+'PART 1er sem 2018'!J$6*'Dist 1 sem coef 1'!K9</f>
        <v>224221.44589437818</v>
      </c>
      <c r="E9" s="191">
        <f>+'PART 1er sem 2018'!J$7*'Dist 1 sem coef 1'!K9</f>
        <v>311266.01524657814</v>
      </c>
      <c r="F9" s="191">
        <f>+'PART 1er sem 2018'!J$8*'Dist 1 sem coef 1'!K9</f>
        <v>28085.345940051571</v>
      </c>
      <c r="G9" s="191">
        <f>+'PART 1er sem 2018'!J$9*'Dist 1 sem coef 1'!K9</f>
        <v>242718.91562927933</v>
      </c>
      <c r="H9" s="191">
        <f>+'PART 1er sem 2018'!J$10*'Dist 1 sem coef 1'!K9</f>
        <v>44823.034743686636</v>
      </c>
      <c r="I9" s="191">
        <f>+'PART 1er sem 2018'!J$11*'Dist 1 sem coef 1'!K9</f>
        <v>291295.34212303697</v>
      </c>
      <c r="J9" s="192">
        <f t="shared" si="0"/>
        <v>9679046.874995226</v>
      </c>
      <c r="K9" s="225">
        <v>2.5943073812786893E-3</v>
      </c>
    </row>
    <row r="10" spans="1:11">
      <c r="A10" s="190" t="s">
        <v>4</v>
      </c>
      <c r="B10" s="191">
        <f>+'PART 1er sem 2018'!J$4*'Dist 1 sem coef 1'!K10</f>
        <v>20713071.291369464</v>
      </c>
      <c r="C10" s="191">
        <f>+'PART 1er sem 2018'!J$5*'Dist 1 sem coef 1'!K10</f>
        <v>2999273.0669888211</v>
      </c>
      <c r="D10" s="191">
        <f>+'PART 1er sem 2018'!J$6*'Dist 1 sem coef 1'!K10</f>
        <v>622823.28245317924</v>
      </c>
      <c r="E10" s="191">
        <f>+'PART 1er sem 2018'!J$7*'Dist 1 sem coef 1'!K10</f>
        <v>864608.29185499321</v>
      </c>
      <c r="F10" s="191">
        <f>+'PART 1er sem 2018'!J$8*'Dist 1 sem coef 1'!K10</f>
        <v>78013.087808986267</v>
      </c>
      <c r="G10" s="191">
        <f>+'PART 1er sem 2018'!J$9*'Dist 1 sem coef 1'!K10</f>
        <v>674203.98232965928</v>
      </c>
      <c r="H10" s="191">
        <f>+'PART 1er sem 2018'!J$10*'Dist 1 sem coef 1'!K10</f>
        <v>124505.61772635394</v>
      </c>
      <c r="I10" s="191">
        <f>+'PART 1er sem 2018'!J$11*'Dist 1 sem coef 1'!K10</f>
        <v>809135.45276955387</v>
      </c>
      <c r="J10" s="192">
        <f t="shared" si="0"/>
        <v>26885634.073301014</v>
      </c>
      <c r="K10" s="225">
        <v>7.2062466302248432E-3</v>
      </c>
    </row>
    <row r="11" spans="1:11">
      <c r="A11" s="190" t="s">
        <v>5</v>
      </c>
      <c r="B11" s="191">
        <f>+'PART 1er sem 2018'!J$4*'Dist 1 sem coef 1'!K11</f>
        <v>27564211.755198918</v>
      </c>
      <c r="C11" s="191">
        <f>+'PART 1er sem 2018'!J$5*'Dist 1 sem coef 1'!K11</f>
        <v>3991324.9352157661</v>
      </c>
      <c r="D11" s="191">
        <f>+'PART 1er sem 2018'!J$6*'Dist 1 sem coef 1'!K11</f>
        <v>828830.86733548541</v>
      </c>
      <c r="E11" s="191">
        <f>+'PART 1er sem 2018'!J$7*'Dist 1 sem coef 1'!K11</f>
        <v>1150589.6786983041</v>
      </c>
      <c r="F11" s="191">
        <f>+'PART 1er sem 2018'!J$8*'Dist 1 sem coef 1'!K11</f>
        <v>103817.01688729382</v>
      </c>
      <c r="G11" s="191">
        <f>+'PART 1er sem 2018'!J$9*'Dist 1 sem coef 1'!K11</f>
        <v>897206.45836218842</v>
      </c>
      <c r="H11" s="191">
        <f>+'PART 1er sem 2018'!J$10*'Dist 1 sem coef 1'!K11</f>
        <v>165687.60679885463</v>
      </c>
      <c r="I11" s="191">
        <f>+'PART 1er sem 2018'!J$11*'Dist 1 sem coef 1'!K11</f>
        <v>1076768.4157043297</v>
      </c>
      <c r="J11" s="192">
        <f t="shared" si="0"/>
        <v>35778436.734201156</v>
      </c>
      <c r="K11" s="225">
        <v>9.5898143390483782E-3</v>
      </c>
    </row>
    <row r="12" spans="1:11">
      <c r="A12" s="190" t="s">
        <v>6</v>
      </c>
      <c r="B12" s="191">
        <f>+'PART 1er sem 2018'!J$4*'Dist 1 sem coef 1'!K12</f>
        <v>178928996.98886672</v>
      </c>
      <c r="C12" s="191">
        <f>+'PART 1er sem 2018'!J$5*'Dist 1 sem coef 1'!K12</f>
        <v>25909094.504765268</v>
      </c>
      <c r="D12" s="191">
        <f>+'PART 1er sem 2018'!J$6*'Dist 1 sem coef 1'!K12</f>
        <v>5380232.7845554836</v>
      </c>
      <c r="E12" s="191">
        <f>+'PART 1er sem 2018'!J$7*'Dist 1 sem coef 1'!K12</f>
        <v>7468882.4401590182</v>
      </c>
      <c r="F12" s="191">
        <f>+'PART 1er sem 2018'!J$8*'Dist 1 sem coef 1'!K12</f>
        <v>673912.78470047691</v>
      </c>
      <c r="G12" s="191">
        <f>+'PART 1er sem 2018'!J$9*'Dist 1 sem coef 1'!K12</f>
        <v>5824082.8039060775</v>
      </c>
      <c r="H12" s="191">
        <f>+'PART 1er sem 2018'!J$10*'Dist 1 sem coef 1'!K12</f>
        <v>1075536.5530238014</v>
      </c>
      <c r="I12" s="191">
        <f>+'PART 1er sem 2018'!J$11*'Dist 1 sem coef 1'!K12</f>
        <v>6989682.6480056345</v>
      </c>
      <c r="J12" s="192">
        <f t="shared" si="0"/>
        <v>232250421.50798252</v>
      </c>
      <c r="K12" s="225">
        <v>6.2250859057188204E-2</v>
      </c>
    </row>
    <row r="13" spans="1:11">
      <c r="A13" s="190" t="s">
        <v>7</v>
      </c>
      <c r="B13" s="191">
        <f>+'PART 1er sem 2018'!J$4*'Dist 1 sem coef 1'!K13</f>
        <v>30725281.975463118</v>
      </c>
      <c r="C13" s="191">
        <f>+'PART 1er sem 2018'!J$5*'Dist 1 sem coef 1'!K13</f>
        <v>4449051.0078551853</v>
      </c>
      <c r="D13" s="191">
        <f>+'PART 1er sem 2018'!J$6*'Dist 1 sem coef 1'!K13</f>
        <v>923881.38413017639</v>
      </c>
      <c r="E13" s="191">
        <f>+'PART 1er sem 2018'!J$7*'Dist 1 sem coef 1'!K13</f>
        <v>1282539.5708765404</v>
      </c>
      <c r="F13" s="191">
        <f>+'PART 1er sem 2018'!J$8*'Dist 1 sem coef 1'!K13</f>
        <v>115722.77654962821</v>
      </c>
      <c r="G13" s="191">
        <f>+'PART 1er sem 2018'!J$9*'Dist 1 sem coef 1'!K13</f>
        <v>1000098.303851748</v>
      </c>
      <c r="H13" s="191">
        <f>+'PART 1er sem 2018'!J$10*'Dist 1 sem coef 1'!K13</f>
        <v>184688.70011399066</v>
      </c>
      <c r="I13" s="191">
        <f>+'PART 1er sem 2018'!J$11*'Dist 1 sem coef 1'!K13</f>
        <v>1200252.4682588906</v>
      </c>
      <c r="J13" s="192">
        <f t="shared" si="0"/>
        <v>39881516.187099278</v>
      </c>
      <c r="K13" s="225">
        <v>1.0689576479691159E-2</v>
      </c>
    </row>
    <row r="14" spans="1:11">
      <c r="A14" s="190" t="s">
        <v>8</v>
      </c>
      <c r="B14" s="191">
        <f>+'PART 1er sem 2018'!J$4*'Dist 1 sem coef 1'!K14</f>
        <v>5003058.1465422129</v>
      </c>
      <c r="C14" s="191">
        <f>+'PART 1er sem 2018'!J$5*'Dist 1 sem coef 1'!K14</f>
        <v>724447.7335312143</v>
      </c>
      <c r="D14" s="191">
        <f>+'PART 1er sem 2018'!J$6*'Dist 1 sem coef 1'!K14</f>
        <v>150437.42443120424</v>
      </c>
      <c r="E14" s="191">
        <f>+'PART 1er sem 2018'!J$7*'Dist 1 sem coef 1'!K14</f>
        <v>208838.44299495357</v>
      </c>
      <c r="F14" s="191">
        <f>+'PART 1er sem 2018'!J$8*'Dist 1 sem coef 1'!K14</f>
        <v>18843.367504957612</v>
      </c>
      <c r="G14" s="191">
        <f>+'PART 1er sem 2018'!J$9*'Dist 1 sem coef 1'!K14</f>
        <v>162847.97550187883</v>
      </c>
      <c r="H14" s="191">
        <f>+'PART 1er sem 2018'!J$10*'Dist 1 sem coef 1'!K14</f>
        <v>30073.224597824552</v>
      </c>
      <c r="I14" s="191">
        <f>+'PART 1er sem 2018'!J$11*'Dist 1 sem coef 1'!K14</f>
        <v>195439.47209420294</v>
      </c>
      <c r="J14" s="192">
        <f t="shared" si="0"/>
        <v>6493985.7871984495</v>
      </c>
      <c r="K14" s="225">
        <v>1.7406047805359085E-3</v>
      </c>
    </row>
    <row r="15" spans="1:11">
      <c r="A15" s="190" t="s">
        <v>9</v>
      </c>
      <c r="B15" s="191">
        <f>+'PART 1er sem 2018'!J$4*'Dist 1 sem coef 1'!K15</f>
        <v>49731376.95927377</v>
      </c>
      <c r="C15" s="191">
        <f>+'PART 1er sem 2018'!J$5*'Dist 1 sem coef 1'!K15</f>
        <v>7201152.2289486853</v>
      </c>
      <c r="D15" s="191">
        <f>+'PART 1er sem 2018'!J$6*'Dist 1 sem coef 1'!K15</f>
        <v>1495377.4359670747</v>
      </c>
      <c r="E15" s="191">
        <f>+'PART 1er sem 2018'!J$7*'Dist 1 sem coef 1'!K15</f>
        <v>2075894.9882179254</v>
      </c>
      <c r="F15" s="191">
        <f>+'PART 1er sem 2018'!J$8*'Dist 1 sem coef 1'!K15</f>
        <v>187306.76021002154</v>
      </c>
      <c r="G15" s="191">
        <f>+'PART 1er sem 2018'!J$9*'Dist 1 sem coef 1'!K15</f>
        <v>1618740.7420670849</v>
      </c>
      <c r="H15" s="191">
        <f>+'PART 1er sem 2018'!J$10*'Dist 1 sem coef 1'!K15</f>
        <v>298933.73713614867</v>
      </c>
      <c r="I15" s="191">
        <f>+'PART 1er sem 2018'!J$11*'Dist 1 sem coef 1'!K15</f>
        <v>1942706.5955960834</v>
      </c>
      <c r="J15" s="192">
        <f t="shared" si="0"/>
        <v>64551489.44741679</v>
      </c>
      <c r="K15" s="225">
        <v>1.7301952114582502E-2</v>
      </c>
    </row>
    <row r="16" spans="1:11">
      <c r="A16" s="190" t="s">
        <v>10</v>
      </c>
      <c r="B16" s="191">
        <f>+'PART 1er sem 2018'!J$4*'Dist 1 sem coef 1'!K16</f>
        <v>7104835.7543873917</v>
      </c>
      <c r="C16" s="191">
        <f>+'PART 1er sem 2018'!J$5*'Dist 1 sem coef 1'!K16</f>
        <v>1028787.1954745934</v>
      </c>
      <c r="D16" s="191">
        <f>+'PART 1er sem 2018'!J$6*'Dist 1 sem coef 1'!K16</f>
        <v>213635.97235732287</v>
      </c>
      <c r="E16" s="191">
        <f>+'PART 1er sem 2018'!J$7*'Dist 1 sem coef 1'!K16</f>
        <v>296571.17571312241</v>
      </c>
      <c r="F16" s="191">
        <f>+'PART 1er sem 2018'!J$8*'Dist 1 sem coef 1'!K16</f>
        <v>26759.439379055151</v>
      </c>
      <c r="G16" s="191">
        <f>+'PART 1er sem 2018'!J$9*'Dist 1 sem coef 1'!K16</f>
        <v>231260.17827216323</v>
      </c>
      <c r="H16" s="191">
        <f>+'PART 1er sem 2018'!J$10*'Dist 1 sem coef 1'!K16</f>
        <v>42706.943456177447</v>
      </c>
      <c r="I16" s="191">
        <f>+'PART 1er sem 2018'!J$11*'Dist 1 sem coef 1'!K16</f>
        <v>277543.3162041452</v>
      </c>
      <c r="J16" s="192">
        <f t="shared" si="0"/>
        <v>9222099.9752439708</v>
      </c>
      <c r="K16" s="225">
        <v>2.4718303719008751E-3</v>
      </c>
    </row>
    <row r="17" spans="1:11">
      <c r="A17" s="190" t="s">
        <v>11</v>
      </c>
      <c r="B17" s="191">
        <f>+'PART 1er sem 2018'!J$4*'Dist 1 sem coef 1'!K17</f>
        <v>10335513.491541347</v>
      </c>
      <c r="C17" s="191">
        <f>+'PART 1er sem 2018'!J$5*'Dist 1 sem coef 1'!K17</f>
        <v>1496592.5049268743</v>
      </c>
      <c r="D17" s="191">
        <f>+'PART 1er sem 2018'!J$6*'Dist 1 sem coef 1'!K17</f>
        <v>310779.52410288347</v>
      </c>
      <c r="E17" s="191">
        <f>+'PART 1er sem 2018'!J$7*'Dist 1 sem coef 1'!K17</f>
        <v>431426.63585043728</v>
      </c>
      <c r="F17" s="191">
        <f>+'PART 1er sem 2018'!J$8*'Dist 1 sem coef 1'!K17</f>
        <v>38927.366696340265</v>
      </c>
      <c r="G17" s="191">
        <f>+'PART 1er sem 2018'!J$9*'Dist 1 sem coef 1'!K17</f>
        <v>336417.72663248458</v>
      </c>
      <c r="H17" s="191">
        <f>+'PART 1er sem 2018'!J$10*'Dist 1 sem coef 1'!K17</f>
        <v>62126.445358183322</v>
      </c>
      <c r="I17" s="191">
        <f>+'PART 1er sem 2018'!J$11*'Dist 1 sem coef 1'!K17</f>
        <v>403746.51691894134</v>
      </c>
      <c r="J17" s="192">
        <f t="shared" si="0"/>
        <v>13415530.21202749</v>
      </c>
      <c r="K17" s="225">
        <v>3.5958095360342332E-3</v>
      </c>
    </row>
    <row r="18" spans="1:11">
      <c r="A18" s="190" t="s">
        <v>12</v>
      </c>
      <c r="B18" s="191">
        <f>+'PART 1er sem 2018'!J$4*'Dist 1 sem coef 1'!K18</f>
        <v>25247504.831479937</v>
      </c>
      <c r="C18" s="191">
        <f>+'PART 1er sem 2018'!J$5*'Dist 1 sem coef 1'!K18</f>
        <v>3655863.4972342304</v>
      </c>
      <c r="D18" s="191">
        <f>+'PART 1er sem 2018'!J$6*'Dist 1 sem coef 1'!K18</f>
        <v>759169.5896613301</v>
      </c>
      <c r="E18" s="191">
        <f>+'PART 1er sem 2018'!J$7*'Dist 1 sem coef 1'!K18</f>
        <v>1053885.3325456448</v>
      </c>
      <c r="F18" s="191">
        <f>+'PART 1er sem 2018'!J$8*'Dist 1 sem coef 1'!K18</f>
        <v>95091.441711820851</v>
      </c>
      <c r="G18" s="191">
        <f>+'PART 1er sem 2018'!J$9*'Dist 1 sem coef 1'!K18</f>
        <v>821798.37368510605</v>
      </c>
      <c r="H18" s="191">
        <f>+'PART 1er sem 2018'!J$10*'Dist 1 sem coef 1'!K18</f>
        <v>151761.95460700712</v>
      </c>
      <c r="I18" s="191">
        <f>+'PART 1er sem 2018'!J$11*'Dist 1 sem coef 1'!K18</f>
        <v>986268.57242716302</v>
      </c>
      <c r="J18" s="192">
        <f t="shared" si="0"/>
        <v>32771343.59335224</v>
      </c>
      <c r="K18" s="225">
        <v>8.7838130837335909E-3</v>
      </c>
    </row>
    <row r="19" spans="1:11">
      <c r="A19" s="190" t="s">
        <v>13</v>
      </c>
      <c r="B19" s="191">
        <f>+'PART 1er sem 2018'!J$4*'Dist 1 sem coef 1'!K19</f>
        <v>12846171.625731448</v>
      </c>
      <c r="C19" s="191">
        <f>+'PART 1er sem 2018'!J$5*'Dist 1 sem coef 1'!K19</f>
        <v>1860138.2686799481</v>
      </c>
      <c r="D19" s="191">
        <f>+'PART 1er sem 2018'!J$6*'Dist 1 sem coef 1'!K19</f>
        <v>386272.738907083</v>
      </c>
      <c r="E19" s="191">
        <f>+'PART 1er sem 2018'!J$7*'Dist 1 sem coef 1'!K19</f>
        <v>536226.92405001645</v>
      </c>
      <c r="F19" s="191">
        <f>+'PART 1er sem 2018'!J$8*'Dist 1 sem coef 1'!K19</f>
        <v>48383.433868885986</v>
      </c>
      <c r="G19" s="191">
        <f>+'PART 1er sem 2018'!J$9*'Dist 1 sem coef 1'!K19</f>
        <v>418138.86245673173</v>
      </c>
      <c r="H19" s="191">
        <f>+'PART 1er sem 2018'!J$10*'Dist 1 sem coef 1'!K19</f>
        <v>77217.932154121751</v>
      </c>
      <c r="I19" s="191">
        <f>+'PART 1er sem 2018'!J$11*'Dist 1 sem coef 1'!K19</f>
        <v>501822.87061758008</v>
      </c>
      <c r="J19" s="192">
        <f t="shared" si="0"/>
        <v>16674372.656465815</v>
      </c>
      <c r="K19" s="225">
        <v>4.4692880011372137E-3</v>
      </c>
    </row>
    <row r="20" spans="1:11">
      <c r="A20" s="190" t="s">
        <v>14</v>
      </c>
      <c r="B20" s="191">
        <f>+'PART 1er sem 2018'!J$4*'Dist 1 sem coef 1'!K20</f>
        <v>67085098.818500705</v>
      </c>
      <c r="C20" s="191">
        <f>+'PART 1er sem 2018'!J$5*'Dist 1 sem coef 1'!K20</f>
        <v>9713988.1986719016</v>
      </c>
      <c r="D20" s="191">
        <f>+'PART 1er sem 2018'!J$6*'Dist 1 sem coef 1'!K20</f>
        <v>2017188.1254154672</v>
      </c>
      <c r="E20" s="191">
        <f>+'PART 1er sem 2018'!J$7*'Dist 1 sem coef 1'!K20</f>
        <v>2800276.7857297533</v>
      </c>
      <c r="F20" s="191">
        <f>+'PART 1er sem 2018'!J$8*'Dist 1 sem coef 1'!K20</f>
        <v>252667.29550546521</v>
      </c>
      <c r="G20" s="191">
        <f>+'PART 1er sem 2018'!J$9*'Dist 1 sem coef 1'!K20</f>
        <v>2183598.9526699269</v>
      </c>
      <c r="H20" s="191">
        <f>+'PART 1er sem 2018'!J$10*'Dist 1 sem coef 1'!K20</f>
        <v>403246.41146342986</v>
      </c>
      <c r="I20" s="191">
        <f>+'PART 1er sem 2018'!J$11*'Dist 1 sem coef 1'!K20</f>
        <v>2620612.4163351436</v>
      </c>
      <c r="J20" s="192">
        <f t="shared" si="0"/>
        <v>87076677.004291803</v>
      </c>
      <c r="K20" s="225">
        <v>2.3339453647347474E-2</v>
      </c>
    </row>
    <row r="21" spans="1:11">
      <c r="A21" s="190" t="s">
        <v>15</v>
      </c>
      <c r="B21" s="191">
        <f>+'PART 1er sem 2018'!J$4*'Dist 1 sem coef 1'!K21</f>
        <v>8467956.0980477165</v>
      </c>
      <c r="C21" s="191">
        <f>+'PART 1er sem 2018'!J$5*'Dist 1 sem coef 1'!K21</f>
        <v>1226168.3600683957</v>
      </c>
      <c r="D21" s="191">
        <f>+'PART 1er sem 2018'!J$6*'Dist 1 sem coef 1'!K21</f>
        <v>254623.7657595971</v>
      </c>
      <c r="E21" s="191">
        <f>+'PART 1er sem 2018'!J$7*'Dist 1 sem coef 1'!K21</f>
        <v>353470.76029650663</v>
      </c>
      <c r="F21" s="191">
        <f>+'PART 1er sem 2018'!J$8*'Dist 1 sem coef 1'!K21</f>
        <v>31893.45478257948</v>
      </c>
      <c r="G21" s="191">
        <f>+'PART 1er sem 2018'!J$9*'Dist 1 sem coef 1'!K21</f>
        <v>275629.31847172859</v>
      </c>
      <c r="H21" s="191">
        <f>+'PART 1er sem 2018'!J$10*'Dist 1 sem coef 1'!K21</f>
        <v>50900.616815159432</v>
      </c>
      <c r="I21" s="191">
        <f>+'PART 1er sem 2018'!J$11*'Dist 1 sem coef 1'!K21</f>
        <v>330792.2516677407</v>
      </c>
      <c r="J21" s="192">
        <f t="shared" si="0"/>
        <v>10991434.625909422</v>
      </c>
      <c r="K21" s="225">
        <v>2.9460710697150178E-3</v>
      </c>
    </row>
    <row r="22" spans="1:11">
      <c r="A22" s="190" t="s">
        <v>16</v>
      </c>
      <c r="B22" s="191">
        <f>+'PART 1er sem 2018'!J$4*'Dist 1 sem coef 1'!K22</f>
        <v>6255264.3504606793</v>
      </c>
      <c r="C22" s="191">
        <f>+'PART 1er sem 2018'!J$5*'Dist 1 sem coef 1'!K22</f>
        <v>905768.42175256286</v>
      </c>
      <c r="D22" s="191">
        <f>+'PART 1er sem 2018'!J$6*'Dist 1 sem coef 1'!K22</f>
        <v>188090.13016768754</v>
      </c>
      <c r="E22" s="191">
        <f>+'PART 1er sem 2018'!J$7*'Dist 1 sem coef 1'!K22</f>
        <v>261108.232047014</v>
      </c>
      <c r="F22" s="191">
        <f>+'PART 1er sem 2018'!J$8*'Dist 1 sem coef 1'!K22</f>
        <v>23559.639233426613</v>
      </c>
      <c r="G22" s="191">
        <f>+'PART 1er sem 2018'!J$9*'Dist 1 sem coef 1'!K22</f>
        <v>203606.89519581659</v>
      </c>
      <c r="H22" s="191">
        <f>+'PART 1er sem 2018'!J$10*'Dist 1 sem coef 1'!K22</f>
        <v>37600.196563812191</v>
      </c>
      <c r="I22" s="191">
        <f>+'PART 1er sem 2018'!J$11*'Dist 1 sem coef 1'!K22</f>
        <v>244355.65741098818</v>
      </c>
      <c r="J22" s="192">
        <f t="shared" si="0"/>
        <v>8119353.5228319867</v>
      </c>
      <c r="K22" s="225">
        <v>2.1762575434892233E-3</v>
      </c>
    </row>
    <row r="23" spans="1:11">
      <c r="A23" s="190" t="s">
        <v>17</v>
      </c>
      <c r="B23" s="191">
        <f>+'PART 1er sem 2018'!J$4*'Dist 1 sem coef 1'!K23</f>
        <v>54859507.457626462</v>
      </c>
      <c r="C23" s="191">
        <f>+'PART 1er sem 2018'!J$5*'Dist 1 sem coef 1'!K23</f>
        <v>7943710.5618658252</v>
      </c>
      <c r="D23" s="191">
        <f>+'PART 1er sem 2018'!J$6*'Dist 1 sem coef 1'!K23</f>
        <v>1649575.6726700545</v>
      </c>
      <c r="E23" s="191">
        <f>+'PART 1er sem 2018'!J$7*'Dist 1 sem coef 1'!K23</f>
        <v>2289954.2210675543</v>
      </c>
      <c r="F23" s="191">
        <f>+'PART 1er sem 2018'!J$8*'Dist 1 sem coef 1'!K23</f>
        <v>206621.1964535072</v>
      </c>
      <c r="G23" s="191">
        <f>+'PART 1er sem 2018'!J$9*'Dist 1 sem coef 1'!K23</f>
        <v>1785659.7834424779</v>
      </c>
      <c r="H23" s="191">
        <f>+'PART 1er sem 2018'!J$10*'Dist 1 sem coef 1'!K23</f>
        <v>329758.76769280946</v>
      </c>
      <c r="I23" s="191">
        <f>+'PART 1er sem 2018'!J$11*'Dist 1 sem coef 1'!K23</f>
        <v>2143031.8942578458</v>
      </c>
      <c r="J23" s="192">
        <f t="shared" si="0"/>
        <v>71207819.555076525</v>
      </c>
      <c r="K23" s="225">
        <v>1.908607058756363E-2</v>
      </c>
    </row>
    <row r="24" spans="1:11">
      <c r="A24" s="190" t="s">
        <v>18</v>
      </c>
      <c r="B24" s="191">
        <f>+'PART 1er sem 2018'!J$4*'Dist 1 sem coef 1'!K24</f>
        <v>58859449.741738237</v>
      </c>
      <c r="C24" s="191">
        <f>+'PART 1er sem 2018'!J$5*'Dist 1 sem coef 1'!K24</f>
        <v>8522906.1332751196</v>
      </c>
      <c r="D24" s="191">
        <f>+'PART 1er sem 2018'!J$6*'Dist 1 sem coef 1'!K24</f>
        <v>1769850.3121945076</v>
      </c>
      <c r="E24" s="191">
        <f>+'PART 1er sem 2018'!J$7*'Dist 1 sem coef 1'!K24</f>
        <v>2456920.4433691907</v>
      </c>
      <c r="F24" s="191">
        <f>+'PART 1er sem 2018'!J$8*'Dist 1 sem coef 1'!K24</f>
        <v>221686.45858927316</v>
      </c>
      <c r="G24" s="191">
        <f>+'PART 1er sem 2018'!J$9*'Dist 1 sem coef 1'!K24</f>
        <v>1915856.651840291</v>
      </c>
      <c r="H24" s="191">
        <f>+'PART 1er sem 2018'!J$10*'Dist 1 sem coef 1'!K24</f>
        <v>353802.29450481862</v>
      </c>
      <c r="I24" s="191">
        <f>+'PART 1er sem 2018'!J$11*'Dist 1 sem coef 1'!K24</f>
        <v>2299285.6465661968</v>
      </c>
      <c r="J24" s="192">
        <f t="shared" si="0"/>
        <v>76399757.682077631</v>
      </c>
      <c r="K24" s="225">
        <v>2.0477683168841458E-2</v>
      </c>
    </row>
    <row r="25" spans="1:11">
      <c r="A25" s="190" t="s">
        <v>19</v>
      </c>
      <c r="B25" s="191">
        <f>+'PART 1er sem 2018'!J$4*'Dist 1 sem coef 1'!K25</f>
        <v>10544016.379846292</v>
      </c>
      <c r="C25" s="191">
        <f>+'PART 1er sem 2018'!J$5*'Dist 1 sem coef 1'!K25</f>
        <v>1526783.9279411412</v>
      </c>
      <c r="D25" s="191">
        <f>+'PART 1er sem 2018'!J$6*'Dist 1 sem coef 1'!K25</f>
        <v>317049.01699789241</v>
      </c>
      <c r="E25" s="191">
        <f>+'PART 1er sem 2018'!J$7*'Dist 1 sem coef 1'!K25</f>
        <v>440129.99633079668</v>
      </c>
      <c r="F25" s="191">
        <f>+'PART 1er sem 2018'!J$8*'Dist 1 sem coef 1'!K25</f>
        <v>39712.665694492149</v>
      </c>
      <c r="G25" s="191">
        <f>+'PART 1er sem 2018'!J$9*'Dist 1 sem coef 1'!K25</f>
        <v>343204.4303349434</v>
      </c>
      <c r="H25" s="191">
        <f>+'PART 1er sem 2018'!J$10*'Dist 1 sem coef 1'!K25</f>
        <v>63379.749638411085</v>
      </c>
      <c r="I25" s="191">
        <f>+'PART 1er sem 2018'!J$11*'Dist 1 sem coef 1'!K25</f>
        <v>411891.47410849523</v>
      </c>
      <c r="J25" s="192">
        <f t="shared" si="0"/>
        <v>13686167.640892463</v>
      </c>
      <c r="K25" s="225">
        <v>3.6683493933592896E-3</v>
      </c>
    </row>
    <row r="26" spans="1:11">
      <c r="A26" s="190" t="s">
        <v>20</v>
      </c>
      <c r="B26" s="191">
        <f>+'PART 1er sem 2018'!J$4*'Dist 1 sem coef 1'!K26</f>
        <v>143701797.70720419</v>
      </c>
      <c r="C26" s="191">
        <f>+'PART 1er sem 2018'!J$5*'Dist 1 sem coef 1'!K26</f>
        <v>20808161.449271843</v>
      </c>
      <c r="D26" s="191">
        <f>+'PART 1er sem 2018'!J$6*'Dist 1 sem coef 1'!K26</f>
        <v>4320982.8269029344</v>
      </c>
      <c r="E26" s="191">
        <f>+'PART 1er sem 2018'!J$7*'Dist 1 sem coef 1'!K26</f>
        <v>5998423.12636114</v>
      </c>
      <c r="F26" s="191">
        <f>+'PART 1er sem 2018'!J$8*'Dist 1 sem coef 1'!K26</f>
        <v>541234.12241198833</v>
      </c>
      <c r="G26" s="191">
        <f>+'PART 1er sem 2018'!J$9*'Dist 1 sem coef 1'!K26</f>
        <v>4677448.501927237</v>
      </c>
      <c r="H26" s="191">
        <f>+'PART 1er sem 2018'!J$10*'Dist 1 sem coef 1'!K26</f>
        <v>863786.9700848253</v>
      </c>
      <c r="I26" s="191">
        <f>+'PART 1er sem 2018'!J$11*'Dist 1 sem coef 1'!K26</f>
        <v>5613567.2743069055</v>
      </c>
      <c r="J26" s="192">
        <f t="shared" si="0"/>
        <v>186525401.97847101</v>
      </c>
      <c r="K26" s="225">
        <v>4.9995028787270003E-2</v>
      </c>
    </row>
    <row r="27" spans="1:11">
      <c r="A27" s="190" t="s">
        <v>21</v>
      </c>
      <c r="B27" s="191">
        <f>+'PART 1er sem 2018'!J$4*'Dist 1 sem coef 1'!K27</f>
        <v>21280318.182853226</v>
      </c>
      <c r="C27" s="191">
        <f>+'PART 1er sem 2018'!J$5*'Dist 1 sem coef 1'!K27</f>
        <v>3081410.9740151572</v>
      </c>
      <c r="D27" s="191">
        <f>+'PART 1er sem 2018'!J$6*'Dist 1 sem coef 1'!K27</f>
        <v>639879.88241102733</v>
      </c>
      <c r="E27" s="191">
        <f>+'PART 1er sem 2018'!J$7*'Dist 1 sem coef 1'!K27</f>
        <v>888286.40115161811</v>
      </c>
      <c r="F27" s="191">
        <f>+'PART 1er sem 2018'!J$8*'Dist 1 sem coef 1'!K27</f>
        <v>80149.549414906389</v>
      </c>
      <c r="G27" s="191">
        <f>+'PART 1er sem 2018'!J$9*'Dist 1 sem coef 1'!K27</f>
        <v>692667.69096189016</v>
      </c>
      <c r="H27" s="191">
        <f>+'PART 1er sem 2018'!J$10*'Dist 1 sem coef 1'!K27</f>
        <v>127915.32088597021</v>
      </c>
      <c r="I27" s="191">
        <f>+'PART 1er sem 2018'!J$11*'Dist 1 sem coef 1'!K27</f>
        <v>831294.38632008329</v>
      </c>
      <c r="J27" s="192">
        <f t="shared" si="0"/>
        <v>27621922.388013881</v>
      </c>
      <c r="K27" s="225">
        <v>7.403596455499842E-3</v>
      </c>
    </row>
    <row r="28" spans="1:11">
      <c r="A28" s="190" t="s">
        <v>22</v>
      </c>
      <c r="B28" s="191">
        <f>+'PART 1er sem 2018'!J$4*'Dist 1 sem coef 1'!K28</f>
        <v>3413372.0936413421</v>
      </c>
      <c r="C28" s="191">
        <f>+'PART 1er sem 2018'!J$5*'Dist 1 sem coef 1'!K28</f>
        <v>494259.63171069889</v>
      </c>
      <c r="D28" s="191">
        <f>+'PART 1er sem 2018'!J$6*'Dist 1 sem coef 1'!K28</f>
        <v>102637.00547786911</v>
      </c>
      <c r="E28" s="191">
        <f>+'PART 1er sem 2018'!J$7*'Dist 1 sem coef 1'!K28</f>
        <v>142481.51680810534</v>
      </c>
      <c r="F28" s="191">
        <f>+'PART 1er sem 2018'!J$8*'Dist 1 sem coef 1'!K28</f>
        <v>12856.021838583622</v>
      </c>
      <c r="G28" s="191">
        <f>+'PART 1er sem 2018'!J$9*'Dist 1 sem coef 1'!K28</f>
        <v>111104.19243643545</v>
      </c>
      <c r="H28" s="191">
        <f>+'PART 1er sem 2018'!J$10*'Dist 1 sem coef 1'!K28</f>
        <v>20517.671912122074</v>
      </c>
      <c r="I28" s="191">
        <f>+'PART 1er sem 2018'!J$11*'Dist 1 sem coef 1'!K28</f>
        <v>133339.97337276788</v>
      </c>
      <c r="J28" s="192">
        <f t="shared" si="0"/>
        <v>4430568.1071979245</v>
      </c>
      <c r="K28" s="225">
        <v>1.1875400225052836E-3</v>
      </c>
    </row>
    <row r="29" spans="1:11">
      <c r="A29" s="190" t="s">
        <v>23</v>
      </c>
      <c r="B29" s="191">
        <f>+'PART 1er sem 2018'!J$4*'Dist 1 sem coef 1'!K29</f>
        <v>15619725.139342001</v>
      </c>
      <c r="C29" s="191">
        <f>+'PART 1er sem 2018'!J$5*'Dist 1 sem coef 1'!K29</f>
        <v>2261751.5415841201</v>
      </c>
      <c r="D29" s="191">
        <f>+'PART 1er sem 2018'!J$6*'Dist 1 sem coef 1'!K29</f>
        <v>469670.97952078877</v>
      </c>
      <c r="E29" s="191">
        <f>+'PART 1er sem 2018'!J$7*'Dist 1 sem coef 1'!K29</f>
        <v>652001.03268114093</v>
      </c>
      <c r="F29" s="191">
        <f>+'PART 1er sem 2018'!J$8*'Dist 1 sem coef 1'!K29</f>
        <v>58829.662279753233</v>
      </c>
      <c r="G29" s="191">
        <f>+'PART 1er sem 2018'!J$9*'Dist 1 sem coef 1'!K29</f>
        <v>508417.1605312333</v>
      </c>
      <c r="H29" s="191">
        <f>+'PART 1er sem 2018'!J$10*'Dist 1 sem coef 1'!K29</f>
        <v>93889.674777489607</v>
      </c>
      <c r="I29" s="191">
        <f>+'PART 1er sem 2018'!J$11*'Dist 1 sem coef 1'!K29</f>
        <v>610168.9698728337</v>
      </c>
      <c r="J29" s="192">
        <f t="shared" si="0"/>
        <v>20274454.160589363</v>
      </c>
      <c r="K29" s="225">
        <v>5.4342299153540725E-3</v>
      </c>
    </row>
    <row r="30" spans="1:11">
      <c r="A30" s="190" t="s">
        <v>24</v>
      </c>
      <c r="B30" s="191">
        <f>+'PART 1er sem 2018'!J$4*'Dist 1 sem coef 1'!K30</f>
        <v>15045015.2930035</v>
      </c>
      <c r="C30" s="191">
        <f>+'PART 1er sem 2018'!J$5*'Dist 1 sem coef 1'!K30</f>
        <v>2178532.9913648409</v>
      </c>
      <c r="D30" s="191">
        <f>+'PART 1er sem 2018'!J$6*'Dist 1 sem coef 1'!K30</f>
        <v>452389.97527378215</v>
      </c>
      <c r="E30" s="191">
        <f>+'PART 1er sem 2018'!J$7*'Dist 1 sem coef 1'!K30</f>
        <v>628011.40354477905</v>
      </c>
      <c r="F30" s="191">
        <f>+'PART 1er sem 2018'!J$8*'Dist 1 sem coef 1'!K30</f>
        <v>56665.092425461473</v>
      </c>
      <c r="G30" s="191">
        <f>+'PART 1er sem 2018'!J$9*'Dist 1 sem coef 1'!K30</f>
        <v>489710.53505619179</v>
      </c>
      <c r="H30" s="191">
        <f>+'PART 1er sem 2018'!J$10*'Dist 1 sem coef 1'!K30</f>
        <v>90435.112031808923</v>
      </c>
      <c r="I30" s="191">
        <f>+'PART 1er sem 2018'!J$11*'Dist 1 sem coef 1'!K30</f>
        <v>587718.50344094425</v>
      </c>
      <c r="J30" s="192">
        <f t="shared" si="0"/>
        <v>19528478.906141307</v>
      </c>
      <c r="K30" s="225">
        <v>5.2342836671480184E-3</v>
      </c>
    </row>
    <row r="31" spans="1:11">
      <c r="A31" s="190" t="s">
        <v>25</v>
      </c>
      <c r="B31" s="191">
        <f>+'PART 1er sem 2018'!J$4*'Dist 1 sem coef 1'!K31</f>
        <v>242586949.87679046</v>
      </c>
      <c r="C31" s="191">
        <f>+'PART 1er sem 2018'!J$5*'Dist 1 sem coef 1'!K31</f>
        <v>35126828.606609784</v>
      </c>
      <c r="D31" s="191">
        <f>+'PART 1er sem 2018'!J$6*'Dist 1 sem coef 1'!K31</f>
        <v>7294369.7376990058</v>
      </c>
      <c r="E31" s="191">
        <f>+'PART 1er sem 2018'!J$7*'Dist 1 sem coef 1'!K31</f>
        <v>10126102.759404799</v>
      </c>
      <c r="F31" s="191">
        <f>+'PART 1er sem 2018'!J$8*'Dist 1 sem coef 1'!K31</f>
        <v>913672.18100280885</v>
      </c>
      <c r="G31" s="191">
        <f>+'PART 1er sem 2018'!J$9*'Dist 1 sem coef 1'!K31</f>
        <v>7896129.2300618598</v>
      </c>
      <c r="H31" s="191">
        <f>+'PART 1er sem 2018'!J$10*'Dist 1 sem coef 1'!K31</f>
        <v>1458182.4984760592</v>
      </c>
      <c r="I31" s="191">
        <f>+'PART 1er sem 2018'!J$11*'Dist 1 sem coef 1'!K31</f>
        <v>9476417.0297781229</v>
      </c>
      <c r="J31" s="192">
        <f t="shared" si="0"/>
        <v>314878651.91982293</v>
      </c>
      <c r="K31" s="225">
        <v>8.4397980651693308E-2</v>
      </c>
    </row>
    <row r="32" spans="1:11">
      <c r="A32" s="190" t="s">
        <v>26</v>
      </c>
      <c r="B32" s="191">
        <f>+'PART 1er sem 2018'!J$4*'Dist 1 sem coef 1'!K32</f>
        <v>6347491.1004104558</v>
      </c>
      <c r="C32" s="191">
        <f>+'PART 1er sem 2018'!J$5*'Dist 1 sem coef 1'!K32</f>
        <v>919122.94572871178</v>
      </c>
      <c r="D32" s="191">
        <f>+'PART 1er sem 2018'!J$6*'Dist 1 sem coef 1'!K32</f>
        <v>190863.30495792939</v>
      </c>
      <c r="E32" s="191">
        <f>+'PART 1er sem 2018'!J$7*'Dist 1 sem coef 1'!K32</f>
        <v>264957.97560342413</v>
      </c>
      <c r="F32" s="191">
        <f>+'PART 1er sem 2018'!J$8*'Dist 1 sem coef 1'!K32</f>
        <v>23906.999286455888</v>
      </c>
      <c r="G32" s="191">
        <f>+'PART 1er sem 2018'!J$9*'Dist 1 sem coef 1'!K32</f>
        <v>206608.84701738777</v>
      </c>
      <c r="H32" s="191">
        <f>+'PART 1er sem 2018'!J$10*'Dist 1 sem coef 1'!K32</f>
        <v>38154.56864663196</v>
      </c>
      <c r="I32" s="191">
        <f>+'PART 1er sem 2018'!J$11*'Dist 1 sem coef 1'!K32</f>
        <v>247958.4033306225</v>
      </c>
      <c r="J32" s="192">
        <f t="shared" si="0"/>
        <v>8239064.144981619</v>
      </c>
      <c r="K32" s="225">
        <v>2.2083439828536784E-3</v>
      </c>
    </row>
    <row r="33" spans="1:11">
      <c r="A33" s="190" t="s">
        <v>27</v>
      </c>
      <c r="B33" s="191">
        <f>+'PART 1er sem 2018'!J$4*'Dist 1 sem coef 1'!K33</f>
        <v>10926224.377145309</v>
      </c>
      <c r="C33" s="191">
        <f>+'PART 1er sem 2018'!J$5*'Dist 1 sem coef 1'!K33</f>
        <v>1582128.0213477199</v>
      </c>
      <c r="D33" s="191">
        <f>+'PART 1er sem 2018'!J$6*'Dist 1 sem coef 1'!K33</f>
        <v>328541.66509961634</v>
      </c>
      <c r="E33" s="191">
        <f>+'PART 1er sem 2018'!J$7*'Dist 1 sem coef 1'!K33</f>
        <v>456084.18289393152</v>
      </c>
      <c r="F33" s="191">
        <f>+'PART 1er sem 2018'!J$8*'Dist 1 sem coef 1'!K33</f>
        <v>41152.202382950753</v>
      </c>
      <c r="G33" s="191">
        <f>+'PART 1er sem 2018'!J$9*'Dist 1 sem coef 1'!K33</f>
        <v>355645.18092341896</v>
      </c>
      <c r="H33" s="191">
        <f>+'PART 1er sem 2018'!J$10*'Dist 1 sem coef 1'!K33</f>
        <v>65677.189845817455</v>
      </c>
      <c r="I33" s="191">
        <f>+'PART 1er sem 2018'!J$11*'Dist 1 sem coef 1'!K33</f>
        <v>426822.04797638627</v>
      </c>
      <c r="J33" s="192">
        <f t="shared" si="0"/>
        <v>14182274.86761515</v>
      </c>
      <c r="K33" s="225">
        <v>3.8013226764536542E-3</v>
      </c>
    </row>
    <row r="34" spans="1:11">
      <c r="A34" s="190" t="s">
        <v>28</v>
      </c>
      <c r="B34" s="191">
        <f>+'PART 1er sem 2018'!J$4*'Dist 1 sem coef 1'!K34</f>
        <v>5949691.895661463</v>
      </c>
      <c r="C34" s="191">
        <f>+'PART 1er sem 2018'!J$5*'Dist 1 sem coef 1'!K34</f>
        <v>861521.23016997857</v>
      </c>
      <c r="D34" s="191">
        <f>+'PART 1er sem 2018'!J$6*'Dist 1 sem coef 1'!K34</f>
        <v>178901.84337775968</v>
      </c>
      <c r="E34" s="191">
        <f>+'PART 1er sem 2018'!J$7*'Dist 1 sem coef 1'!K34</f>
        <v>248352.9783974998</v>
      </c>
      <c r="F34" s="191">
        <f>+'PART 1er sem 2018'!J$8*'Dist 1 sem coef 1'!K34</f>
        <v>22408.740343883772</v>
      </c>
      <c r="G34" s="191">
        <f>+'PART 1er sem 2018'!J$9*'Dist 1 sem coef 1'!K34</f>
        <v>193660.60751023691</v>
      </c>
      <c r="H34" s="191">
        <f>+'PART 1er sem 2018'!J$10*'Dist 1 sem coef 1'!K34</f>
        <v>35763.410183378728</v>
      </c>
      <c r="I34" s="191">
        <f>+'PART 1er sem 2018'!J$11*'Dist 1 sem coef 1'!K34</f>
        <v>232418.77450792541</v>
      </c>
      <c r="J34" s="192">
        <f t="shared" si="0"/>
        <v>7722719.4801521264</v>
      </c>
      <c r="K34" s="225">
        <v>2.069946391380945E-3</v>
      </c>
    </row>
    <row r="35" spans="1:11">
      <c r="A35" s="190" t="s">
        <v>29</v>
      </c>
      <c r="B35" s="191">
        <f>+'PART 1er sem 2018'!J$4*'Dist 1 sem coef 1'!K35</f>
        <v>8747102.9114523828</v>
      </c>
      <c r="C35" s="191">
        <f>+'PART 1er sem 2018'!J$5*'Dist 1 sem coef 1'!K35</f>
        <v>1266589.0928222691</v>
      </c>
      <c r="D35" s="191">
        <f>+'PART 1er sem 2018'!J$6*'Dist 1 sem coef 1'!K35</f>
        <v>263017.45746110164</v>
      </c>
      <c r="E35" s="191">
        <f>+'PART 1er sem 2018'!J$7*'Dist 1 sem coef 1'!K35</f>
        <v>365122.95065106498</v>
      </c>
      <c r="F35" s="191">
        <f>+'PART 1er sem 2018'!J$8*'Dist 1 sem coef 1'!K35</f>
        <v>32944.824932346259</v>
      </c>
      <c r="G35" s="191">
        <f>+'PART 1er sem 2018'!J$9*'Dist 1 sem coef 1'!K35</f>
        <v>284715.45980753715</v>
      </c>
      <c r="H35" s="191">
        <f>+'PART 1er sem 2018'!J$10*'Dist 1 sem coef 1'!K35</f>
        <v>52578.559499293049</v>
      </c>
      <c r="I35" s="191">
        <f>+'PART 1er sem 2018'!J$11*'Dist 1 sem coef 1'!K35</f>
        <v>341696.84326963784</v>
      </c>
      <c r="J35" s="192">
        <f t="shared" si="0"/>
        <v>11353768.099895634</v>
      </c>
      <c r="K35" s="225">
        <v>3.0431885254094595E-3</v>
      </c>
    </row>
    <row r="36" spans="1:11">
      <c r="A36" s="190" t="s">
        <v>30</v>
      </c>
      <c r="B36" s="191">
        <f>+'PART 1er sem 2018'!J$4*'Dist 1 sem coef 1'!K36</f>
        <v>8043212.0713887755</v>
      </c>
      <c r="C36" s="191">
        <f>+'PART 1er sem 2018'!J$5*'Dist 1 sem coef 1'!K36</f>
        <v>1164665.0078323926</v>
      </c>
      <c r="D36" s="191">
        <f>+'PART 1er sem 2018'!J$6*'Dist 1 sem coef 1'!K36</f>
        <v>241852.09780341483</v>
      </c>
      <c r="E36" s="191">
        <f>+'PART 1er sem 2018'!J$7*'Dist 1 sem coef 1'!K36</f>
        <v>335741.02808058873</v>
      </c>
      <c r="F36" s="191">
        <f>+'PART 1er sem 2018'!J$8*'Dist 1 sem coef 1'!K36</f>
        <v>30293.711674376453</v>
      </c>
      <c r="G36" s="191">
        <f>+'PART 1er sem 2018'!J$9*'Dist 1 sem coef 1'!K36</f>
        <v>261804.03345165955</v>
      </c>
      <c r="H36" s="191">
        <f>+'PART 1er sem 2018'!J$10*'Dist 1 sem coef 1'!K36</f>
        <v>48347.493877916175</v>
      </c>
      <c r="I36" s="191">
        <f>+'PART 1er sem 2018'!J$11*'Dist 1 sem coef 1'!K36</f>
        <v>314200.05027532601</v>
      </c>
      <c r="J36" s="192">
        <f t="shared" si="0"/>
        <v>10440115.494384451</v>
      </c>
      <c r="K36" s="225">
        <v>2.7982991546878886E-3</v>
      </c>
    </row>
    <row r="37" spans="1:11">
      <c r="A37" s="190" t="s">
        <v>31</v>
      </c>
      <c r="B37" s="191">
        <f>+'PART 1er sem 2018'!J$4*'Dist 1 sem coef 1'!K37</f>
        <v>76480630.028823078</v>
      </c>
      <c r="C37" s="191">
        <f>+'PART 1er sem 2018'!J$5*'Dist 1 sem coef 1'!K37</f>
        <v>11074470.34604492</v>
      </c>
      <c r="D37" s="191">
        <f>+'PART 1er sem 2018'!J$6*'Dist 1 sem coef 1'!K37</f>
        <v>2299703.2341836453</v>
      </c>
      <c r="E37" s="191">
        <f>+'PART 1er sem 2018'!J$7*'Dist 1 sem coef 1'!K37</f>
        <v>3192466.5328008174</v>
      </c>
      <c r="F37" s="191">
        <f>+'PART 1er sem 2018'!J$8*'Dist 1 sem coef 1'!K37</f>
        <v>288054.34125122864</v>
      </c>
      <c r="G37" s="191">
        <f>+'PART 1er sem 2018'!J$9*'Dist 1 sem coef 1'!K37</f>
        <v>2489420.5504906881</v>
      </c>
      <c r="H37" s="191">
        <f>+'PART 1er sem 2018'!J$10*'Dist 1 sem coef 1'!K37</f>
        <v>459722.65299965459</v>
      </c>
      <c r="I37" s="191">
        <f>+'PART 1er sem 2018'!J$11*'Dist 1 sem coef 1'!K37</f>
        <v>2987639.4637939292</v>
      </c>
      <c r="J37" s="192">
        <f t="shared" si="0"/>
        <v>99272107.150387973</v>
      </c>
      <c r="K37" s="225">
        <v>2.6608235672530251E-2</v>
      </c>
    </row>
    <row r="38" spans="1:11">
      <c r="A38" s="190" t="s">
        <v>32</v>
      </c>
      <c r="B38" s="191">
        <f>+'PART 1er sem 2018'!J$4*'Dist 1 sem coef 1'!K38</f>
        <v>14904339.673975112</v>
      </c>
      <c r="C38" s="191">
        <f>+'PART 1er sem 2018'!J$5*'Dist 1 sem coef 1'!K38</f>
        <v>2158163.0235605189</v>
      </c>
      <c r="D38" s="191">
        <f>+'PART 1er sem 2018'!J$6*'Dist 1 sem coef 1'!K38</f>
        <v>448159.98689726839</v>
      </c>
      <c r="E38" s="191">
        <f>+'PART 1er sem 2018'!J$7*'Dist 1 sem coef 1'!K38</f>
        <v>622139.29964657745</v>
      </c>
      <c r="F38" s="191">
        <f>+'PART 1er sem 2018'!J$8*'Dist 1 sem coef 1'!K38</f>
        <v>56135.256011273203</v>
      </c>
      <c r="G38" s="191">
        <f>+'PART 1er sem 2018'!J$9*'Dist 1 sem coef 1'!K38</f>
        <v>485131.58772233367</v>
      </c>
      <c r="H38" s="191">
        <f>+'PART 1er sem 2018'!J$10*'Dist 1 sem coef 1'!K38</f>
        <v>89589.515326241439</v>
      </c>
      <c r="I38" s="191">
        <f>+'PART 1er sem 2018'!J$11*'Dist 1 sem coef 1'!K38</f>
        <v>582223.15081578342</v>
      </c>
      <c r="J38" s="192">
        <f t="shared" si="0"/>
        <v>19345881.493955113</v>
      </c>
      <c r="K38" s="225">
        <v>5.1853414706326947E-3</v>
      </c>
    </row>
    <row r="39" spans="1:11">
      <c r="A39" s="190" t="s">
        <v>33</v>
      </c>
      <c r="B39" s="191">
        <f>+'PART 1er sem 2018'!J$4*'Dist 1 sem coef 1'!K39</f>
        <v>54645380.30957713</v>
      </c>
      <c r="C39" s="191">
        <f>+'PART 1er sem 2018'!J$5*'Dist 1 sem coef 1'!K39</f>
        <v>7912704.7405165266</v>
      </c>
      <c r="D39" s="191">
        <f>+'PART 1er sem 2018'!J$6*'Dist 1 sem coef 1'!K39</f>
        <v>1643137.0633815327</v>
      </c>
      <c r="E39" s="191">
        <f>+'PART 1er sem 2018'!J$7*'Dist 1 sem coef 1'!K39</f>
        <v>2281016.0918490323</v>
      </c>
      <c r="F39" s="191">
        <f>+'PART 1er sem 2018'!J$8*'Dist 1 sem coef 1'!K39</f>
        <v>205814.71441286357</v>
      </c>
      <c r="G39" s="191">
        <f>+'PART 1er sem 2018'!J$9*'Dist 1 sem coef 1'!K39</f>
        <v>1778690.0118470937</v>
      </c>
      <c r="H39" s="191">
        <f>+'PART 1er sem 2018'!J$10*'Dist 1 sem coef 1'!K39</f>
        <v>328471.65616478736</v>
      </c>
      <c r="I39" s="191">
        <f>+'PART 1er sem 2018'!J$11*'Dist 1 sem coef 1'!K39</f>
        <v>2134667.2309759045</v>
      </c>
      <c r="J39" s="192">
        <f t="shared" si="0"/>
        <v>70929881.818724871</v>
      </c>
      <c r="K39" s="225">
        <v>1.9011574004349864E-2</v>
      </c>
    </row>
    <row r="40" spans="1:11">
      <c r="A40" s="190" t="s">
        <v>34</v>
      </c>
      <c r="B40" s="191">
        <f>+'PART 1er sem 2018'!J$4*'Dist 1 sem coef 1'!K40</f>
        <v>10994487.081585485</v>
      </c>
      <c r="C40" s="191">
        <f>+'PART 1er sem 2018'!J$5*'Dist 1 sem coef 1'!K40</f>
        <v>1592012.5279970332</v>
      </c>
      <c r="D40" s="191">
        <f>+'PART 1er sem 2018'!J$6*'Dist 1 sem coef 1'!K40</f>
        <v>330594.26275886723</v>
      </c>
      <c r="E40" s="191">
        <f>+'PART 1er sem 2018'!J$7*'Dist 1 sem coef 1'!K40</f>
        <v>458933.61547943205</v>
      </c>
      <c r="F40" s="191">
        <f>+'PART 1er sem 2018'!J$8*'Dist 1 sem coef 1'!K40</f>
        <v>41409.30497679879</v>
      </c>
      <c r="G40" s="191">
        <f>+'PART 1er sem 2018'!J$9*'Dist 1 sem coef 1'!K40</f>
        <v>357867.11057019886</v>
      </c>
      <c r="H40" s="191">
        <f>+'PART 1er sem 2018'!J$10*'Dist 1 sem coef 1'!K40</f>
        <v>66087.514807501764</v>
      </c>
      <c r="I40" s="191">
        <f>+'PART 1er sem 2018'!J$11*'Dist 1 sem coef 1'!K40</f>
        <v>429488.66238076438</v>
      </c>
      <c r="J40" s="192">
        <f t="shared" si="0"/>
        <v>14270880.080556083</v>
      </c>
      <c r="K40" s="225">
        <v>3.8250718287122583E-3</v>
      </c>
    </row>
    <row r="41" spans="1:11">
      <c r="A41" s="190" t="s">
        <v>35</v>
      </c>
      <c r="B41" s="191">
        <f>+'PART 1er sem 2018'!J$4*'Dist 1 sem coef 1'!K41</f>
        <v>10353407.712210437</v>
      </c>
      <c r="C41" s="191">
        <f>+'PART 1er sem 2018'!J$5*'Dist 1 sem coef 1'!K41</f>
        <v>1499183.605655134</v>
      </c>
      <c r="D41" s="191">
        <f>+'PART 1er sem 2018'!J$6*'Dist 1 sem coef 1'!K41</f>
        <v>311317.58710171597</v>
      </c>
      <c r="E41" s="191">
        <f>+'PART 1er sem 2018'!J$7*'Dist 1 sem coef 1'!K41</f>
        <v>432173.57923460001</v>
      </c>
      <c r="F41" s="191">
        <f>+'PART 1er sem 2018'!J$8*'Dist 1 sem coef 1'!K41</f>
        <v>38994.762950072705</v>
      </c>
      <c r="G41" s="191">
        <f>+'PART 1er sem 2018'!J$9*'Dist 1 sem coef 1'!K41</f>
        <v>337000.17791004159</v>
      </c>
      <c r="H41" s="191">
        <f>+'PART 1er sem 2018'!J$10*'Dist 1 sem coef 1'!K41</f>
        <v>62234.006953795906</v>
      </c>
      <c r="I41" s="191">
        <f>+'PART 1er sem 2018'!J$11*'Dist 1 sem coef 1'!K41</f>
        <v>404445.53678612428</v>
      </c>
      <c r="J41" s="192">
        <f t="shared" si="0"/>
        <v>13438756.968801921</v>
      </c>
      <c r="K41" s="225">
        <v>3.6020350815162724E-3</v>
      </c>
    </row>
    <row r="42" spans="1:11">
      <c r="A42" s="190" t="s">
        <v>36</v>
      </c>
      <c r="B42" s="191">
        <f>+'PART 1er sem 2018'!J$4*'Dist 1 sem coef 1'!K42</f>
        <v>11767351.378852414</v>
      </c>
      <c r="C42" s="191">
        <f>+'PART 1er sem 2018'!J$5*'Dist 1 sem coef 1'!K42</f>
        <v>1703924.0373344147</v>
      </c>
      <c r="D42" s="191">
        <f>+'PART 1er sem 2018'!J$6*'Dist 1 sem coef 1'!K42</f>
        <v>353833.59176727105</v>
      </c>
      <c r="E42" s="191">
        <f>+'PART 1er sem 2018'!J$7*'Dist 1 sem coef 1'!K42</f>
        <v>491194.63898945582</v>
      </c>
      <c r="F42" s="191">
        <f>+'PART 1er sem 2018'!J$8*'Dist 1 sem coef 1'!K42</f>
        <v>44320.197786415003</v>
      </c>
      <c r="G42" s="191">
        <f>+'PART 1er sem 2018'!J$9*'Dist 1 sem coef 1'!K42</f>
        <v>383023.60135265905</v>
      </c>
      <c r="H42" s="191">
        <f>+'PART 1er sem 2018'!J$10*'Dist 1 sem coef 1'!K42</f>
        <v>70733.177702987377</v>
      </c>
      <c r="I42" s="191">
        <f>+'PART 1er sem 2018'!J$11*'Dist 1 sem coef 1'!K42</f>
        <v>459679.83462662366</v>
      </c>
      <c r="J42" s="192">
        <f t="shared" si="0"/>
        <v>15274060.458412241</v>
      </c>
      <c r="K42" s="225">
        <v>4.0939576283822244E-3</v>
      </c>
    </row>
    <row r="43" spans="1:11">
      <c r="A43" s="190" t="s">
        <v>37</v>
      </c>
      <c r="B43" s="191">
        <f>+'PART 1er sem 2018'!J$4*'Dist 1 sem coef 1'!K43</f>
        <v>16574824.494242121</v>
      </c>
      <c r="C43" s="191">
        <f>+'PART 1er sem 2018'!J$5*'Dist 1 sem coef 1'!K43</f>
        <v>2400050.8662547176</v>
      </c>
      <c r="D43" s="191">
        <f>+'PART 1er sem 2018'!J$6*'Dist 1 sem coef 1'!K43</f>
        <v>498389.9515611963</v>
      </c>
      <c r="E43" s="191">
        <f>+'PART 1er sem 2018'!J$7*'Dist 1 sem coef 1'!K43</f>
        <v>691868.94073667296</v>
      </c>
      <c r="F43" s="191">
        <f>+'PART 1er sem 2018'!J$8*'Dist 1 sem coef 1'!K43</f>
        <v>62426.919721298153</v>
      </c>
      <c r="G43" s="191">
        <f>+'PART 1er sem 2018'!J$9*'Dist 1 sem coef 1'!K43</f>
        <v>539505.34535597521</v>
      </c>
      <c r="H43" s="191">
        <f>+'PART 1er sem 2018'!J$10*'Dist 1 sem coef 1'!K43</f>
        <v>99630.746852176584</v>
      </c>
      <c r="I43" s="191">
        <f>+'PART 1er sem 2018'!J$11*'Dist 1 sem coef 1'!K43</f>
        <v>647478.97272542969</v>
      </c>
      <c r="J43" s="192">
        <f t="shared" si="0"/>
        <v>21514176.23744959</v>
      </c>
      <c r="K43" s="225">
        <v>5.7665167795742872E-3</v>
      </c>
    </row>
    <row r="44" spans="1:11">
      <c r="A44" s="190" t="s">
        <v>38</v>
      </c>
      <c r="B44" s="191">
        <f>+'PART 1er sem 2018'!J$4*'Dist 1 sem coef 1'!K44</f>
        <v>38886068.862957783</v>
      </c>
      <c r="C44" s="191">
        <f>+'PART 1er sem 2018'!J$5*'Dist 1 sem coef 1'!K44</f>
        <v>5630740.9645395372</v>
      </c>
      <c r="D44" s="191">
        <f>+'PART 1er sem 2018'!J$6*'Dist 1 sem coef 1'!K44</f>
        <v>1169268.850101392</v>
      </c>
      <c r="E44" s="191">
        <f>+'PART 1er sem 2018'!J$7*'Dist 1 sem coef 1'!K44</f>
        <v>1623188.4254927733</v>
      </c>
      <c r="F44" s="191">
        <f>+'PART 1er sem 2018'!J$8*'Dist 1 sem coef 1'!K44</f>
        <v>146459.31846988981</v>
      </c>
      <c r="G44" s="191">
        <f>+'PART 1er sem 2018'!J$9*'Dist 1 sem coef 1'!K44</f>
        <v>1265729.3607382805</v>
      </c>
      <c r="H44" s="191">
        <f>+'PART 1er sem 2018'!J$10*'Dist 1 sem coef 1'!K44</f>
        <v>233742.93250028175</v>
      </c>
      <c r="I44" s="191">
        <f>+'PART 1er sem 2018'!J$11*'Dist 1 sem coef 1'!K44</f>
        <v>1519045.4613540373</v>
      </c>
      <c r="J44" s="192">
        <f t="shared" si="0"/>
        <v>50474244.176153965</v>
      </c>
      <c r="K44" s="225">
        <v>1.3528780872933186E-2</v>
      </c>
    </row>
    <row r="45" spans="1:11">
      <c r="A45" s="190" t="s">
        <v>39</v>
      </c>
      <c r="B45" s="191">
        <f>+'PART 1er sem 2018'!J$4*'Dist 1 sem coef 1'!K45</f>
        <v>723574014.35718489</v>
      </c>
      <c r="C45" s="191">
        <f>+'PART 1er sem 2018'!J$5*'Dist 1 sem coef 1'!K45</f>
        <v>104774227.96003917</v>
      </c>
      <c r="D45" s="191">
        <f>+'PART 1er sem 2018'!J$6*'Dist 1 sem coef 1'!K45</f>
        <v>21757214.870763376</v>
      </c>
      <c r="E45" s="191">
        <f>+'PART 1er sem 2018'!J$7*'Dist 1 sem coef 1'!K45</f>
        <v>30203540.739257663</v>
      </c>
      <c r="F45" s="191">
        <f>+'PART 1er sem 2018'!J$8*'Dist 1 sem coef 1'!K45</f>
        <v>2725247.3727480532</v>
      </c>
      <c r="G45" s="191">
        <f>+'PART 1er sem 2018'!J$9*'Dist 1 sem coef 1'!K45</f>
        <v>23552107.513536122</v>
      </c>
      <c r="H45" s="191">
        <f>+'PART 1er sem 2018'!J$10*'Dist 1 sem coef 1'!K45</f>
        <v>4349380.560758099</v>
      </c>
      <c r="I45" s="191">
        <f>+'PART 1er sem 2018'!J$11*'Dist 1 sem coef 1'!K45</f>
        <v>28265696.548977386</v>
      </c>
      <c r="J45" s="192">
        <f t="shared" si="0"/>
        <v>939201429.92326474</v>
      </c>
      <c r="K45" s="225">
        <v>0.25173730777687003</v>
      </c>
    </row>
    <row r="46" spans="1:11">
      <c r="A46" s="190" t="s">
        <v>40</v>
      </c>
      <c r="B46" s="191">
        <f>+'PART 1er sem 2018'!J$4*'Dist 1 sem coef 1'!K46</f>
        <v>4156241.4941603495</v>
      </c>
      <c r="C46" s="191">
        <f>+'PART 1er sem 2018'!J$5*'Dist 1 sem coef 1'!K46</f>
        <v>601827.85053854412</v>
      </c>
      <c r="D46" s="191">
        <f>+'PART 1er sem 2018'!J$6*'Dist 1 sem coef 1'!K46</f>
        <v>124974.41512402127</v>
      </c>
      <c r="E46" s="191">
        <f>+'PART 1er sem 2018'!J$7*'Dist 1 sem coef 1'!K46</f>
        <v>173490.48860272791</v>
      </c>
      <c r="F46" s="191">
        <f>+'PART 1er sem 2018'!J$8*'Dist 1 sem coef 1'!K46</f>
        <v>15653.942772571132</v>
      </c>
      <c r="G46" s="191">
        <f>+'PART 1er sem 2018'!J$9*'Dist 1 sem coef 1'!K46</f>
        <v>135284.35872541304</v>
      </c>
      <c r="H46" s="191">
        <f>+'PART 1er sem 2018'!J$10*'Dist 1 sem coef 1'!K46</f>
        <v>24983.036430041913</v>
      </c>
      <c r="I46" s="191">
        <f>+'PART 1er sem 2018'!J$11*'Dist 1 sem coef 1'!K46</f>
        <v>162359.42492016093</v>
      </c>
      <c r="J46" s="192">
        <f t="shared" si="0"/>
        <v>5394815.0112738302</v>
      </c>
      <c r="K46" s="225">
        <v>1.4459903526800179E-3</v>
      </c>
    </row>
    <row r="47" spans="1:11">
      <c r="A47" s="190" t="s">
        <v>41</v>
      </c>
      <c r="B47" s="191">
        <f>+'PART 1er sem 2018'!J$4*'Dist 1 sem coef 1'!K47</f>
        <v>11423002.820523726</v>
      </c>
      <c r="C47" s="191">
        <f>+'PART 1er sem 2018'!J$5*'Dist 1 sem coef 1'!K47</f>
        <v>1654062.0278755855</v>
      </c>
      <c r="D47" s="191">
        <f>+'PART 1er sem 2018'!J$6*'Dist 1 sem coef 1'!K47</f>
        <v>343479.34268516331</v>
      </c>
      <c r="E47" s="191">
        <f>+'PART 1er sem 2018'!J$7*'Dist 1 sem coef 1'!K47</f>
        <v>476820.78710475966</v>
      </c>
      <c r="F47" s="191">
        <f>+'PART 1er sem 2018'!J$8*'Dist 1 sem coef 1'!K47</f>
        <v>43023.253748522024</v>
      </c>
      <c r="G47" s="191">
        <f>+'PART 1er sem 2018'!J$9*'Dist 1 sem coef 1'!K47</f>
        <v>371815.1636435003</v>
      </c>
      <c r="H47" s="191">
        <f>+'PART 1er sem 2018'!J$10*'Dist 1 sem coef 1'!K47</f>
        <v>68663.309388202179</v>
      </c>
      <c r="I47" s="191">
        <f>+'PART 1er sem 2018'!J$11*'Dist 1 sem coef 1'!K47</f>
        <v>446228.20194818446</v>
      </c>
      <c r="J47" s="192">
        <f t="shared" si="0"/>
        <v>14827094.906917641</v>
      </c>
      <c r="K47" s="225">
        <v>3.9741559532384301E-3</v>
      </c>
    </row>
    <row r="48" spans="1:11">
      <c r="A48" s="190" t="s">
        <v>42</v>
      </c>
      <c r="B48" s="191">
        <f>+'PART 1er sem 2018'!J$4*'Dist 1 sem coef 1'!K48</f>
        <v>8815261.8793098349</v>
      </c>
      <c r="C48" s="191">
        <f>+'PART 1er sem 2018'!J$5*'Dist 1 sem coef 1'!K48</f>
        <v>1276458.5783125155</v>
      </c>
      <c r="D48" s="191">
        <f>+'PART 1er sem 2018'!J$6*'Dist 1 sem coef 1'!K48</f>
        <v>265066.93585532159</v>
      </c>
      <c r="E48" s="191">
        <f>+'PART 1er sem 2018'!J$7*'Dist 1 sem coef 1'!K48</f>
        <v>367968.0530477523</v>
      </c>
      <c r="F48" s="191">
        <f>+'PART 1er sem 2018'!J$8*'Dist 1 sem coef 1'!K48</f>
        <v>33201.536815853789</v>
      </c>
      <c r="G48" s="191">
        <f>+'PART 1er sem 2018'!J$9*'Dist 1 sem coef 1'!K48</f>
        <v>286934.01286104403</v>
      </c>
      <c r="H48" s="191">
        <f>+'PART 1er sem 2018'!J$10*'Dist 1 sem coef 1'!K48</f>
        <v>52988.260903653041</v>
      </c>
      <c r="I48" s="191">
        <f>+'PART 1er sem 2018'!J$11*'Dist 1 sem coef 1'!K48</f>
        <v>344359.4053079689</v>
      </c>
      <c r="J48" s="192">
        <f t="shared" si="0"/>
        <v>11442238.662413944</v>
      </c>
      <c r="K48" s="225">
        <v>3.0669015868638959E-3</v>
      </c>
    </row>
    <row r="49" spans="1:11">
      <c r="A49" s="190" t="s">
        <v>43</v>
      </c>
      <c r="B49" s="191">
        <f>+'PART 1er sem 2018'!J$4*'Dist 1 sem coef 1'!K49</f>
        <v>9535200.459358193</v>
      </c>
      <c r="C49" s="191">
        <f>+'PART 1er sem 2018'!J$5*'Dist 1 sem coef 1'!K49</f>
        <v>1380706.3918139797</v>
      </c>
      <c r="D49" s="191">
        <f>+'PART 1er sem 2018'!J$6*'Dist 1 sem coef 1'!K49</f>
        <v>286714.83651104092</v>
      </c>
      <c r="E49" s="191">
        <f>+'PART 1er sem 2018'!J$7*'Dist 1 sem coef 1'!K49</f>
        <v>398019.84291415819</v>
      </c>
      <c r="F49" s="191">
        <f>+'PART 1er sem 2018'!J$8*'Dist 1 sem coef 1'!K49</f>
        <v>35913.091798324764</v>
      </c>
      <c r="G49" s="191">
        <f>+'PART 1er sem 2018'!J$9*'Dist 1 sem coef 1'!K49</f>
        <v>310367.78812659858</v>
      </c>
      <c r="H49" s="191">
        <f>+'PART 1er sem 2018'!J$10*'Dist 1 sem coef 1'!K49</f>
        <v>57315.788983532912</v>
      </c>
      <c r="I49" s="191">
        <f>+'PART 1er sem 2018'!J$11*'Dist 1 sem coef 1'!K49</f>
        <v>372483.08724481519</v>
      </c>
      <c r="J49" s="192">
        <f t="shared" si="0"/>
        <v>12376721.286750644</v>
      </c>
      <c r="K49" s="225">
        <v>3.3173740973603981E-3</v>
      </c>
    </row>
    <row r="50" spans="1:11">
      <c r="A50" s="190" t="s">
        <v>44</v>
      </c>
      <c r="B50" s="191">
        <f>+'PART 1er sem 2018'!J$4*'Dist 1 sem coef 1'!K50</f>
        <v>28421004.439268548</v>
      </c>
      <c r="C50" s="191">
        <f>+'PART 1er sem 2018'!J$5*'Dist 1 sem coef 1'!K50</f>
        <v>4115389.3573951004</v>
      </c>
      <c r="D50" s="191">
        <f>+'PART 1er sem 2018'!J$6*'Dist 1 sem coef 1'!K50</f>
        <v>854593.8468747132</v>
      </c>
      <c r="E50" s="191">
        <f>+'PART 1er sem 2018'!J$7*'Dist 1 sem coef 1'!K50</f>
        <v>1186354.0541801753</v>
      </c>
      <c r="F50" s="191">
        <f>+'PART 1er sem 2018'!J$8*'Dist 1 sem coef 1'!K50</f>
        <v>107044.01504493895</v>
      </c>
      <c r="G50" s="191">
        <f>+'PART 1er sem 2018'!J$9*'Dist 1 sem coef 1'!K50</f>
        <v>925094.7918451787</v>
      </c>
      <c r="H50" s="191">
        <f>+'PART 1er sem 2018'!J$10*'Dist 1 sem coef 1'!K50</f>
        <v>170837.76057821998</v>
      </c>
      <c r="I50" s="191">
        <f>+'PART 1er sem 2018'!J$11*'Dist 1 sem coef 1'!K50</f>
        <v>1110238.166597486</v>
      </c>
      <c r="J50" s="192">
        <f t="shared" si="0"/>
        <v>36890556.431784369</v>
      </c>
      <c r="K50" s="225">
        <v>9.8878995097855023E-3</v>
      </c>
    </row>
    <row r="51" spans="1:11">
      <c r="A51" s="190" t="s">
        <v>45</v>
      </c>
      <c r="B51" s="191">
        <f>+'PART 1er sem 2018'!J$4*'Dist 1 sem coef 1'!K51</f>
        <v>24457764.336082671</v>
      </c>
      <c r="C51" s="191">
        <f>+'PART 1er sem 2018'!J$5*'Dist 1 sem coef 1'!K51</f>
        <v>3541508.2978320844</v>
      </c>
      <c r="D51" s="191">
        <f>+'PART 1er sem 2018'!J$6*'Dist 1 sem coef 1'!K51</f>
        <v>735422.8086692486</v>
      </c>
      <c r="E51" s="191">
        <f>+'PART 1er sem 2018'!J$7*'Dist 1 sem coef 1'!K51</f>
        <v>1020919.8601089881</v>
      </c>
      <c r="F51" s="191">
        <f>+'PART 1er sem 2018'!J$8*'Dist 1 sem coef 1'!K51</f>
        <v>92116.986897898096</v>
      </c>
      <c r="G51" s="191">
        <f>+'PART 1er sem 2018'!J$9*'Dist 1 sem coef 1'!K51</f>
        <v>796092.56793983793</v>
      </c>
      <c r="H51" s="191">
        <f>+'PART 1er sem 2018'!J$10*'Dist 1 sem coef 1'!K51</f>
        <v>147014.84941725561</v>
      </c>
      <c r="I51" s="191">
        <f>+'PART 1er sem 2018'!J$11*'Dist 1 sem coef 1'!K51</f>
        <v>955418.14834833646</v>
      </c>
      <c r="J51" s="192">
        <f t="shared" si="0"/>
        <v>31746257.85529631</v>
      </c>
      <c r="K51" s="225">
        <v>8.5090559169352549E-3</v>
      </c>
    </row>
    <row r="52" spans="1:11">
      <c r="A52" s="190" t="s">
        <v>46</v>
      </c>
      <c r="B52" s="191">
        <f>+'PART 1er sem 2018'!J$4*'Dist 1 sem coef 1'!K52</f>
        <v>221307308.75027162</v>
      </c>
      <c r="C52" s="191">
        <f>+'PART 1er sem 2018'!J$5*'Dist 1 sem coef 1'!K52</f>
        <v>32045515.671016835</v>
      </c>
      <c r="D52" s="191">
        <f>+'PART 1er sem 2018'!J$6*'Dist 1 sem coef 1'!K52</f>
        <v>6654510.213758369</v>
      </c>
      <c r="E52" s="191">
        <f>+'PART 1er sem 2018'!J$7*'Dist 1 sem coef 1'!K52</f>
        <v>9237844.6200455781</v>
      </c>
      <c r="F52" s="191">
        <f>+'PART 1er sem 2018'!J$8*'Dist 1 sem coef 1'!K52</f>
        <v>833525.18163248652</v>
      </c>
      <c r="G52" s="191">
        <f>+'PART 1er sem 2018'!J$9*'Dist 1 sem coef 1'!K52</f>
        <v>7203483.5770715708</v>
      </c>
      <c r="H52" s="191">
        <f>+'PART 1er sem 2018'!J$10*'Dist 1 sem coef 1'!K52</f>
        <v>1330271.2473543438</v>
      </c>
      <c r="I52" s="191">
        <f>+'PART 1er sem 2018'!J$11*'Dist 1 sem coef 1'!K52</f>
        <v>8645149.0919878576</v>
      </c>
      <c r="J52" s="192">
        <f t="shared" si="0"/>
        <v>287257608.35313863</v>
      </c>
      <c r="K52" s="225">
        <v>7.6994619749620546E-2</v>
      </c>
    </row>
    <row r="53" spans="1:11">
      <c r="A53" s="190" t="s">
        <v>47</v>
      </c>
      <c r="B53" s="191">
        <f>+'PART 1er sem 2018'!J$4*'Dist 1 sem coef 1'!K53</f>
        <v>370479194.74171418</v>
      </c>
      <c r="C53" s="191">
        <f>+'PART 1er sem 2018'!J$5*'Dist 1 sem coef 1'!K53</f>
        <v>53645751.276466727</v>
      </c>
      <c r="D53" s="191">
        <f>+'PART 1er sem 2018'!J$6*'Dist 1 sem coef 1'!K53</f>
        <v>11139973.638085673</v>
      </c>
      <c r="E53" s="191">
        <f>+'PART 1er sem 2018'!J$7*'Dist 1 sem coef 1'!K53</f>
        <v>15464601.035140291</v>
      </c>
      <c r="F53" s="191">
        <f>+'PART 1er sem 2018'!J$8*'Dist 1 sem coef 1'!K53</f>
        <v>1395361.6797925371</v>
      </c>
      <c r="G53" s="191">
        <f>+'PART 1er sem 2018'!J$9*'Dist 1 sem coef 1'!K53</f>
        <v>12058981.73918923</v>
      </c>
      <c r="H53" s="191">
        <f>+'PART 1er sem 2018'!J$10*'Dist 1 sem coef 1'!K53</f>
        <v>2226938.7454529246</v>
      </c>
      <c r="I53" s="191">
        <f>+'PART 1er sem 2018'!J$11*'Dist 1 sem coef 1'!K53</f>
        <v>14472399.904496113</v>
      </c>
      <c r="J53" s="192">
        <f t="shared" si="0"/>
        <v>480883202.76033765</v>
      </c>
      <c r="K53" s="225">
        <v>0.12889273691576122</v>
      </c>
    </row>
    <row r="54" spans="1:11">
      <c r="A54" s="190" t="s">
        <v>48</v>
      </c>
      <c r="B54" s="191">
        <f>+'PART 1er sem 2018'!J$4*'Dist 1 sem coef 1'!K54</f>
        <v>114664031.03571519</v>
      </c>
      <c r="C54" s="191">
        <f>+'PART 1er sem 2018'!J$5*'Dist 1 sem coef 1'!K54</f>
        <v>16603464.314878676</v>
      </c>
      <c r="D54" s="191">
        <f>+'PART 1er sem 2018'!J$6*'Dist 1 sem coef 1'!K54</f>
        <v>3447843.498647836</v>
      </c>
      <c r="E54" s="191">
        <f>+'PART 1er sem 2018'!J$7*'Dist 1 sem coef 1'!K54</f>
        <v>4786324.0857142312</v>
      </c>
      <c r="F54" s="191">
        <f>+'PART 1er sem 2018'!J$8*'Dist 1 sem coef 1'!K54</f>
        <v>431867.15267324069</v>
      </c>
      <c r="G54" s="191">
        <f>+'PART 1er sem 2018'!J$9*'Dist 1 sem coef 1'!K54</f>
        <v>3732278.2926191338</v>
      </c>
      <c r="H54" s="191">
        <f>+'PART 1er sem 2018'!J$10*'Dist 1 sem coef 1'!K54</f>
        <v>689241.87119676778</v>
      </c>
      <c r="I54" s="191">
        <f>+'PART 1er sem 2018'!J$11*'Dist 1 sem coef 1'!K54</f>
        <v>4479235.9068026664</v>
      </c>
      <c r="J54" s="192">
        <f t="shared" si="0"/>
        <v>148834286.15824774</v>
      </c>
      <c r="K54" s="225">
        <v>3.9892552660860753E-2</v>
      </c>
    </row>
    <row r="55" spans="1:11">
      <c r="A55" s="190" t="s">
        <v>49</v>
      </c>
      <c r="B55" s="191">
        <f>+'PART 1er sem 2018'!J$4*'Dist 1 sem coef 1'!K55</f>
        <v>30531900.646739349</v>
      </c>
      <c r="C55" s="191">
        <f>+'PART 1er sem 2018'!J$5*'Dist 1 sem coef 1'!K55</f>
        <v>4421049.2015203908</v>
      </c>
      <c r="D55" s="191">
        <f>+'PART 1er sem 2018'!J$6*'Dist 1 sem coef 1'!K55</f>
        <v>918066.582827818</v>
      </c>
      <c r="E55" s="191">
        <f>+'PART 1er sem 2018'!J$7*'Dist 1 sem coef 1'!K55</f>
        <v>1274467.4169234866</v>
      </c>
      <c r="F55" s="191">
        <f>+'PART 1er sem 2018'!J$8*'Dist 1 sem coef 1'!K55</f>
        <v>114994.43093800313</v>
      </c>
      <c r="G55" s="191">
        <f>+'PART 1er sem 2018'!J$9*'Dist 1 sem coef 1'!K55</f>
        <v>993803.8021769484</v>
      </c>
      <c r="H55" s="191">
        <f>+'PART 1er sem 2018'!J$10*'Dist 1 sem coef 1'!K55</f>
        <v>183526.29105109477</v>
      </c>
      <c r="I55" s="191">
        <f>+'PART 1er sem 2018'!J$11*'Dist 1 sem coef 1'!K55</f>
        <v>1192698.219698983</v>
      </c>
      <c r="J55" s="192">
        <f t="shared" si="0"/>
        <v>39630506.591876075</v>
      </c>
      <c r="K55" s="225">
        <v>1.062229753641611E-2</v>
      </c>
    </row>
    <row r="56" spans="1:11">
      <c r="A56" s="190" t="s">
        <v>50</v>
      </c>
      <c r="B56" s="191">
        <f>+'PART 1er sem 2018'!J$4*'Dist 1 sem coef 1'!K56</f>
        <v>7379793.111185817</v>
      </c>
      <c r="C56" s="191">
        <f>+'PART 1er sem 2018'!J$5*'Dist 1 sem coef 1'!K56</f>
        <v>1068601.2907970757</v>
      </c>
      <c r="D56" s="191">
        <f>+'PART 1er sem 2018'!J$6*'Dist 1 sem coef 1'!K56</f>
        <v>221903.69089538438</v>
      </c>
      <c r="E56" s="191">
        <f>+'PART 1er sem 2018'!J$7*'Dist 1 sem coef 1'!K56</f>
        <v>308048.48910862574</v>
      </c>
      <c r="F56" s="191">
        <f>+'PART 1er sem 2018'!J$8*'Dist 1 sem coef 1'!K56</f>
        <v>27795.030485651692</v>
      </c>
      <c r="G56" s="191">
        <f>+'PART 1er sem 2018'!J$9*'Dist 1 sem coef 1'!K56</f>
        <v>240209.95410775245</v>
      </c>
      <c r="H56" s="191">
        <f>+'PART 1er sem 2018'!J$10*'Dist 1 sem coef 1'!K56</f>
        <v>44359.70344889073</v>
      </c>
      <c r="I56" s="191">
        <f>+'PART 1er sem 2018'!J$11*'Dist 1 sem coef 1'!K56</f>
        <v>288284.25086592627</v>
      </c>
      <c r="J56" s="192">
        <f t="shared" si="0"/>
        <v>9578995.5208951253</v>
      </c>
      <c r="K56" s="225">
        <v>2.567490281433933E-3</v>
      </c>
    </row>
    <row r="57" spans="1:11" ht="13.5" thickBot="1">
      <c r="A57" s="190" t="s">
        <v>51</v>
      </c>
      <c r="B57" s="191">
        <f>+'PART 1er sem 2018'!J$4*'Dist 1 sem coef 1'!K57</f>
        <v>10167222.74074373</v>
      </c>
      <c r="C57" s="191">
        <f>+'PART 1er sem 2018'!J$5*'Dist 1 sem coef 1'!K57</f>
        <v>1472223.8389192922</v>
      </c>
      <c r="D57" s="191">
        <f>+'PART 1er sem 2018'!J$6*'Dist 1 sem coef 1'!K57</f>
        <v>305719.17374035879</v>
      </c>
      <c r="E57" s="191">
        <f>+'PART 1er sem 2018'!J$7*'Dist 1 sem coef 1'!K57</f>
        <v>424401.81676227297</v>
      </c>
      <c r="F57" s="191">
        <f>+'PART 1er sem 2018'!J$8*'Dist 1 sem coef 1'!K57</f>
        <v>38293.521481657634</v>
      </c>
      <c r="G57" s="191">
        <f>+'PART 1er sem 2018'!J$9*'Dist 1 sem coef 1'!K57</f>
        <v>330939.91540975793</v>
      </c>
      <c r="H57" s="191">
        <f>+'PART 1er sem 2018'!J$10*'Dist 1 sem coef 1'!K57</f>
        <v>61114.854967219922</v>
      </c>
      <c r="I57" s="191">
        <f>+'PART 1er sem 2018'!J$11*'Dist 1 sem coef 1'!K57</f>
        <v>397172.40673855995</v>
      </c>
      <c r="J57" s="192">
        <f t="shared" si="0"/>
        <v>13197088.268762851</v>
      </c>
      <c r="K57" s="225">
        <v>3.5372598096912043E-3</v>
      </c>
    </row>
    <row r="58" spans="1:11" ht="14.25" thickTop="1" thickBot="1">
      <c r="A58" s="193" t="s">
        <v>52</v>
      </c>
      <c r="B58" s="194">
        <f t="shared" ref="B58:C58" si="1">SUM(B7:B57)</f>
        <v>2874321731.4397125</v>
      </c>
      <c r="C58" s="194">
        <f t="shared" si="1"/>
        <v>416204609.81852907</v>
      </c>
      <c r="D58" s="208">
        <f>SUM(D7:D57)</f>
        <v>86428249.602351755</v>
      </c>
      <c r="E58" s="194">
        <f>SUM(E7:E57)</f>
        <v>119980391.48821309</v>
      </c>
      <c r="F58" s="194">
        <f>SUM(F7:F57)</f>
        <v>10825758.79123806</v>
      </c>
      <c r="G58" s="194">
        <f t="shared" ref="G58:J58" si="2">SUM(G7:G57)</f>
        <v>93558271.99999997</v>
      </c>
      <c r="H58" s="194">
        <f t="shared" si="2"/>
        <v>17277457.199999996</v>
      </c>
      <c r="I58" s="194">
        <f t="shared" si="2"/>
        <v>112282509.09090905</v>
      </c>
      <c r="J58" s="195">
        <f t="shared" si="2"/>
        <v>3730878979.4309535</v>
      </c>
      <c r="K58" s="225">
        <v>0.99999999999999989</v>
      </c>
    </row>
    <row r="59" spans="1:11" ht="13.5" thickTop="1">
      <c r="A59" s="196"/>
      <c r="B59" s="196"/>
      <c r="C59" s="196"/>
      <c r="D59" s="196"/>
      <c r="E59" s="196"/>
      <c r="F59" s="196"/>
      <c r="G59" s="196"/>
      <c r="H59" s="196"/>
      <c r="I59" s="196"/>
      <c r="J59" s="196"/>
    </row>
    <row r="60" spans="1:11" ht="16.5" customHeight="1">
      <c r="A60" s="184" t="s">
        <v>149</v>
      </c>
    </row>
    <row r="63" spans="1:11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III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zoomScaleSheetLayoutView="100" workbookViewId="0">
      <selection activeCell="K13" sqref="K13"/>
    </sheetView>
  </sheetViews>
  <sheetFormatPr baseColWidth="10" defaultColWidth="11.42578125" defaultRowHeight="12.75"/>
  <cols>
    <col min="1" max="1" width="29.7109375" style="185" customWidth="1"/>
    <col min="2" max="2" width="12.7109375" style="185" customWidth="1"/>
    <col min="3" max="3" width="12.5703125" style="185" bestFit="1" customWidth="1"/>
    <col min="4" max="4" width="11.7109375" style="185" bestFit="1" customWidth="1"/>
    <col min="5" max="5" width="12.5703125" style="185" bestFit="1" customWidth="1"/>
    <col min="6" max="7" width="11.7109375" style="185" bestFit="1" customWidth="1"/>
    <col min="8" max="9" width="12.5703125" style="185" bestFit="1" customWidth="1"/>
    <col min="10" max="10" width="13.7109375" style="185" bestFit="1" customWidth="1"/>
    <col min="11" max="16384" width="11.42578125" style="185"/>
  </cols>
  <sheetData>
    <row r="1" spans="1:10">
      <c r="A1" s="228" t="s">
        <v>150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>
      <c r="A2" s="228" t="s">
        <v>229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>
      <c r="A3" s="228" t="s">
        <v>226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>
      <c r="A4" s="228" t="s">
        <v>227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ht="13.5" customHeight="1" thickBot="1">
      <c r="A5" s="186"/>
    </row>
    <row r="6" spans="1:10" ht="39.75" thickTop="1" thickBot="1">
      <c r="A6" s="187" t="s">
        <v>0</v>
      </c>
      <c r="B6" s="188" t="s">
        <v>134</v>
      </c>
      <c r="C6" s="188" t="s">
        <v>135</v>
      </c>
      <c r="D6" s="188" t="s">
        <v>136</v>
      </c>
      <c r="E6" s="188" t="s">
        <v>164</v>
      </c>
      <c r="F6" s="188" t="s">
        <v>154</v>
      </c>
      <c r="G6" s="188" t="s">
        <v>137</v>
      </c>
      <c r="H6" s="188" t="s">
        <v>207</v>
      </c>
      <c r="I6" s="188" t="s">
        <v>171</v>
      </c>
      <c r="J6" s="189" t="s">
        <v>53</v>
      </c>
    </row>
    <row r="7" spans="1:10" ht="13.5" thickTop="1">
      <c r="A7" s="190" t="s">
        <v>1</v>
      </c>
      <c r="B7" s="223">
        <f>+'Dist 1er sem'!B7-'Dist 1 sem coef 1'!B7</f>
        <v>-20003.730009093881</v>
      </c>
      <c r="C7" s="223">
        <f>+'Dist 1er sem'!C7-'Dist 1 sem coef 1'!C7</f>
        <v>-2896.559752613306</v>
      </c>
      <c r="D7" s="223">
        <f>+'Dist 1er sem'!D7-'Dist 1 sem coef 1'!D7</f>
        <v>-601.49403293766954</v>
      </c>
      <c r="E7" s="223">
        <f>+'Dist 1er sem'!E7-'Dist 1 sem coef 1'!E7</f>
        <v>-834.99885606524185</v>
      </c>
      <c r="F7" s="223">
        <f>+'Dist 1er sem'!F7-'Dist 1 sem coef 1'!F7</f>
        <v>-75.34144616964295</v>
      </c>
      <c r="G7" s="223">
        <f>+'Dist 1er sem'!G7-'Dist 1 sem coef 1'!G7</f>
        <v>-651.11514578708739</v>
      </c>
      <c r="H7" s="223">
        <f>+'Dist 1er sem'!H7-'Dist 1 sem coef 1'!H7</f>
        <v>-120.24178966888212</v>
      </c>
      <c r="I7" s="223">
        <f>+'Dist 1er sem'!I7-'Dist 1 sem coef 1'!I7</f>
        <v>-781.42574369124486</v>
      </c>
      <c r="J7" s="224">
        <f t="shared" ref="J7:J57" si="0">SUM(B7:I7)</f>
        <v>-25964.906776026957</v>
      </c>
    </row>
    <row r="8" spans="1:10">
      <c r="A8" s="190" t="s">
        <v>2</v>
      </c>
      <c r="B8" s="223">
        <f>+'Dist 1er sem'!B8-'Dist 1 sem coef 1'!B8</f>
        <v>-39622.935779187828</v>
      </c>
      <c r="C8" s="223">
        <f>+'Dist 1er sem'!C8-'Dist 1 sem coef 1'!C8</f>
        <v>-5737.4400177467614</v>
      </c>
      <c r="D8" s="223">
        <f>+'Dist 1er sem'!D8-'Dist 1 sem coef 1'!D8</f>
        <v>-1191.4257704847259</v>
      </c>
      <c r="E8" s="223">
        <f>+'Dist 1er sem'!E8-'Dist 1 sem coef 1'!E8</f>
        <v>-1653.9468406405649</v>
      </c>
      <c r="F8" s="223">
        <f>+'Dist 1er sem'!F8-'Dist 1 sem coef 1'!F8</f>
        <v>-149.23463182785054</v>
      </c>
      <c r="G8" s="223">
        <f>+'Dist 1er sem'!G8-'Dist 1 sem coef 1'!G8</f>
        <v>-1289.7141480438586</v>
      </c>
      <c r="H8" s="223">
        <f>+'Dist 1er sem'!H8-'Dist 1 sem coef 1'!H8</f>
        <v>-238.17221627460094</v>
      </c>
      <c r="I8" s="223">
        <f>+'Dist 1er sem'!I8-'Dist 1 sem coef 1'!I8</f>
        <v>-1547.8304318447481</v>
      </c>
      <c r="J8" s="224">
        <f t="shared" si="0"/>
        <v>-51430.699836050939</v>
      </c>
    </row>
    <row r="9" spans="1:10">
      <c r="A9" s="190" t="s">
        <v>3</v>
      </c>
      <c r="B9" s="223">
        <f>+'Dist 1er sem'!B9-'Dist 1 sem coef 1'!B9</f>
        <v>-17321.081830491312</v>
      </c>
      <c r="C9" s="223">
        <f>+'Dist 1er sem'!C9-'Dist 1 sem coef 1'!C9</f>
        <v>-2508.1096615039278</v>
      </c>
      <c r="D9" s="223">
        <f>+'Dist 1er sem'!D9-'Dist 1 sem coef 1'!D9</f>
        <v>-520.82923336443491</v>
      </c>
      <c r="E9" s="223">
        <f>+'Dist 1er sem'!E9-'Dist 1 sem coef 1'!E9</f>
        <v>-723.01933227945119</v>
      </c>
      <c r="F9" s="223">
        <f>+'Dist 1er sem'!F9-'Dist 1 sem coef 1'!F9</f>
        <v>-65.237600874374039</v>
      </c>
      <c r="G9" s="223">
        <f>+'Dist 1er sem'!G9-'Dist 1 sem coef 1'!G9</f>
        <v>-563.79578789175139</v>
      </c>
      <c r="H9" s="223">
        <f>+'Dist 1er sem'!H9-'Dist 1 sem coef 1'!H9</f>
        <v>-104.11647614483081</v>
      </c>
      <c r="I9" s="223">
        <f>+'Dist 1er sem'!I9-'Dist 1 sem coef 1'!I9</f>
        <v>-676.63077060005162</v>
      </c>
      <c r="J9" s="224">
        <f t="shared" si="0"/>
        <v>-22482.820693150134</v>
      </c>
    </row>
    <row r="10" spans="1:10">
      <c r="A10" s="190" t="s">
        <v>4</v>
      </c>
      <c r="B10" s="223">
        <f>+'Dist 1er sem'!B10-'Dist 1 sem coef 1'!B10</f>
        <v>-10219.792885128409</v>
      </c>
      <c r="C10" s="223">
        <f>+'Dist 1er sem'!C10-'Dist 1 sem coef 1'!C10</f>
        <v>-1479.8360474598594</v>
      </c>
      <c r="D10" s="223">
        <f>+'Dist 1er sem'!D10-'Dist 1 sem coef 1'!D10</f>
        <v>-307.29991034022532</v>
      </c>
      <c r="E10" s="223">
        <f>+'Dist 1er sem'!E10-'Dist 1 sem coef 1'!E10</f>
        <v>-426.59620802849531</v>
      </c>
      <c r="F10" s="223">
        <f>+'Dist 1er sem'!F10-'Dist 1 sem coef 1'!F10</f>
        <v>-38.49152008999954</v>
      </c>
      <c r="G10" s="223">
        <f>+'Dist 1er sem'!G10-'Dist 1 sem coef 1'!G10</f>
        <v>-332.65105714229867</v>
      </c>
      <c r="H10" s="223">
        <f>+'Dist 1er sem'!H10-'Dist 1 sem coef 1'!H10</f>
        <v>-61.430852445744677</v>
      </c>
      <c r="I10" s="223">
        <f>+'Dist 1er sem'!I10-'Dist 1 sem coef 1'!I10</f>
        <v>-399.2260069497861</v>
      </c>
      <c r="J10" s="224">
        <f t="shared" si="0"/>
        <v>-13265.324487584818</v>
      </c>
    </row>
    <row r="11" spans="1:10">
      <c r="A11" s="190" t="s">
        <v>5</v>
      </c>
      <c r="B11" s="223">
        <f>+'Dist 1er sem'!B11-'Dist 1 sem coef 1'!B11</f>
        <v>-143992.61475251243</v>
      </c>
      <c r="C11" s="223">
        <f>+'Dist 1er sem'!C11-'Dist 1 sem coef 1'!C11</f>
        <v>-20850.272043067496</v>
      </c>
      <c r="D11" s="223">
        <f>+'Dist 1er sem'!D11-'Dist 1 sem coef 1'!D11</f>
        <v>-4329.7274319014978</v>
      </c>
      <c r="E11" s="223">
        <f>+'Dist 1er sem'!E11-'Dist 1 sem coef 1'!E11</f>
        <v>-6010.5624573780224</v>
      </c>
      <c r="F11" s="223">
        <f>+'Dist 1er sem'!F11-'Dist 1 sem coef 1'!F11</f>
        <v>-542.32944697166386</v>
      </c>
      <c r="G11" s="223">
        <f>+'Dist 1er sem'!G11-'Dist 1 sem coef 1'!G11</f>
        <v>-4686.9145056558773</v>
      </c>
      <c r="H11" s="223">
        <f>+'Dist 1er sem'!H11-'Dist 1 sem coef 1'!H11</f>
        <v>-865.53506216453388</v>
      </c>
      <c r="I11" s="223">
        <f>+'Dist 1er sem'!I11-'Dist 1 sem coef 1'!I11</f>
        <v>-5624.9277518680319</v>
      </c>
      <c r="J11" s="224">
        <f t="shared" si="0"/>
        <v>-186902.88345151953</v>
      </c>
    </row>
    <row r="12" spans="1:10">
      <c r="A12" s="190" t="s">
        <v>6</v>
      </c>
      <c r="B12" s="223">
        <f>+'Dist 1er sem'!B12-'Dist 1 sem coef 1'!B12</f>
        <v>-98511.29608309269</v>
      </c>
      <c r="C12" s="223">
        <f>+'Dist 1er sem'!C12-'Dist 1 sem coef 1'!C12</f>
        <v>-14264.532428819686</v>
      </c>
      <c r="D12" s="223">
        <f>+'Dist 1er sem'!D12-'Dist 1 sem coef 1'!D12</f>
        <v>-2962.1453970829025</v>
      </c>
      <c r="E12" s="223">
        <f>+'Dist 1er sem'!E12-'Dist 1 sem coef 1'!E12</f>
        <v>-4112.0740732597187</v>
      </c>
      <c r="F12" s="223">
        <f>+'Dist 1er sem'!F12-'Dist 1 sem coef 1'!F12</f>
        <v>-371.0299782876391</v>
      </c>
      <c r="G12" s="223">
        <f>+'Dist 1er sem'!G12-'Dist 1 sem coef 1'!G12</f>
        <v>-3206.5118296267465</v>
      </c>
      <c r="H12" s="223">
        <f>+'Dist 1er sem'!H12-'Dist 1 sem coef 1'!H12</f>
        <v>-592.14829125581309</v>
      </c>
      <c r="I12" s="223">
        <f>+'Dist 1er sem'!I12-'Dist 1 sem coef 1'!I12</f>
        <v>-3848.2454406609759</v>
      </c>
      <c r="J12" s="224">
        <f t="shared" si="0"/>
        <v>-127867.98352208617</v>
      </c>
    </row>
    <row r="13" spans="1:10">
      <c r="A13" s="190" t="s">
        <v>7</v>
      </c>
      <c r="B13" s="223">
        <f>+'Dist 1er sem'!B13-'Dist 1 sem coef 1'!B13</f>
        <v>-160505.72132978961</v>
      </c>
      <c r="C13" s="223">
        <f>+'Dist 1er sem'!C13-'Dist 1 sem coef 1'!C13</f>
        <v>-23241.386094328016</v>
      </c>
      <c r="D13" s="223">
        <f>+'Dist 1er sem'!D13-'Dist 1 sem coef 1'!D13</f>
        <v>-4826.2615816316102</v>
      </c>
      <c r="E13" s="223">
        <f>+'Dist 1er sem'!E13-'Dist 1 sem coef 1'!E13</f>
        <v>-6699.8551590815187</v>
      </c>
      <c r="F13" s="223">
        <f>+'Dist 1er sem'!F13-'Dist 1 sem coef 1'!F13</f>
        <v>-604.52391418954358</v>
      </c>
      <c r="G13" s="223">
        <f>+'Dist 1er sem'!G13-'Dist 1 sem coef 1'!G13</f>
        <v>-5224.4109521473292</v>
      </c>
      <c r="H13" s="223">
        <f>+'Dist 1er sem'!H13-'Dist 1 sem coef 1'!H13</f>
        <v>-964.79482456599362</v>
      </c>
      <c r="I13" s="223">
        <f>+'Dist 1er sem'!I13-'Dist 1 sem coef 1'!I13</f>
        <v>-6269.9957757785451</v>
      </c>
      <c r="J13" s="224">
        <f t="shared" si="0"/>
        <v>-208336.94963151217</v>
      </c>
    </row>
    <row r="14" spans="1:10">
      <c r="A14" s="190" t="s">
        <v>8</v>
      </c>
      <c r="B14" s="223">
        <f>+'Dist 1er sem'!B14-'Dist 1 sem coef 1'!B14</f>
        <v>-26135.462558386847</v>
      </c>
      <c r="C14" s="223">
        <f>+'Dist 1er sem'!C14-'Dist 1 sem coef 1'!C14</f>
        <v>-3784.4406482261838</v>
      </c>
      <c r="D14" s="223">
        <f>+'Dist 1er sem'!D14-'Dist 1 sem coef 1'!D14</f>
        <v>-785.8696737952705</v>
      </c>
      <c r="E14" s="223">
        <f>+'Dist 1er sem'!E14-'Dist 1 sem coef 1'!E14</f>
        <v>-1090.9506041657005</v>
      </c>
      <c r="F14" s="223">
        <f>+'Dist 1er sem'!F14-'Dist 1 sem coef 1'!F14</f>
        <v>-98.435818948080851</v>
      </c>
      <c r="G14" s="223">
        <f>+'Dist 1er sem'!G14-'Dist 1 sem coef 1'!G14</f>
        <v>-850.70111955024186</v>
      </c>
      <c r="H14" s="223">
        <f>+'Dist 1er sem'!H14-'Dist 1 sem coef 1'!H14</f>
        <v>-157.09944047514728</v>
      </c>
      <c r="I14" s="223">
        <f>+'Dist 1er sem'!I14-'Dist 1 sem coef 1'!I14</f>
        <v>-1020.9557546076539</v>
      </c>
      <c r="J14" s="224">
        <f t="shared" si="0"/>
        <v>-33923.915618155123</v>
      </c>
    </row>
    <row r="15" spans="1:10">
      <c r="A15" s="190" t="s">
        <v>9</v>
      </c>
      <c r="B15" s="223">
        <f>+'Dist 1er sem'!B15-'Dist 1 sem coef 1'!B15</f>
        <v>-259791.61193526536</v>
      </c>
      <c r="C15" s="223">
        <f>+'Dist 1er sem'!C15-'Dist 1 sem coef 1'!C15</f>
        <v>-37618.080570780672</v>
      </c>
      <c r="D15" s="223">
        <f>+'Dist 1er sem'!D15-'Dist 1 sem coef 1'!D15</f>
        <v>-7811.6983340247534</v>
      </c>
      <c r="E15" s="223">
        <f>+'Dist 1er sem'!E15-'Dist 1 sem coef 1'!E15</f>
        <v>-10844.262479181401</v>
      </c>
      <c r="F15" s="223">
        <f>+'Dist 1er sem'!F15-'Dist 1 sem coef 1'!F15</f>
        <v>-978.47130195458885</v>
      </c>
      <c r="G15" s="223">
        <f>+'Dist 1er sem'!G15-'Dist 1 sem coef 1'!G15</f>
        <v>-8456.1355908422265</v>
      </c>
      <c r="H15" s="223">
        <f>+'Dist 1er sem'!H15-'Dist 1 sem coef 1'!H15</f>
        <v>-1561.5991790461121</v>
      </c>
      <c r="I15" s="223">
        <f>+'Dist 1er sem'!I15-'Dist 1 sem coef 1'!I15</f>
        <v>-10148.499978202861</v>
      </c>
      <c r="J15" s="224">
        <f t="shared" si="0"/>
        <v>-337210.35936929798</v>
      </c>
    </row>
    <row r="16" spans="1:10">
      <c r="A16" s="190" t="s">
        <v>10</v>
      </c>
      <c r="B16" s="223">
        <f>+'Dist 1er sem'!B16-'Dist 1 sem coef 1'!B16</f>
        <v>-37114.933187536895</v>
      </c>
      <c r="C16" s="223">
        <f>+'Dist 1er sem'!C16-'Dist 1 sem coef 1'!C16</f>
        <v>-5374.2787791615119</v>
      </c>
      <c r="D16" s="223">
        <f>+'Dist 1er sem'!D16-'Dist 1 sem coef 1'!D16</f>
        <v>-1116.0124054380867</v>
      </c>
      <c r="E16" s="223">
        <f>+'Dist 1er sem'!E16-'Dist 1 sem coef 1'!E16</f>
        <v>-1549.2574005168863</v>
      </c>
      <c r="F16" s="223">
        <f>+'Dist 1er sem'!F16-'Dist 1 sem coef 1'!F16</f>
        <v>-139.78856641073799</v>
      </c>
      <c r="G16" s="223">
        <f>+'Dist 1er sem'!G16-'Dist 1 sem coef 1'!G16</f>
        <v>-1208.0794492974528</v>
      </c>
      <c r="H16" s="223">
        <f>+'Dist 1er sem'!H16-'Dist 1 sem coef 1'!H16</f>
        <v>-223.09669186104293</v>
      </c>
      <c r="I16" s="223">
        <f>+'Dist 1er sem'!I16-'Dist 1 sem coef 1'!I16</f>
        <v>-1449.8578142644837</v>
      </c>
      <c r="J16" s="224">
        <f t="shared" si="0"/>
        <v>-48175.304294487098</v>
      </c>
    </row>
    <row r="17" spans="1:10">
      <c r="A17" s="190" t="s">
        <v>11</v>
      </c>
      <c r="B17" s="223">
        <f>+'Dist 1er sem'!B17-'Dist 1 sem coef 1'!B17</f>
        <v>4870.0099750608206</v>
      </c>
      <c r="C17" s="223">
        <f>+'Dist 1er sem'!C17-'Dist 1 sem coef 1'!C17</f>
        <v>705.18222762318328</v>
      </c>
      <c r="D17" s="223">
        <f>+'Dist 1er sem'!D17-'Dist 1 sem coef 1'!D17</f>
        <v>146.43678649002686</v>
      </c>
      <c r="E17" s="223">
        <f>+'Dist 1er sem'!E17-'Dist 1 sem coef 1'!E17</f>
        <v>203.28472521639196</v>
      </c>
      <c r="F17" s="223">
        <f>+'Dist 1er sem'!F17-'Dist 1 sem coef 1'!F17</f>
        <v>18.34225887946377</v>
      </c>
      <c r="G17" s="223">
        <f>+'Dist 1er sem'!G17-'Dist 1 sem coef 1'!G17</f>
        <v>158.51729919645004</v>
      </c>
      <c r="H17" s="223">
        <f>+'Dist 1er sem'!H17-'Dist 1 sem coef 1'!H17</f>
        <v>29.273476238697185</v>
      </c>
      <c r="I17" s="223">
        <f>+'Dist 1er sem'!I17-'Dist 1 sem coef 1'!I17</f>
        <v>190.24207809322979</v>
      </c>
      <c r="J17" s="224">
        <f t="shared" si="0"/>
        <v>6321.2888267982635</v>
      </c>
    </row>
    <row r="18" spans="1:10">
      <c r="A18" s="190" t="s">
        <v>12</v>
      </c>
      <c r="B18" s="223">
        <f>+'Dist 1er sem'!B18-'Dist 1 sem coef 1'!B18</f>
        <v>-131890.37542406097</v>
      </c>
      <c r="C18" s="223">
        <f>+'Dist 1er sem'!C18-'Dist 1 sem coef 1'!C18</f>
        <v>-19097.855901710223</v>
      </c>
      <c r="D18" s="223">
        <f>+'Dist 1er sem'!D18-'Dist 1 sem coef 1'!D18</f>
        <v>-3965.8240629829234</v>
      </c>
      <c r="E18" s="223">
        <f>+'Dist 1er sem'!E18-'Dist 1 sem coef 1'!E18</f>
        <v>-5505.3888727271697</v>
      </c>
      <c r="F18" s="223">
        <f>+'Dist 1er sem'!F18-'Dist 1 sem coef 1'!F18</f>
        <v>-496.74793729910743</v>
      </c>
      <c r="G18" s="223">
        <f>+'Dist 1er sem'!G18-'Dist 1 sem coef 1'!G18</f>
        <v>-4292.9904064446455</v>
      </c>
      <c r="H18" s="223">
        <f>+'Dist 1er sem'!H18-'Dist 1 sem coef 1'!H18</f>
        <v>-792.78888356720563</v>
      </c>
      <c r="I18" s="223">
        <f>+'Dist 1er sem'!I18-'Dist 1 sem coef 1'!I18</f>
        <v>-5152.1658537986223</v>
      </c>
      <c r="J18" s="224">
        <f t="shared" si="0"/>
        <v>-171194.13734259087</v>
      </c>
    </row>
    <row r="19" spans="1:10">
      <c r="A19" s="190" t="s">
        <v>13</v>
      </c>
      <c r="B19" s="223">
        <f>+'Dist 1er sem'!B19-'Dist 1 sem coef 1'!B19</f>
        <v>-67107.082849906757</v>
      </c>
      <c r="C19" s="223">
        <f>+'Dist 1er sem'!C19-'Dist 1 sem coef 1'!C19</f>
        <v>-9717.1715080118738</v>
      </c>
      <c r="D19" s="223">
        <f>+'Dist 1er sem'!D19-'Dist 1 sem coef 1'!D19</f>
        <v>-2017.8491653167293</v>
      </c>
      <c r="E19" s="223">
        <f>+'Dist 1er sem'!E19-'Dist 1 sem coef 1'!E19</f>
        <v>-2801.1944466393907</v>
      </c>
      <c r="F19" s="223">
        <f>+'Dist 1er sem'!F19-'Dist 1 sem coef 1'!F19</f>
        <v>-252.75009549916285</v>
      </c>
      <c r="G19" s="223">
        <f>+'Dist 1er sem'!G19-'Dist 1 sem coef 1'!G19</f>
        <v>-2184.3145260058227</v>
      </c>
      <c r="H19" s="223">
        <f>+'Dist 1er sem'!H19-'Dist 1 sem coef 1'!H19</f>
        <v>-403.37855678227788</v>
      </c>
      <c r="I19" s="223">
        <f>+'Dist 1er sem'!I19-'Dist 1 sem coef 1'!I19</f>
        <v>-2621.4712005759939</v>
      </c>
      <c r="J19" s="224">
        <f t="shared" si="0"/>
        <v>-87105.212348738001</v>
      </c>
    </row>
    <row r="20" spans="1:10">
      <c r="A20" s="190" t="s">
        <v>14</v>
      </c>
      <c r="B20" s="223">
        <f>+'Dist 1er sem'!B20-'Dist 1 sem coef 1'!B20</f>
        <v>-179066.33696153015</v>
      </c>
      <c r="C20" s="223">
        <f>+'Dist 1er sem'!C20-'Dist 1 sem coef 1'!C20</f>
        <v>-25928.981467699632</v>
      </c>
      <c r="D20" s="223">
        <f>+'Dist 1er sem'!D20-'Dist 1 sem coef 1'!D20</f>
        <v>-5384.3624730687588</v>
      </c>
      <c r="E20" s="223">
        <f>+'Dist 1er sem'!E20-'Dist 1 sem coef 1'!E20</f>
        <v>-7474.6153069799766</v>
      </c>
      <c r="F20" s="223">
        <f>+'Dist 1er sem'!F20-'Dist 1 sem coef 1'!F20</f>
        <v>-674.4300578366674</v>
      </c>
      <c r="G20" s="223">
        <f>+'Dist 1er sem'!G20-'Dist 1 sem coef 1'!G20</f>
        <v>-5828.5531769953668</v>
      </c>
      <c r="H20" s="223">
        <f>+'Dist 1er sem'!H20-'Dist 1 sem coef 1'!H20</f>
        <v>-1076.3620992643991</v>
      </c>
      <c r="I20" s="223">
        <f>+'Dist 1er sem'!I20-'Dist 1 sem coef 1'!I20</f>
        <v>-6995.0476969354786</v>
      </c>
      <c r="J20" s="224">
        <f t="shared" si="0"/>
        <v>-232428.68924031043</v>
      </c>
    </row>
    <row r="21" spans="1:10">
      <c r="A21" s="190" t="s">
        <v>15</v>
      </c>
      <c r="B21" s="223">
        <f>+'Dist 1er sem'!B21-'Dist 1 sem coef 1'!B21</f>
        <v>-16120.602743316442</v>
      </c>
      <c r="C21" s="223">
        <f>+'Dist 1er sem'!C21-'Dist 1 sem coef 1'!C21</f>
        <v>-2334.2791105923243</v>
      </c>
      <c r="D21" s="223">
        <f>+'Dist 1er sem'!D21-'Dist 1 sem coef 1'!D21</f>
        <v>-484.73191515056533</v>
      </c>
      <c r="E21" s="223">
        <f>+'Dist 1er sem'!E21-'Dist 1 sem coef 1'!E21</f>
        <v>-672.90874470066046</v>
      </c>
      <c r="F21" s="223">
        <f>+'Dist 1er sem'!F21-'Dist 1 sem coef 1'!F21</f>
        <v>-60.716152600314672</v>
      </c>
      <c r="G21" s="223">
        <f>+'Dist 1er sem'!G21-'Dist 1 sem coef 1'!G21</f>
        <v>-524.72056964464718</v>
      </c>
      <c r="H21" s="223">
        <f>+'Dist 1er sem'!H21-'Dist 1 sem coef 1'!H21</f>
        <v>-96.900434244817006</v>
      </c>
      <c r="I21" s="223">
        <f>+'Dist 1er sem'!I21-'Dist 1 sem coef 1'!I21</f>
        <v>-629.73525346117094</v>
      </c>
      <c r="J21" s="224">
        <f t="shared" si="0"/>
        <v>-20924.594923710942</v>
      </c>
    </row>
    <row r="22" spans="1:10">
      <c r="A22" s="190" t="s">
        <v>16</v>
      </c>
      <c r="B22" s="223">
        <f>+'Dist 1er sem'!B22-'Dist 1 sem coef 1'!B22</f>
        <v>-32676.859319986776</v>
      </c>
      <c r="C22" s="223">
        <f>+'Dist 1er sem'!C22-'Dist 1 sem coef 1'!C22</f>
        <v>-4731.6413241457194</v>
      </c>
      <c r="D22" s="223">
        <f>+'Dist 1er sem'!D22-'Dist 1 sem coef 1'!D22</f>
        <v>-982.56354625764652</v>
      </c>
      <c r="E22" s="223">
        <f>+'Dist 1er sem'!E22-'Dist 1 sem coef 1'!E22</f>
        <v>-1364.0026204907626</v>
      </c>
      <c r="F22" s="223">
        <f>+'Dist 1er sem'!F22-'Dist 1 sem coef 1'!F22</f>
        <v>-123.0731386761654</v>
      </c>
      <c r="G22" s="223">
        <f>+'Dist 1er sem'!G22-'Dist 1 sem coef 1'!G22</f>
        <v>-1063.6215350999555</v>
      </c>
      <c r="H22" s="223">
        <f>+'Dist 1er sem'!H22-'Dist 1 sem coef 1'!H22</f>
        <v>-196.41956993057101</v>
      </c>
      <c r="I22" s="223">
        <f>+'Dist 1er sem'!I22-'Dist 1 sem coef 1'!I22</f>
        <v>-1276.4888890225266</v>
      </c>
      <c r="J22" s="224">
        <f t="shared" si="0"/>
        <v>-42414.669943610119</v>
      </c>
    </row>
    <row r="23" spans="1:10">
      <c r="A23" s="190" t="s">
        <v>17</v>
      </c>
      <c r="B23" s="223">
        <f>+'Dist 1er sem'!B23-'Dist 1 sem coef 1'!B23</f>
        <v>-286580.43962996453</v>
      </c>
      <c r="C23" s="223">
        <f>+'Dist 1er sem'!C23-'Dist 1 sem coef 1'!C23</f>
        <v>-41497.129132467322</v>
      </c>
      <c r="D23" s="223">
        <f>+'Dist 1er sem'!D23-'Dist 1 sem coef 1'!D23</f>
        <v>-8617.2141053548548</v>
      </c>
      <c r="E23" s="223">
        <f>+'Dist 1er sem'!E23-'Dist 1 sem coef 1'!E23</f>
        <v>-11962.48595401505</v>
      </c>
      <c r="F23" s="223">
        <f>+'Dist 1er sem'!F23-'Dist 1 sem coef 1'!F23</f>
        <v>-1079.3679356719076</v>
      </c>
      <c r="G23" s="223">
        <f>+'Dist 1er sem'!G23-'Dist 1 sem coef 1'!G23</f>
        <v>-9328.1035409178585</v>
      </c>
      <c r="H23" s="223">
        <f>+'Dist 1er sem'!H23-'Dist 1 sem coef 1'!H23</f>
        <v>-1722.6259767321753</v>
      </c>
      <c r="I23" s="223">
        <f>+'Dist 1er sem'!I23-'Dist 1 sem coef 1'!I23</f>
        <v>-11194.978789626155</v>
      </c>
      <c r="J23" s="224">
        <f t="shared" si="0"/>
        <v>-371982.34506474988</v>
      </c>
    </row>
    <row r="24" spans="1:10">
      <c r="A24" s="190" t="s">
        <v>18</v>
      </c>
      <c r="B24" s="223">
        <f>+'Dist 1er sem'!B24-'Dist 1 sem coef 1'!B24</f>
        <v>-112472.20143159479</v>
      </c>
      <c r="C24" s="223">
        <f>+'Dist 1er sem'!C24-'Dist 1 sem coef 1'!C24</f>
        <v>-16286.085235426202</v>
      </c>
      <c r="D24" s="223">
        <f>+'Dist 1er sem'!D24-'Dist 1 sem coef 1'!D24</f>
        <v>-3381.9371688035317</v>
      </c>
      <c r="E24" s="223">
        <f>+'Dist 1er sem'!E24-'Dist 1 sem coef 1'!E24</f>
        <v>-4694.8323883507401</v>
      </c>
      <c r="F24" s="223">
        <f>+'Dist 1er sem'!F24-'Dist 1 sem coef 1'!F24</f>
        <v>-423.61191167283687</v>
      </c>
      <c r="G24" s="223">
        <f>+'Dist 1er sem'!G24-'Dist 1 sem coef 1'!G24</f>
        <v>-3660.9349255780689</v>
      </c>
      <c r="H24" s="223">
        <f>+'Dist 1er sem'!H24-'Dist 1 sem coef 1'!H24</f>
        <v>-676.0668526312802</v>
      </c>
      <c r="I24" s="223">
        <f>+'Dist 1er sem'!I24-'Dist 1 sem coef 1'!I24</f>
        <v>-4393.6142713543959</v>
      </c>
      <c r="J24" s="224">
        <f t="shared" si="0"/>
        <v>-145989.28418541185</v>
      </c>
    </row>
    <row r="25" spans="1:10">
      <c r="A25" s="190" t="s">
        <v>19</v>
      </c>
      <c r="B25" s="223">
        <f>+'Dist 1er sem'!B25-'Dist 1 sem coef 1'!B25</f>
        <v>-55080.859993791208</v>
      </c>
      <c r="C25" s="223">
        <f>+'Dist 1er sem'!C25-'Dist 1 sem coef 1'!C25</f>
        <v>-7975.7626265110448</v>
      </c>
      <c r="D25" s="223">
        <f>+'Dist 1er sem'!D25-'Dist 1 sem coef 1'!D25</f>
        <v>-1656.2315428312286</v>
      </c>
      <c r="E25" s="223">
        <f>+'Dist 1er sem'!E25-'Dist 1 sem coef 1'!E25</f>
        <v>-2299.1939535775455</v>
      </c>
      <c r="F25" s="223">
        <f>+'Dist 1er sem'!F25-'Dist 1 sem coef 1'!F25</f>
        <v>-207.45489197831921</v>
      </c>
      <c r="G25" s="223">
        <f>+'Dist 1er sem'!G25-'Dist 1 sem coef 1'!G25</f>
        <v>-1792.8647391577833</v>
      </c>
      <c r="H25" s="223">
        <f>+'Dist 1er sem'!H25-'Dist 1 sem coef 1'!H25</f>
        <v>-331.08931080072944</v>
      </c>
      <c r="I25" s="223">
        <f>+'Dist 1er sem'!I25-'Dist 1 sem coef 1'!I25</f>
        <v>-2151.6788101136917</v>
      </c>
      <c r="J25" s="224">
        <f t="shared" si="0"/>
        <v>-71495.135868761558</v>
      </c>
    </row>
    <row r="26" spans="1:10">
      <c r="A26" s="190" t="s">
        <v>20</v>
      </c>
      <c r="B26" s="223">
        <f>+'Dist 1er sem'!B26-'Dist 1 sem coef 1'!B26</f>
        <v>-324257.07077980042</v>
      </c>
      <c r="C26" s="223">
        <f>+'Dist 1er sem'!C26-'Dist 1 sem coef 1'!C26</f>
        <v>-46952.742328256369</v>
      </c>
      <c r="D26" s="223">
        <f>+'Dist 1er sem'!D26-'Dist 1 sem coef 1'!D26</f>
        <v>-9750.1162594780326</v>
      </c>
      <c r="E26" s="223">
        <f>+'Dist 1er sem'!E26-'Dist 1 sem coef 1'!E26</f>
        <v>-13535.189839549363</v>
      </c>
      <c r="F26" s="223">
        <f>+'Dist 1er sem'!F26-'Dist 1 sem coef 1'!F26</f>
        <v>-1221.2720643687062</v>
      </c>
      <c r="G26" s="223">
        <f>+'Dist 1er sem'!G26-'Dist 1 sem coef 1'!G26</f>
        <v>-10554.466082939878</v>
      </c>
      <c r="H26" s="223">
        <f>+'Dist 1er sem'!H26-'Dist 1 sem coef 1'!H26</f>
        <v>-1949.0990173144965</v>
      </c>
      <c r="I26" s="223">
        <f>+'Dist 1er sem'!I26-'Dist 1 sem coef 1'!I26</f>
        <v>-12666.77877406124</v>
      </c>
      <c r="J26" s="224">
        <f t="shared" si="0"/>
        <v>-420886.7351457685</v>
      </c>
    </row>
    <row r="27" spans="1:10">
      <c r="A27" s="190" t="s">
        <v>21</v>
      </c>
      <c r="B27" s="223">
        <f>+'Dist 1er sem'!B27-'Dist 1 sem coef 1'!B27</f>
        <v>-111166.19931409508</v>
      </c>
      <c r="C27" s="223">
        <f>+'Dist 1er sem'!C27-'Dist 1 sem coef 1'!C27</f>
        <v>-16096.974846081808</v>
      </c>
      <c r="D27" s="223">
        <f>+'Dist 1er sem'!D27-'Dist 1 sem coef 1'!D27</f>
        <v>-3342.666868698434</v>
      </c>
      <c r="E27" s="223">
        <f>+'Dist 1er sem'!E27-'Dist 1 sem coef 1'!E27</f>
        <v>-4640.3170417812653</v>
      </c>
      <c r="F27" s="223">
        <f>+'Dist 1er sem'!F27-'Dist 1 sem coef 1'!F27</f>
        <v>-418.69302463586791</v>
      </c>
      <c r="G27" s="223">
        <f>+'Dist 1er sem'!G27-'Dist 1 sem coef 1'!G27</f>
        <v>-3618.4249657483306</v>
      </c>
      <c r="H27" s="223">
        <f>+'Dist 1er sem'!H27-'Dist 1 sem coef 1'!H27</f>
        <v>-668.21651512681274</v>
      </c>
      <c r="I27" s="223">
        <f>+'Dist 1er sem'!I27-'Dist 1 sem coef 1'!I27</f>
        <v>-4342.596602376434</v>
      </c>
      <c r="J27" s="224">
        <f t="shared" si="0"/>
        <v>-144294.08917854403</v>
      </c>
    </row>
    <row r="28" spans="1:10">
      <c r="A28" s="190" t="s">
        <v>22</v>
      </c>
      <c r="B28" s="223">
        <f>+'Dist 1er sem'!B28-'Dist 1 sem coef 1'!B28</f>
        <v>-17831.105683402624</v>
      </c>
      <c r="C28" s="223">
        <f>+'Dist 1er sem'!C28-'Dist 1 sem coef 1'!C28</f>
        <v>-2581.9616163414903</v>
      </c>
      <c r="D28" s="223">
        <f>+'Dist 1er sem'!D28-'Dist 1 sem coef 1'!D28</f>
        <v>-536.16518841094512</v>
      </c>
      <c r="E28" s="223">
        <f>+'Dist 1er sem'!E28-'Dist 1 sem coef 1'!E28</f>
        <v>-744.30882846601889</v>
      </c>
      <c r="F28" s="223">
        <f>+'Dist 1er sem'!F28-'Dist 1 sem coef 1'!F28</f>
        <v>-67.158539351437867</v>
      </c>
      <c r="G28" s="223">
        <f>+'Dist 1er sem'!G28-'Dist 1 sem coef 1'!G28</f>
        <v>-580.39690454308584</v>
      </c>
      <c r="H28" s="223">
        <f>+'Dist 1er sem'!H28-'Dist 1 sem coef 1'!H28</f>
        <v>-107.1822134258291</v>
      </c>
      <c r="I28" s="223">
        <f>+'Dist 1er sem'!I28-'Dist 1 sem coef 1'!I28</f>
        <v>-696.55434327275725</v>
      </c>
      <c r="J28" s="224">
        <f t="shared" si="0"/>
        <v>-23144.83331721419</v>
      </c>
    </row>
    <row r="29" spans="1:10">
      <c r="A29" s="190" t="s">
        <v>23</v>
      </c>
      <c r="B29" s="223">
        <f>+'Dist 1er sem'!B29-'Dist 1 sem coef 1'!B29</f>
        <v>-81595.841901963577</v>
      </c>
      <c r="C29" s="223">
        <f>+'Dist 1er sem'!C29-'Dist 1 sem coef 1'!C29</f>
        <v>-11815.158049342688</v>
      </c>
      <c r="D29" s="223">
        <f>+'Dist 1er sem'!D29-'Dist 1 sem coef 1'!D29</f>
        <v>-2453.5130195340025</v>
      </c>
      <c r="E29" s="223">
        <f>+'Dist 1er sem'!E29-'Dist 1 sem coef 1'!E29</f>
        <v>-3405.9865143573843</v>
      </c>
      <c r="F29" s="223">
        <f>+'Dist 1er sem'!F29-'Dist 1 sem coef 1'!F29</f>
        <v>-307.32012117384147</v>
      </c>
      <c r="G29" s="223">
        <f>+'Dist 1er sem'!G29-'Dist 1 sem coef 1'!G29</f>
        <v>-2655.9190946620656</v>
      </c>
      <c r="H29" s="223">
        <f>+'Dist 1er sem'!H29-'Dist 1 sem coef 1'!H29</f>
        <v>-490.47003010794288</v>
      </c>
      <c r="I29" s="223">
        <f>+'Dist 1er sem'!I29-'Dist 1 sem coef 1'!I29</f>
        <v>-3187.4601092579542</v>
      </c>
      <c r="J29" s="224">
        <f t="shared" si="0"/>
        <v>-105911.66884039945</v>
      </c>
    </row>
    <row r="30" spans="1:10">
      <c r="A30" s="190" t="s">
        <v>24</v>
      </c>
      <c r="B30" s="223">
        <f>+'Dist 1er sem'!B30-'Dist 1 sem coef 1'!B30</f>
        <v>-78593.616616750136</v>
      </c>
      <c r="C30" s="223">
        <f>+'Dist 1er sem'!C30-'Dist 1 sem coef 1'!C30</f>
        <v>-11380.432879313361</v>
      </c>
      <c r="D30" s="223">
        <f>+'Dist 1er sem'!D30-'Dist 1 sem coef 1'!D30</f>
        <v>-2363.2388259826694</v>
      </c>
      <c r="E30" s="223">
        <f>+'Dist 1er sem'!E30-'Dist 1 sem coef 1'!E30</f>
        <v>-3280.6671525351703</v>
      </c>
      <c r="F30" s="223">
        <f>+'Dist 1er sem'!F30-'Dist 1 sem coef 1'!F30</f>
        <v>-296.01263029027905</v>
      </c>
      <c r="G30" s="223">
        <f>+'Dist 1er sem'!G30-'Dist 1 sem coef 1'!G30</f>
        <v>-2558.1976020515431</v>
      </c>
      <c r="H30" s="223">
        <f>+'Dist 1er sem'!H30-'Dist 1 sem coef 1'!H30</f>
        <v>-472.42374868346087</v>
      </c>
      <c r="I30" s="223">
        <f>+'Dist 1er sem'!I30-'Dist 1 sem coef 1'!I30</f>
        <v>-3070.1811755211093</v>
      </c>
      <c r="J30" s="224">
        <f t="shared" si="0"/>
        <v>-102014.77063112773</v>
      </c>
    </row>
    <row r="31" spans="1:10">
      <c r="A31" s="190" t="s">
        <v>25</v>
      </c>
      <c r="B31" s="223">
        <f>+'Dist 1er sem'!B31-'Dist 1 sem coef 1'!B31</f>
        <v>-1267249.3422927558</v>
      </c>
      <c r="C31" s="223">
        <f>+'Dist 1er sem'!C31-'Dist 1 sem coef 1'!C31</f>
        <v>-183498.9494330436</v>
      </c>
      <c r="D31" s="223">
        <f>+'Dist 1er sem'!D31-'Dist 1 sem coef 1'!D31</f>
        <v>-38105.03927451279</v>
      </c>
      <c r="E31" s="223">
        <f>+'Dist 1er sem'!E31-'Dist 1 sem coef 1'!E31</f>
        <v>-52897.722108967602</v>
      </c>
      <c r="F31" s="223">
        <f>+'Dist 1er sem'!F31-'Dist 1 sem coef 1'!F31</f>
        <v>-4772.929751724354</v>
      </c>
      <c r="G31" s="223">
        <f>+'Dist 1er sem'!G31-'Dist 1 sem coef 1'!G31</f>
        <v>-41248.569135878235</v>
      </c>
      <c r="H31" s="223">
        <f>+'Dist 1er sem'!H31-'Dist 1 sem coef 1'!H31</f>
        <v>-7617.3957959203981</v>
      </c>
      <c r="I31" s="223">
        <f>+'Dist 1er sem'!I31-'Dist 1 sem coef 1'!I31</f>
        <v>-49503.830500271171</v>
      </c>
      <c r="J31" s="224">
        <f t="shared" si="0"/>
        <v>-1644893.7782930741</v>
      </c>
    </row>
    <row r="32" spans="1:10">
      <c r="A32" s="190" t="s">
        <v>26</v>
      </c>
      <c r="B32" s="223">
        <f>+'Dist 1er sem'!B32-'Dist 1 sem coef 1'!B32</f>
        <v>-33158.642401374876</v>
      </c>
      <c r="C32" s="223">
        <f>+'Dist 1er sem'!C32-'Dist 1 sem coef 1'!C32</f>
        <v>-4801.4039875291055</v>
      </c>
      <c r="D32" s="223">
        <f>+'Dist 1er sem'!D32-'Dist 1 sem coef 1'!D32</f>
        <v>-997.05032689770451</v>
      </c>
      <c r="E32" s="223">
        <f>+'Dist 1er sem'!E32-'Dist 1 sem coef 1'!E32</f>
        <v>-1384.1132859340287</v>
      </c>
      <c r="F32" s="223">
        <f>+'Dist 1er sem'!F32-'Dist 1 sem coef 1'!F32</f>
        <v>-124.8877119620156</v>
      </c>
      <c r="G32" s="223">
        <f>+'Dist 1er sem'!G32-'Dist 1 sem coef 1'!G32</f>
        <v>-1079.303423484409</v>
      </c>
      <c r="H32" s="223">
        <f>+'Dist 1er sem'!H32-'Dist 1 sem coef 1'!H32</f>
        <v>-199.31555282536283</v>
      </c>
      <c r="I32" s="223">
        <f>+'Dist 1er sem'!I32-'Dist 1 sem coef 1'!I32</f>
        <v>-1295.3092641475669</v>
      </c>
      <c r="J32" s="224">
        <f t="shared" si="0"/>
        <v>-43040.025954155069</v>
      </c>
    </row>
    <row r="33" spans="1:10">
      <c r="A33" s="190" t="s">
        <v>27</v>
      </c>
      <c r="B33" s="223">
        <f>+'Dist 1er sem'!B33-'Dist 1 sem coef 1'!B33</f>
        <v>-57077.475365897641</v>
      </c>
      <c r="C33" s="223">
        <f>+'Dist 1er sem'!C33-'Dist 1 sem coef 1'!C33</f>
        <v>-8264.8744934310671</v>
      </c>
      <c r="D33" s="223">
        <f>+'Dist 1er sem'!D33-'Dist 1 sem coef 1'!D33</f>
        <v>-1716.2679576321971</v>
      </c>
      <c r="E33" s="223">
        <f>+'Dist 1er sem'!E33-'Dist 1 sem coef 1'!E33</f>
        <v>-2382.5369876493351</v>
      </c>
      <c r="F33" s="223">
        <f>+'Dist 1er sem'!F33-'Dist 1 sem coef 1'!F33</f>
        <v>-214.97488397533743</v>
      </c>
      <c r="G33" s="223">
        <f>+'Dist 1er sem'!G33-'Dist 1 sem coef 1'!G33</f>
        <v>-1857.8539440959576</v>
      </c>
      <c r="H33" s="223">
        <f>+'Dist 1er sem'!H33-'Dist 1 sem coef 1'!H33</f>
        <v>-343.09090277949144</v>
      </c>
      <c r="I33" s="223">
        <f>+'Dist 1er sem'!I33-'Dist 1 sem coef 1'!I33</f>
        <v>-2229.6745964647271</v>
      </c>
      <c r="J33" s="224">
        <f t="shared" si="0"/>
        <v>-74086.749131925753</v>
      </c>
    </row>
    <row r="34" spans="1:10">
      <c r="A34" s="190" t="s">
        <v>28</v>
      </c>
      <c r="B34" s="223">
        <f>+'Dist 1er sem'!B34-'Dist 1 sem coef 1'!B34</f>
        <v>-11632.031941416673</v>
      </c>
      <c r="C34" s="223">
        <f>+'Dist 1er sem'!C34-'Dist 1 sem coef 1'!C34</f>
        <v>-1684.3296498853015</v>
      </c>
      <c r="D34" s="223">
        <f>+'Dist 1er sem'!D34-'Dist 1 sem coef 1'!D34</f>
        <v>-349.76465891717817</v>
      </c>
      <c r="E34" s="223">
        <f>+'Dist 1er sem'!E34-'Dist 1 sem coef 1'!E34</f>
        <v>-485.54611366885365</v>
      </c>
      <c r="F34" s="223">
        <f>+'Dist 1er sem'!F34-'Dist 1 sem coef 1'!F34</f>
        <v>-43.810534733238455</v>
      </c>
      <c r="G34" s="223">
        <f>+'Dist 1er sem'!G34-'Dist 1 sem coef 1'!G34</f>
        <v>-378.61899605183862</v>
      </c>
      <c r="H34" s="223">
        <f>+'Dist 1er sem'!H34-'Dist 1 sem coef 1'!H34</f>
        <v>-69.919776835908124</v>
      </c>
      <c r="I34" s="223">
        <f>+'Dist 1er sem'!I34-'Dist 1 sem coef 1'!I34</f>
        <v>-454.39371588843642</v>
      </c>
      <c r="J34" s="224">
        <f t="shared" si="0"/>
        <v>-15098.415387397428</v>
      </c>
    </row>
    <row r="35" spans="1:10">
      <c r="A35" s="190" t="s">
        <v>29</v>
      </c>
      <c r="B35" s="223">
        <f>+'Dist 1er sem'!B35-'Dist 1 sem coef 1'!B35</f>
        <v>-45693.968357056379</v>
      </c>
      <c r="C35" s="223">
        <f>+'Dist 1er sem'!C35-'Dist 1 sem coef 1'!C35</f>
        <v>-6616.5314978791866</v>
      </c>
      <c r="D35" s="223">
        <f>+'Dist 1er sem'!D35-'Dist 1 sem coef 1'!D35</f>
        <v>-1373.9762182111735</v>
      </c>
      <c r="E35" s="223">
        <f>+'Dist 1er sem'!E35-'Dist 1 sem coef 1'!E35</f>
        <v>-1907.3648409511079</v>
      </c>
      <c r="F35" s="223">
        <f>+'Dist 1er sem'!F35-'Dist 1 sem coef 1'!F35</f>
        <v>-172.10038606228045</v>
      </c>
      <c r="G35" s="223">
        <f>+'Dist 1er sem'!G35-'Dist 1 sem coef 1'!G35</f>
        <v>-1487.3243567509926</v>
      </c>
      <c r="H35" s="223">
        <f>+'Dist 1er sem'!H35-'Dist 1 sem coef 1'!H35</f>
        <v>-274.66500146863837</v>
      </c>
      <c r="I35" s="223">
        <f>+'Dist 1er sem'!I35-'Dist 1 sem coef 1'!I35</f>
        <v>-1784.9892589724623</v>
      </c>
      <c r="J35" s="224">
        <f t="shared" si="0"/>
        <v>-59310.919917352221</v>
      </c>
    </row>
    <row r="36" spans="1:10">
      <c r="A36" s="190" t="s">
        <v>30</v>
      </c>
      <c r="B36" s="223">
        <f>+'Dist 1er sem'!B36-'Dist 1 sem coef 1'!B36</f>
        <v>-42016.914811639115</v>
      </c>
      <c r="C36" s="223">
        <f>+'Dist 1er sem'!C36-'Dist 1 sem coef 1'!C36</f>
        <v>-6084.0905329680536</v>
      </c>
      <c r="D36" s="223">
        <f>+'Dist 1er sem'!D36-'Dist 1 sem coef 1'!D36</f>
        <v>-1263.4105504403997</v>
      </c>
      <c r="E36" s="223">
        <f>+'Dist 1er sem'!E36-'Dist 1 sem coef 1'!E36</f>
        <v>-1753.8766913550789</v>
      </c>
      <c r="F36" s="223">
        <f>+'Dist 1er sem'!F36-'Dist 1 sem coef 1'!F36</f>
        <v>-158.25124234612667</v>
      </c>
      <c r="G36" s="223">
        <f>+'Dist 1er sem'!G36-'Dist 1 sem coef 1'!G36</f>
        <v>-1367.6374156553356</v>
      </c>
      <c r="H36" s="223">
        <f>+'Dist 1er sem'!H36-'Dist 1 sem coef 1'!H36</f>
        <v>-252.56234867296007</v>
      </c>
      <c r="I36" s="223">
        <f>+'Dist 1er sem'!I36-'Dist 1 sem coef 1'!I36</f>
        <v>-1641.3488329111715</v>
      </c>
      <c r="J36" s="224">
        <f t="shared" si="0"/>
        <v>-54538.092425988245</v>
      </c>
    </row>
    <row r="37" spans="1:10">
      <c r="A37" s="190" t="s">
        <v>31</v>
      </c>
      <c r="B37" s="223">
        <f>+'Dist 1er sem'!B37-'Dist 1 sem coef 1'!B37</f>
        <v>-399526.96611003578</v>
      </c>
      <c r="C37" s="223">
        <f>+'Dist 1er sem'!C37-'Dist 1 sem coef 1'!C37</f>
        <v>-57851.89710078761</v>
      </c>
      <c r="D37" s="223">
        <f>+'Dist 1er sem'!D37-'Dist 1 sem coef 1'!D37</f>
        <v>-12013.413798507769</v>
      </c>
      <c r="E37" s="223">
        <f>+'Dist 1er sem'!E37-'Dist 1 sem coef 1'!E37</f>
        <v>-16677.117693421897</v>
      </c>
      <c r="F37" s="223">
        <f>+'Dist 1er sem'!F37-'Dist 1 sem coef 1'!F37</f>
        <v>-1504.7663309201016</v>
      </c>
      <c r="G37" s="223">
        <f>+'Dist 1er sem'!G37-'Dist 1 sem coef 1'!G37</f>
        <v>-13004.477598245256</v>
      </c>
      <c r="H37" s="223">
        <f>+'Dist 1er sem'!H37-'Dist 1 sem coef 1'!H37</f>
        <v>-2401.5439822578337</v>
      </c>
      <c r="I37" s="223">
        <f>+'Dist 1er sem'!I37-'Dist 1 sem coef 1'!I37</f>
        <v>-15607.122095494531</v>
      </c>
      <c r="J37" s="224">
        <f t="shared" si="0"/>
        <v>-518587.30470967077</v>
      </c>
    </row>
    <row r="38" spans="1:10">
      <c r="A38" s="190" t="s">
        <v>32</v>
      </c>
      <c r="B38" s="223">
        <f>+'Dist 1er sem'!B38-'Dist 1 sem coef 1'!B38</f>
        <v>-77858.741613039747</v>
      </c>
      <c r="C38" s="223">
        <f>+'Dist 1er sem'!C38-'Dist 1 sem coef 1'!C38</f>
        <v>-11274.022256995551</v>
      </c>
      <c r="D38" s="223">
        <f>+'Dist 1er sem'!D38-'Dist 1 sem coef 1'!D38</f>
        <v>-2341.1418006035965</v>
      </c>
      <c r="E38" s="223">
        <f>+'Dist 1er sem'!E38-'Dist 1 sem coef 1'!E38</f>
        <v>-3249.9918841142207</v>
      </c>
      <c r="F38" s="223">
        <f>+'Dist 1er sem'!F38-'Dist 1 sem coef 1'!F38</f>
        <v>-293.24481921162806</v>
      </c>
      <c r="G38" s="223">
        <f>+'Dist 1er sem'!G38-'Dist 1 sem coef 1'!G38</f>
        <v>-2534.2776508745155</v>
      </c>
      <c r="H38" s="223">
        <f>+'Dist 1er sem'!H38-'Dist 1 sem coef 1'!H38</f>
        <v>-468.0064382324199</v>
      </c>
      <c r="I38" s="223">
        <f>+'Dist 1er sem'!I38-'Dist 1 sem coef 1'!I38</f>
        <v>-3041.4740171045996</v>
      </c>
      <c r="J38" s="224">
        <f t="shared" si="0"/>
        <v>-101060.90048017628</v>
      </c>
    </row>
    <row r="39" spans="1:10">
      <c r="A39" s="190" t="s">
        <v>33</v>
      </c>
      <c r="B39" s="223">
        <f>+'Dist 1er sem'!B39-'Dist 1 sem coef 1'!B39</f>
        <v>-285461.86137307435</v>
      </c>
      <c r="C39" s="223">
        <f>+'Dist 1er sem'!C39-'Dist 1 sem coef 1'!C39</f>
        <v>-41335.157902223058</v>
      </c>
      <c r="D39" s="223">
        <f>+'Dist 1er sem'!D39-'Dist 1 sem coef 1'!D39</f>
        <v>-8583.5794708849862</v>
      </c>
      <c r="E39" s="223">
        <f>+'Dist 1er sem'!E39-'Dist 1 sem coef 1'!E39</f>
        <v>-11915.794083823916</v>
      </c>
      <c r="F39" s="223">
        <f>+'Dist 1er sem'!F39-'Dist 1 sem coef 1'!F39</f>
        <v>-1075.154956218088</v>
      </c>
      <c r="G39" s="223">
        <f>+'Dist 1er sem'!G39-'Dist 1 sem coef 1'!G39</f>
        <v>-9291.6941690417007</v>
      </c>
      <c r="H39" s="223">
        <f>+'Dist 1er sem'!H39-'Dist 1 sem coef 1'!H39</f>
        <v>-1715.9022381378454</v>
      </c>
      <c r="I39" s="223">
        <f>+'Dist 1er sem'!I39-'Dist 1 sem coef 1'!I39</f>
        <v>-11151.282646663487</v>
      </c>
      <c r="J39" s="224">
        <f t="shared" si="0"/>
        <v>-370530.42684006743</v>
      </c>
    </row>
    <row r="40" spans="1:10">
      <c r="A40" s="190" t="s">
        <v>34</v>
      </c>
      <c r="B40" s="223">
        <f>+'Dist 1er sem'!B40-'Dist 1 sem coef 1'!B40</f>
        <v>-19546.665455654263</v>
      </c>
      <c r="C40" s="223">
        <f>+'Dist 1er sem'!C40-'Dist 1 sem coef 1'!C40</f>
        <v>-2830.3763563551474</v>
      </c>
      <c r="D40" s="223">
        <f>+'Dist 1er sem'!D40-'Dist 1 sem coef 1'!D40</f>
        <v>-587.75051603175234</v>
      </c>
      <c r="E40" s="223">
        <f>+'Dist 1er sem'!E40-'Dist 1 sem coef 1'!E40</f>
        <v>-815.91999531799229</v>
      </c>
      <c r="F40" s="223">
        <f>+'Dist 1er sem'!F40-'Dist 1 sem coef 1'!F40</f>
        <v>-73.619972002910799</v>
      </c>
      <c r="G40" s="223">
        <f>+'Dist 1er sem'!G40-'Dist 1 sem coef 1'!G40</f>
        <v>-636.23783774446929</v>
      </c>
      <c r="H40" s="223">
        <f>+'Dist 1er sem'!H40-'Dist 1 sem coef 1'!H40</f>
        <v>-117.49438906535215</v>
      </c>
      <c r="I40" s="223">
        <f>+'Dist 1er sem'!I40-'Dist 1 sem coef 1'!I40</f>
        <v>-763.57097318477463</v>
      </c>
      <c r="J40" s="224">
        <f t="shared" si="0"/>
        <v>-25371.635495356662</v>
      </c>
    </row>
    <row r="41" spans="1:10">
      <c r="A41" s="190" t="s">
        <v>35</v>
      </c>
      <c r="B41" s="223">
        <f>+'Dist 1er sem'!B41-'Dist 1 sem coef 1'!B41</f>
        <v>2923.4566221274436</v>
      </c>
      <c r="C41" s="223">
        <f>+'Dist 1er sem'!C41-'Dist 1 sem coef 1'!C41</f>
        <v>423.31939024943858</v>
      </c>
      <c r="D41" s="223">
        <f>+'Dist 1er sem'!D41-'Dist 1 sem coef 1'!D41</f>
        <v>87.905691236665007</v>
      </c>
      <c r="E41" s="223">
        <f>+'Dist 1er sem'!E41-'Dist 1 sem coef 1'!E41</f>
        <v>122.03138785233023</v>
      </c>
      <c r="F41" s="223">
        <f>+'Dist 1er sem'!F41-'Dist 1 sem coef 1'!F41</f>
        <v>11.01081896352116</v>
      </c>
      <c r="G41" s="223">
        <f>+'Dist 1er sem'!G41-'Dist 1 sem coef 1'!G41</f>
        <v>95.157597300771158</v>
      </c>
      <c r="H41" s="223">
        <f>+'Dist 1er sem'!H41-'Dist 1 sem coef 1'!H41</f>
        <v>17.572805476986105</v>
      </c>
      <c r="I41" s="223">
        <f>+'Dist 1er sem'!I41-'Dist 1 sem coef 1'!I41</f>
        <v>114.20191454573069</v>
      </c>
      <c r="J41" s="224">
        <f t="shared" si="0"/>
        <v>3794.6562277528865</v>
      </c>
    </row>
    <row r="42" spans="1:10">
      <c r="A42" s="190" t="s">
        <v>36</v>
      </c>
      <c r="B42" s="223">
        <f>+'Dist 1er sem'!B42-'Dist 1 sem coef 1'!B42</f>
        <v>-61471.436542453244</v>
      </c>
      <c r="C42" s="223">
        <f>+'Dist 1er sem'!C42-'Dist 1 sem coef 1'!C42</f>
        <v>-8901.1243874644861</v>
      </c>
      <c r="D42" s="223">
        <f>+'Dist 1er sem'!D42-'Dist 1 sem coef 1'!D42</f>
        <v>-1848.3903881717706</v>
      </c>
      <c r="E42" s="223">
        <f>+'Dist 1er sem'!E42-'Dist 1 sem coef 1'!E42</f>
        <v>-2565.9504087638343</v>
      </c>
      <c r="F42" s="223">
        <f>+'Dist 1er sem'!F42-'Dist 1 sem coef 1'!F42</f>
        <v>-231.5241669992829</v>
      </c>
      <c r="G42" s="223">
        <f>+'Dist 1er sem'!G42-'Dist 1 sem coef 1'!G42</f>
        <v>-2000.8760040195193</v>
      </c>
      <c r="H42" s="223">
        <f>+'Dist 1er sem'!H42-'Dist 1 sem coef 1'!H42</f>
        <v>-369.50286471680738</v>
      </c>
      <c r="I42" s="223">
        <f>+'Dist 1er sem'!I42-'Dist 1 sem coef 1'!I42</f>
        <v>-2401.3203034693142</v>
      </c>
      <c r="J42" s="224">
        <f t="shared" si="0"/>
        <v>-79790.125066058259</v>
      </c>
    </row>
    <row r="43" spans="1:10">
      <c r="A43" s="190" t="s">
        <v>37</v>
      </c>
      <c r="B43" s="223">
        <f>+'Dist 1er sem'!B43-'Dist 1 sem coef 1'!B43</f>
        <v>-86585.182960649952</v>
      </c>
      <c r="C43" s="223">
        <f>+'Dist 1er sem'!C43-'Dist 1 sem coef 1'!C43</f>
        <v>-12537.619535080157</v>
      </c>
      <c r="D43" s="223">
        <f>+'Dist 1er sem'!D43-'Dist 1 sem coef 1'!D43</f>
        <v>-2603.5379835645435</v>
      </c>
      <c r="E43" s="223">
        <f>+'Dist 1er sem'!E43-'Dist 1 sem coef 1'!E43</f>
        <v>-3614.2523765054066</v>
      </c>
      <c r="F43" s="223">
        <f>+'Dist 1er sem'!F43-'Dist 1 sem coef 1'!F43</f>
        <v>-326.11182505227043</v>
      </c>
      <c r="G43" s="223">
        <f>+'Dist 1er sem'!G43-'Dist 1 sem coef 1'!G43</f>
        <v>-2818.3205832509557</v>
      </c>
      <c r="H43" s="223">
        <f>+'Dist 1er sem'!H43-'Dist 1 sem coef 1'!H43</f>
        <v>-520.460801723646</v>
      </c>
      <c r="I43" s="223">
        <f>+'Dist 1er sem'!I43-'Dist 1 sem coef 1'!I43</f>
        <v>-3382.3637370085344</v>
      </c>
      <c r="J43" s="224">
        <f t="shared" si="0"/>
        <v>-112387.84980283547</v>
      </c>
    </row>
    <row r="44" spans="1:10">
      <c r="A44" s="190" t="s">
        <v>38</v>
      </c>
      <c r="B44" s="223">
        <f>+'Dist 1er sem'!B44-'Dist 1 sem coef 1'!B44</f>
        <v>-203136.83492027968</v>
      </c>
      <c r="C44" s="223">
        <f>+'Dist 1er sem'!C44-'Dist 1 sem coef 1'!C44</f>
        <v>-29414.413213728927</v>
      </c>
      <c r="D44" s="223">
        <f>+'Dist 1er sem'!D44-'Dist 1 sem coef 1'!D44</f>
        <v>-6108.1405327327084</v>
      </c>
      <c r="E44" s="223">
        <f>+'Dist 1er sem'!E44-'Dist 1 sem coef 1'!E44</f>
        <v>-8479.3698328279424</v>
      </c>
      <c r="F44" s="223">
        <f>+'Dist 1er sem'!F44-'Dist 1 sem coef 1'!F44</f>
        <v>-765.08845631591976</v>
      </c>
      <c r="G44" s="223">
        <f>+'Dist 1er sem'!G44-'Dist 1 sem coef 1'!G44</f>
        <v>-6612.0403456613421</v>
      </c>
      <c r="H44" s="223">
        <f>+'Dist 1er sem'!H44-'Dist 1 sem coef 1'!H44</f>
        <v>-1221.0491027114913</v>
      </c>
      <c r="I44" s="223">
        <f>+'Dist 1er sem'!I44-'Dist 1 sem coef 1'!I44</f>
        <v>-7935.3376708494034</v>
      </c>
      <c r="J44" s="224">
        <f t="shared" si="0"/>
        <v>-263672.27407510742</v>
      </c>
    </row>
    <row r="45" spans="1:10">
      <c r="A45" s="190" t="s">
        <v>39</v>
      </c>
      <c r="B45" s="223">
        <f>+'Dist 1er sem'!B45-'Dist 1 sem coef 1'!B45</f>
        <v>2099807.653943181</v>
      </c>
      <c r="C45" s="223">
        <f>+'Dist 1er sem'!C45-'Dist 1 sem coef 1'!C45</f>
        <v>304054.21068352461</v>
      </c>
      <c r="D45" s="223">
        <f>+'Dist 1er sem'!D45-'Dist 1 sem coef 1'!D45</f>
        <v>63139.313197564334</v>
      </c>
      <c r="E45" s="223">
        <f>+'Dist 1er sem'!E45-'Dist 1 sem coef 1'!E45</f>
        <v>87650.502591393888</v>
      </c>
      <c r="F45" s="223">
        <f>+'Dist 1er sem'!F45-'Dist 1 sem coef 1'!F45</f>
        <v>7908.6522990586236</v>
      </c>
      <c r="G45" s="223">
        <f>+'Dist 1er sem'!G45-'Dist 1 sem coef 1'!G45</f>
        <v>68348.081387847662</v>
      </c>
      <c r="H45" s="223">
        <f>+'Dist 1er sem'!H45-'Dist 1 sem coef 1'!H45</f>
        <v>12621.877527629957</v>
      </c>
      <c r="I45" s="223">
        <f>+'Dist 1er sem'!I45-'Dist 1 sem coef 1'!I45</f>
        <v>82026.889827307314</v>
      </c>
      <c r="J45" s="224">
        <f t="shared" si="0"/>
        <v>2725557.1814575074</v>
      </c>
    </row>
    <row r="46" spans="1:10">
      <c r="A46" s="190" t="s">
        <v>40</v>
      </c>
      <c r="B46" s="223">
        <f>+'Dist 1er sem'!B46-'Dist 1 sem coef 1'!B46</f>
        <v>-21711.779230332002</v>
      </c>
      <c r="C46" s="223">
        <f>+'Dist 1er sem'!C46-'Dist 1 sem coef 1'!C46</f>
        <v>-3143.8869574631099</v>
      </c>
      <c r="D46" s="223">
        <f>+'Dist 1er sem'!D46-'Dist 1 sem coef 1'!D46</f>
        <v>-652.8535250959394</v>
      </c>
      <c r="E46" s="223">
        <f>+'Dist 1er sem'!E46-'Dist 1 sem coef 1'!E46</f>
        <v>-906.29651631103479</v>
      </c>
      <c r="F46" s="223">
        <f>+'Dist 1er sem'!F46-'Dist 1 sem coef 1'!F46</f>
        <v>-81.774591307999799</v>
      </c>
      <c r="G46" s="223">
        <f>+'Dist 1er sem'!G46-'Dist 1 sem coef 1'!G46</f>
        <v>-706.71161290557939</v>
      </c>
      <c r="H46" s="223">
        <f>+'Dist 1er sem'!H46-'Dist 1 sem coef 1'!H46</f>
        <v>-130.50881962334097</v>
      </c>
      <c r="I46" s="223">
        <f>+'Dist 1er sem'!I46-'Dist 1 sem coef 1'!I46</f>
        <v>-848.14898142541642</v>
      </c>
      <c r="J46" s="224">
        <f t="shared" si="0"/>
        <v>-28181.960234464423</v>
      </c>
    </row>
    <row r="47" spans="1:10">
      <c r="A47" s="190" t="s">
        <v>41</v>
      </c>
      <c r="B47" s="223">
        <f>+'Dist 1er sem'!B47-'Dist 1 sem coef 1'!B47</f>
        <v>-6296.6209548581392</v>
      </c>
      <c r="C47" s="223">
        <f>+'Dist 1er sem'!C47-'Dist 1 sem coef 1'!C47</f>
        <v>-911.75689868908376</v>
      </c>
      <c r="D47" s="223">
        <f>+'Dist 1er sem'!D47-'Dist 1 sem coef 1'!D47</f>
        <v>-189.33368578238878</v>
      </c>
      <c r="E47" s="223">
        <f>+'Dist 1er sem'!E47-'Dist 1 sem coef 1'!E47</f>
        <v>-262.83454595680814</v>
      </c>
      <c r="F47" s="223">
        <f>+'Dist 1er sem'!F47-'Dist 1 sem coef 1'!F47</f>
        <v>-23.715403502515983</v>
      </c>
      <c r="G47" s="223">
        <f>+'Dist 1er sem'!G47-'Dist 1 sem coef 1'!G47</f>
        <v>-204.95303971430985</v>
      </c>
      <c r="H47" s="223">
        <f>+'Dist 1er sem'!H47-'Dist 1 sem coef 1'!H47</f>
        <v>-37.848789807438152</v>
      </c>
      <c r="I47" s="223">
        <f>+'Dist 1er sem'!I47-'Dist 1 sem coef 1'!I47</f>
        <v>-245.97121187672019</v>
      </c>
      <c r="J47" s="224">
        <f t="shared" si="0"/>
        <v>-8173.034530187404</v>
      </c>
    </row>
    <row r="48" spans="1:10">
      <c r="A48" s="190" t="s">
        <v>42</v>
      </c>
      <c r="B48" s="223">
        <f>+'Dist 1er sem'!B48-'Dist 1 sem coef 1'!B48</f>
        <v>-46050.023813595995</v>
      </c>
      <c r="C48" s="223">
        <f>+'Dist 1er sem'!C48-'Dist 1 sem coef 1'!C48</f>
        <v>-6668.0886776968837</v>
      </c>
      <c r="D48" s="223">
        <f>+'Dist 1er sem'!D48-'Dist 1 sem coef 1'!D48</f>
        <v>-1384.6824831130216</v>
      </c>
      <c r="E48" s="223">
        <f>+'Dist 1er sem'!E48-'Dist 1 sem coef 1'!E48</f>
        <v>-1922.2273640290368</v>
      </c>
      <c r="F48" s="223">
        <f>+'Dist 1er sem'!F48-'Dist 1 sem coef 1'!F48</f>
        <v>-173.44142260895751</v>
      </c>
      <c r="G48" s="223">
        <f>+'Dist 1er sem'!G48-'Dist 1 sem coef 1'!G48</f>
        <v>-1498.9138503298163</v>
      </c>
      <c r="H48" s="223">
        <f>+'Dist 1er sem'!H48-'Dist 1 sem coef 1'!H48</f>
        <v>-276.80523957902915</v>
      </c>
      <c r="I48" s="223">
        <f>+'Dist 1er sem'!I48-'Dist 1 sem coef 1'!I48</f>
        <v>-1798.898209942854</v>
      </c>
      <c r="J48" s="224">
        <f t="shared" si="0"/>
        <v>-59773.081060895594</v>
      </c>
    </row>
    <row r="49" spans="1:10">
      <c r="A49" s="190" t="s">
        <v>43</v>
      </c>
      <c r="B49" s="223">
        <f>+'Dist 1er sem'!B49-'Dist 1 sem coef 1'!B49</f>
        <v>-49810.909106567502</v>
      </c>
      <c r="C49" s="223">
        <f>+'Dist 1er sem'!C49-'Dist 1 sem coef 1'!C49</f>
        <v>-7212.6685619917698</v>
      </c>
      <c r="D49" s="223">
        <f>+'Dist 1er sem'!D49-'Dist 1 sem coef 1'!D49</f>
        <v>-1497.7688955599442</v>
      </c>
      <c r="E49" s="223">
        <f>+'Dist 1er sem'!E49-'Dist 1 sem coef 1'!E49</f>
        <v>-2079.2148316661478</v>
      </c>
      <c r="F49" s="223">
        <f>+'Dist 1er sem'!F49-'Dist 1 sem coef 1'!F49</f>
        <v>-187.60630769398267</v>
      </c>
      <c r="G49" s="223">
        <f>+'Dist 1er sem'!G49-'Dist 1 sem coef 1'!G49</f>
        <v>-1621.329488548683</v>
      </c>
      <c r="H49" s="223">
        <f>+'Dist 1er sem'!H49-'Dist 1 sem coef 1'!H49</f>
        <v>-299.41180236311629</v>
      </c>
      <c r="I49" s="223">
        <f>+'Dist 1er sem'!I49-'Dist 1 sem coef 1'!I49</f>
        <v>-1945.8134395356174</v>
      </c>
      <c r="J49" s="224">
        <f t="shared" si="0"/>
        <v>-64654.722433926763</v>
      </c>
    </row>
    <row r="50" spans="1:10">
      <c r="A50" s="190" t="s">
        <v>44</v>
      </c>
      <c r="B50" s="223">
        <f>+'Dist 1er sem'!B50-'Dist 1 sem coef 1'!B50</f>
        <v>-148468.41184678301</v>
      </c>
      <c r="C50" s="223">
        <f>+'Dist 1er sem'!C50-'Dist 1 sem coef 1'!C50</f>
        <v>-21498.371858363971</v>
      </c>
      <c r="D50" s="223">
        <f>+'Dist 1er sem'!D50-'Dist 1 sem coef 1'!D50</f>
        <v>-4464.310594322742</v>
      </c>
      <c r="E50" s="223">
        <f>+'Dist 1er sem'!E50-'Dist 1 sem coef 1'!E50</f>
        <v>-6197.3918862896971</v>
      </c>
      <c r="F50" s="223">
        <f>+'Dist 1er sem'!F50-'Dist 1 sem coef 1'!F50</f>
        <v>-559.18695433110406</v>
      </c>
      <c r="G50" s="223">
        <f>+'Dist 1er sem'!G50-'Dist 1 sem coef 1'!G50</f>
        <v>-4832.6002990666311</v>
      </c>
      <c r="H50" s="223">
        <f>+'Dist 1er sem'!H50-'Dist 1 sem coef 1'!H50</f>
        <v>-892.43893722011126</v>
      </c>
      <c r="I50" s="223">
        <f>+'Dist 1er sem'!I50-'Dist 1 sem coef 1'!I50</f>
        <v>-5799.7702973037958</v>
      </c>
      <c r="J50" s="224">
        <f t="shared" si="0"/>
        <v>-192712.48267368108</v>
      </c>
    </row>
    <row r="51" spans="1:10">
      <c r="A51" s="190" t="s">
        <v>45</v>
      </c>
      <c r="B51" s="223">
        <f>+'Dist 1er sem'!B51-'Dist 1 sem coef 1'!B51</f>
        <v>-127764.8520853892</v>
      </c>
      <c r="C51" s="223">
        <f>+'Dist 1er sem'!C51-'Dist 1 sem coef 1'!C51</f>
        <v>-18500.476070257369</v>
      </c>
      <c r="D51" s="223">
        <f>+'Dist 1er sem'!D51-'Dist 1 sem coef 1'!D51</f>
        <v>-3841.7733149562264</v>
      </c>
      <c r="E51" s="223">
        <f>+'Dist 1er sem'!E51-'Dist 1 sem coef 1'!E51</f>
        <v>-5333.1806262204191</v>
      </c>
      <c r="F51" s="223">
        <f>+'Dist 1er sem'!F51-'Dist 1 sem coef 1'!F51</f>
        <v>-481.20969046211394</v>
      </c>
      <c r="G51" s="223">
        <f>+'Dist 1er sem'!G51-'Dist 1 sem coef 1'!G51</f>
        <v>-4158.7059140582569</v>
      </c>
      <c r="H51" s="223">
        <f>+'Dist 1er sem'!H51-'Dist 1 sem coef 1'!H51</f>
        <v>-767.99049300022307</v>
      </c>
      <c r="I51" s="223">
        <f>+'Dist 1er sem'!I51-'Dist 1 sem coef 1'!I51</f>
        <v>-4991.0064029578352</v>
      </c>
      <c r="J51" s="224">
        <f t="shared" si="0"/>
        <v>-165839.19459730163</v>
      </c>
    </row>
    <row r="52" spans="1:10">
      <c r="A52" s="190" t="s">
        <v>46</v>
      </c>
      <c r="B52" s="223">
        <f>+'Dist 1er sem'!B52-'Dist 1 sem coef 1'!B52</f>
        <v>-1156086.6798515022</v>
      </c>
      <c r="C52" s="223">
        <f>+'Dist 1er sem'!C52-'Dist 1 sem coef 1'!C52</f>
        <v>-167402.48672961444</v>
      </c>
      <c r="D52" s="223">
        <f>+'Dist 1er sem'!D52-'Dist 1 sem coef 1'!D52</f>
        <v>-34762.47875637468</v>
      </c>
      <c r="E52" s="223">
        <f>+'Dist 1er sem'!E52-'Dist 1 sem coef 1'!E52</f>
        <v>-48257.552703889087</v>
      </c>
      <c r="F52" s="223">
        <f>+'Dist 1er sem'!F52-'Dist 1 sem coef 1'!F52</f>
        <v>-4354.2500482597388</v>
      </c>
      <c r="G52" s="223">
        <f>+'Dist 1er sem'!G52-'Dist 1 sem coef 1'!G52</f>
        <v>-37630.259294231422</v>
      </c>
      <c r="H52" s="223">
        <f>+'Dist 1er sem'!H52-'Dist 1 sem coef 1'!H52</f>
        <v>-6949.2005408245604</v>
      </c>
      <c r="I52" s="223">
        <f>+'Dist 1er sem'!I52-'Dist 1 sem coef 1'!I52</f>
        <v>-45161.372062301263</v>
      </c>
      <c r="J52" s="224">
        <f t="shared" si="0"/>
        <v>-1500604.2799869974</v>
      </c>
    </row>
    <row r="53" spans="1:10">
      <c r="A53" s="190" t="s">
        <v>47</v>
      </c>
      <c r="B53" s="223">
        <f>+'Dist 1er sem'!B53-'Dist 1 sem coef 1'!B53</f>
        <v>4450172.6070865989</v>
      </c>
      <c r="C53" s="223">
        <f>+'Dist 1er sem'!C53-'Dist 1 sem coef 1'!C53</f>
        <v>644389.36438401788</v>
      </c>
      <c r="D53" s="223">
        <f>+'Dist 1er sem'!D53-'Dist 1 sem coef 1'!D53</f>
        <v>133812.65731382929</v>
      </c>
      <c r="E53" s="223">
        <f>+'Dist 1er sem'!E53-'Dist 1 sem coef 1'!E53</f>
        <v>185759.807521943</v>
      </c>
      <c r="F53" s="223">
        <f>+'Dist 1er sem'!F53-'Dist 1 sem coef 1'!F53</f>
        <v>16760.996062735096</v>
      </c>
      <c r="G53" s="223">
        <f>+'Dist 1er sem'!G53-'Dist 1 sem coef 1'!G53</f>
        <v>144851.72437958606</v>
      </c>
      <c r="H53" s="223">
        <f>+'Dist 1er sem'!H53-'Dist 1 sem coef 1'!H53</f>
        <v>26749.847071934957</v>
      </c>
      <c r="I53" s="223">
        <f>+'Dist 1er sem'!I53-'Dist 1 sem coef 1'!I53</f>
        <v>173841.55042415485</v>
      </c>
      <c r="J53" s="224">
        <f t="shared" si="0"/>
        <v>5776338.5542447995</v>
      </c>
    </row>
    <row r="54" spans="1:10">
      <c r="A54" s="190" t="s">
        <v>48</v>
      </c>
      <c r="B54" s="223">
        <f>+'Dist 1er sem'!B54-'Dist 1 sem coef 1'!B54</f>
        <v>-36857.515029475093</v>
      </c>
      <c r="C54" s="223">
        <f>+'Dist 1er sem'!C54-'Dist 1 sem coef 1'!C54</f>
        <v>-5337.0043770447373</v>
      </c>
      <c r="D54" s="223">
        <f>+'Dist 1er sem'!D54-'Dist 1 sem coef 1'!D54</f>
        <v>-1108.272074711509</v>
      </c>
      <c r="E54" s="223">
        <f>+'Dist 1er sem'!E54-'Dist 1 sem coef 1'!E54</f>
        <v>-1538.5122111244127</v>
      </c>
      <c r="F54" s="223">
        <f>+'Dist 1er sem'!F54-'Dist 1 sem coef 1'!F54</f>
        <v>-138.81903441395843</v>
      </c>
      <c r="G54" s="223">
        <f>+'Dist 1er sem'!G54-'Dist 1 sem coef 1'!G54</f>
        <v>-1199.7005688864738</v>
      </c>
      <c r="H54" s="223">
        <f>+'Dist 1er sem'!H54-'Dist 1 sem coef 1'!H54</f>
        <v>-221.54935943835881</v>
      </c>
      <c r="I54" s="223">
        <f>+'Dist 1er sem'!I54-'Dist 1 sem coef 1'!I54</f>
        <v>-1439.8020308921114</v>
      </c>
      <c r="J54" s="224">
        <f t="shared" si="0"/>
        <v>-47841.174685986654</v>
      </c>
    </row>
    <row r="55" spans="1:10">
      <c r="A55" s="190" t="s">
        <v>49</v>
      </c>
      <c r="B55" s="223">
        <f>+'Dist 1er sem'!B55-'Dist 1 sem coef 1'!B55</f>
        <v>25010.712327137589</v>
      </c>
      <c r="C55" s="223">
        <f>+'Dist 1er sem'!C55-'Dist 1 sem coef 1'!C55</f>
        <v>3621.5757100321352</v>
      </c>
      <c r="D55" s="223">
        <f>+'Dist 1er sem'!D55-'Dist 1 sem coef 1'!D55</f>
        <v>752.04945364966989</v>
      </c>
      <c r="E55" s="223">
        <f>+'Dist 1er sem'!E55-'Dist 1 sem coef 1'!E55</f>
        <v>1044.0011024465784</v>
      </c>
      <c r="F55" s="223">
        <f>+'Dist 1er sem'!F55-'Dist 1 sem coef 1'!F55</f>
        <v>94.19959355595347</v>
      </c>
      <c r="G55" s="223">
        <f>+'Dist 1er sem'!G55-'Dist 1 sem coef 1'!G55</f>
        <v>814.09085184207652</v>
      </c>
      <c r="H55" s="223">
        <f>+'Dist 1er sem'!H55-'Dist 1 sem coef 1'!H55</f>
        <v>150.3386023377534</v>
      </c>
      <c r="I55" s="223">
        <f>+'Dist 1er sem'!I55-'Dist 1 sem coef 1'!I55</f>
        <v>977.01850962778553</v>
      </c>
      <c r="J55" s="224">
        <f t="shared" si="0"/>
        <v>32463.986150629542</v>
      </c>
    </row>
    <row r="56" spans="1:10">
      <c r="A56" s="190" t="s">
        <v>50</v>
      </c>
      <c r="B56" s="223">
        <f>+'Dist 1er sem'!B56-'Dist 1 sem coef 1'!B56</f>
        <v>-38551.28221512679</v>
      </c>
      <c r="C56" s="223">
        <f>+'Dist 1er sem'!C56-'Dist 1 sem coef 1'!C56</f>
        <v>-5582.2635291123297</v>
      </c>
      <c r="D56" s="223">
        <f>+'Dist 1er sem'!D56-'Dist 1 sem coef 1'!D56</f>
        <v>-1159.2021190024388</v>
      </c>
      <c r="E56" s="223">
        <f>+'Dist 1er sem'!E56-'Dist 1 sem coef 1'!E56</f>
        <v>-1609.2137083855923</v>
      </c>
      <c r="F56" s="223">
        <f>+'Dist 1er sem'!F56-'Dist 1 sem coef 1'!F56</f>
        <v>-145.19838812368107</v>
      </c>
      <c r="G56" s="223">
        <f>+'Dist 1er sem'!G56-'Dist 1 sem coef 1'!G56</f>
        <v>-1254.832160220627</v>
      </c>
      <c r="H56" s="223">
        <f>+'Dist 1er sem'!H56-'Dist 1 sem coef 1'!H56</f>
        <v>-231.73054052767839</v>
      </c>
      <c r="I56" s="223">
        <f>+'Dist 1er sem'!I56-'Dist 1 sem coef 1'!I56</f>
        <v>-1505.9673551638261</v>
      </c>
      <c r="J56" s="224">
        <f t="shared" si="0"/>
        <v>-50039.690015662964</v>
      </c>
    </row>
    <row r="57" spans="1:10" ht="13.5" thickBot="1">
      <c r="A57" s="190" t="s">
        <v>51</v>
      </c>
      <c r="B57" s="223">
        <f>+'Dist 1er sem'!B57-'Dist 1 sem coef 1'!B57</f>
        <v>-53112.528673516586</v>
      </c>
      <c r="C57" s="223">
        <f>+'Dist 1er sem'!C57-'Dist 1 sem coef 1'!C57</f>
        <v>-7690.7463180760387</v>
      </c>
      <c r="D57" s="223">
        <f>+'Dist 1er sem'!D57-'Dist 1 sem coef 1'!D57</f>
        <v>-1597.0456038362463</v>
      </c>
      <c r="E57" s="223">
        <f>+'Dist 1er sem'!E57-'Dist 1 sem coef 1'!E57</f>
        <v>-2217.0315568625228</v>
      </c>
      <c r="F57" s="223">
        <f>+'Dist 1er sem'!F57-'Dist 1 sem coef 1'!F57</f>
        <v>-200.04142818215041</v>
      </c>
      <c r="G57" s="223">
        <f>+'Dist 1er sem'!G57-'Dist 1 sem coef 1'!G57</f>
        <v>-1728.7961712468532</v>
      </c>
      <c r="H57" s="223">
        <f>+'Dist 1er sem'!H57-'Dist 1 sem coef 1'!H57</f>
        <v>-319.25773336473503</v>
      </c>
      <c r="I57" s="223">
        <f>+'Dist 1er sem'!I57-'Dist 1 sem coef 1'!I57</f>
        <v>-2074.7879120122525</v>
      </c>
      <c r="J57" s="224">
        <f t="shared" si="0"/>
        <v>-68940.235397097393</v>
      </c>
    </row>
    <row r="58" spans="1:10" ht="14.25" thickTop="1" thickBot="1">
      <c r="A58" s="193" t="s">
        <v>52</v>
      </c>
      <c r="B58" s="219">
        <f t="shared" ref="B58:J58" si="1">SUM(B7:B57)</f>
        <v>9.8254531621932983E-7</v>
      </c>
      <c r="C58" s="219">
        <f t="shared" si="1"/>
        <v>1.5879049897193909E-7</v>
      </c>
      <c r="D58" s="219">
        <f t="shared" si="1"/>
        <v>3.4779077395796776E-8</v>
      </c>
      <c r="E58" s="219">
        <f t="shared" si="1"/>
        <v>4.871981218457222E-8</v>
      </c>
      <c r="F58" s="219">
        <f t="shared" si="1"/>
        <v>4.1654857341200113E-9</v>
      </c>
      <c r="G58" s="219">
        <f t="shared" si="1"/>
        <v>3.591412678360939E-8</v>
      </c>
      <c r="H58" s="219">
        <f t="shared" si="1"/>
        <v>6.9048837758600712E-9</v>
      </c>
      <c r="I58" s="219">
        <f t="shared" si="1"/>
        <v>4.1123712435364723E-8</v>
      </c>
      <c r="J58" s="220">
        <f t="shared" si="1"/>
        <v>1.310836523771286E-6</v>
      </c>
    </row>
    <row r="59" spans="1:10" ht="13.5" thickTop="1"/>
    <row r="60" spans="1:10" ht="16.5" customHeight="1"/>
    <row r="63" spans="1:10" ht="16.5" customHeight="1"/>
  </sheetData>
  <mergeCells count="4">
    <mergeCell ref="A3:J3"/>
    <mergeCell ref="A4:J4"/>
    <mergeCell ref="A1:J1"/>
    <mergeCell ref="A2:J2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PART 1er sem 2018</vt:lpstr>
      <vt:lpstr>Dist 1er sem</vt:lpstr>
      <vt:lpstr>COEF Art 14 F I</vt:lpstr>
      <vt:lpstr>COEF Art 14 F II</vt:lpstr>
      <vt:lpstr>ESTIMACIÓN 2018</vt:lpstr>
      <vt:lpstr>CALCULO GARANTIA</vt:lpstr>
      <vt:lpstr>Dist 1 sem coef 1</vt:lpstr>
      <vt:lpstr>ajuste 1er sem</vt:lpstr>
      <vt:lpstr>'CALCULO GARANTIA'!Área_de_impresión</vt:lpstr>
      <vt:lpstr>'COEF Art 14 F I'!Área_de_impresión</vt:lpstr>
      <vt:lpstr>'COEF Art 14 F II'!Área_de_impresión</vt:lpstr>
      <vt:lpstr>'Dist 1 sem coef 1'!Área_de_impresión</vt:lpstr>
      <vt:lpstr>'Dist 1er sem'!Área_de_impresión</vt:lpstr>
      <vt:lpstr>'ESTIMACIÓN 2018'!Área_de_impresión</vt:lpstr>
      <vt:lpstr>'PART 1er sem 2018'!Área_de_impresión</vt:lpstr>
      <vt:lpstr>'ajuste 1er sem'!Títulos_a_imprimir</vt:lpstr>
      <vt:lpstr>'COEF Art 14 F I'!Títulos_a_imprimir</vt:lpstr>
      <vt:lpstr>'Dist 1 sem coef 1'!Títulos_a_imprimir</vt:lpstr>
      <vt:lpstr>'Dist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2018-10-11T17:54:01Z</cp:lastPrinted>
  <dcterms:created xsi:type="dcterms:W3CDTF">2009-12-17T23:31:03Z</dcterms:created>
  <dcterms:modified xsi:type="dcterms:W3CDTF">2018-11-06T18:35:40Z</dcterms:modified>
</cp:coreProperties>
</file>