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ivera\Desktop\Participaciones 2019\Acuerdo 1\"/>
    </mc:Choice>
  </mc:AlternateContent>
  <bookViews>
    <workbookView xWindow="0" yWindow="1296" windowWidth="10536" windowHeight="6852" activeTab="4"/>
  </bookViews>
  <sheets>
    <sheet name="PART PEF2019" sheetId="41" r:id="rId1"/>
    <sheet name="DIST2019" sheetId="42" r:id="rId2"/>
    <sheet name="COEF Art 14 F I" sheetId="1" r:id="rId3"/>
    <sheet name="CALCULO GARANTIA" sheetId="28" r:id="rId4"/>
    <sheet name="COEF Art 14 F II" sheetId="36" r:id="rId5"/>
  </sheets>
  <externalReferences>
    <externalReference r:id="rId6"/>
    <externalReference r:id="rId7"/>
  </externalReferences>
  <definedNames>
    <definedName name="_xlnm._FilterDatabase" localSheetId="1" hidden="1">DIST2019!#REF!</definedName>
    <definedName name="A_impresión_IM" localSheetId="3">#REF!</definedName>
    <definedName name="A_impresión_IM" localSheetId="4">#REF!</definedName>
    <definedName name="A_impresión_IM" localSheetId="1">#REF!</definedName>
    <definedName name="A_impresión_IM" localSheetId="0">#REF!</definedName>
    <definedName name="A_impresión_IM">#REF!</definedName>
    <definedName name="AJUSTES" localSheetId="3" hidden="1">{"'beneficiarios'!$A$1:$C$7"}</definedName>
    <definedName name="AJUSTES" localSheetId="1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3">'CALCULO GARANTIA'!$A$1:$U$61</definedName>
    <definedName name="_xlnm.Print_Area" localSheetId="2">'COEF Art 14 F I'!$A$2:$AQ$60</definedName>
    <definedName name="_xlnm.Print_Area" localSheetId="4">'COEF Art 14 F II'!$A$1:$N$63</definedName>
    <definedName name="_xlnm.Print_Area" localSheetId="1">DIST2019!$A$3:$J$60</definedName>
    <definedName name="_xlnm.Print_Area" localSheetId="0">'PART PEF2019'!$A$1:$D$15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>#REF!</definedName>
    <definedName name="cierre_2001" localSheetId="4">'[1]deuda c sadm'!#REF!</definedName>
    <definedName name="cierre_2001" localSheetId="1">'[1]deuda c sadm'!#REF!</definedName>
    <definedName name="cierre_2001" localSheetId="0">'[1]deuda c sadm'!#REF!</definedName>
    <definedName name="cierre_2001">'[1]deuda c sadm'!#REF!</definedName>
    <definedName name="deuda" localSheetId="4">'[1]deuda c sadm'!#REF!</definedName>
    <definedName name="deuda" localSheetId="1">'[1]deuda c sadm'!#REF!</definedName>
    <definedName name="deuda" localSheetId="0">'[1]deuda c sadm'!#REF!</definedName>
    <definedName name="deuda">'[1]deuda c sadm'!#REF!</definedName>
    <definedName name="Deuda_ingTot" localSheetId="4">'[1]deuda c sadm'!#REF!</definedName>
    <definedName name="Deuda_ingTot" localSheetId="1">'[1]deuda c sadm'!#REF!</definedName>
    <definedName name="Deuda_ingTot" localSheetId="0">'[1]deuda c sadm'!#REF!</definedName>
    <definedName name="Deuda_ingTot">'[1]deuda c sadm'!#REF!</definedName>
    <definedName name="ENERO" localSheetId="3">#REF!</definedName>
    <definedName name="ENERO" localSheetId="4">#REF!</definedName>
    <definedName name="ENERO" localSheetId="1">#REF!</definedName>
    <definedName name="ENERO" localSheetId="0">#REF!</definedName>
    <definedName name="ENERO">#REF!</definedName>
    <definedName name="ENEROAJUSTE">#REF!</definedName>
    <definedName name="Fto_1" localSheetId="3">#REF!</definedName>
    <definedName name="Fto_1" localSheetId="4">#REF!</definedName>
    <definedName name="Fto_1" localSheetId="1">#REF!</definedName>
    <definedName name="Fto_1" localSheetId="0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1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1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1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hidden="1">{"'beneficiarios'!$A$1:$C$7"}</definedName>
    <definedName name="Notas_Fto_1" localSheetId="4">#REF!</definedName>
    <definedName name="Notas_Fto_1" localSheetId="1">#REF!</definedName>
    <definedName name="Notas_Fto_1" localSheetId="0">#REF!</definedName>
    <definedName name="Notas_Fto_1">#REF!</definedName>
    <definedName name="Partidas">[2]TECHO!$B$1:$Q$2798</definedName>
    <definedName name="SINAJUSTE" localSheetId="3" hidden="1">{"'beneficiarios'!$A$1:$C$7"}</definedName>
    <definedName name="SINAJUSTE" localSheetId="1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0">#REF!</definedName>
    <definedName name="t">#REF!</definedName>
    <definedName name="_xlnm.Print_Titles" localSheetId="2">'COEF Art 14 F I'!$A:$A,'COEF Art 14 F I'!$2:$2</definedName>
    <definedName name="_xlnm.Print_Titles" localSheetId="1">DIST2019!$1:$4</definedName>
    <definedName name="TOT" localSheetId="4">#REF!</definedName>
    <definedName name="TOT" localSheetId="1">#REF!</definedName>
    <definedName name="TOT" localSheetId="0">#REF!</definedName>
    <definedName name="TOT">#REF!</definedName>
    <definedName name="TOTAL" localSheetId="4">#REF!</definedName>
    <definedName name="TOTAL" localSheetId="1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I9" i="28" l="1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D11" i="41"/>
  <c r="M6" i="36" s="1"/>
  <c r="D10" i="41"/>
  <c r="D9" i="41"/>
  <c r="D8" i="41"/>
  <c r="D7" i="41"/>
  <c r="D6" i="41"/>
  <c r="D5" i="41"/>
  <c r="D4" i="41"/>
  <c r="AP5" i="1" l="1"/>
  <c r="I58" i="28"/>
  <c r="B58" i="28"/>
  <c r="C58" i="1" l="1"/>
  <c r="B58" i="1"/>
  <c r="J6" i="36"/>
  <c r="AD57" i="1"/>
  <c r="AC57" i="1"/>
  <c r="AB57" i="1"/>
  <c r="AA57" i="1"/>
  <c r="AE57" i="1" s="1"/>
  <c r="AD56" i="1"/>
  <c r="AC56" i="1"/>
  <c r="AB56" i="1"/>
  <c r="AA56" i="1"/>
  <c r="AE56" i="1"/>
  <c r="AD55" i="1"/>
  <c r="AC55" i="1"/>
  <c r="AB55" i="1"/>
  <c r="AA55" i="1"/>
  <c r="AE55" i="1" s="1"/>
  <c r="AD54" i="1"/>
  <c r="AC54" i="1"/>
  <c r="AB54" i="1"/>
  <c r="AA54" i="1"/>
  <c r="AE54" i="1"/>
  <c r="AD53" i="1"/>
  <c r="AC53" i="1"/>
  <c r="AB53" i="1"/>
  <c r="AA53" i="1"/>
  <c r="AE53" i="1" s="1"/>
  <c r="AD52" i="1"/>
  <c r="AC52" i="1"/>
  <c r="AB52" i="1"/>
  <c r="AA52" i="1"/>
  <c r="AE52" i="1"/>
  <c r="AF52" i="1" s="1"/>
  <c r="AD51" i="1"/>
  <c r="AC51" i="1"/>
  <c r="AB51" i="1"/>
  <c r="AA51" i="1"/>
  <c r="AE51" i="1" s="1"/>
  <c r="AD50" i="1"/>
  <c r="AC50" i="1"/>
  <c r="AB50" i="1"/>
  <c r="AA50" i="1"/>
  <c r="AE50" i="1"/>
  <c r="AD49" i="1"/>
  <c r="AC49" i="1"/>
  <c r="AB49" i="1"/>
  <c r="AA49" i="1"/>
  <c r="AE49" i="1" s="1"/>
  <c r="AD48" i="1"/>
  <c r="AC48" i="1"/>
  <c r="AB48" i="1"/>
  <c r="AA48" i="1"/>
  <c r="AE48" i="1"/>
  <c r="AF48" i="1" s="1"/>
  <c r="AD47" i="1"/>
  <c r="AC47" i="1"/>
  <c r="AB47" i="1"/>
  <c r="AA47" i="1"/>
  <c r="AE47" i="1" s="1"/>
  <c r="AD46" i="1"/>
  <c r="AC46" i="1"/>
  <c r="AB46" i="1"/>
  <c r="AA46" i="1"/>
  <c r="AE46" i="1"/>
  <c r="AD45" i="1"/>
  <c r="AC45" i="1"/>
  <c r="AB45" i="1"/>
  <c r="AA45" i="1"/>
  <c r="AE45" i="1" s="1"/>
  <c r="AD44" i="1"/>
  <c r="AC44" i="1"/>
  <c r="AB44" i="1"/>
  <c r="AA44" i="1"/>
  <c r="AE44" i="1"/>
  <c r="AF44" i="1" s="1"/>
  <c r="AD43" i="1"/>
  <c r="AC43" i="1"/>
  <c r="AB43" i="1"/>
  <c r="AA43" i="1"/>
  <c r="AE43" i="1" s="1"/>
  <c r="AD42" i="1"/>
  <c r="AC42" i="1"/>
  <c r="AB42" i="1"/>
  <c r="AA42" i="1"/>
  <c r="AE42" i="1"/>
  <c r="AD41" i="1"/>
  <c r="AC41" i="1"/>
  <c r="AB41" i="1"/>
  <c r="AA41" i="1"/>
  <c r="AE41" i="1" s="1"/>
  <c r="AD40" i="1"/>
  <c r="AC40" i="1"/>
  <c r="AB40" i="1"/>
  <c r="AA40" i="1"/>
  <c r="AE40" i="1"/>
  <c r="AF40" i="1" s="1"/>
  <c r="AD39" i="1"/>
  <c r="AC39" i="1"/>
  <c r="AB39" i="1"/>
  <c r="AA39" i="1"/>
  <c r="AE39" i="1" s="1"/>
  <c r="AD38" i="1"/>
  <c r="AC38" i="1"/>
  <c r="AB38" i="1"/>
  <c r="AA38" i="1"/>
  <c r="AE38" i="1"/>
  <c r="AD37" i="1"/>
  <c r="AC37" i="1"/>
  <c r="AB37" i="1"/>
  <c r="AA37" i="1"/>
  <c r="AE37" i="1" s="1"/>
  <c r="AD36" i="1"/>
  <c r="AC36" i="1"/>
  <c r="AB36" i="1"/>
  <c r="AA36" i="1"/>
  <c r="AE36" i="1"/>
  <c r="AD35" i="1"/>
  <c r="AC35" i="1"/>
  <c r="AB35" i="1"/>
  <c r="AA35" i="1"/>
  <c r="AE35" i="1" s="1"/>
  <c r="AD34" i="1"/>
  <c r="AC34" i="1"/>
  <c r="AB34" i="1"/>
  <c r="AA34" i="1"/>
  <c r="AE34" i="1"/>
  <c r="AD33" i="1"/>
  <c r="AC33" i="1"/>
  <c r="AB33" i="1"/>
  <c r="AA33" i="1"/>
  <c r="AE33" i="1" s="1"/>
  <c r="AD32" i="1"/>
  <c r="AC32" i="1"/>
  <c r="AB32" i="1"/>
  <c r="AA32" i="1"/>
  <c r="AE32" i="1"/>
  <c r="AD31" i="1"/>
  <c r="AC31" i="1"/>
  <c r="AB31" i="1"/>
  <c r="AA31" i="1"/>
  <c r="AE31" i="1" s="1"/>
  <c r="AD30" i="1"/>
  <c r="AC30" i="1"/>
  <c r="AB30" i="1"/>
  <c r="AA30" i="1"/>
  <c r="AE30" i="1"/>
  <c r="AD29" i="1"/>
  <c r="AC29" i="1"/>
  <c r="AB29" i="1"/>
  <c r="AA29" i="1"/>
  <c r="AE29" i="1" s="1"/>
  <c r="AD28" i="1"/>
  <c r="AC28" i="1"/>
  <c r="AB28" i="1"/>
  <c r="AA28" i="1"/>
  <c r="AE28" i="1"/>
  <c r="AD27" i="1"/>
  <c r="AC27" i="1"/>
  <c r="AB27" i="1"/>
  <c r="AA27" i="1"/>
  <c r="AE27" i="1" s="1"/>
  <c r="AD26" i="1"/>
  <c r="AC26" i="1"/>
  <c r="AB26" i="1"/>
  <c r="AA26" i="1"/>
  <c r="AE26" i="1"/>
  <c r="AD25" i="1"/>
  <c r="AC25" i="1"/>
  <c r="AB25" i="1"/>
  <c r="AA25" i="1"/>
  <c r="AE25" i="1" s="1"/>
  <c r="AD24" i="1"/>
  <c r="AC24" i="1"/>
  <c r="AB24" i="1"/>
  <c r="AA24" i="1"/>
  <c r="AE24" i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/>
  <c r="AD20" i="1"/>
  <c r="AC20" i="1"/>
  <c r="AB20" i="1"/>
  <c r="AA20" i="1"/>
  <c r="AE20" i="1" s="1"/>
  <c r="AD19" i="1"/>
  <c r="AC19" i="1"/>
  <c r="AB19" i="1"/>
  <c r="AA19" i="1"/>
  <c r="AE19" i="1"/>
  <c r="AD18" i="1"/>
  <c r="AC18" i="1"/>
  <c r="AB18" i="1"/>
  <c r="AA18" i="1"/>
  <c r="AE18" i="1" s="1"/>
  <c r="AD17" i="1"/>
  <c r="AC17" i="1"/>
  <c r="AB17" i="1"/>
  <c r="AA17" i="1"/>
  <c r="AE17" i="1"/>
  <c r="AD16" i="1"/>
  <c r="AC16" i="1"/>
  <c r="AB16" i="1"/>
  <c r="AA16" i="1"/>
  <c r="AE16" i="1" s="1"/>
  <c r="AD15" i="1"/>
  <c r="AC15" i="1"/>
  <c r="AB15" i="1"/>
  <c r="AA15" i="1"/>
  <c r="AE15" i="1"/>
  <c r="AD14" i="1"/>
  <c r="AC14" i="1"/>
  <c r="AB14" i="1"/>
  <c r="AA14" i="1"/>
  <c r="AE14" i="1" s="1"/>
  <c r="AD13" i="1"/>
  <c r="AC13" i="1"/>
  <c r="AB13" i="1"/>
  <c r="AA13" i="1"/>
  <c r="AE13" i="1"/>
  <c r="AD12" i="1"/>
  <c r="AC12" i="1"/>
  <c r="AB12" i="1"/>
  <c r="AA12" i="1"/>
  <c r="AE12" i="1" s="1"/>
  <c r="AD11" i="1"/>
  <c r="AC11" i="1"/>
  <c r="AB11" i="1"/>
  <c r="AA11" i="1"/>
  <c r="AE11" i="1"/>
  <c r="AD10" i="1"/>
  <c r="AC10" i="1"/>
  <c r="AB10" i="1"/>
  <c r="AA10" i="1"/>
  <c r="AE10" i="1" s="1"/>
  <c r="AD9" i="1"/>
  <c r="AC9" i="1"/>
  <c r="AB9" i="1"/>
  <c r="AA9" i="1"/>
  <c r="AE9" i="1"/>
  <c r="AD8" i="1"/>
  <c r="AC8" i="1"/>
  <c r="AB8" i="1"/>
  <c r="AA8" i="1"/>
  <c r="AE8" i="1" s="1"/>
  <c r="AD7" i="1"/>
  <c r="AD58" i="1" s="1"/>
  <c r="AC7" i="1"/>
  <c r="AB7" i="1"/>
  <c r="AB58" i="1" s="1"/>
  <c r="AA7" i="1"/>
  <c r="U57" i="1"/>
  <c r="T57" i="1"/>
  <c r="S57" i="1"/>
  <c r="R57" i="1"/>
  <c r="V57" i="1" s="1"/>
  <c r="U56" i="1"/>
  <c r="T56" i="1"/>
  <c r="S56" i="1"/>
  <c r="R56" i="1"/>
  <c r="V56" i="1"/>
  <c r="U55" i="1"/>
  <c r="T55" i="1"/>
  <c r="S55" i="1"/>
  <c r="R55" i="1"/>
  <c r="V55" i="1" s="1"/>
  <c r="U54" i="1"/>
  <c r="T54" i="1"/>
  <c r="S54" i="1"/>
  <c r="R54" i="1"/>
  <c r="V54" i="1"/>
  <c r="U53" i="1"/>
  <c r="T53" i="1"/>
  <c r="S53" i="1"/>
  <c r="R53" i="1"/>
  <c r="U52" i="1"/>
  <c r="T52" i="1"/>
  <c r="S52" i="1"/>
  <c r="R52" i="1"/>
  <c r="V52" i="1" s="1"/>
  <c r="U51" i="1"/>
  <c r="T51" i="1"/>
  <c r="S51" i="1"/>
  <c r="R51" i="1"/>
  <c r="V51" i="1"/>
  <c r="U50" i="1"/>
  <c r="T50" i="1"/>
  <c r="S50" i="1"/>
  <c r="R50" i="1"/>
  <c r="V50" i="1" s="1"/>
  <c r="AG50" i="1" s="1"/>
  <c r="AH50" i="1" s="1"/>
  <c r="U49" i="1"/>
  <c r="T49" i="1"/>
  <c r="S49" i="1"/>
  <c r="R49" i="1"/>
  <c r="V49" i="1"/>
  <c r="U48" i="1"/>
  <c r="T48" i="1"/>
  <c r="S48" i="1"/>
  <c r="R48" i="1"/>
  <c r="V48" i="1" s="1"/>
  <c r="U47" i="1"/>
  <c r="T47" i="1"/>
  <c r="S47" i="1"/>
  <c r="R47" i="1"/>
  <c r="V47" i="1"/>
  <c r="U46" i="1"/>
  <c r="T46" i="1"/>
  <c r="S46" i="1"/>
  <c r="R46" i="1"/>
  <c r="V46" i="1" s="1"/>
  <c r="AG46" i="1" s="1"/>
  <c r="AH46" i="1" s="1"/>
  <c r="U45" i="1"/>
  <c r="T45" i="1"/>
  <c r="S45" i="1"/>
  <c r="R45" i="1"/>
  <c r="V45" i="1"/>
  <c r="U44" i="1"/>
  <c r="T44" i="1"/>
  <c r="S44" i="1"/>
  <c r="R44" i="1"/>
  <c r="V44" i="1" s="1"/>
  <c r="U43" i="1"/>
  <c r="T43" i="1"/>
  <c r="S43" i="1"/>
  <c r="R43" i="1"/>
  <c r="V43" i="1"/>
  <c r="U42" i="1"/>
  <c r="T42" i="1"/>
  <c r="S42" i="1"/>
  <c r="R42" i="1"/>
  <c r="V42" i="1" s="1"/>
  <c r="AG42" i="1" s="1"/>
  <c r="AH42" i="1" s="1"/>
  <c r="U41" i="1"/>
  <c r="T41" i="1"/>
  <c r="S41" i="1"/>
  <c r="R41" i="1"/>
  <c r="V41" i="1"/>
  <c r="U40" i="1"/>
  <c r="T40" i="1"/>
  <c r="S40" i="1"/>
  <c r="R40" i="1"/>
  <c r="V40" i="1" s="1"/>
  <c r="U39" i="1"/>
  <c r="T39" i="1"/>
  <c r="S39" i="1"/>
  <c r="R39" i="1"/>
  <c r="V39" i="1"/>
  <c r="U38" i="1"/>
  <c r="T38" i="1"/>
  <c r="S38" i="1"/>
  <c r="R38" i="1"/>
  <c r="V38" i="1" s="1"/>
  <c r="AG38" i="1" s="1"/>
  <c r="AH38" i="1" s="1"/>
  <c r="U37" i="1"/>
  <c r="T37" i="1"/>
  <c r="S37" i="1"/>
  <c r="R37" i="1"/>
  <c r="V37" i="1"/>
  <c r="U36" i="1"/>
  <c r="T36" i="1"/>
  <c r="S36" i="1"/>
  <c r="R36" i="1"/>
  <c r="V36" i="1" s="1"/>
  <c r="U35" i="1"/>
  <c r="T35" i="1"/>
  <c r="S35" i="1"/>
  <c r="R35" i="1"/>
  <c r="V35" i="1"/>
  <c r="U34" i="1"/>
  <c r="T34" i="1"/>
  <c r="S34" i="1"/>
  <c r="R34" i="1"/>
  <c r="V34" i="1" s="1"/>
  <c r="U33" i="1"/>
  <c r="T33" i="1"/>
  <c r="S33" i="1"/>
  <c r="R33" i="1"/>
  <c r="V33" i="1"/>
  <c r="U32" i="1"/>
  <c r="T32" i="1"/>
  <c r="S32" i="1"/>
  <c r="R32" i="1"/>
  <c r="V32" i="1" s="1"/>
  <c r="U31" i="1"/>
  <c r="T31" i="1"/>
  <c r="S31" i="1"/>
  <c r="R31" i="1"/>
  <c r="V31" i="1"/>
  <c r="U30" i="1"/>
  <c r="T30" i="1"/>
  <c r="S30" i="1"/>
  <c r="R30" i="1"/>
  <c r="V30" i="1" s="1"/>
  <c r="U29" i="1"/>
  <c r="T29" i="1"/>
  <c r="S29" i="1"/>
  <c r="R29" i="1"/>
  <c r="V29" i="1"/>
  <c r="U28" i="1"/>
  <c r="T28" i="1"/>
  <c r="S28" i="1"/>
  <c r="R28" i="1"/>
  <c r="V28" i="1" s="1"/>
  <c r="U27" i="1"/>
  <c r="T27" i="1"/>
  <c r="S27" i="1"/>
  <c r="R27" i="1"/>
  <c r="V27" i="1"/>
  <c r="U26" i="1"/>
  <c r="T26" i="1"/>
  <c r="S26" i="1"/>
  <c r="R26" i="1"/>
  <c r="V26" i="1" s="1"/>
  <c r="U25" i="1"/>
  <c r="T25" i="1"/>
  <c r="S25" i="1"/>
  <c r="R25" i="1"/>
  <c r="V25" i="1"/>
  <c r="U24" i="1"/>
  <c r="T24" i="1"/>
  <c r="S24" i="1"/>
  <c r="R24" i="1"/>
  <c r="V24" i="1" s="1"/>
  <c r="U23" i="1"/>
  <c r="T23" i="1"/>
  <c r="S23" i="1"/>
  <c r="R23" i="1"/>
  <c r="V23" i="1"/>
  <c r="U22" i="1"/>
  <c r="T22" i="1"/>
  <c r="S22" i="1"/>
  <c r="R22" i="1"/>
  <c r="V22" i="1" s="1"/>
  <c r="U21" i="1"/>
  <c r="T21" i="1"/>
  <c r="S21" i="1"/>
  <c r="R21" i="1"/>
  <c r="V21" i="1"/>
  <c r="U20" i="1"/>
  <c r="T20" i="1"/>
  <c r="S20" i="1"/>
  <c r="R20" i="1"/>
  <c r="V20" i="1" s="1"/>
  <c r="U19" i="1"/>
  <c r="T19" i="1"/>
  <c r="S19" i="1"/>
  <c r="R19" i="1"/>
  <c r="U18" i="1"/>
  <c r="T18" i="1"/>
  <c r="S18" i="1"/>
  <c r="R18" i="1"/>
  <c r="V18" i="1"/>
  <c r="U17" i="1"/>
  <c r="T17" i="1"/>
  <c r="S17" i="1"/>
  <c r="R17" i="1"/>
  <c r="V17" i="1" s="1"/>
  <c r="AG17" i="1" s="1"/>
  <c r="U16" i="1"/>
  <c r="T16" i="1"/>
  <c r="S16" i="1"/>
  <c r="R16" i="1"/>
  <c r="V16" i="1"/>
  <c r="U15" i="1"/>
  <c r="T15" i="1"/>
  <c r="S15" i="1"/>
  <c r="R15" i="1"/>
  <c r="V15" i="1" s="1"/>
  <c r="U14" i="1"/>
  <c r="T14" i="1"/>
  <c r="S14" i="1"/>
  <c r="R14" i="1"/>
  <c r="V14" i="1"/>
  <c r="U13" i="1"/>
  <c r="T13" i="1"/>
  <c r="S13" i="1"/>
  <c r="R13" i="1"/>
  <c r="V13" i="1" s="1"/>
  <c r="AG13" i="1" s="1"/>
  <c r="U12" i="1"/>
  <c r="T12" i="1"/>
  <c r="S12" i="1"/>
  <c r="R12" i="1"/>
  <c r="V12" i="1"/>
  <c r="U11" i="1"/>
  <c r="T11" i="1"/>
  <c r="S11" i="1"/>
  <c r="R11" i="1"/>
  <c r="V11" i="1" s="1"/>
  <c r="U10" i="1"/>
  <c r="U58" i="1" s="1"/>
  <c r="T10" i="1"/>
  <c r="S10" i="1"/>
  <c r="S58" i="1" s="1"/>
  <c r="R10" i="1"/>
  <c r="V10" i="1"/>
  <c r="U9" i="1"/>
  <c r="T9" i="1"/>
  <c r="T58" i="1" s="1"/>
  <c r="S9" i="1"/>
  <c r="R9" i="1"/>
  <c r="U8" i="1"/>
  <c r="T8" i="1"/>
  <c r="S8" i="1"/>
  <c r="R8" i="1"/>
  <c r="V8" i="1"/>
  <c r="U7" i="1"/>
  <c r="T7" i="1"/>
  <c r="S7" i="1"/>
  <c r="R7" i="1"/>
  <c r="V53" i="1"/>
  <c r="V19" i="1"/>
  <c r="V7" i="1"/>
  <c r="E59" i="36"/>
  <c r="F59" i="36" s="1"/>
  <c r="B59" i="36"/>
  <c r="C58" i="36"/>
  <c r="D57" i="1"/>
  <c r="E57" i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AF56" i="1"/>
  <c r="AG54" i="1"/>
  <c r="AH54" i="1" s="1"/>
  <c r="AF54" i="1"/>
  <c r="AG52" i="1"/>
  <c r="AH52" i="1" s="1"/>
  <c r="AF50" i="1"/>
  <c r="AG48" i="1"/>
  <c r="AH48" i="1" s="1"/>
  <c r="AF46" i="1"/>
  <c r="AG44" i="1"/>
  <c r="AH44" i="1" s="1"/>
  <c r="AF42" i="1"/>
  <c r="AG40" i="1"/>
  <c r="AH40" i="1" s="1"/>
  <c r="AF38" i="1"/>
  <c r="AG37" i="1"/>
  <c r="AH37" i="1"/>
  <c r="AF37" i="1"/>
  <c r="AG36" i="1"/>
  <c r="AH36" i="1" s="1"/>
  <c r="AF36" i="1"/>
  <c r="AG34" i="1"/>
  <c r="AH34" i="1" s="1"/>
  <c r="AF34" i="1"/>
  <c r="AG33" i="1"/>
  <c r="AH33" i="1"/>
  <c r="AF33" i="1"/>
  <c r="AG32" i="1"/>
  <c r="AH32" i="1" s="1"/>
  <c r="AF32" i="1"/>
  <c r="AG30" i="1"/>
  <c r="AH30" i="1" s="1"/>
  <c r="AF30" i="1"/>
  <c r="AG29" i="1"/>
  <c r="AH29" i="1"/>
  <c r="AF29" i="1"/>
  <c r="AG28" i="1"/>
  <c r="AH28" i="1" s="1"/>
  <c r="AF28" i="1"/>
  <c r="AG26" i="1"/>
  <c r="AH26" i="1" s="1"/>
  <c r="AF26" i="1"/>
  <c r="AG25" i="1"/>
  <c r="AH25" i="1"/>
  <c r="AF25" i="1"/>
  <c r="AG24" i="1"/>
  <c r="AH24" i="1" s="1"/>
  <c r="AF24" i="1"/>
  <c r="AG22" i="1"/>
  <c r="AH22" i="1" s="1"/>
  <c r="AF22" i="1"/>
  <c r="AG21" i="1"/>
  <c r="AH21" i="1"/>
  <c r="AF21" i="1"/>
  <c r="AG20" i="1"/>
  <c r="AH20" i="1" s="1"/>
  <c r="AF20" i="1"/>
  <c r="AG18" i="1"/>
  <c r="AH18" i="1" s="1"/>
  <c r="AF18" i="1"/>
  <c r="AH17" i="1"/>
  <c r="AF17" i="1"/>
  <c r="AG16" i="1"/>
  <c r="AH16" i="1" s="1"/>
  <c r="AF16" i="1"/>
  <c r="AG14" i="1"/>
  <c r="AH14" i="1" s="1"/>
  <c r="AF14" i="1"/>
  <c r="AH13" i="1"/>
  <c r="AF13" i="1"/>
  <c r="AG12" i="1"/>
  <c r="AH12" i="1" s="1"/>
  <c r="AF12" i="1"/>
  <c r="AG10" i="1"/>
  <c r="AH10" i="1" s="1"/>
  <c r="AF10" i="1"/>
  <c r="AF9" i="1"/>
  <c r="AG8" i="1"/>
  <c r="AH8" i="1" s="1"/>
  <c r="AF8" i="1"/>
  <c r="F17" i="36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D7" i="1"/>
  <c r="E7" i="1" s="1"/>
  <c r="C48" i="36"/>
  <c r="C50" i="36"/>
  <c r="C52" i="36"/>
  <c r="C54" i="36"/>
  <c r="C56" i="36"/>
  <c r="C59" i="36"/>
  <c r="J58" i="1"/>
  <c r="K18" i="1"/>
  <c r="L18" i="1" s="1"/>
  <c r="G58" i="1"/>
  <c r="H38" i="1"/>
  <c r="I38" i="1" s="1"/>
  <c r="M38" i="1" s="1"/>
  <c r="K58" i="1"/>
  <c r="K26" i="1"/>
  <c r="L26" i="1"/>
  <c r="K42" i="1"/>
  <c r="L42" i="1"/>
  <c r="K10" i="1"/>
  <c r="L10" i="1"/>
  <c r="H47" i="1"/>
  <c r="I47" i="1" s="1"/>
  <c r="H44" i="1"/>
  <c r="I44" i="1" s="1"/>
  <c r="H20" i="1"/>
  <c r="I20" i="1" s="1"/>
  <c r="H41" i="1"/>
  <c r="I41" i="1" s="1"/>
  <c r="M41" i="1" s="1"/>
  <c r="K50" i="1"/>
  <c r="L50" i="1"/>
  <c r="K34" i="1"/>
  <c r="L34" i="1"/>
  <c r="H30" i="1"/>
  <c r="I30" i="1" s="1"/>
  <c r="K7" i="1"/>
  <c r="L7" i="1" s="1"/>
  <c r="K54" i="1"/>
  <c r="L54" i="1" s="1"/>
  <c r="K46" i="1"/>
  <c r="L46" i="1" s="1"/>
  <c r="K38" i="1"/>
  <c r="L38" i="1" s="1"/>
  <c r="K30" i="1"/>
  <c r="L30" i="1" s="1"/>
  <c r="K22" i="1"/>
  <c r="L22" i="1" s="1"/>
  <c r="K14" i="1"/>
  <c r="L14" i="1" s="1"/>
  <c r="K56" i="1"/>
  <c r="L56" i="1" s="1"/>
  <c r="K52" i="1"/>
  <c r="L52" i="1" s="1"/>
  <c r="K48" i="1"/>
  <c r="L48" i="1" s="1"/>
  <c r="K44" i="1"/>
  <c r="L44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  <c r="K8" i="1"/>
  <c r="L8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L58" i="1"/>
  <c r="M30" i="1" l="1"/>
  <c r="M20" i="1"/>
  <c r="M44" i="1"/>
  <c r="M47" i="1"/>
  <c r="H10" i="1"/>
  <c r="I10" i="1" s="1"/>
  <c r="M10" i="1" s="1"/>
  <c r="H46" i="1"/>
  <c r="I46" i="1" s="1"/>
  <c r="M46" i="1" s="1"/>
  <c r="H54" i="1"/>
  <c r="I54" i="1" s="1"/>
  <c r="M54" i="1" s="1"/>
  <c r="H9" i="1"/>
  <c r="I9" i="1" s="1"/>
  <c r="H33" i="1"/>
  <c r="I33" i="1" s="1"/>
  <c r="M33" i="1" s="1"/>
  <c r="H16" i="1"/>
  <c r="I16" i="1" s="1"/>
  <c r="M16" i="1" s="1"/>
  <c r="H48" i="1"/>
  <c r="I48" i="1" s="1"/>
  <c r="M48" i="1" s="1"/>
  <c r="H40" i="1"/>
  <c r="I40" i="1" s="1"/>
  <c r="M40" i="1" s="1"/>
  <c r="H28" i="1"/>
  <c r="I28" i="1" s="1"/>
  <c r="M28" i="1" s="1"/>
  <c r="H13" i="1"/>
  <c r="I13" i="1" s="1"/>
  <c r="M13" i="1" s="1"/>
  <c r="H51" i="1"/>
  <c r="I51" i="1" s="1"/>
  <c r="M51" i="1" s="1"/>
  <c r="H25" i="1"/>
  <c r="I25" i="1" s="1"/>
  <c r="M25" i="1" s="1"/>
  <c r="H34" i="1"/>
  <c r="I34" i="1" s="1"/>
  <c r="M34" i="1" s="1"/>
  <c r="H26" i="1"/>
  <c r="I26" i="1" s="1"/>
  <c r="M26" i="1" s="1"/>
  <c r="H18" i="1"/>
  <c r="I18" i="1" s="1"/>
  <c r="M18" i="1" s="1"/>
  <c r="M9" i="1"/>
  <c r="H22" i="1"/>
  <c r="I22" i="1" s="1"/>
  <c r="M22" i="1" s="1"/>
  <c r="H8" i="1"/>
  <c r="I8" i="1" s="1"/>
  <c r="M8" i="1" s="1"/>
  <c r="H50" i="1"/>
  <c r="I50" i="1" s="1"/>
  <c r="M50" i="1" s="1"/>
  <c r="H36" i="1"/>
  <c r="I36" i="1" s="1"/>
  <c r="M36" i="1" s="1"/>
  <c r="H56" i="1"/>
  <c r="I56" i="1" s="1"/>
  <c r="M56" i="1" s="1"/>
  <c r="H24" i="1"/>
  <c r="I24" i="1" s="1"/>
  <c r="M24" i="1" s="1"/>
  <c r="V9" i="1"/>
  <c r="R58" i="1"/>
  <c r="AG11" i="1"/>
  <c r="AH11" i="1" s="1"/>
  <c r="AF11" i="1"/>
  <c r="AG15" i="1"/>
  <c r="AH15" i="1" s="1"/>
  <c r="AF15" i="1"/>
  <c r="AG19" i="1"/>
  <c r="AH19" i="1" s="1"/>
  <c r="AF19" i="1"/>
  <c r="AG23" i="1"/>
  <c r="AH23" i="1" s="1"/>
  <c r="AF23" i="1"/>
  <c r="AG27" i="1"/>
  <c r="AH27" i="1" s="1"/>
  <c r="AF27" i="1"/>
  <c r="AG31" i="1"/>
  <c r="AH31" i="1" s="1"/>
  <c r="AF31" i="1"/>
  <c r="AG35" i="1"/>
  <c r="AH35" i="1" s="1"/>
  <c r="AF35" i="1"/>
  <c r="AG39" i="1"/>
  <c r="AH39" i="1" s="1"/>
  <c r="AF39" i="1"/>
  <c r="AG43" i="1"/>
  <c r="AH43" i="1" s="1"/>
  <c r="AF43" i="1"/>
  <c r="AG47" i="1"/>
  <c r="AH47" i="1" s="1"/>
  <c r="AF47" i="1"/>
  <c r="AG51" i="1"/>
  <c r="AH51" i="1" s="1"/>
  <c r="AF51" i="1"/>
  <c r="AG55" i="1"/>
  <c r="AH55" i="1" s="1"/>
  <c r="AF55" i="1"/>
  <c r="AG56" i="1"/>
  <c r="AH56" i="1" s="1"/>
  <c r="AA58" i="1"/>
  <c r="AE7" i="1"/>
  <c r="AC58" i="1"/>
  <c r="AG41" i="1"/>
  <c r="AH41" i="1" s="1"/>
  <c r="AF41" i="1"/>
  <c r="AG45" i="1"/>
  <c r="AH45" i="1" s="1"/>
  <c r="AF45" i="1"/>
  <c r="AG49" i="1"/>
  <c r="AH49" i="1" s="1"/>
  <c r="AF49" i="1"/>
  <c r="AG53" i="1"/>
  <c r="AH53" i="1" s="1"/>
  <c r="AF53" i="1"/>
  <c r="AG57" i="1"/>
  <c r="AH57" i="1" s="1"/>
  <c r="AF57" i="1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4" i="1"/>
  <c r="I14" i="1" s="1"/>
  <c r="M14" i="1" s="1"/>
  <c r="H19" i="1"/>
  <c r="I19" i="1" s="1"/>
  <c r="M19" i="1" s="1"/>
  <c r="H23" i="1"/>
  <c r="I23" i="1" s="1"/>
  <c r="M23" i="1" s="1"/>
  <c r="H27" i="1"/>
  <c r="I27" i="1" s="1"/>
  <c r="M27" i="1" s="1"/>
  <c r="H31" i="1"/>
  <c r="I31" i="1" s="1"/>
  <c r="M31" i="1" s="1"/>
  <c r="H35" i="1"/>
  <c r="I35" i="1" s="1"/>
  <c r="M35" i="1" s="1"/>
  <c r="H39" i="1"/>
  <c r="I39" i="1" s="1"/>
  <c r="M39" i="1" s="1"/>
  <c r="H43" i="1"/>
  <c r="I43" i="1" s="1"/>
  <c r="M43" i="1" s="1"/>
  <c r="H12" i="1"/>
  <c r="I12" i="1" s="1"/>
  <c r="M12" i="1" s="1"/>
  <c r="H21" i="1"/>
  <c r="I21" i="1" s="1"/>
  <c r="M21" i="1" s="1"/>
  <c r="H29" i="1"/>
  <c r="I29" i="1" s="1"/>
  <c r="M29" i="1" s="1"/>
  <c r="H37" i="1"/>
  <c r="I37" i="1" s="1"/>
  <c r="M37" i="1" s="1"/>
  <c r="H45" i="1"/>
  <c r="I45" i="1" s="1"/>
  <c r="M45" i="1" s="1"/>
  <c r="H49" i="1"/>
  <c r="I49" i="1" s="1"/>
  <c r="M49" i="1" s="1"/>
  <c r="H53" i="1"/>
  <c r="I53" i="1" s="1"/>
  <c r="M53" i="1" s="1"/>
  <c r="H57" i="1"/>
  <c r="I57" i="1" s="1"/>
  <c r="M57" i="1" s="1"/>
  <c r="H7" i="1"/>
  <c r="H11" i="1"/>
  <c r="I11" i="1" s="1"/>
  <c r="M11" i="1" s="1"/>
  <c r="H15" i="1"/>
  <c r="I15" i="1" s="1"/>
  <c r="M15" i="1" s="1"/>
  <c r="H55" i="1"/>
  <c r="I55" i="1" s="1"/>
  <c r="M55" i="1" s="1"/>
  <c r="H17" i="1"/>
  <c r="I17" i="1" s="1"/>
  <c r="M17" i="1" s="1"/>
  <c r="H32" i="1"/>
  <c r="I32" i="1" s="1"/>
  <c r="M32" i="1" s="1"/>
  <c r="H42" i="1"/>
  <c r="I42" i="1" s="1"/>
  <c r="M42" i="1" s="1"/>
  <c r="H52" i="1"/>
  <c r="I52" i="1" s="1"/>
  <c r="M52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5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8" i="1"/>
  <c r="E58" i="1"/>
  <c r="F7" i="1" s="1"/>
  <c r="F8" i="1"/>
  <c r="F10" i="1"/>
  <c r="F15" i="1"/>
  <c r="F17" i="1"/>
  <c r="F25" i="1"/>
  <c r="F27" i="1"/>
  <c r="F31" i="1"/>
  <c r="F33" i="1"/>
  <c r="F39" i="1"/>
  <c r="F43" i="1"/>
  <c r="F48" i="1"/>
  <c r="F50" i="1"/>
  <c r="AF7" i="1" l="1"/>
  <c r="AF58" i="1" s="1"/>
  <c r="AE58" i="1"/>
  <c r="AG7" i="1"/>
  <c r="AH7" i="1" s="1"/>
  <c r="AG9" i="1"/>
  <c r="AH9" i="1" s="1"/>
  <c r="V58" i="1"/>
  <c r="F51" i="1"/>
  <c r="F49" i="1"/>
  <c r="AM49" i="1" s="1"/>
  <c r="F45" i="1"/>
  <c r="F40" i="1"/>
  <c r="AM40" i="1" s="1"/>
  <c r="F34" i="1"/>
  <c r="F32" i="1"/>
  <c r="AM32" i="1" s="1"/>
  <c r="F28" i="1"/>
  <c r="F26" i="1"/>
  <c r="AM26" i="1" s="1"/>
  <c r="F18" i="1"/>
  <c r="F16" i="1"/>
  <c r="AM16" i="1" s="1"/>
  <c r="F13" i="1"/>
  <c r="F9" i="1"/>
  <c r="AM9" i="1" s="1"/>
  <c r="I7" i="1"/>
  <c r="H58" i="1"/>
  <c r="AO5" i="1"/>
  <c r="AN5" i="1"/>
  <c r="AN36" i="1" s="1"/>
  <c r="AM48" i="1"/>
  <c r="AM39" i="1"/>
  <c r="AM31" i="1"/>
  <c r="AM17" i="1"/>
  <c r="AM50" i="1"/>
  <c r="AM43" i="1"/>
  <c r="AM33" i="1"/>
  <c r="AM27" i="1"/>
  <c r="AM25" i="1"/>
  <c r="AM15" i="1"/>
  <c r="AM10" i="1"/>
  <c r="AM8" i="1"/>
  <c r="J59" i="36"/>
  <c r="AM51" i="1"/>
  <c r="AM45" i="1"/>
  <c r="AM34" i="1"/>
  <c r="AM28" i="1"/>
  <c r="AM18" i="1"/>
  <c r="AM13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7" i="1"/>
  <c r="F57" i="1"/>
  <c r="AM57" i="1" s="1"/>
  <c r="F37" i="1"/>
  <c r="AM37" i="1" s="1"/>
  <c r="F53" i="1"/>
  <c r="AM53" i="1" s="1"/>
  <c r="F21" i="1"/>
  <c r="AM21" i="1" s="1"/>
  <c r="F38" i="1"/>
  <c r="AM38" i="1" s="1"/>
  <c r="F54" i="1"/>
  <c r="AM54" i="1" s="1"/>
  <c r="F42" i="1"/>
  <c r="AM42" i="1" s="1"/>
  <c r="F23" i="1"/>
  <c r="AM23" i="1" s="1"/>
  <c r="F55" i="1"/>
  <c r="AM55" i="1" s="1"/>
  <c r="F46" i="1"/>
  <c r="AM46" i="1" s="1"/>
  <c r="F36" i="1"/>
  <c r="AM36" i="1" s="1"/>
  <c r="F29" i="1"/>
  <c r="AM29" i="1" s="1"/>
  <c r="F14" i="1"/>
  <c r="AM14" i="1" s="1"/>
  <c r="F44" i="1"/>
  <c r="AM44" i="1" s="1"/>
  <c r="F30" i="1"/>
  <c r="AM30" i="1" s="1"/>
  <c r="F20" i="1"/>
  <c r="AM20" i="1" s="1"/>
  <c r="F41" i="1"/>
  <c r="AM41" i="1" s="1"/>
  <c r="F19" i="1"/>
  <c r="AM19" i="1" s="1"/>
  <c r="F22" i="1"/>
  <c r="AM22" i="1" s="1"/>
  <c r="F12" i="1"/>
  <c r="AM12" i="1" s="1"/>
  <c r="F56" i="1"/>
  <c r="AM56" i="1" s="1"/>
  <c r="F52" i="1"/>
  <c r="AM52" i="1" s="1"/>
  <c r="F47" i="1"/>
  <c r="AM47" i="1" s="1"/>
  <c r="F11" i="1"/>
  <c r="AM11" i="1" s="1"/>
  <c r="F24" i="1"/>
  <c r="AM24" i="1" s="1"/>
  <c r="F35" i="1"/>
  <c r="AM35" i="1" s="1"/>
  <c r="D12" i="41"/>
  <c r="B12" i="41"/>
  <c r="AH58" i="1" l="1"/>
  <c r="M7" i="1"/>
  <c r="M58" i="1" s="1"/>
  <c r="I58" i="1"/>
  <c r="AN54" i="1"/>
  <c r="AN16" i="1"/>
  <c r="AN53" i="1"/>
  <c r="AN24" i="1"/>
  <c r="AN12" i="1"/>
  <c r="AN35" i="1"/>
  <c r="AN48" i="1"/>
  <c r="AN9" i="1"/>
  <c r="AN26" i="1"/>
  <c r="AN15" i="1"/>
  <c r="AN46" i="1"/>
  <c r="AN47" i="1"/>
  <c r="AN21" i="1"/>
  <c r="AN11" i="1"/>
  <c r="AN38" i="1"/>
  <c r="AN34" i="1"/>
  <c r="AN10" i="1"/>
  <c r="AN40" i="1"/>
  <c r="AN22" i="1"/>
  <c r="AN50" i="1"/>
  <c r="AN43" i="1"/>
  <c r="AN8" i="1"/>
  <c r="AN25" i="1"/>
  <c r="AN17" i="1"/>
  <c r="AN51" i="1"/>
  <c r="AN39" i="1"/>
  <c r="AN27" i="1"/>
  <c r="AN30" i="1"/>
  <c r="AN45" i="1"/>
  <c r="AN42" i="1"/>
  <c r="AN19" i="1"/>
  <c r="AN32" i="1"/>
  <c r="AN41" i="1"/>
  <c r="AN20" i="1"/>
  <c r="AN52" i="1"/>
  <c r="AN37" i="1"/>
  <c r="AN44" i="1"/>
  <c r="AN56" i="1"/>
  <c r="AN29" i="1"/>
  <c r="AN55" i="1"/>
  <c r="AN18" i="1"/>
  <c r="AN14" i="1"/>
  <c r="AN49" i="1"/>
  <c r="AN57" i="1"/>
  <c r="AN28" i="1"/>
  <c r="AN23" i="1"/>
  <c r="AN31" i="1"/>
  <c r="AN13" i="1"/>
  <c r="AN33" i="1"/>
  <c r="K59" i="36"/>
  <c r="F58" i="1"/>
  <c r="AM58" i="1"/>
  <c r="AI42" i="1" l="1"/>
  <c r="AJ42" i="1" s="1"/>
  <c r="AK42" i="1" s="1"/>
  <c r="AO42" i="1" s="1"/>
  <c r="AI21" i="1"/>
  <c r="AJ21" i="1" s="1"/>
  <c r="AK21" i="1" s="1"/>
  <c r="AO21" i="1" s="1"/>
  <c r="AI48" i="1"/>
  <c r="AJ48" i="1" s="1"/>
  <c r="AK48" i="1" s="1"/>
  <c r="AO48" i="1" s="1"/>
  <c r="AI40" i="1"/>
  <c r="AJ40" i="1" s="1"/>
  <c r="AK40" i="1" s="1"/>
  <c r="AO40" i="1" s="1"/>
  <c r="AI20" i="1"/>
  <c r="AJ20" i="1" s="1"/>
  <c r="AK20" i="1" s="1"/>
  <c r="AO20" i="1" s="1"/>
  <c r="AI24" i="1"/>
  <c r="AJ24" i="1" s="1"/>
  <c r="AK24" i="1" s="1"/>
  <c r="AO24" i="1" s="1"/>
  <c r="AI8" i="1"/>
  <c r="AJ8" i="1" s="1"/>
  <c r="AK8" i="1" s="1"/>
  <c r="AO8" i="1" s="1"/>
  <c r="AI17" i="1"/>
  <c r="AJ17" i="1" s="1"/>
  <c r="AK17" i="1" s="1"/>
  <c r="AO17" i="1" s="1"/>
  <c r="AP17" i="1" s="1"/>
  <c r="K17" i="28" s="1"/>
  <c r="AI50" i="1"/>
  <c r="AJ50" i="1" s="1"/>
  <c r="AK50" i="1" s="1"/>
  <c r="AO50" i="1" s="1"/>
  <c r="AI37" i="1"/>
  <c r="AJ37" i="1" s="1"/>
  <c r="AK37" i="1" s="1"/>
  <c r="AO37" i="1" s="1"/>
  <c r="AP37" i="1" s="1"/>
  <c r="K37" i="28" s="1"/>
  <c r="AI32" i="1"/>
  <c r="AJ32" i="1" s="1"/>
  <c r="AK32" i="1" s="1"/>
  <c r="AO32" i="1" s="1"/>
  <c r="AP32" i="1" s="1"/>
  <c r="K32" i="28" s="1"/>
  <c r="AI52" i="1"/>
  <c r="AJ52" i="1" s="1"/>
  <c r="AK52" i="1" s="1"/>
  <c r="AO52" i="1" s="1"/>
  <c r="AP52" i="1" s="1"/>
  <c r="K52" i="28" s="1"/>
  <c r="AI36" i="1"/>
  <c r="AJ36" i="1" s="1"/>
  <c r="AK36" i="1" s="1"/>
  <c r="AO36" i="1" s="1"/>
  <c r="AP36" i="1" s="1"/>
  <c r="K36" i="28" s="1"/>
  <c r="AI30" i="1"/>
  <c r="AJ30" i="1" s="1"/>
  <c r="AK30" i="1" s="1"/>
  <c r="AO30" i="1" s="1"/>
  <c r="AP30" i="1" s="1"/>
  <c r="K30" i="28" s="1"/>
  <c r="AI28" i="1"/>
  <c r="AJ28" i="1" s="1"/>
  <c r="AK28" i="1" s="1"/>
  <c r="AO28" i="1" s="1"/>
  <c r="AI12" i="1"/>
  <c r="AJ12" i="1" s="1"/>
  <c r="AK12" i="1" s="1"/>
  <c r="AO12" i="1" s="1"/>
  <c r="AI44" i="1"/>
  <c r="AJ44" i="1" s="1"/>
  <c r="AK44" i="1" s="1"/>
  <c r="AO44" i="1" s="1"/>
  <c r="AI14" i="1"/>
  <c r="AJ14" i="1" s="1"/>
  <c r="AK14" i="1" s="1"/>
  <c r="AO14" i="1" s="1"/>
  <c r="AI16" i="1"/>
  <c r="AJ16" i="1" s="1"/>
  <c r="AK16" i="1" s="1"/>
  <c r="AO16" i="1" s="1"/>
  <c r="AI18" i="1"/>
  <c r="AJ18" i="1" s="1"/>
  <c r="AK18" i="1" s="1"/>
  <c r="AO18" i="1" s="1"/>
  <c r="AI34" i="1"/>
  <c r="AJ34" i="1" s="1"/>
  <c r="AK34" i="1" s="1"/>
  <c r="AO34" i="1" s="1"/>
  <c r="AI22" i="1"/>
  <c r="AJ22" i="1" s="1"/>
  <c r="AK22" i="1" s="1"/>
  <c r="AO22" i="1" s="1"/>
  <c r="AI54" i="1"/>
  <c r="AJ54" i="1" s="1"/>
  <c r="AK54" i="1" s="1"/>
  <c r="AO54" i="1" s="1"/>
  <c r="AI25" i="1"/>
  <c r="AJ25" i="1" s="1"/>
  <c r="AK25" i="1" s="1"/>
  <c r="AO25" i="1" s="1"/>
  <c r="AP25" i="1" s="1"/>
  <c r="K25" i="28" s="1"/>
  <c r="AI33" i="1"/>
  <c r="AJ33" i="1" s="1"/>
  <c r="AK33" i="1" s="1"/>
  <c r="AO33" i="1" s="1"/>
  <c r="AI46" i="1"/>
  <c r="AJ46" i="1" s="1"/>
  <c r="AK46" i="1" s="1"/>
  <c r="AO46" i="1" s="1"/>
  <c r="AP46" i="1" s="1"/>
  <c r="K46" i="28" s="1"/>
  <c r="AI26" i="1"/>
  <c r="AJ26" i="1" s="1"/>
  <c r="AK26" i="1" s="1"/>
  <c r="AO26" i="1" s="1"/>
  <c r="AI10" i="1"/>
  <c r="AJ10" i="1" s="1"/>
  <c r="AK10" i="1" s="1"/>
  <c r="AO10" i="1" s="1"/>
  <c r="AP10" i="1" s="1"/>
  <c r="K10" i="28" s="1"/>
  <c r="AI13" i="1"/>
  <c r="AJ13" i="1" s="1"/>
  <c r="AK13" i="1" s="1"/>
  <c r="AO13" i="1" s="1"/>
  <c r="AI29" i="1"/>
  <c r="AJ29" i="1" s="1"/>
  <c r="AK29" i="1" s="1"/>
  <c r="AO29" i="1" s="1"/>
  <c r="AP29" i="1" s="1"/>
  <c r="K29" i="28" s="1"/>
  <c r="AI38" i="1"/>
  <c r="AJ38" i="1" s="1"/>
  <c r="AK38" i="1" s="1"/>
  <c r="AO38" i="1" s="1"/>
  <c r="AI53" i="1"/>
  <c r="AJ53" i="1" s="1"/>
  <c r="AK53" i="1" s="1"/>
  <c r="AO53" i="1" s="1"/>
  <c r="AI45" i="1"/>
  <c r="AJ45" i="1" s="1"/>
  <c r="AK45" i="1" s="1"/>
  <c r="AO45" i="1" s="1"/>
  <c r="AI55" i="1"/>
  <c r="AJ55" i="1" s="1"/>
  <c r="AK55" i="1" s="1"/>
  <c r="AO55" i="1" s="1"/>
  <c r="AP55" i="1" s="1"/>
  <c r="K55" i="28" s="1"/>
  <c r="AI47" i="1"/>
  <c r="AJ47" i="1" s="1"/>
  <c r="AK47" i="1" s="1"/>
  <c r="AO47" i="1" s="1"/>
  <c r="AI39" i="1"/>
  <c r="AJ39" i="1" s="1"/>
  <c r="AK39" i="1" s="1"/>
  <c r="AO39" i="1" s="1"/>
  <c r="AP39" i="1" s="1"/>
  <c r="K39" i="28" s="1"/>
  <c r="AI31" i="1"/>
  <c r="AJ31" i="1" s="1"/>
  <c r="AK31" i="1" s="1"/>
  <c r="AO31" i="1" s="1"/>
  <c r="AI23" i="1"/>
  <c r="AJ23" i="1" s="1"/>
  <c r="AK23" i="1" s="1"/>
  <c r="AO23" i="1" s="1"/>
  <c r="AI15" i="1"/>
  <c r="AJ15" i="1" s="1"/>
  <c r="AK15" i="1" s="1"/>
  <c r="AO15" i="1" s="1"/>
  <c r="AI57" i="1"/>
  <c r="AJ57" i="1" s="1"/>
  <c r="AK57" i="1" s="1"/>
  <c r="AO57" i="1" s="1"/>
  <c r="AP57" i="1" s="1"/>
  <c r="K57" i="28" s="1"/>
  <c r="AI49" i="1"/>
  <c r="AJ49" i="1" s="1"/>
  <c r="AK49" i="1" s="1"/>
  <c r="AO49" i="1" s="1"/>
  <c r="AI41" i="1"/>
  <c r="AJ41" i="1" s="1"/>
  <c r="AK41" i="1" s="1"/>
  <c r="AO41" i="1" s="1"/>
  <c r="AP41" i="1" s="1"/>
  <c r="K41" i="28" s="1"/>
  <c r="AI56" i="1"/>
  <c r="AJ56" i="1" s="1"/>
  <c r="AK56" i="1" s="1"/>
  <c r="AO56" i="1" s="1"/>
  <c r="AI51" i="1"/>
  <c r="AJ51" i="1" s="1"/>
  <c r="AK51" i="1" s="1"/>
  <c r="AO51" i="1" s="1"/>
  <c r="AI43" i="1"/>
  <c r="AJ43" i="1" s="1"/>
  <c r="AK43" i="1" s="1"/>
  <c r="AO43" i="1" s="1"/>
  <c r="AI35" i="1"/>
  <c r="AJ35" i="1" s="1"/>
  <c r="AK35" i="1" s="1"/>
  <c r="AO35" i="1" s="1"/>
  <c r="AP35" i="1" s="1"/>
  <c r="K35" i="28" s="1"/>
  <c r="AI27" i="1"/>
  <c r="AJ27" i="1" s="1"/>
  <c r="AK27" i="1" s="1"/>
  <c r="AO27" i="1" s="1"/>
  <c r="AI19" i="1"/>
  <c r="AJ19" i="1" s="1"/>
  <c r="AK19" i="1" s="1"/>
  <c r="AO19" i="1" s="1"/>
  <c r="AI11" i="1"/>
  <c r="AJ11" i="1" s="1"/>
  <c r="AK11" i="1" s="1"/>
  <c r="AO11" i="1" s="1"/>
  <c r="AN7" i="1"/>
  <c r="AP45" i="1"/>
  <c r="K45" i="28" s="1"/>
  <c r="AI7" i="1"/>
  <c r="AI9" i="1"/>
  <c r="AJ9" i="1" s="1"/>
  <c r="AK9" i="1" s="1"/>
  <c r="AO9" i="1" s="1"/>
  <c r="AP8" i="1"/>
  <c r="K8" i="28" s="1"/>
  <c r="AP47" i="1"/>
  <c r="K47" i="28" s="1"/>
  <c r="AP54" i="1"/>
  <c r="K54" i="28" s="1"/>
  <c r="AP33" i="1"/>
  <c r="K33" i="28" s="1"/>
  <c r="AP11" i="1"/>
  <c r="K11" i="28" s="1"/>
  <c r="AP31" i="1"/>
  <c r="K31" i="28" s="1"/>
  <c r="AP21" i="1"/>
  <c r="K21" i="28" s="1"/>
  <c r="AP28" i="1"/>
  <c r="K28" i="28" s="1"/>
  <c r="AP14" i="1"/>
  <c r="K14" i="28" s="1"/>
  <c r="AP56" i="1"/>
  <c r="K56" i="28" s="1"/>
  <c r="AP19" i="1"/>
  <c r="K19" i="28" s="1"/>
  <c r="AP44" i="1"/>
  <c r="K44" i="28" s="1"/>
  <c r="AP20" i="1"/>
  <c r="K20" i="28" s="1"/>
  <c r="AP42" i="1"/>
  <c r="K42" i="28" s="1"/>
  <c r="AP53" i="1"/>
  <c r="K53" i="28" s="1"/>
  <c r="AP27" i="1"/>
  <c r="K27" i="28" s="1"/>
  <c r="AP24" i="1"/>
  <c r="K24" i="28" s="1"/>
  <c r="AP16" i="1"/>
  <c r="K16" i="28" s="1"/>
  <c r="AP38" i="1"/>
  <c r="K38" i="28" s="1"/>
  <c r="AP26" i="1"/>
  <c r="K26" i="28" s="1"/>
  <c r="AP12" i="1"/>
  <c r="K12" i="28" s="1"/>
  <c r="AP50" i="1"/>
  <c r="K50" i="28" s="1"/>
  <c r="AP40" i="1"/>
  <c r="K40" i="28" s="1"/>
  <c r="AP34" i="1"/>
  <c r="K34" i="28" s="1"/>
  <c r="AP48" i="1"/>
  <c r="K48" i="28" s="1"/>
  <c r="AP9" i="1"/>
  <c r="K9" i="28" s="1"/>
  <c r="AP23" i="1"/>
  <c r="K23" i="28" s="1"/>
  <c r="AP15" i="1"/>
  <c r="K15" i="28" s="1"/>
  <c r="AP51" i="1"/>
  <c r="K51" i="28" s="1"/>
  <c r="AP22" i="1"/>
  <c r="K22" i="28" s="1"/>
  <c r="AP13" i="1"/>
  <c r="K13" i="28" s="1"/>
  <c r="AP49" i="1"/>
  <c r="K49" i="28" s="1"/>
  <c r="AP43" i="1"/>
  <c r="K43" i="28" s="1"/>
  <c r="AP18" i="1"/>
  <c r="K18" i="28" s="1"/>
  <c r="AN58" i="1"/>
  <c r="AJ7" i="1" l="1"/>
  <c r="AI58" i="1"/>
  <c r="AK7" i="1" l="1"/>
  <c r="AJ58" i="1"/>
  <c r="AK58" i="1" l="1"/>
  <c r="AO7" i="1"/>
  <c r="AO58" i="1" l="1"/>
  <c r="AP7" i="1"/>
  <c r="K7" i="28" l="1"/>
  <c r="AP58" i="1"/>
  <c r="K58" i="28"/>
  <c r="AQ7" i="1" l="1"/>
  <c r="AQ34" i="1"/>
  <c r="H35" i="36" s="1"/>
  <c r="L35" i="36" s="1"/>
  <c r="M35" i="36" s="1"/>
  <c r="AQ44" i="1"/>
  <c r="H45" i="36" s="1"/>
  <c r="L45" i="36" s="1"/>
  <c r="M45" i="36" s="1"/>
  <c r="AQ47" i="1"/>
  <c r="H48" i="36" s="1"/>
  <c r="L48" i="36" s="1"/>
  <c r="M48" i="36" s="1"/>
  <c r="AQ21" i="1"/>
  <c r="H22" i="36" s="1"/>
  <c r="L22" i="36" s="1"/>
  <c r="M22" i="36" s="1"/>
  <c r="AQ36" i="1"/>
  <c r="H37" i="36" s="1"/>
  <c r="L37" i="36" s="1"/>
  <c r="M37" i="36" s="1"/>
  <c r="AQ54" i="1"/>
  <c r="H55" i="36" s="1"/>
  <c r="L55" i="36" s="1"/>
  <c r="M55" i="36" s="1"/>
  <c r="AQ31" i="1"/>
  <c r="H32" i="36" s="1"/>
  <c r="L32" i="36" s="1"/>
  <c r="M32" i="36" s="1"/>
  <c r="AQ48" i="1"/>
  <c r="H49" i="36" s="1"/>
  <c r="L49" i="36" s="1"/>
  <c r="M49" i="36" s="1"/>
  <c r="AQ45" i="1"/>
  <c r="H46" i="36" s="1"/>
  <c r="L46" i="36" s="1"/>
  <c r="M46" i="36" s="1"/>
  <c r="AQ14" i="1"/>
  <c r="H15" i="36" s="1"/>
  <c r="L15" i="36" s="1"/>
  <c r="M15" i="36" s="1"/>
  <c r="AQ46" i="1"/>
  <c r="H47" i="36" s="1"/>
  <c r="L47" i="36" s="1"/>
  <c r="M47" i="36" s="1"/>
  <c r="AQ39" i="1"/>
  <c r="H40" i="36" s="1"/>
  <c r="L40" i="36" s="1"/>
  <c r="M40" i="36" s="1"/>
  <c r="AQ50" i="1"/>
  <c r="H51" i="36" s="1"/>
  <c r="L51" i="36" s="1"/>
  <c r="M51" i="36" s="1"/>
  <c r="AQ51" i="1"/>
  <c r="H52" i="36" s="1"/>
  <c r="L52" i="36" s="1"/>
  <c r="M52" i="36" s="1"/>
  <c r="AQ22" i="1"/>
  <c r="H23" i="36" s="1"/>
  <c r="L23" i="36" s="1"/>
  <c r="M23" i="36" s="1"/>
  <c r="AQ29" i="1"/>
  <c r="H30" i="36" s="1"/>
  <c r="L30" i="36" s="1"/>
  <c r="M30" i="36" s="1"/>
  <c r="AQ8" i="1"/>
  <c r="H9" i="36" s="1"/>
  <c r="L9" i="36" s="1"/>
  <c r="M9" i="36" s="1"/>
  <c r="AQ9" i="1"/>
  <c r="H10" i="36" s="1"/>
  <c r="L10" i="36" s="1"/>
  <c r="M10" i="36" s="1"/>
  <c r="AQ57" i="1"/>
  <c r="H58" i="36" s="1"/>
  <c r="L58" i="36" s="1"/>
  <c r="M58" i="36" s="1"/>
  <c r="AQ56" i="1"/>
  <c r="H57" i="36" s="1"/>
  <c r="L57" i="36" s="1"/>
  <c r="M57" i="36" s="1"/>
  <c r="AQ23" i="1"/>
  <c r="H24" i="36" s="1"/>
  <c r="L24" i="36" s="1"/>
  <c r="M24" i="36" s="1"/>
  <c r="AQ11" i="1"/>
  <c r="H12" i="36" s="1"/>
  <c r="L12" i="36" s="1"/>
  <c r="M12" i="36" s="1"/>
  <c r="AQ17" i="1"/>
  <c r="H18" i="36" s="1"/>
  <c r="L18" i="36" s="1"/>
  <c r="M18" i="36" s="1"/>
  <c r="AQ13" i="1"/>
  <c r="H14" i="36" s="1"/>
  <c r="L14" i="36" s="1"/>
  <c r="M14" i="36" s="1"/>
  <c r="AQ49" i="1"/>
  <c r="H50" i="36" s="1"/>
  <c r="L50" i="36" s="1"/>
  <c r="M50" i="36" s="1"/>
  <c r="AQ10" i="1"/>
  <c r="H11" i="36" s="1"/>
  <c r="L11" i="36" s="1"/>
  <c r="M11" i="36" s="1"/>
  <c r="AQ42" i="1"/>
  <c r="H43" i="36" s="1"/>
  <c r="L43" i="36" s="1"/>
  <c r="M43" i="36" s="1"/>
  <c r="AQ35" i="1"/>
  <c r="H36" i="36" s="1"/>
  <c r="L36" i="36" s="1"/>
  <c r="M36" i="36" s="1"/>
  <c r="AQ16" i="1"/>
  <c r="H17" i="36" s="1"/>
  <c r="L17" i="36" s="1"/>
  <c r="M17" i="36" s="1"/>
  <c r="AQ33" i="1"/>
  <c r="H34" i="36" s="1"/>
  <c r="L34" i="36" s="1"/>
  <c r="M34" i="36" s="1"/>
  <c r="AQ24" i="1"/>
  <c r="H25" i="36" s="1"/>
  <c r="L25" i="36" s="1"/>
  <c r="M25" i="36" s="1"/>
  <c r="AQ19" i="1"/>
  <c r="H20" i="36" s="1"/>
  <c r="L20" i="36" s="1"/>
  <c r="M20" i="36" s="1"/>
  <c r="AQ15" i="1"/>
  <c r="H16" i="36" s="1"/>
  <c r="L16" i="36" s="1"/>
  <c r="M16" i="36" s="1"/>
  <c r="AQ18" i="1"/>
  <c r="H19" i="36" s="1"/>
  <c r="L19" i="36" s="1"/>
  <c r="M19" i="36" s="1"/>
  <c r="AQ53" i="1"/>
  <c r="H54" i="36" s="1"/>
  <c r="L54" i="36" s="1"/>
  <c r="M54" i="36" s="1"/>
  <c r="AQ37" i="1"/>
  <c r="H38" i="36" s="1"/>
  <c r="L38" i="36" s="1"/>
  <c r="M38" i="36" s="1"/>
  <c r="AQ12" i="1"/>
  <c r="H13" i="36" s="1"/>
  <c r="L13" i="36" s="1"/>
  <c r="M13" i="36" s="1"/>
  <c r="AQ25" i="1"/>
  <c r="H26" i="36" s="1"/>
  <c r="L26" i="36" s="1"/>
  <c r="M26" i="36" s="1"/>
  <c r="AQ26" i="1"/>
  <c r="H27" i="36" s="1"/>
  <c r="L27" i="36" s="1"/>
  <c r="M27" i="36" s="1"/>
  <c r="AQ38" i="1"/>
  <c r="H39" i="36" s="1"/>
  <c r="L39" i="36" s="1"/>
  <c r="M39" i="36" s="1"/>
  <c r="AQ41" i="1"/>
  <c r="H42" i="36" s="1"/>
  <c r="L42" i="36" s="1"/>
  <c r="M42" i="36" s="1"/>
  <c r="AQ52" i="1"/>
  <c r="H53" i="36" s="1"/>
  <c r="L53" i="36" s="1"/>
  <c r="M53" i="36" s="1"/>
  <c r="AQ27" i="1"/>
  <c r="H28" i="36" s="1"/>
  <c r="L28" i="36" s="1"/>
  <c r="M28" i="36" s="1"/>
  <c r="AQ32" i="1"/>
  <c r="H33" i="36" s="1"/>
  <c r="L33" i="36" s="1"/>
  <c r="M33" i="36" s="1"/>
  <c r="AQ55" i="1"/>
  <c r="H56" i="36" s="1"/>
  <c r="L56" i="36" s="1"/>
  <c r="M56" i="36" s="1"/>
  <c r="AQ30" i="1"/>
  <c r="H31" i="36" s="1"/>
  <c r="L31" i="36" s="1"/>
  <c r="M31" i="36" s="1"/>
  <c r="AQ20" i="1"/>
  <c r="H21" i="36" s="1"/>
  <c r="L21" i="36" s="1"/>
  <c r="M21" i="36" s="1"/>
  <c r="AQ40" i="1"/>
  <c r="H41" i="36" s="1"/>
  <c r="L41" i="36" s="1"/>
  <c r="M41" i="36" s="1"/>
  <c r="AQ43" i="1"/>
  <c r="H44" i="36" s="1"/>
  <c r="L44" i="36" s="1"/>
  <c r="M44" i="36" s="1"/>
  <c r="AQ28" i="1"/>
  <c r="H29" i="36" s="1"/>
  <c r="L29" i="36" s="1"/>
  <c r="M29" i="36" s="1"/>
  <c r="K59" i="28"/>
  <c r="H8" i="36" l="1"/>
  <c r="AQ58" i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L8" i="36" l="1"/>
  <c r="H59" i="36"/>
  <c r="J58" i="28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M8" i="36" l="1"/>
  <c r="M59" i="36" s="1"/>
  <c r="L59" i="36"/>
  <c r="N15" i="28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N8" i="36" l="1"/>
  <c r="N41" i="36"/>
  <c r="I39" i="42" s="1"/>
  <c r="N33" i="36"/>
  <c r="I31" i="42" s="1"/>
  <c r="N39" i="36"/>
  <c r="I37" i="42" s="1"/>
  <c r="N38" i="36"/>
  <c r="I36" i="42" s="1"/>
  <c r="N20" i="36"/>
  <c r="I18" i="42" s="1"/>
  <c r="N36" i="36"/>
  <c r="I34" i="42" s="1"/>
  <c r="N14" i="36"/>
  <c r="I12" i="42" s="1"/>
  <c r="N57" i="36"/>
  <c r="I55" i="42" s="1"/>
  <c r="N30" i="36"/>
  <c r="I28" i="42" s="1"/>
  <c r="N40" i="36"/>
  <c r="I38" i="42" s="1"/>
  <c r="N49" i="36"/>
  <c r="I47" i="42" s="1"/>
  <c r="N22" i="36"/>
  <c r="I20" i="42" s="1"/>
  <c r="N44" i="36"/>
  <c r="I42" i="42" s="1"/>
  <c r="N56" i="36"/>
  <c r="I54" i="42" s="1"/>
  <c r="N42" i="36"/>
  <c r="I40" i="42" s="1"/>
  <c r="N13" i="36"/>
  <c r="I11" i="42" s="1"/>
  <c r="N16" i="36"/>
  <c r="I14" i="42" s="1"/>
  <c r="N17" i="36"/>
  <c r="I15" i="42" s="1"/>
  <c r="N50" i="36"/>
  <c r="I48" i="42" s="1"/>
  <c r="N24" i="36"/>
  <c r="I22" i="42" s="1"/>
  <c r="N9" i="36"/>
  <c r="I7" i="42" s="1"/>
  <c r="N51" i="36"/>
  <c r="I49" i="42" s="1"/>
  <c r="N46" i="36"/>
  <c r="I44" i="42" s="1"/>
  <c r="N37" i="36"/>
  <c r="I35" i="42" s="1"/>
  <c r="N35" i="36"/>
  <c r="I33" i="42" s="1"/>
  <c r="N29" i="36"/>
  <c r="I27" i="42" s="1"/>
  <c r="N31" i="36"/>
  <c r="I29" i="42" s="1"/>
  <c r="N53" i="36"/>
  <c r="I51" i="42" s="1"/>
  <c r="N26" i="36"/>
  <c r="I24" i="42" s="1"/>
  <c r="N19" i="36"/>
  <c r="I17" i="42" s="1"/>
  <c r="N34" i="36"/>
  <c r="I32" i="42" s="1"/>
  <c r="N11" i="36"/>
  <c r="I9" i="42" s="1"/>
  <c r="N12" i="36"/>
  <c r="I10" i="42" s="1"/>
  <c r="N10" i="36"/>
  <c r="I8" i="42" s="1"/>
  <c r="N52" i="36"/>
  <c r="I50" i="42" s="1"/>
  <c r="N15" i="36"/>
  <c r="I13" i="42" s="1"/>
  <c r="N55" i="36"/>
  <c r="I53" i="42" s="1"/>
  <c r="N45" i="36"/>
  <c r="I43" i="42" s="1"/>
  <c r="N21" i="36"/>
  <c r="I19" i="42" s="1"/>
  <c r="N28" i="36"/>
  <c r="I26" i="42" s="1"/>
  <c r="N27" i="36"/>
  <c r="I25" i="42" s="1"/>
  <c r="N54" i="36"/>
  <c r="I52" i="42" s="1"/>
  <c r="N25" i="36"/>
  <c r="I23" i="42" s="1"/>
  <c r="N43" i="36"/>
  <c r="I41" i="42" s="1"/>
  <c r="N18" i="36"/>
  <c r="I16" i="42" s="1"/>
  <c r="N58" i="36"/>
  <c r="I56" i="42" s="1"/>
  <c r="N23" i="36"/>
  <c r="I21" i="42" s="1"/>
  <c r="N47" i="36"/>
  <c r="I45" i="42" s="1"/>
  <c r="N32" i="36"/>
  <c r="I30" i="42" s="1"/>
  <c r="N48" i="36"/>
  <c r="I46" i="42" s="1"/>
  <c r="O58" i="28"/>
  <c r="Q58" i="28"/>
  <c r="N58" i="28"/>
  <c r="I6" i="42" l="1"/>
  <c r="N59" i="36"/>
  <c r="R4" i="28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T46" i="28"/>
  <c r="T21" i="28"/>
  <c r="T51" i="28"/>
  <c r="T34" i="28"/>
  <c r="H45" i="42" l="1"/>
  <c r="G45" i="42"/>
  <c r="D45" i="42"/>
  <c r="F45" i="42"/>
  <c r="C45" i="42"/>
  <c r="B45" i="42"/>
  <c r="U34" i="28"/>
  <c r="U51" i="28"/>
  <c r="U21" i="28"/>
  <c r="E45" i="42"/>
  <c r="T58" i="28"/>
  <c r="U50" i="28"/>
  <c r="U13" i="28"/>
  <c r="U56" i="28"/>
  <c r="U55" i="28"/>
  <c r="U24" i="28"/>
  <c r="U33" i="28"/>
  <c r="U10" i="28"/>
  <c r="U37" i="28"/>
  <c r="U31" i="28"/>
  <c r="U12" i="28"/>
  <c r="U18" i="28"/>
  <c r="U26" i="28"/>
  <c r="U45" i="28"/>
  <c r="U47" i="28"/>
  <c r="U38" i="28"/>
  <c r="U42" i="28"/>
  <c r="U32" i="28"/>
  <c r="U28" i="28"/>
  <c r="U19" i="28"/>
  <c r="U15" i="28"/>
  <c r="U27" i="28"/>
  <c r="U35" i="28"/>
  <c r="U54" i="28"/>
  <c r="U53" i="28"/>
  <c r="U17" i="28"/>
  <c r="U8" i="28"/>
  <c r="U39" i="28"/>
  <c r="U48" i="28"/>
  <c r="U57" i="28"/>
  <c r="U22" i="28"/>
  <c r="U7" i="28"/>
  <c r="U44" i="28"/>
  <c r="U9" i="28"/>
  <c r="U16" i="28"/>
  <c r="U23" i="28"/>
  <c r="U20" i="28"/>
  <c r="U40" i="28"/>
  <c r="U52" i="28"/>
  <c r="U36" i="28"/>
  <c r="U30" i="28"/>
  <c r="U41" i="28"/>
  <c r="U43" i="28"/>
  <c r="U49" i="28"/>
  <c r="U14" i="28"/>
  <c r="U11" i="28"/>
  <c r="U25" i="28"/>
  <c r="U29" i="28"/>
  <c r="G19" i="42" l="1"/>
  <c r="H19" i="42"/>
  <c r="D19" i="42"/>
  <c r="B19" i="42"/>
  <c r="F19" i="42"/>
  <c r="C19" i="42"/>
  <c r="H52" i="42"/>
  <c r="G52" i="42"/>
  <c r="D52" i="42"/>
  <c r="F52" i="42"/>
  <c r="B52" i="42"/>
  <c r="C52" i="42"/>
  <c r="G25" i="42"/>
  <c r="H25" i="42"/>
  <c r="D25" i="42"/>
  <c r="C25" i="42"/>
  <c r="B25" i="42"/>
  <c r="F25" i="42"/>
  <c r="G54" i="42"/>
  <c r="H54" i="42"/>
  <c r="D54" i="42"/>
  <c r="F54" i="42"/>
  <c r="B54" i="42"/>
  <c r="C54" i="42"/>
  <c r="H33" i="42"/>
  <c r="G33" i="42"/>
  <c r="D33" i="42"/>
  <c r="B33" i="42"/>
  <c r="F33" i="42"/>
  <c r="C33" i="42"/>
  <c r="G48" i="42"/>
  <c r="H48" i="42"/>
  <c r="D48" i="42"/>
  <c r="C48" i="42"/>
  <c r="B48" i="42"/>
  <c r="F48" i="42"/>
  <c r="H6" i="42"/>
  <c r="G6" i="42"/>
  <c r="D6" i="42"/>
  <c r="F6" i="42"/>
  <c r="C6" i="42"/>
  <c r="B6" i="42"/>
  <c r="G53" i="42"/>
  <c r="H53" i="42"/>
  <c r="D53" i="42"/>
  <c r="F53" i="42"/>
  <c r="C53" i="42"/>
  <c r="B53" i="42"/>
  <c r="H37" i="42"/>
  <c r="G37" i="42"/>
  <c r="D37" i="42"/>
  <c r="C37" i="42"/>
  <c r="F37" i="42"/>
  <c r="B37" i="42"/>
  <c r="G9" i="42"/>
  <c r="H9" i="42"/>
  <c r="D9" i="42"/>
  <c r="F9" i="42"/>
  <c r="C9" i="42"/>
  <c r="B9" i="42"/>
  <c r="G55" i="42"/>
  <c r="H55" i="42"/>
  <c r="D55" i="42"/>
  <c r="B55" i="42"/>
  <c r="F55" i="42"/>
  <c r="C55" i="42"/>
  <c r="G42" i="42"/>
  <c r="H42" i="42"/>
  <c r="D42" i="42"/>
  <c r="C42" i="42"/>
  <c r="B42" i="42"/>
  <c r="F42" i="42"/>
  <c r="G7" i="42"/>
  <c r="H7" i="42"/>
  <c r="D7" i="42"/>
  <c r="B7" i="42"/>
  <c r="F7" i="42"/>
  <c r="C7" i="42"/>
  <c r="H11" i="42"/>
  <c r="G11" i="42"/>
  <c r="D11" i="42"/>
  <c r="F11" i="42"/>
  <c r="C11" i="42"/>
  <c r="B11" i="42"/>
  <c r="G20" i="42"/>
  <c r="H20" i="42"/>
  <c r="D20" i="42"/>
  <c r="F20" i="42"/>
  <c r="C20" i="42"/>
  <c r="B20" i="42"/>
  <c r="H13" i="42"/>
  <c r="G13" i="42"/>
  <c r="D13" i="42"/>
  <c r="B13" i="42"/>
  <c r="F13" i="42"/>
  <c r="C13" i="42"/>
  <c r="H29" i="42"/>
  <c r="G29" i="42"/>
  <c r="D29" i="42"/>
  <c r="F29" i="42"/>
  <c r="C29" i="42"/>
  <c r="B29" i="42"/>
  <c r="G43" i="42"/>
  <c r="H43" i="42"/>
  <c r="D43" i="42"/>
  <c r="F43" i="42"/>
  <c r="C43" i="42"/>
  <c r="B43" i="42"/>
  <c r="G47" i="42"/>
  <c r="H47" i="42"/>
  <c r="D47" i="42"/>
  <c r="C47" i="42"/>
  <c r="B47" i="42"/>
  <c r="F47" i="42"/>
  <c r="G14" i="42"/>
  <c r="H14" i="42"/>
  <c r="D14" i="42"/>
  <c r="C14" i="42"/>
  <c r="B14" i="42"/>
  <c r="F14" i="42"/>
  <c r="G41" i="42"/>
  <c r="H41" i="42"/>
  <c r="D41" i="42"/>
  <c r="C41" i="42"/>
  <c r="B41" i="42"/>
  <c r="F41" i="42"/>
  <c r="H36" i="42"/>
  <c r="G36" i="42"/>
  <c r="D36" i="42"/>
  <c r="B36" i="42"/>
  <c r="F36" i="42"/>
  <c r="C36" i="42"/>
  <c r="G28" i="42"/>
  <c r="H28" i="42"/>
  <c r="D28" i="42"/>
  <c r="C28" i="42"/>
  <c r="B28" i="42"/>
  <c r="F28" i="42"/>
  <c r="G35" i="42"/>
  <c r="H35" i="42"/>
  <c r="D35" i="42"/>
  <c r="C35" i="42"/>
  <c r="B35" i="42"/>
  <c r="F35" i="42"/>
  <c r="G22" i="42"/>
  <c r="H22" i="42"/>
  <c r="D22" i="42"/>
  <c r="F22" i="42"/>
  <c r="B22" i="42"/>
  <c r="C22" i="42"/>
  <c r="G38" i="42"/>
  <c r="H38" i="42"/>
  <c r="D38" i="42"/>
  <c r="F38" i="42"/>
  <c r="B38" i="42"/>
  <c r="C38" i="42"/>
  <c r="G18" i="42"/>
  <c r="H18" i="42"/>
  <c r="D18" i="42"/>
  <c r="B18" i="42"/>
  <c r="F18" i="42"/>
  <c r="C18" i="42"/>
  <c r="G17" i="42"/>
  <c r="H17" i="42"/>
  <c r="D17" i="42"/>
  <c r="C17" i="42"/>
  <c r="B17" i="42"/>
  <c r="F17" i="42"/>
  <c r="J45" i="42"/>
  <c r="G24" i="42"/>
  <c r="H24" i="42"/>
  <c r="D24" i="42"/>
  <c r="F24" i="42"/>
  <c r="B24" i="42"/>
  <c r="C24" i="42"/>
  <c r="G51" i="42"/>
  <c r="H51" i="42"/>
  <c r="D51" i="42"/>
  <c r="B51" i="42"/>
  <c r="F51" i="42"/>
  <c r="C51" i="42"/>
  <c r="G15" i="42"/>
  <c r="H15" i="42"/>
  <c r="D15" i="42"/>
  <c r="C15" i="42"/>
  <c r="B15" i="42"/>
  <c r="F15" i="42"/>
  <c r="H21" i="42"/>
  <c r="G21" i="42"/>
  <c r="D21" i="42"/>
  <c r="B21" i="42"/>
  <c r="F21" i="42"/>
  <c r="C21" i="42"/>
  <c r="G34" i="42"/>
  <c r="H34" i="42"/>
  <c r="D34" i="42"/>
  <c r="F34" i="42"/>
  <c r="B34" i="42"/>
  <c r="C34" i="42"/>
  <c r="G27" i="42"/>
  <c r="H27" i="42"/>
  <c r="D27" i="42"/>
  <c r="F27" i="42"/>
  <c r="C27" i="42"/>
  <c r="B27" i="42"/>
  <c r="G46" i="42"/>
  <c r="H46" i="42"/>
  <c r="D46" i="42"/>
  <c r="C46" i="42"/>
  <c r="F46" i="42"/>
  <c r="B46" i="42"/>
  <c r="H32" i="42"/>
  <c r="G32" i="42"/>
  <c r="D32" i="42"/>
  <c r="F32" i="42"/>
  <c r="C32" i="42"/>
  <c r="B32" i="42"/>
  <c r="G12" i="42"/>
  <c r="H12" i="42"/>
  <c r="D12" i="42"/>
  <c r="C12" i="42"/>
  <c r="F12" i="42"/>
  <c r="B12" i="42"/>
  <c r="G10" i="42"/>
  <c r="H10" i="42"/>
  <c r="D10" i="42"/>
  <c r="C10" i="42"/>
  <c r="B10" i="42"/>
  <c r="F10" i="42"/>
  <c r="G40" i="42"/>
  <c r="H40" i="42"/>
  <c r="D40" i="42"/>
  <c r="F40" i="42"/>
  <c r="C40" i="42"/>
  <c r="B40" i="42"/>
  <c r="G39" i="42"/>
  <c r="H39" i="42"/>
  <c r="D39" i="42"/>
  <c r="B39" i="42"/>
  <c r="F39" i="42"/>
  <c r="C39" i="42"/>
  <c r="G8" i="42"/>
  <c r="H8" i="42"/>
  <c r="D8" i="42"/>
  <c r="F8" i="42"/>
  <c r="C8" i="42"/>
  <c r="B8" i="42"/>
  <c r="G56" i="42"/>
  <c r="H56" i="42"/>
  <c r="D56" i="42"/>
  <c r="F56" i="42"/>
  <c r="B56" i="42"/>
  <c r="C56" i="42"/>
  <c r="H16" i="42"/>
  <c r="G16" i="42"/>
  <c r="D16" i="42"/>
  <c r="C16" i="42"/>
  <c r="B16" i="42"/>
  <c r="F16" i="42"/>
  <c r="G26" i="42"/>
  <c r="H26" i="42"/>
  <c r="D26" i="42"/>
  <c r="C26" i="42"/>
  <c r="B26" i="42"/>
  <c r="F26" i="42"/>
  <c r="G31" i="42"/>
  <c r="H31" i="42"/>
  <c r="D31" i="42"/>
  <c r="C31" i="42"/>
  <c r="B31" i="42"/>
  <c r="F31" i="42"/>
  <c r="G44" i="42"/>
  <c r="H44" i="42"/>
  <c r="D44" i="42"/>
  <c r="B44" i="42"/>
  <c r="C44" i="42"/>
  <c r="F44" i="42"/>
  <c r="H30" i="42"/>
  <c r="G30" i="42"/>
  <c r="D30" i="42"/>
  <c r="C30" i="42"/>
  <c r="F30" i="42"/>
  <c r="B30" i="42"/>
  <c r="G23" i="42"/>
  <c r="H23" i="42"/>
  <c r="D23" i="42"/>
  <c r="B23" i="42"/>
  <c r="F23" i="42"/>
  <c r="C23" i="42"/>
  <c r="G49" i="42"/>
  <c r="H49" i="42"/>
  <c r="D49" i="42"/>
  <c r="B49" i="42"/>
  <c r="F49" i="42"/>
  <c r="C49" i="42"/>
  <c r="G50" i="42"/>
  <c r="H50" i="42"/>
  <c r="D50" i="42"/>
  <c r="F50" i="42"/>
  <c r="B50" i="42"/>
  <c r="C50" i="42"/>
  <c r="E33" i="42"/>
  <c r="E50" i="42"/>
  <c r="E20" i="42"/>
  <c r="E24" i="42"/>
  <c r="E13" i="42"/>
  <c r="E42" i="42"/>
  <c r="E29" i="42"/>
  <c r="E51" i="42"/>
  <c r="E19" i="42"/>
  <c r="E15" i="42"/>
  <c r="E43" i="42"/>
  <c r="E21" i="42"/>
  <c r="E47" i="42"/>
  <c r="E7" i="42"/>
  <c r="E52" i="42"/>
  <c r="E34" i="42"/>
  <c r="E14" i="42"/>
  <c r="E27" i="42"/>
  <c r="E41" i="42"/>
  <c r="E46" i="42"/>
  <c r="E25" i="42"/>
  <c r="E11" i="42"/>
  <c r="E36" i="42"/>
  <c r="E32" i="42"/>
  <c r="E54" i="42"/>
  <c r="E12" i="42"/>
  <c r="E28" i="42"/>
  <c r="E10" i="42"/>
  <c r="E48" i="42"/>
  <c r="E40" i="42"/>
  <c r="E35" i="42"/>
  <c r="E39" i="42"/>
  <c r="E22" i="42"/>
  <c r="E8" i="42"/>
  <c r="U58" i="28"/>
  <c r="E6" i="42"/>
  <c r="E56" i="42"/>
  <c r="E38" i="42"/>
  <c r="E16" i="42"/>
  <c r="E53" i="42"/>
  <c r="E26" i="42"/>
  <c r="E18" i="42"/>
  <c r="E31" i="42"/>
  <c r="E37" i="42"/>
  <c r="E44" i="42"/>
  <c r="E17" i="42"/>
  <c r="E30" i="42"/>
  <c r="E9" i="42"/>
  <c r="E23" i="42"/>
  <c r="E55" i="42"/>
  <c r="E49" i="42"/>
  <c r="J9" i="42" l="1"/>
  <c r="J37" i="42"/>
  <c r="J53" i="42"/>
  <c r="J6" i="42"/>
  <c r="J39" i="42"/>
  <c r="J10" i="42"/>
  <c r="J32" i="42"/>
  <c r="J46" i="42"/>
  <c r="J34" i="42"/>
  <c r="J21" i="42"/>
  <c r="J51" i="42"/>
  <c r="J24" i="42"/>
  <c r="J55" i="42"/>
  <c r="J11" i="42"/>
  <c r="J7" i="42"/>
  <c r="J42" i="42"/>
  <c r="C57" i="42"/>
  <c r="G57" i="42"/>
  <c r="J49" i="42"/>
  <c r="J30" i="42"/>
  <c r="J31" i="42"/>
  <c r="J16" i="42"/>
  <c r="J35" i="42"/>
  <c r="J28" i="42"/>
  <c r="J36" i="42"/>
  <c r="J41" i="42"/>
  <c r="J52" i="42"/>
  <c r="J43" i="42"/>
  <c r="J29" i="42"/>
  <c r="J20" i="42"/>
  <c r="F57" i="42"/>
  <c r="H57" i="42"/>
  <c r="J17" i="42"/>
  <c r="J18" i="42"/>
  <c r="J38" i="42"/>
  <c r="J8" i="42"/>
  <c r="J40" i="42"/>
  <c r="J12" i="42"/>
  <c r="J27" i="42"/>
  <c r="J15" i="42"/>
  <c r="J50" i="42"/>
  <c r="D57" i="42"/>
  <c r="J23" i="42"/>
  <c r="J44" i="42"/>
  <c r="J26" i="42"/>
  <c r="J56" i="42"/>
  <c r="J22" i="42"/>
  <c r="J48" i="42"/>
  <c r="J54" i="42"/>
  <c r="J25" i="42"/>
  <c r="J14" i="42"/>
  <c r="J47" i="42"/>
  <c r="J19" i="42"/>
  <c r="J13" i="42"/>
  <c r="J33" i="42"/>
  <c r="B57" i="42"/>
  <c r="I57" i="42"/>
  <c r="E57" i="42"/>
  <c r="J57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<sst xmlns="http://schemas.openxmlformats.org/spreadsheetml/2006/main" count="406" uniqueCount="202">
  <si>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</si>
  <si>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</si>
  <si>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</si>
  <si>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</si>
  <si>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</si>
  <si>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</si>
  <si>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</si>
  <si>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</si>
  <si>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</si>
  <si>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</si>
  <si>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</si>
  <si>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</si>
  <si>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</si>
  <si>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</si>
  <si>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</si>
  <si>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</si>
  <si>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</si>
  <si>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</si>
  <si>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</si>
  <si>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</si>
  <si>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</si>
  <si>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</si>
  <si>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</si>
  <si>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</si>
  <si>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</si>
  <si>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</si>
  <si>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</si>
  <si>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</si>
  <si>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</si>
  <si>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</si>
  <si>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</si>
  <si>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</si>
  <si>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</si>
  <si>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</si>
  <si>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</si>
  <si>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</si>
  <si>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</si>
  <si>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</si>
  <si>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</si>
  <si>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</si>
  <si>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</si>
  <si>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</si>
  <si>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</si>
  <si>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</si>
  <si>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</si>
  <si>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</si>
  <si>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</si>
  <si>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</si>
  <si>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</si>
  <si>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</si>
  <si>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</si>
  <si>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</si>
  <si>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</si>
  <si>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</si>
  <si>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</si>
  <si>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</si>
  <si>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</si>
  <si>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</si>
  <si>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</si>
  <si>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</si>
  <si>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</si>
  <si>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</si>
  <si>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</si>
  <si>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</si>
  <si>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</si>
  <si>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</si>
  <si>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</si>
  <si>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</si>
  <si>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</si>
  <si>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</si>
  <si>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</si>
  <si>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</si>
  <si>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</si>
  <si>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</si>
  <si>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</si>
  <si>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</si>
  <si>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</si>
  <si>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</si>
  <si>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</si>
  <si>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</si>
  <si>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</si>
  <si>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</si>
  <si>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</si>
  <si>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</si>
  <si>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</si>
  <si>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</si>
  <si>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</si>
  <si>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</si>
  <si>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</si>
  <si>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</si>
  <si>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</si>
  <si>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</si>
  <si>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</si>
  <si>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</si>
  <si>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</si>
  <si>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</si>
  <si>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</si>
  <si>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</si>
  <si>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</si>
  <si>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</si>
  <si>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</si>
  <si>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</si>
  <si>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</si>
  <si>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</si>
  <si>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</si>
  <si>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</si>
  <si>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</si>
  <si>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</si>
  <si>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</si>
  <si>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</si>
  <si>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</si>
  <si>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</si>
  <si>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</si>
  <si>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</si>
  <si>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</si>
  <si>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</si>
  <si>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</si>
  <si>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</si>
  <si>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</si>
  <si>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</si>
  <si>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</si>
  <si>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</si>
  <si>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</si>
  <si>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</si>
  <si>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</si>
  <si>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</si>
  <si>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</si>
  <si>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</si>
  <si>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</si>
  <si>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</si>
  <si>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</si>
  <si>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</si>
  <si>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</si>
  <si>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</si>
  <si>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</si>
  <si>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</si>
  <si>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</si>
  <si>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</si>
  <si>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</si>
  <si>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</si>
  <si>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</si>
  <si>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</si>
  <si>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</si>
  <si>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</si>
  <si>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</si>
  <si>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</si>
  <si>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</si>
  <si>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</si>
  <si>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</si>
  <si>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</si>
  <si>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</si>
  <si>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</si>
  <si>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</si>
  <si>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</si>
  <si>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</si>
  <si>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</si>
  <si>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</si>
  <si>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</si>
  <si>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</si>
  <si>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</si>
  <si>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</si>
  <si>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</si>
  <si>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</si>
  <si>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</si>
  <si>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</si>
  <si>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</si>
  <si>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</si>
  <si>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</si>
  <si>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</si>
  <si>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</si>
  <si>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</si>
  <si>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</si>
  <si>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</si>
  <si>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FACTURACIÓN  2016
(2012-2016)</t>
  </si>
  <si>
    <t>RECAUDACIÓN 2017</t>
  </si>
  <si>
    <t>IEPSGYD</t>
  </si>
  <si>
    <t>ISAN</t>
  </si>
  <si>
    <t>COMP ISAN</t>
  </si>
  <si>
    <t xml:space="preserve">Participaciones PEF 2019 </t>
  </si>
  <si>
    <t>PARTICIPACIONES ESTIMADAS 2019</t>
  </si>
  <si>
    <t xml:space="preserve">CÁLCULO DE PARTICIPACIONES ESTIMADAS PARA 2019 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</si>
  <si>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</si>
  <si>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</si>
  <si>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</si>
  <si>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</si>
  <si>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</si>
  <si>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</si>
  <si>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</si>
  <si>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</si>
  <si>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</si>
  <si>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</si>
  <si>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</si>
  <si>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</si>
  <si>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</si>
  <si>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COEFICIENTE 1er SEMESTRE 2019</t>
  </si>
  <si>
    <t>4.83% INFLACIÓN  2018</t>
  </si>
  <si>
    <t>10.34 %DE CRECIMIENTO DE ESTIMACIÓN 2019 RESPECTO 2018</t>
  </si>
  <si>
    <t>Cifras establecidas en el "Acuerdo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Municipios; publicado el 21de enero de 2019 en el Diario Oficial de la Federación.</t>
  </si>
  <si>
    <t>Se considera el cálculo de garantia para FGP, FFM, IEPS, FOFIR FEXHI, ISAN Y COMP ISAN</t>
  </si>
  <si>
    <t>FUENTE:
Facturación de Predial.- Instituto Registral y Catastral
Recaudación de Predial.- Municipios del Estado
Población.- Encuesta Intercensal 2015, INEGI
Territorio.- INEGI
Vairables de Carencia Social 2000 y 2010.- Censo de población y vivienda 2000 y 2010, INEGI</t>
  </si>
  <si>
    <r>
      <t xml:space="preserve">DETERMINACIÓN DEL COEFICIENTE DE PARTICIPACIÓN DE RECURSOS A MUNICIPIOS
</t>
    </r>
    <r>
      <rPr>
        <b/>
        <sz val="18"/>
        <rFont val="Arial"/>
        <family val="2"/>
      </rPr>
      <t>(ARTÍCULO14 FRACC II LEY DE COORDINACIÓN HACENDARIA)</t>
    </r>
  </si>
  <si>
    <r>
      <t xml:space="preserve">DETERMINACIÓN  DEL  COEFICIENTE DE PARTICIPACIÓN DE RECURSOS A MUNICIPIOS
</t>
    </r>
    <r>
      <rPr>
        <b/>
        <sz val="18"/>
        <rFont val="Arial"/>
        <family val="2"/>
      </rPr>
      <t>(ARTÍCULO14 FRACC I LEY DE COORDINACIÓN HACENDARIA)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</si>
</sst>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9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5" fillId="0" borderId="0"/>
    <xf numFmtId="37" fontId="4" fillId="0" borderId="0"/>
    <xf numFmtId="0" fontId="9" fillId="23" borderId="4" applyNumberFormat="0" applyFont="0" applyAlignment="0" applyProtection="0"/>
    <xf numFmtId="170" fontId="5" fillId="0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171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87" fontId="3" fillId="0" borderId="0" applyFont="0" applyFill="0" applyBorder="0" applyAlignment="0" applyProtection="0"/>
    <xf numFmtId="0" fontId="17" fillId="3" borderId="0" applyNumberFormat="0" applyBorder="0" applyAlignment="0" applyProtection="0"/>
    <xf numFmtId="41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48" fillId="0" borderId="0"/>
    <xf numFmtId="0" fontId="1" fillId="0" borderId="0"/>
    <xf numFmtId="43" fontId="49" fillId="0" borderId="0" applyFont="0" applyFill="0" applyBorder="0" applyAlignment="0" applyProtection="0"/>
  </cellStyleXfs>
  <cellXfs count="235">
    <xf numFmtId="0" fontId="0" fillId="0" borderId="0" xfId="0"/>
    <xf numFmtId="37" fontId="8" fillId="0" borderId="0" xfId="37" applyFont="1" applyBorder="1" applyAlignment="1" applyProtection="1">
      <alignment horizontal="center" vertical="center" wrapText="1"/>
      <protection hidden="1"/>
    </xf>
    <xf numFmtId="37" fontId="3" fillId="0" borderId="11" xfId="37" applyFont="1" applyFill="1" applyBorder="1" applyAlignment="1" applyProtection="1">
      <alignment horizontal="left"/>
      <protection hidden="1"/>
    </xf>
    <xf numFmtId="37" fontId="3" fillId="0" borderId="20" xfId="37" applyFont="1" applyFill="1" applyBorder="1" applyAlignment="1" applyProtection="1">
      <alignment horizontal="right"/>
      <protection hidden="1"/>
    </xf>
    <xf numFmtId="37" fontId="3" fillId="0" borderId="12" xfId="37" applyFont="1" applyFill="1" applyBorder="1" applyAlignment="1" applyProtection="1">
      <alignment horizontal="left"/>
      <protection hidden="1"/>
    </xf>
    <xf numFmtId="37" fontId="3" fillId="0" borderId="23" xfId="37" applyFont="1" applyFill="1" applyBorder="1" applyAlignment="1" applyProtection="1">
      <alignment horizontal="right"/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Protection="1">
      <protection hidden="1"/>
    </xf>
    <xf numFmtId="37" fontId="30" fillId="0" borderId="0" xfId="37" applyFont="1" applyAlignment="1" applyProtection="1">
      <alignment horizontal="center" vertical="center"/>
      <protection hidden="1"/>
    </xf>
    <xf numFmtId="37" fontId="30" fillId="0" borderId="0" xfId="37" applyFont="1" applyFill="1" applyProtection="1">
      <protection hidden="1"/>
    </xf>
    <xf numFmtId="37" fontId="30" fillId="0" borderId="0" xfId="37" applyFont="1" applyProtection="1"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Protection="1">
      <protection hidden="1"/>
    </xf>
    <xf numFmtId="177" fontId="35" fillId="0" borderId="0" xfId="37" applyNumberFormat="1" applyFont="1" applyFill="1" applyProtection="1">
      <protection hidden="1"/>
    </xf>
    <xf numFmtId="178" fontId="36" fillId="0" borderId="0" xfId="0" applyNumberFormat="1" applyFont="1" applyFill="1" applyAlignment="1" applyProtection="1">
      <alignment horizontal="center" vertical="center" wrapText="1"/>
      <protection hidden="1"/>
    </xf>
    <xf numFmtId="177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hidden="1"/>
    </xf>
    <xf numFmtId="37" fontId="30" fillId="0" borderId="0" xfId="37" applyFont="1" applyAlignment="1" applyProtection="1">
      <alignment horizontal="center" vertical="center" wrapText="1"/>
      <protection hidden="1"/>
    </xf>
    <xf numFmtId="37" fontId="35" fillId="0" borderId="0" xfId="37" applyFont="1" applyProtection="1">
      <protection hidden="1"/>
    </xf>
    <xf numFmtId="3" fontId="29" fillId="0" borderId="20" xfId="0" applyNumberFormat="1" applyFont="1" applyBorder="1" applyProtection="1">
      <protection hidden="1"/>
    </xf>
    <xf numFmtId="175" fontId="3" fillId="0" borderId="20" xfId="40" applyNumberFormat="1" applyFont="1" applyFill="1" applyBorder="1" applyProtection="1">
      <protection hidden="1"/>
    </xf>
    <xf numFmtId="177" fontId="3" fillId="0" borderId="20" xfId="40" applyNumberFormat="1" applyFont="1" applyFill="1" applyBorder="1" applyProtection="1">
      <protection hidden="1"/>
    </xf>
    <xf numFmtId="165" fontId="3" fillId="0" borderId="20" xfId="33" applyNumberFormat="1" applyFont="1" applyFill="1" applyBorder="1" applyProtection="1">
      <protection hidden="1"/>
    </xf>
    <xf numFmtId="177" fontId="3" fillId="0" borderId="27" xfId="40" applyNumberFormat="1" applyFont="1" applyFill="1" applyBorder="1" applyProtection="1">
      <protection hidden="1"/>
    </xf>
    <xf numFmtId="37" fontId="3" fillId="0" borderId="11" xfId="37" applyFont="1" applyFill="1" applyBorder="1" applyAlignment="1" applyProtection="1">
      <protection hidden="1"/>
    </xf>
    <xf numFmtId="37" fontId="3" fillId="0" borderId="20" xfId="37" applyFont="1" applyFill="1" applyBorder="1" applyAlignment="1" applyProtection="1">
      <protection hidden="1"/>
    </xf>
    <xf numFmtId="179" fontId="3" fillId="0" borderId="20" xfId="37" applyNumberFormat="1" applyFont="1" applyFill="1" applyBorder="1" applyAlignment="1" applyProtection="1">
      <protection hidden="1"/>
    </xf>
    <xf numFmtId="175" fontId="29" fillId="0" borderId="20" xfId="40" applyNumberFormat="1" applyFont="1" applyBorder="1" applyProtection="1">
      <protection hidden="1"/>
    </xf>
    <xf numFmtId="1" fontId="38" fillId="0" borderId="20" xfId="40" applyNumberFormat="1" applyFont="1" applyBorder="1" applyProtection="1">
      <protection hidden="1"/>
    </xf>
    <xf numFmtId="179" fontId="3" fillId="0" borderId="22" xfId="37" applyNumberFormat="1" applyFont="1" applyFill="1" applyBorder="1" applyAlignment="1" applyProtection="1">
      <protection hidden="1"/>
    </xf>
    <xf numFmtId="177" fontId="29" fillId="0" borderId="20" xfId="40" applyNumberFormat="1" applyFont="1" applyBorder="1" applyProtection="1">
      <protection hidden="1"/>
    </xf>
    <xf numFmtId="174" fontId="3" fillId="0" borderId="20" xfId="33" applyNumberFormat="1" applyFont="1" applyFill="1" applyBorder="1" applyProtection="1">
      <protection hidden="1"/>
    </xf>
    <xf numFmtId="165" fontId="3" fillId="0" borderId="27" xfId="33" applyNumberFormat="1" applyFont="1" applyFill="1" applyBorder="1" applyProtection="1">
      <protection hidden="1"/>
    </xf>
    <xf numFmtId="37" fontId="3" fillId="0" borderId="11" xfId="37" applyFont="1" applyBorder="1" applyProtection="1">
      <protection hidden="1"/>
    </xf>
    <xf numFmtId="37" fontId="3" fillId="0" borderId="20" xfId="37" applyFont="1" applyBorder="1" applyProtection="1">
      <protection hidden="1"/>
    </xf>
    <xf numFmtId="178" fontId="3" fillId="0" borderId="21" xfId="40" applyNumberFormat="1" applyFont="1" applyBorder="1" applyProtection="1">
      <protection hidden="1"/>
    </xf>
    <xf numFmtId="3" fontId="29" fillId="0" borderId="23" xfId="0" applyNumberFormat="1" applyFont="1" applyBorder="1" applyProtection="1">
      <protection hidden="1"/>
    </xf>
    <xf numFmtId="175" fontId="3" fillId="0" borderId="23" xfId="40" applyNumberFormat="1" applyFont="1" applyFill="1" applyBorder="1" applyProtection="1">
      <protection hidden="1"/>
    </xf>
    <xf numFmtId="177" fontId="3" fillId="0" borderId="23" xfId="40" applyNumberFormat="1" applyFont="1" applyFill="1" applyBorder="1" applyProtection="1">
      <protection hidden="1"/>
    </xf>
    <xf numFmtId="165" fontId="3" fillId="0" borderId="23" xfId="33" applyNumberFormat="1" applyFont="1" applyFill="1" applyBorder="1" applyProtection="1">
      <protection hidden="1"/>
    </xf>
    <xf numFmtId="177" fontId="3" fillId="0" borderId="28" xfId="40" applyNumberFormat="1" applyFont="1" applyFill="1" applyBorder="1" applyProtection="1">
      <protection hidden="1"/>
    </xf>
    <xf numFmtId="37" fontId="3" fillId="0" borderId="12" xfId="37" applyFont="1" applyFill="1" applyBorder="1" applyAlignment="1" applyProtection="1">
      <protection hidden="1"/>
    </xf>
    <xf numFmtId="37" fontId="3" fillId="0" borderId="23" xfId="37" applyFont="1" applyFill="1" applyBorder="1" applyAlignment="1" applyProtection="1">
      <protection hidden="1"/>
    </xf>
    <xf numFmtId="179" fontId="3" fillId="0" borderId="23" xfId="37" applyNumberFormat="1" applyFont="1" applyFill="1" applyBorder="1" applyAlignment="1" applyProtection="1">
      <protection hidden="1"/>
    </xf>
    <xf numFmtId="175" fontId="29" fillId="0" borderId="23" xfId="40" applyNumberFormat="1" applyFont="1" applyBorder="1" applyProtection="1">
      <protection hidden="1"/>
    </xf>
    <xf numFmtId="1" fontId="38" fillId="0" borderId="23" xfId="40" applyNumberFormat="1" applyFont="1" applyBorder="1" applyProtection="1">
      <protection hidden="1"/>
    </xf>
    <xf numFmtId="179" fontId="3" fillId="0" borderId="24" xfId="37" applyNumberFormat="1" applyFont="1" applyFill="1" applyBorder="1" applyAlignment="1" applyProtection="1">
      <protection hidden="1"/>
    </xf>
    <xf numFmtId="177" fontId="29" fillId="0" borderId="23" xfId="40" applyNumberFormat="1" applyFont="1" applyBorder="1" applyProtection="1">
      <protection hidden="1"/>
    </xf>
    <xf numFmtId="174" fontId="3" fillId="0" borderId="23" xfId="33" applyNumberFormat="1" applyFont="1" applyFill="1" applyBorder="1" applyProtection="1">
      <protection hidden="1"/>
    </xf>
    <xf numFmtId="165" fontId="3" fillId="0" borderId="28" xfId="33" applyNumberFormat="1" applyFont="1" applyFill="1" applyBorder="1" applyProtection="1">
      <protection hidden="1"/>
    </xf>
    <xf numFmtId="37" fontId="3" fillId="0" borderId="12" xfId="37" applyFont="1" applyBorder="1" applyProtection="1">
      <protection hidden="1"/>
    </xf>
    <xf numFmtId="37" fontId="3" fillId="0" borderId="23" xfId="37" applyFont="1" applyBorder="1" applyProtection="1">
      <protection hidden="1"/>
    </xf>
    <xf numFmtId="178" fontId="3" fillId="0" borderId="19" xfId="40" applyNumberFormat="1" applyFont="1" applyBorder="1" applyProtection="1">
      <protection hidden="1"/>
    </xf>
    <xf numFmtId="3" fontId="31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37" fillId="0" borderId="13" xfId="37" applyFont="1" applyFill="1" applyBorder="1" applyAlignment="1" applyProtection="1">
      <protection hidden="1"/>
    </xf>
    <xf numFmtId="37" fontId="37" fillId="0" borderId="14" xfId="37" applyFont="1" applyFill="1" applyBorder="1" applyAlignment="1" applyProtection="1">
      <protection hidden="1"/>
    </xf>
    <xf numFmtId="173" fontId="37" fillId="0" borderId="14" xfId="37" applyNumberFormat="1" applyFont="1" applyFill="1" applyBorder="1" applyAlignment="1" applyProtection="1">
      <protection hidden="1"/>
    </xf>
    <xf numFmtId="175" fontId="31" fillId="0" borderId="14" xfId="40" applyNumberFormat="1" applyFont="1" applyBorder="1" applyProtection="1">
      <protection hidden="1"/>
    </xf>
    <xf numFmtId="1" fontId="39" fillId="0" borderId="14" xfId="40" applyNumberFormat="1" applyFont="1" applyBorder="1" applyProtection="1">
      <protection hidden="1"/>
    </xf>
    <xf numFmtId="173" fontId="37" fillId="0" borderId="25" xfId="37" applyNumberFormat="1" applyFont="1" applyFill="1" applyBorder="1" applyAlignment="1" applyProtection="1">
      <protection hidden="1"/>
    </xf>
    <xf numFmtId="177" fontId="31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3" fillId="0" borderId="0" xfId="37" applyNumberFormat="1" applyFont="1" applyProtection="1">
      <protection hidden="1"/>
    </xf>
    <xf numFmtId="39" fontId="3" fillId="0" borderId="0" xfId="37" applyNumberFormat="1" applyFont="1" applyProtection="1">
      <protection hidden="1"/>
    </xf>
    <xf numFmtId="178" fontId="3" fillId="0" borderId="0" xfId="37" applyNumberFormat="1" applyFont="1" applyProtection="1">
      <protection hidden="1"/>
    </xf>
    <xf numFmtId="166" fontId="3" fillId="0" borderId="0" xfId="40" applyNumberFormat="1" applyFont="1" applyProtection="1">
      <protection hidden="1"/>
    </xf>
    <xf numFmtId="177" fontId="3" fillId="0" borderId="0" xfId="37" applyNumberFormat="1" applyFont="1" applyFill="1" applyProtection="1">
      <protection hidden="1"/>
    </xf>
    <xf numFmtId="178" fontId="3" fillId="0" borderId="0" xfId="37" applyNumberFormat="1" applyFont="1" applyFill="1" applyProtection="1">
      <protection hidden="1"/>
    </xf>
    <xf numFmtId="166" fontId="3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2" fillId="0" borderId="0" xfId="37" applyFont="1" applyFill="1" applyBorder="1" applyAlignment="1" applyProtection="1">
      <alignment horizontal="center" vertical="center" wrapText="1"/>
      <protection hidden="1"/>
    </xf>
    <xf numFmtId="39" fontId="30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5" fillId="0" borderId="0" xfId="37" applyNumberFormat="1" applyFont="1" applyFill="1" applyProtection="1">
      <protection hidden="1"/>
    </xf>
    <xf numFmtId="39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3" fillId="0" borderId="11" xfId="37" applyNumberFormat="1" applyFont="1" applyFill="1" applyBorder="1" applyProtection="1">
      <protection hidden="1"/>
    </xf>
    <xf numFmtId="37" fontId="3" fillId="0" borderId="12" xfId="37" applyNumberFormat="1" applyFont="1" applyFill="1" applyBorder="1" applyProtection="1"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/>
      <protection hidden="1"/>
    </xf>
    <xf numFmtId="37" fontId="3" fillId="0" borderId="0" xfId="37" applyFont="1" applyAlignment="1" applyProtection="1">
      <alignment wrapText="1"/>
      <protection hidden="1"/>
    </xf>
    <xf numFmtId="37" fontId="3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0" fillId="0" borderId="0" xfId="37" applyFont="1" applyFill="1" applyBorder="1" applyAlignment="1" applyProtection="1">
      <alignment horizontal="center" vertical="center" wrapText="1"/>
      <protection hidden="1"/>
    </xf>
    <xf numFmtId="177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2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0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0" fillId="0" borderId="0" xfId="39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Border="1" applyProtection="1">
      <protection hidden="1"/>
    </xf>
    <xf numFmtId="180" fontId="3" fillId="0" borderId="20" xfId="40" applyNumberFormat="1" applyFont="1" applyFill="1" applyBorder="1" applyProtection="1">
      <protection hidden="1"/>
    </xf>
    <xf numFmtId="180" fontId="3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3" fillId="0" borderId="20" xfId="40" applyNumberFormat="1" applyFont="1" applyFill="1" applyBorder="1" applyProtection="1">
      <protection hidden="1"/>
    </xf>
    <xf numFmtId="181" fontId="3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3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3" fillId="0" borderId="0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0" xfId="37" applyNumberFormat="1" applyFont="1" applyAlignment="1" applyProtection="1">
      <alignment horizontal="center" vertical="center"/>
      <protection hidden="1"/>
    </xf>
    <xf numFmtId="49" fontId="43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21" xfId="40" applyNumberFormat="1" applyFont="1" applyFill="1" applyBorder="1" applyProtection="1">
      <protection hidden="1"/>
    </xf>
    <xf numFmtId="178" fontId="3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165" fontId="31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0" fillId="0" borderId="0" xfId="37" applyFont="1" applyFill="1" applyAlignment="1" applyProtection="1">
      <alignment horizontal="center" vertical="center"/>
      <protection hidden="1"/>
    </xf>
    <xf numFmtId="178" fontId="30" fillId="0" borderId="0" xfId="37" applyNumberFormat="1" applyFont="1" applyFill="1" applyProtection="1">
      <protection hidden="1"/>
    </xf>
    <xf numFmtId="37" fontId="30" fillId="0" borderId="0" xfId="37" applyFont="1" applyFill="1" applyAlignment="1" applyProtection="1">
      <alignment horizontal="center" vertical="center" wrapText="1"/>
      <protection hidden="1"/>
    </xf>
    <xf numFmtId="178" fontId="30" fillId="0" borderId="0" xfId="37" applyNumberFormat="1" applyFont="1" applyFill="1" applyAlignment="1" applyProtection="1">
      <alignment horizontal="center" vertical="center" wrapText="1"/>
      <protection hidden="1"/>
    </xf>
    <xf numFmtId="3" fontId="29" fillId="0" borderId="20" xfId="0" applyNumberFormat="1" applyFont="1" applyFill="1" applyBorder="1" applyProtection="1">
      <protection hidden="1"/>
    </xf>
    <xf numFmtId="178" fontId="3" fillId="0" borderId="16" xfId="33" applyNumberFormat="1" applyFont="1" applyFill="1" applyBorder="1" applyProtection="1">
      <protection hidden="1"/>
    </xf>
    <xf numFmtId="37" fontId="3" fillId="0" borderId="11" xfId="37" applyFont="1" applyFill="1" applyBorder="1" applyProtection="1">
      <protection hidden="1"/>
    </xf>
    <xf numFmtId="37" fontId="3" fillId="0" borderId="20" xfId="37" applyFont="1" applyFill="1" applyBorder="1" applyProtection="1">
      <protection hidden="1"/>
    </xf>
    <xf numFmtId="178" fontId="3" fillId="0" borderId="21" xfId="37" applyNumberFormat="1" applyFont="1" applyFill="1" applyBorder="1" applyProtection="1">
      <protection hidden="1"/>
    </xf>
    <xf numFmtId="3" fontId="29" fillId="0" borderId="23" xfId="0" applyNumberFormat="1" applyFont="1" applyFill="1" applyBorder="1" applyProtection="1">
      <protection hidden="1"/>
    </xf>
    <xf numFmtId="178" fontId="3" fillId="0" borderId="17" xfId="33" applyNumberFormat="1" applyFont="1" applyFill="1" applyBorder="1" applyProtection="1">
      <protection hidden="1"/>
    </xf>
    <xf numFmtId="37" fontId="3" fillId="0" borderId="12" xfId="37" applyFont="1" applyFill="1" applyBorder="1" applyProtection="1">
      <protection hidden="1"/>
    </xf>
    <xf numFmtId="37" fontId="3" fillId="0" borderId="23" xfId="37" applyFont="1" applyFill="1" applyBorder="1" applyProtection="1">
      <protection hidden="1"/>
    </xf>
    <xf numFmtId="178" fontId="3" fillId="0" borderId="19" xfId="37" applyNumberFormat="1" applyFont="1" applyFill="1" applyBorder="1" applyProtection="1">
      <protection hidden="1"/>
    </xf>
    <xf numFmtId="3" fontId="31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3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/>
    <xf numFmtId="0" fontId="7" fillId="0" borderId="38" xfId="53" applyFont="1" applyBorder="1" applyAlignment="1">
      <alignment horizontal="center" vertical="center" wrapText="1"/>
    </xf>
    <xf numFmtId="0" fontId="3" fillId="0" borderId="38" xfId="53" applyFont="1" applyBorder="1" applyAlignment="1">
      <alignment vertical="center" wrapText="1"/>
    </xf>
    <xf numFmtId="3" fontId="3" fillId="0" borderId="38" xfId="53" applyNumberFormat="1" applyFont="1" applyBorder="1" applyAlignment="1">
      <alignment horizontal="center" vertical="center" wrapText="1"/>
    </xf>
    <xf numFmtId="0" fontId="3" fillId="0" borderId="38" xfId="53" applyFont="1" applyBorder="1" applyAlignment="1">
      <alignment horizontal="center" vertical="center" wrapText="1"/>
    </xf>
    <xf numFmtId="0" fontId="3" fillId="0" borderId="0" xfId="53" applyFont="1" applyBorder="1" applyAlignment="1">
      <alignment vertical="center"/>
    </xf>
    <xf numFmtId="3" fontId="3" fillId="0" borderId="0" xfId="53" applyNumberFormat="1" applyBorder="1" applyAlignment="1">
      <alignment horizontal="center" vertical="center"/>
    </xf>
    <xf numFmtId="0" fontId="3" fillId="0" borderId="0" xfId="53" applyBorder="1" applyAlignment="1">
      <alignment horizontal="center" vertical="center"/>
    </xf>
    <xf numFmtId="0" fontId="3" fillId="0" borderId="0" xfId="53" applyFont="1"/>
    <xf numFmtId="188" fontId="0" fillId="0" borderId="0" xfId="51" applyNumberFormat="1" applyFont="1"/>
    <xf numFmtId="188" fontId="3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3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3" fillId="0" borderId="21" xfId="33" applyNumberFormat="1" applyFont="1" applyFill="1" applyBorder="1" applyProtection="1">
      <protection hidden="1"/>
    </xf>
    <xf numFmtId="176" fontId="3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49" fontId="43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40" applyNumberFormat="1" applyFont="1" applyProtection="1">
      <protection hidden="1"/>
    </xf>
    <xf numFmtId="49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183" fontId="51" fillId="0" borderId="0" xfId="37" applyNumberFormat="1" applyFont="1" applyBorder="1" applyAlignment="1" applyProtection="1">
      <alignment horizontal="center" vertical="center" wrapText="1"/>
      <protection hidden="1"/>
    </xf>
    <xf numFmtId="37" fontId="7" fillId="0" borderId="0" xfId="37" applyFont="1" applyProtection="1">
      <protection hidden="1"/>
    </xf>
    <xf numFmtId="37" fontId="3" fillId="0" borderId="0" xfId="37" applyFont="1" applyBorder="1" applyProtection="1">
      <protection hidden="1"/>
    </xf>
    <xf numFmtId="2" fontId="7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5" fontId="3" fillId="0" borderId="0" xfId="40" applyNumberFormat="1" applyFont="1" applyProtection="1">
      <protection hidden="1"/>
    </xf>
    <xf numFmtId="172" fontId="3" fillId="0" borderId="0" xfId="37" applyNumberFormat="1" applyFont="1" applyProtection="1">
      <protection hidden="1"/>
    </xf>
    <xf numFmtId="184" fontId="3" fillId="0" borderId="0" xfId="37" applyNumberFormat="1" applyFont="1" applyProtection="1">
      <protection hidden="1"/>
    </xf>
    <xf numFmtId="37" fontId="3" fillId="0" borderId="0" xfId="37" applyNumberFormat="1" applyFont="1" applyProtection="1">
      <protection hidden="1"/>
    </xf>
    <xf numFmtId="183" fontId="3" fillId="0" borderId="0" xfId="37" applyNumberFormat="1" applyFont="1" applyProtection="1">
      <protection hidden="1"/>
    </xf>
    <xf numFmtId="37" fontId="3" fillId="0" borderId="24" xfId="37" applyFont="1" applyFill="1" applyBorder="1" applyAlignment="1" applyProtection="1">
      <protection hidden="1"/>
    </xf>
    <xf numFmtId="3" fontId="3" fillId="0" borderId="0" xfId="53" applyNumberFormat="1"/>
    <xf numFmtId="165" fontId="3" fillId="0" borderId="38" xfId="33" applyNumberFormat="1" applyFont="1" applyFill="1" applyBorder="1" applyAlignment="1">
      <alignment vertical="center" wrapText="1"/>
    </xf>
    <xf numFmtId="175" fontId="35" fillId="0" borderId="0" xfId="40" applyNumberFormat="1" applyFont="1" applyProtection="1">
      <protection hidden="1"/>
    </xf>
    <xf numFmtId="0" fontId="7" fillId="0" borderId="0" xfId="53" applyFont="1" applyAlignment="1">
      <alignment horizontal="center" vertical="center"/>
    </xf>
    <xf numFmtId="0" fontId="3" fillId="0" borderId="0" xfId="53" applyAlignment="1">
      <alignment wrapText="1"/>
    </xf>
    <xf numFmtId="188" fontId="7" fillId="0" borderId="0" xfId="51" applyNumberFormat="1" applyFont="1" applyAlignment="1">
      <alignment horizontal="center"/>
    </xf>
    <xf numFmtId="37" fontId="3" fillId="0" borderId="0" xfId="37" applyFont="1" applyAlignment="1" applyProtection="1">
      <alignment horizontal="left" vertical="top" wrapText="1"/>
      <protection hidden="1"/>
    </xf>
    <xf numFmtId="0" fontId="41" fillId="0" borderId="30" xfId="0" applyFont="1" applyBorder="1" applyAlignment="1">
      <alignment horizontal="center"/>
    </xf>
    <xf numFmtId="37" fontId="41" fillId="0" borderId="30" xfId="37" applyFont="1" applyBorder="1" applyAlignment="1" applyProtection="1">
      <alignment horizontal="center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3" fillId="0" borderId="0" xfId="37" applyFont="1" applyAlignment="1" applyProtection="1">
      <alignment horizontal="center" vertical="center" wrapText="1"/>
      <protection hidden="1"/>
    </xf>
    <xf numFmtId="49" fontId="43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7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4" xfId="37" applyFont="1" applyFill="1" applyBorder="1" applyAlignment="1" applyProtection="1">
      <alignment horizontal="center" vertical="center" wrapText="1"/>
      <protection hidden="1"/>
    </xf>
    <xf numFmtId="37" fontId="7" fillId="0" borderId="44" xfId="37" applyFont="1" applyFill="1" applyBorder="1" applyAlignment="1" applyProtection="1">
      <alignment horizontal="center" vertical="center" wrapText="1"/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37" fontId="7" fillId="0" borderId="35" xfId="37" applyFont="1" applyFill="1" applyBorder="1" applyAlignment="1" applyProtection="1">
      <alignment horizontal="center" vertical="center" wrapText="1"/>
      <protection hidden="1"/>
    </xf>
    <xf numFmtId="37" fontId="7" fillId="0" borderId="45" xfId="37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 wrapText="1"/>
      <protection hidden="1"/>
    </xf>
    <xf numFmtId="37" fontId="44" fillId="0" borderId="0" xfId="37" applyFont="1" applyAlignment="1" applyProtection="1">
      <alignment horizontal="center" wrapText="1"/>
      <protection hidden="1"/>
    </xf>
    <xf numFmtId="37" fontId="41" fillId="0" borderId="30" xfId="37" applyFont="1" applyBorder="1" applyAlignment="1" applyProtection="1">
      <alignment horizontal="center" vertical="center"/>
      <protection hidden="1"/>
    </xf>
    <xf numFmtId="37" fontId="3" fillId="0" borderId="30" xfId="37" applyFont="1" applyBorder="1" applyAlignment="1" applyProtection="1">
      <alignment horizontal="center" vertical="center"/>
      <protection hidden="1"/>
    </xf>
    <xf numFmtId="37" fontId="41" fillId="0" borderId="30" xfId="37" applyFont="1" applyBorder="1" applyAlignment="1" applyProtection="1">
      <alignment horizontal="center" vertical="center" wrapText="1"/>
      <protection hidden="1"/>
    </xf>
  </cellXfs>
  <cellStyles count="106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opLeftCell="A3" zoomScale="120" zoomScaleNormal="120" zoomScaleSheetLayoutView="100" workbookViewId="0">
      <selection activeCell="A15" sqref="A15:D15"/>
    </sheetView>
  </sheetViews>
  <sheetFormatPr baseColWidth="10" defaultColWidth="11.44140625" defaultRowHeight="13.2"/>
  <cols>
    <col min="1" max="1" width="55" style="158" customWidth="1"/>
    <col min="2" max="2" width="18" style="158" customWidth="1"/>
    <col min="3" max="4" width="17.33203125" style="158" customWidth="1"/>
    <col min="5" max="5" width="12.6640625" style="158" bestFit="1" customWidth="1"/>
    <col min="6" max="16384" width="11.44140625" style="158"/>
  </cols>
  <sheetData>
    <row r="1" spans="1:5" ht="27.75" customHeight="1">
      <c r="A1" s="207" t="s">
        <v>178</v>
      </c>
      <c r="B1" s="207"/>
      <c r="C1" s="207"/>
      <c r="D1" s="207"/>
    </row>
    <row r="3" spans="1:5" ht="26.4">
      <c r="A3" s="159" t="s">
        <v>141</v>
      </c>
      <c r="B3" s="159" t="s">
        <v>142</v>
      </c>
      <c r="C3" s="159" t="s">
        <v>143</v>
      </c>
      <c r="D3" s="159" t="s">
        <v>168</v>
      </c>
    </row>
    <row r="4" spans="1:5" ht="25.5" customHeight="1">
      <c r="A4" s="160" t="s">
        <v>144</v>
      </c>
      <c r="B4" s="205">
        <v>30814467991</v>
      </c>
      <c r="C4" s="162">
        <v>20</v>
      </c>
      <c r="D4" s="161">
        <f>+C4/100*B4</f>
        <v>6162893598.2000008</v>
      </c>
    </row>
    <row r="5" spans="1:5" ht="25.5" customHeight="1">
      <c r="A5" s="160" t="s">
        <v>145</v>
      </c>
      <c r="B5" s="205">
        <v>862233363</v>
      </c>
      <c r="C5" s="162">
        <v>100</v>
      </c>
      <c r="D5" s="161">
        <f t="shared" ref="D5:D11" si="0">+C5/100*B5</f>
        <v>862233363</v>
      </c>
    </row>
    <row r="6" spans="1:5" ht="25.5" customHeight="1">
      <c r="A6" s="160" t="s">
        <v>146</v>
      </c>
      <c r="B6" s="205">
        <v>1146572914</v>
      </c>
      <c r="C6" s="162">
        <v>20</v>
      </c>
      <c r="D6" s="161">
        <f t="shared" si="0"/>
        <v>229314582.80000001</v>
      </c>
    </row>
    <row r="7" spans="1:5" ht="25.5" customHeight="1">
      <c r="A7" s="160" t="s">
        <v>167</v>
      </c>
      <c r="B7" s="205">
        <v>1454126751</v>
      </c>
      <c r="C7" s="162">
        <v>20</v>
      </c>
      <c r="D7" s="161">
        <f t="shared" si="0"/>
        <v>290825350.19999999</v>
      </c>
    </row>
    <row r="8" spans="1:5" ht="25.5" customHeight="1">
      <c r="A8" s="160" t="s">
        <v>166</v>
      </c>
      <c r="B8" s="205">
        <v>119953875</v>
      </c>
      <c r="C8" s="162">
        <v>20</v>
      </c>
      <c r="D8" s="161">
        <f t="shared" si="0"/>
        <v>23990775</v>
      </c>
    </row>
    <row r="9" spans="1:5" ht="25.5" customHeight="1">
      <c r="A9" s="160" t="s">
        <v>172</v>
      </c>
      <c r="B9" s="205">
        <v>817515724</v>
      </c>
      <c r="C9" s="162">
        <v>20</v>
      </c>
      <c r="D9" s="161">
        <f t="shared" si="0"/>
        <v>163503144.80000001</v>
      </c>
    </row>
    <row r="10" spans="1:5" ht="25.5" customHeight="1">
      <c r="A10" s="160" t="s">
        <v>171</v>
      </c>
      <c r="B10" s="205">
        <v>182610264</v>
      </c>
      <c r="C10" s="162">
        <v>20</v>
      </c>
      <c r="D10" s="161">
        <f t="shared" si="0"/>
        <v>36522052.800000004</v>
      </c>
      <c r="E10" s="204"/>
    </row>
    <row r="11" spans="1:5" ht="25.5" customHeight="1">
      <c r="A11" s="160" t="s">
        <v>163</v>
      </c>
      <c r="B11" s="205">
        <v>1201953880</v>
      </c>
      <c r="C11" s="162">
        <v>20</v>
      </c>
      <c r="D11" s="161">
        <f t="shared" si="0"/>
        <v>240390776</v>
      </c>
    </row>
    <row r="12" spans="1:5" ht="25.5" customHeight="1">
      <c r="A12" s="179" t="s">
        <v>53</v>
      </c>
      <c r="B12" s="180">
        <f>SUM(B4:B11)</f>
        <v>36599434762</v>
      </c>
      <c r="C12" s="179"/>
      <c r="D12" s="180">
        <f>SUM(D4:D11)</f>
        <v>8009673642.8000011</v>
      </c>
    </row>
    <row r="13" spans="1:5">
      <c r="A13" s="163"/>
      <c r="B13" s="164"/>
      <c r="C13" s="165"/>
      <c r="D13" s="164"/>
    </row>
    <row r="14" spans="1:5">
      <c r="A14" s="166" t="s">
        <v>147</v>
      </c>
    </row>
    <row r="15" spans="1:5" ht="51.6" customHeight="1">
      <c r="A15" s="208" t="s">
        <v>197</v>
      </c>
      <c r="B15" s="208"/>
      <c r="C15" s="208"/>
      <c r="D15" s="208"/>
    </row>
  </sheetData>
  <mergeCells count="2">
    <mergeCell ref="A1:D1"/>
    <mergeCell ref="A15:D1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="130" zoomScaleNormal="130" zoomScaleSheetLayoutView="100" workbookViewId="0">
      <selection activeCell="F14" sqref="F14"/>
    </sheetView>
  </sheetViews>
  <sheetFormatPr baseColWidth="10" defaultColWidth="11.44140625" defaultRowHeight="13.2"/>
  <cols>
    <col min="1" max="1" width="28" style="167" customWidth="1"/>
    <col min="2" max="2" width="17.88671875" style="167" customWidth="1"/>
    <col min="3" max="3" width="16.44140625" style="167" customWidth="1"/>
    <col min="4" max="4" width="15.44140625" style="167" customWidth="1"/>
    <col min="5" max="9" width="13.44140625" style="167" customWidth="1"/>
    <col min="10" max="10" width="13.88671875" style="167" bestFit="1" customWidth="1"/>
    <col min="11" max="16384" width="11.44140625" style="167"/>
  </cols>
  <sheetData>
    <row r="1" spans="1:10">
      <c r="A1" s="209" t="s">
        <v>148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>
      <c r="A2" s="209" t="s">
        <v>181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3.8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4.4" thickTop="1" thickBot="1">
      <c r="A5" s="169" t="s">
        <v>0</v>
      </c>
      <c r="B5" s="170" t="s">
        <v>133</v>
      </c>
      <c r="C5" s="170" t="s">
        <v>134</v>
      </c>
      <c r="D5" s="170" t="s">
        <v>135</v>
      </c>
      <c r="E5" s="170" t="s">
        <v>159</v>
      </c>
      <c r="F5" s="170" t="s">
        <v>149</v>
      </c>
      <c r="G5" s="170" t="s">
        <v>176</v>
      </c>
      <c r="H5" s="170" t="s">
        <v>177</v>
      </c>
      <c r="I5" s="170" t="s">
        <v>175</v>
      </c>
      <c r="J5" s="171" t="s">
        <v>53</v>
      </c>
    </row>
    <row r="6" spans="1:10" ht="13.8" thickTop="1">
      <c r="A6" s="172" t="s">
        <v>1</v>
      </c>
      <c r="B6" s="173">
        <f>'PART PEF2019'!D$4*'CALCULO GARANTIA'!$U7</f>
        <v>7759899.730634246</v>
      </c>
      <c r="C6" s="173">
        <f>'PART PEF2019'!D$5*'CALCULO GARANTIA'!$U7</f>
        <v>1085666.0649214776</v>
      </c>
      <c r="D6" s="173">
        <f>'PART PEF2019'!D$6*'CALCULO GARANTIA'!$U7</f>
        <v>288737.44791244681</v>
      </c>
      <c r="E6" s="173">
        <f>'PART PEF2019'!D$7*'CALCULO GARANTIA'!$U7</f>
        <v>366187.65531466057</v>
      </c>
      <c r="F6" s="173">
        <f>'PART PEF2019'!D$8*'CALCULO GARANTIA'!$U7</f>
        <v>30207.564919598874</v>
      </c>
      <c r="G6" s="173">
        <f>'PART PEF2019'!D$9*'CALCULO GARANTIA'!$U7</f>
        <v>205872.1263112415</v>
      </c>
      <c r="H6" s="173">
        <f>'PART PEF2019'!D$10*'CALCULO GARANTIA'!$U7</f>
        <v>45986.104281875756</v>
      </c>
      <c r="I6" s="173">
        <f>'PART PEF2019'!D$11*'COEF Art 14 F II'!N8</f>
        <v>123043.82366390909</v>
      </c>
      <c r="J6" s="174">
        <f>SUM(B6:I6)</f>
        <v>9905600.517959455</v>
      </c>
    </row>
    <row r="7" spans="1:10">
      <c r="A7" s="172" t="s">
        <v>2</v>
      </c>
      <c r="B7" s="173">
        <f>'PART PEF2019'!D$4*'CALCULO GARANTIA'!$U8</f>
        <v>15370633.803799568</v>
      </c>
      <c r="C7" s="173">
        <f>'PART PEF2019'!D$5*'CALCULO GARANTIA'!$U8</f>
        <v>2150462.7761158193</v>
      </c>
      <c r="D7" s="173">
        <f>'PART PEF2019'!D$6*'CALCULO GARANTIA'!$U8</f>
        <v>571924.60358545522</v>
      </c>
      <c r="E7" s="173">
        <f>'PART PEF2019'!D$7*'CALCULO GARANTIA'!$U8</f>
        <v>725336.22194801026</v>
      </c>
      <c r="F7" s="173">
        <f>'PART PEF2019'!D$8*'CALCULO GARANTIA'!$U8</f>
        <v>59834.461088546384</v>
      </c>
      <c r="G7" s="173">
        <f>'PART PEF2019'!D$9*'CALCULO GARANTIA'!$U8</f>
        <v>407786.84954490076</v>
      </c>
      <c r="H7" s="173">
        <f>'PART PEF2019'!D$10*'CALCULO GARANTIA'!$U8</f>
        <v>91088.234837575554</v>
      </c>
      <c r="I7" s="173">
        <f>'PART PEF2019'!D$11*'COEF Art 14 F II'!N9</f>
        <v>271982.98932967318</v>
      </c>
      <c r="J7" s="174">
        <f t="shared" ref="J7:J56" si="0">SUM(B7:I7)</f>
        <v>19649049.940249547</v>
      </c>
    </row>
    <row r="8" spans="1:10">
      <c r="A8" s="172" t="s">
        <v>3</v>
      </c>
      <c r="B8" s="173">
        <f>'PART PEF2019'!D$4*'CALCULO GARANTIA'!$U9</f>
        <v>15792315.984821049</v>
      </c>
      <c r="C8" s="173">
        <f>'PART PEF2019'!D$5*'CALCULO GARANTIA'!$U9</f>
        <v>2209459.1613796377</v>
      </c>
      <c r="D8" s="173">
        <f>'PART PEF2019'!D$6*'CALCULO GARANTIA'!$U9</f>
        <v>587614.93993060605</v>
      </c>
      <c r="E8" s="173">
        <f>'PART PEF2019'!D$7*'CALCULO GARANTIA'!$U9</f>
        <v>745235.29468301416</v>
      </c>
      <c r="F8" s="173">
        <f>'PART PEF2019'!D$8*'CALCULO GARANTIA'!$U9</f>
        <v>61475.976095287755</v>
      </c>
      <c r="G8" s="173">
        <f>'PART PEF2019'!D$9*'CALCULO GARANTIA'!$U9</f>
        <v>418974.1857538647</v>
      </c>
      <c r="H8" s="173">
        <f>'PART PEF2019'!D$10*'CALCULO GARANTIA'!$U9</f>
        <v>93587.174440327071</v>
      </c>
      <c r="I8" s="173">
        <f>'PART PEF2019'!D$11*'COEF Art 14 F II'!N10</f>
        <v>232200.43652993586</v>
      </c>
      <c r="J8" s="174">
        <f t="shared" si="0"/>
        <v>20140863.153633721</v>
      </c>
    </row>
    <row r="9" spans="1:10">
      <c r="A9" s="172" t="s">
        <v>4</v>
      </c>
      <c r="B9" s="173">
        <f>'PART PEF2019'!D$4*'CALCULO GARANTIA'!$U10</f>
        <v>42615453.784066632</v>
      </c>
      <c r="C9" s="173">
        <f>'PART PEF2019'!D$5*'CALCULO GARANTIA'!$U10</f>
        <v>5962210.0311351828</v>
      </c>
      <c r="D9" s="173">
        <f>'PART PEF2019'!D$6*'CALCULO GARANTIA'!$U10</f>
        <v>1585674.7888978864</v>
      </c>
      <c r="E9" s="173">
        <f>'PART PEF2019'!D$7*'CALCULO GARANTIA'!$U10</f>
        <v>2011012.209313968</v>
      </c>
      <c r="F9" s="173">
        <f>'PART PEF2019'!D$8*'CALCULO GARANTIA'!$U10</f>
        <v>165892.48978029532</v>
      </c>
      <c r="G9" s="173">
        <f>'PART PEF2019'!D$9*'CALCULO GARANTIA'!$U10</f>
        <v>1130598.8980256014</v>
      </c>
      <c r="H9" s="173">
        <f>'PART PEF2019'!D$10*'CALCULO GARANTIA'!$U10</f>
        <v>252544.33301464448</v>
      </c>
      <c r="I9" s="173">
        <f>'PART PEF2019'!D$11*'COEF Art 14 F II'!N11</f>
        <v>1647593.1297031685</v>
      </c>
      <c r="J9" s="174">
        <f t="shared" si="0"/>
        <v>55370979.663937382</v>
      </c>
    </row>
    <row r="10" spans="1:10">
      <c r="A10" s="172" t="s">
        <v>5</v>
      </c>
      <c r="B10" s="173">
        <f>'PART PEF2019'!D$4*'CALCULO GARANTIA'!$U11</f>
        <v>55857995.080083691</v>
      </c>
      <c r="C10" s="173">
        <f>'PART PEF2019'!D$5*'CALCULO GARANTIA'!$U11</f>
        <v>7814937.2824487668</v>
      </c>
      <c r="D10" s="173">
        <f>'PART PEF2019'!D$6*'CALCULO GARANTIA'!$U11</f>
        <v>2078415.3796805758</v>
      </c>
      <c r="E10" s="173">
        <f>'PART PEF2019'!D$7*'CALCULO GARANTIA'!$U11</f>
        <v>2635924.2978622699</v>
      </c>
      <c r="F10" s="173">
        <f>'PART PEF2019'!D$8*'CALCULO GARANTIA'!$U11</f>
        <v>217442.75973039542</v>
      </c>
      <c r="G10" s="173">
        <f>'PART PEF2019'!D$9*'CALCULO GARANTIA'!$U11</f>
        <v>1481926.9085684165</v>
      </c>
      <c r="H10" s="173">
        <f>'PART PEF2019'!D$10*'CALCULO GARANTIA'!$U11</f>
        <v>331021.23428072734</v>
      </c>
      <c r="I10" s="173">
        <f>'PART PEF2019'!D$11*'COEF Art 14 F II'!N12</f>
        <v>1149658.7406591626</v>
      </c>
      <c r="J10" s="174">
        <f t="shared" si="0"/>
        <v>71567321.683313996</v>
      </c>
    </row>
    <row r="11" spans="1:10">
      <c r="A11" s="172" t="s">
        <v>6</v>
      </c>
      <c r="B11" s="173">
        <f>'PART PEF2019'!D$4*'CALCULO GARANTIA'!$U12</f>
        <v>399076350.15949643</v>
      </c>
      <c r="C11" s="173">
        <f>'PART PEF2019'!D$5*'CALCULO GARANTIA'!$U12</f>
        <v>55833666.1194814</v>
      </c>
      <c r="D11" s="173">
        <f>'PART PEF2019'!D$6*'CALCULO GARANTIA'!$U12</f>
        <v>14849197.910686012</v>
      </c>
      <c r="E11" s="173">
        <f>'PART PEF2019'!D$7*'CALCULO GARANTIA'!$U12</f>
        <v>18832309.440742496</v>
      </c>
      <c r="F11" s="173">
        <f>'PART PEF2019'!D$8*'CALCULO GARANTIA'!$U12</f>
        <v>1553515.5316155418</v>
      </c>
      <c r="G11" s="173">
        <f>'PART PEF2019'!D$9*'CALCULO GARANTIA'!$U12</f>
        <v>10587597.729326582</v>
      </c>
      <c r="H11" s="173">
        <f>'PART PEF2019'!D$10*'CALCULO GARANTIA'!$U12</f>
        <v>2364974.7151262471</v>
      </c>
      <c r="I11" s="173">
        <f>'PART PEF2019'!D$11*'COEF Art 14 F II'!N13</f>
        <v>24933196.990159635</v>
      </c>
      <c r="J11" s="174">
        <f t="shared" si="0"/>
        <v>528030808.59663439</v>
      </c>
    </row>
    <row r="12" spans="1:10">
      <c r="A12" s="172" t="s">
        <v>7</v>
      </c>
      <c r="B12" s="173">
        <f>'PART PEF2019'!D$4*'CALCULO GARANTIA'!$U13</f>
        <v>63584425.06609112</v>
      </c>
      <c r="C12" s="173">
        <f>'PART PEF2019'!D$5*'CALCULO GARANTIA'!$U13</f>
        <v>8895920.688160168</v>
      </c>
      <c r="D12" s="173">
        <f>'PART PEF2019'!D$6*'CALCULO GARANTIA'!$U13</f>
        <v>2365907.4547169176</v>
      </c>
      <c r="E12" s="173">
        <f>'PART PEF2019'!D$7*'CALCULO GARANTIA'!$U13</f>
        <v>3000532.5246102843</v>
      </c>
      <c r="F12" s="173">
        <f>'PART PEF2019'!D$8*'CALCULO GARANTIA'!$U13</f>
        <v>247520.03437321846</v>
      </c>
      <c r="G12" s="173">
        <f>'PART PEF2019'!D$9*'CALCULO GARANTIA'!$U13</f>
        <v>1686911.0739867853</v>
      </c>
      <c r="H12" s="173">
        <f>'PART PEF2019'!D$10*'CALCULO GARANTIA'!$U13</f>
        <v>376808.9928081315</v>
      </c>
      <c r="I12" s="173">
        <f>'PART PEF2019'!D$11*'COEF Art 14 F II'!N14</f>
        <v>1282464.1503346793</v>
      </c>
      <c r="J12" s="174">
        <f t="shared" si="0"/>
        <v>81440489.985081315</v>
      </c>
    </row>
    <row r="13" spans="1:10">
      <c r="A13" s="172" t="s">
        <v>8</v>
      </c>
      <c r="B13" s="173">
        <f>'PART PEF2019'!D$4*'CALCULO GARANTIA'!$U14</f>
        <v>10138537.601468621</v>
      </c>
      <c r="C13" s="173">
        <f>'PART PEF2019'!D$5*'CALCULO GARANTIA'!$U14</f>
        <v>1418454.6970873324</v>
      </c>
      <c r="D13" s="173">
        <f>'PART PEF2019'!D$6*'CALCULO GARANTIA'!$U14</f>
        <v>377243.98178185784</v>
      </c>
      <c r="E13" s="173">
        <f>'PART PEF2019'!D$7*'CALCULO GARANTIA'!$U14</f>
        <v>478434.95940351166</v>
      </c>
      <c r="F13" s="173">
        <f>'PART PEF2019'!D$8*'CALCULO GARANTIA'!$U14</f>
        <v>39467.073469662697</v>
      </c>
      <c r="G13" s="173">
        <f>'PART PEF2019'!D$9*'CALCULO GARANTIA'!$U14</f>
        <v>268977.99793222599</v>
      </c>
      <c r="H13" s="173">
        <f>'PART PEF2019'!D$10*'CALCULO GARANTIA'!$U14</f>
        <v>60082.199975636489</v>
      </c>
      <c r="I13" s="173">
        <f>'PART PEF2019'!D$11*'COEF Art 14 F II'!N15</f>
        <v>229785.30393532963</v>
      </c>
      <c r="J13" s="174">
        <f t="shared" si="0"/>
        <v>13010983.815054176</v>
      </c>
    </row>
    <row r="14" spans="1:10">
      <c r="A14" s="172" t="s">
        <v>9</v>
      </c>
      <c r="B14" s="173">
        <f>'PART PEF2019'!D$4*'CALCULO GARANTIA'!$U15</f>
        <v>100779047.63567056</v>
      </c>
      <c r="C14" s="173">
        <f>'PART PEF2019'!D$5*'CALCULO GARANTIA'!$U15</f>
        <v>14099717.247791022</v>
      </c>
      <c r="D14" s="173">
        <f>'PART PEF2019'!D$6*'CALCULO GARANTIA'!$U15</f>
        <v>3749878.9968246249</v>
      </c>
      <c r="E14" s="173">
        <f>'PART PEF2019'!D$7*'CALCULO GARANTIA'!$U15</f>
        <v>4755737.115115324</v>
      </c>
      <c r="F14" s="173">
        <f>'PART PEF2019'!D$8*'CALCULO GARANTIA'!$U15</f>
        <v>392310.43308094965</v>
      </c>
      <c r="G14" s="173">
        <f>'PART PEF2019'!D$9*'CALCULO GARANTIA'!$U15</f>
        <v>2673693.932212912</v>
      </c>
      <c r="H14" s="173">
        <f>'PART PEF2019'!D$10*'CALCULO GARANTIA'!$U15</f>
        <v>597228.82445328718</v>
      </c>
      <c r="I14" s="173">
        <f>'PART PEF2019'!D$11*'COEF Art 14 F II'!N16</f>
        <v>4114907.1948534185</v>
      </c>
      <c r="J14" s="174">
        <f t="shared" si="0"/>
        <v>131162521.38000213</v>
      </c>
    </row>
    <row r="15" spans="1:10">
      <c r="A15" s="172" t="s">
        <v>10</v>
      </c>
      <c r="B15" s="173">
        <f>'PART PEF2019'!D$4*'CALCULO GARANTIA'!$U16</f>
        <v>16109907.553838326</v>
      </c>
      <c r="C15" s="173">
        <f>'PART PEF2019'!D$5*'CALCULO GARANTIA'!$U16</f>
        <v>2253892.5176027911</v>
      </c>
      <c r="D15" s="173">
        <f>'PART PEF2019'!D$6*'CALCULO GARANTIA'!$U16</f>
        <v>599432.17756249791</v>
      </c>
      <c r="E15" s="173">
        <f>'PART PEF2019'!D$7*'CALCULO GARANTIA'!$U16</f>
        <v>760222.35843939544</v>
      </c>
      <c r="F15" s="173">
        <f>'PART PEF2019'!D$8*'CALCULO GARANTIA'!$U16</f>
        <v>62712.289484896792</v>
      </c>
      <c r="G15" s="173">
        <f>'PART PEF2019'!D$9*'CALCULO GARANTIA'!$U16</f>
        <v>427399.97138019087</v>
      </c>
      <c r="H15" s="173">
        <f>'PART PEF2019'!D$10*'CALCULO GARANTIA'!$U16</f>
        <v>95469.260487678519</v>
      </c>
      <c r="I15" s="173">
        <f>'PART PEF2019'!D$11*'COEF Art 14 F II'!N17</f>
        <v>1203663.2962026841</v>
      </c>
      <c r="J15" s="174">
        <f t="shared" si="0"/>
        <v>21512699.424998462</v>
      </c>
    </row>
    <row r="16" spans="1:10">
      <c r="A16" s="172" t="s">
        <v>11</v>
      </c>
      <c r="B16" s="173">
        <f>'PART PEF2019'!D$4*'CALCULO GARANTIA'!$U17</f>
        <v>25913736.526540201</v>
      </c>
      <c r="C16" s="173">
        <f>'PART PEF2019'!D$5*'CALCULO GARANTIA'!$U17</f>
        <v>3625519.0580769768</v>
      </c>
      <c r="D16" s="173">
        <f>'PART PEF2019'!D$6*'CALCULO GARANTIA'!$U17</f>
        <v>964222.01449466636</v>
      </c>
      <c r="E16" s="173">
        <f>'PART PEF2019'!D$7*'CALCULO GARANTIA'!$U17</f>
        <v>1222862.5044772374</v>
      </c>
      <c r="F16" s="173">
        <f>'PART PEF2019'!D$8*'CALCULO GARANTIA'!$U17</f>
        <v>100876.41665581976</v>
      </c>
      <c r="G16" s="173">
        <f>'PART PEF2019'!D$9*'CALCULO GARANTIA'!$U17</f>
        <v>687498.06370913947</v>
      </c>
      <c r="H16" s="173">
        <f>'PART PEF2019'!D$10*'CALCULO GARANTIA'!$U17</f>
        <v>153567.93664976011</v>
      </c>
      <c r="I16" s="173">
        <f>'PART PEF2019'!D$11*'COEF Art 14 F II'!N18</f>
        <v>608536.60012273595</v>
      </c>
      <c r="J16" s="174">
        <f t="shared" si="0"/>
        <v>33276819.120726533</v>
      </c>
    </row>
    <row r="17" spans="1:10">
      <c r="A17" s="172" t="s">
        <v>12</v>
      </c>
      <c r="B17" s="173">
        <f>'PART PEF2019'!D$4*'CALCULO GARANTIA'!$U18</f>
        <v>51163262.4646051</v>
      </c>
      <c r="C17" s="173">
        <f>'PART PEF2019'!D$5*'CALCULO GARANTIA'!$U18</f>
        <v>7158110.2535654223</v>
      </c>
      <c r="D17" s="173">
        <f>'PART PEF2019'!D$6*'CALCULO GARANTIA'!$U18</f>
        <v>1903729.4737953176</v>
      </c>
      <c r="E17" s="173">
        <f>'PART PEF2019'!D$7*'CALCULO GARANTIA'!$U18</f>
        <v>2414381.0835853433</v>
      </c>
      <c r="F17" s="173">
        <f>'PART PEF2019'!D$8*'CALCULO GARANTIA'!$U18</f>
        <v>199167.20911955825</v>
      </c>
      <c r="G17" s="173">
        <f>'PART PEF2019'!D$9*'CALCULO GARANTIA'!$U18</f>
        <v>1357374.4504746937</v>
      </c>
      <c r="H17" s="173">
        <f>'PART PEF2019'!D$10*'CALCULO GARANTIA'!$U18</f>
        <v>303199.68102294108</v>
      </c>
      <c r="I17" s="173">
        <f>'PART PEF2019'!D$11*'COEF Art 14 F II'!N19</f>
        <v>870413.50816932227</v>
      </c>
      <c r="J17" s="174">
        <f t="shared" si="0"/>
        <v>65369638.124337703</v>
      </c>
    </row>
    <row r="18" spans="1:10">
      <c r="A18" s="172" t="s">
        <v>13</v>
      </c>
      <c r="B18" s="173">
        <f>'PART PEF2019'!D$4*'CALCULO GARANTIA'!$U19</f>
        <v>26032356.66017833</v>
      </c>
      <c r="C18" s="173">
        <f>'PART PEF2019'!D$5*'CALCULO GARANTIA'!$U19</f>
        <v>3642114.8722211937</v>
      </c>
      <c r="D18" s="173">
        <f>'PART PEF2019'!D$6*'CALCULO GARANTIA'!$U19</f>
        <v>968635.74094044697</v>
      </c>
      <c r="E18" s="173">
        <f>'PART PEF2019'!D$7*'CALCULO GARANTIA'!$U19</f>
        <v>1228460.157812702</v>
      </c>
      <c r="F18" s="173">
        <f>'PART PEF2019'!D$8*'CALCULO GARANTIA'!$U19</f>
        <v>101338.17847131068</v>
      </c>
      <c r="G18" s="173">
        <f>'PART PEF2019'!D$9*'CALCULO GARANTIA'!$U19</f>
        <v>690645.08622013894</v>
      </c>
      <c r="H18" s="173">
        <f>'PART PEF2019'!D$10*'CALCULO GARANTIA'!$U19</f>
        <v>154270.89390755541</v>
      </c>
      <c r="I18" s="173">
        <f>'PART PEF2019'!D$11*'COEF Art 14 F II'!N20</f>
        <v>1533200.6452173956</v>
      </c>
      <c r="J18" s="174">
        <f t="shared" si="0"/>
        <v>34351022.234969072</v>
      </c>
    </row>
    <row r="19" spans="1:10">
      <c r="A19" s="172" t="s">
        <v>14</v>
      </c>
      <c r="B19" s="173">
        <f>'PART PEF2019'!D$4*'CALCULO GARANTIA'!$U20</f>
        <v>141130287.97091374</v>
      </c>
      <c r="C19" s="173">
        <f>'PART PEF2019'!D$5*'CALCULO GARANTIA'!$U20</f>
        <v>19745147.45051913</v>
      </c>
      <c r="D19" s="173">
        <f>'PART PEF2019'!D$6*'CALCULO GARANTIA'!$U20</f>
        <v>5251304.8604224306</v>
      </c>
      <c r="E19" s="173">
        <f>'PART PEF2019'!D$7*'CALCULO GARANTIA'!$U20</f>
        <v>6659901.6791326161</v>
      </c>
      <c r="F19" s="173">
        <f>'PART PEF2019'!D$8*'CALCULO GARANTIA'!$U20</f>
        <v>549388.84315385518</v>
      </c>
      <c r="G19" s="173">
        <f>'PART PEF2019'!D$9*'CALCULO GARANTIA'!$U20</f>
        <v>3744222.6678249985</v>
      </c>
      <c r="H19" s="173">
        <f>'PART PEF2019'!D$10*'CALCULO GARANTIA'!$U20</f>
        <v>836355.15473743633</v>
      </c>
      <c r="I19" s="173">
        <f>'PART PEF2019'!D$11*'COEF Art 14 F II'!N21</f>
        <v>2863537.6189489416</v>
      </c>
      <c r="J19" s="174">
        <f t="shared" si="0"/>
        <v>180780146.24565312</v>
      </c>
    </row>
    <row r="20" spans="1:10">
      <c r="A20" s="172" t="s">
        <v>15</v>
      </c>
      <c r="B20" s="173">
        <f>'PART PEF2019'!D$4*'CALCULO GARANTIA'!$U21</f>
        <v>17946578.06811424</v>
      </c>
      <c r="C20" s="173">
        <f>'PART PEF2019'!D$5*'CALCULO GARANTIA'!$U21</f>
        <v>2510855.9989631698</v>
      </c>
      <c r="D20" s="173">
        <f>'PART PEF2019'!D$6*'CALCULO GARANTIA'!$U21</f>
        <v>667772.69423882931</v>
      </c>
      <c r="E20" s="173">
        <f>'PART PEF2019'!D$7*'CALCULO GARANTIA'!$U21</f>
        <v>846894.36356249487</v>
      </c>
      <c r="F20" s="173">
        <f>'PART PEF2019'!D$8*'CALCULO GARANTIA'!$U21</f>
        <v>69862.039574691837</v>
      </c>
      <c r="G20" s="173">
        <f>'PART PEF2019'!D$9*'CALCULO GARANTIA'!$U21</f>
        <v>476127.31029340113</v>
      </c>
      <c r="H20" s="173">
        <f>'PART PEF2019'!D$10*'CALCULO GARANTIA'!$U21</f>
        <v>106353.5920812306</v>
      </c>
      <c r="I20" s="173">
        <f>'PART PEF2019'!D$11*'COEF Art 14 F II'!N22</f>
        <v>273045.73225353571</v>
      </c>
      <c r="J20" s="174">
        <f t="shared" si="0"/>
        <v>22897489.799081594</v>
      </c>
    </row>
    <row r="21" spans="1:10">
      <c r="A21" s="172" t="s">
        <v>16</v>
      </c>
      <c r="B21" s="173">
        <f>'PART PEF2019'!D$4*'CALCULO GARANTIA'!$U22</f>
        <v>12676093.494556529</v>
      </c>
      <c r="C21" s="173">
        <f>'PART PEF2019'!D$5*'CALCULO GARANTIA'!$U22</f>
        <v>1773477.1093088733</v>
      </c>
      <c r="D21" s="173">
        <f>'PART PEF2019'!D$6*'CALCULO GARANTIA'!$U22</f>
        <v>471663.68280104967</v>
      </c>
      <c r="E21" s="173">
        <f>'PART PEF2019'!D$7*'CALCULO GARANTIA'!$U22</f>
        <v>598181.56373802572</v>
      </c>
      <c r="F21" s="173">
        <f>'PART PEF2019'!D$8*'CALCULO GARANTIA'!$U22</f>
        <v>49345.214558903106</v>
      </c>
      <c r="G21" s="173">
        <f>'PART PEF2019'!D$9*'CALCULO GARANTIA'!$U22</f>
        <v>336300.0053650373</v>
      </c>
      <c r="H21" s="173">
        <f>'PART PEF2019'!D$10*'CALCULO GARANTIA'!$U22</f>
        <v>75120.063088732568</v>
      </c>
      <c r="I21" s="173">
        <f>'PART PEF2019'!D$11*'COEF Art 14 F II'!N23</f>
        <v>185547.73074205944</v>
      </c>
      <c r="J21" s="174">
        <f t="shared" si="0"/>
        <v>16165728.86415921</v>
      </c>
    </row>
    <row r="22" spans="1:10">
      <c r="A22" s="172" t="s">
        <v>17</v>
      </c>
      <c r="B22" s="173">
        <f>'PART PEF2019'!D$4*'CALCULO GARANTIA'!$U23</f>
        <v>111171040.3649016</v>
      </c>
      <c r="C22" s="173">
        <f>'PART PEF2019'!D$5*'CALCULO GARANTIA'!$U23</f>
        <v>15553632.149358278</v>
      </c>
      <c r="D22" s="173">
        <f>'PART PEF2019'!D$6*'CALCULO GARANTIA'!$U23</f>
        <v>4136553.7688603234</v>
      </c>
      <c r="E22" s="173">
        <f>'PART PEF2019'!D$7*'CALCULO GARANTIA'!$U23</f>
        <v>5246132.556249856</v>
      </c>
      <c r="F22" s="173">
        <f>'PART PEF2019'!D$8*'CALCULO GARANTIA'!$U23</f>
        <v>432764.15102951758</v>
      </c>
      <c r="G22" s="173">
        <f>'PART PEF2019'!D$9*'CALCULO GARANTIA'!$U23</f>
        <v>2949396.159566679</v>
      </c>
      <c r="H22" s="173">
        <f>'PART PEF2019'!D$10*'CALCULO GARANTIA'!$U23</f>
        <v>658813.03016877186</v>
      </c>
      <c r="I22" s="173">
        <f>'PART PEF2019'!D$11*'COEF Art 14 F II'!N24</f>
        <v>2612688.6845263885</v>
      </c>
      <c r="J22" s="174">
        <f t="shared" si="0"/>
        <v>142761020.8646614</v>
      </c>
    </row>
    <row r="23" spans="1:10">
      <c r="A23" s="172" t="s">
        <v>18</v>
      </c>
      <c r="B23" s="173">
        <f>'PART PEF2019'!D$4*'CALCULO GARANTIA'!$U24</f>
        <v>126745445.60081796</v>
      </c>
      <c r="C23" s="173">
        <f>'PART PEF2019'!D$5*'CALCULO GARANTIA'!$U24</f>
        <v>17732604.021793514</v>
      </c>
      <c r="D23" s="173">
        <f>'PART PEF2019'!D$6*'CALCULO GARANTIA'!$U24</f>
        <v>4716060.4863015274</v>
      </c>
      <c r="E23" s="173">
        <f>'PART PEF2019'!D$7*'CALCULO GARANTIA'!$U24</f>
        <v>5981084.6992196785</v>
      </c>
      <c r="F23" s="173">
        <f>'PART PEF2019'!D$8*'CALCULO GARANTIA'!$U24</f>
        <v>493391.8490126243</v>
      </c>
      <c r="G23" s="173">
        <f>'PART PEF2019'!D$9*'CALCULO GARANTIA'!$U24</f>
        <v>3362589.1173691074</v>
      </c>
      <c r="H23" s="173">
        <f>'PART PEF2019'!D$10*'CALCULO GARANTIA'!$U24</f>
        <v>751108.83915707993</v>
      </c>
      <c r="I23" s="173">
        <f>'PART PEF2019'!D$11*'COEF Art 14 F II'!N25</f>
        <v>8869078.8890440483</v>
      </c>
      <c r="J23" s="174">
        <f t="shared" si="0"/>
        <v>168651363.50271553</v>
      </c>
    </row>
    <row r="24" spans="1:10">
      <c r="A24" s="172" t="s">
        <v>19</v>
      </c>
      <c r="B24" s="173">
        <f>'PART PEF2019'!D$4*'CALCULO GARANTIA'!$U25</f>
        <v>21367112.555238958</v>
      </c>
      <c r="C24" s="173">
        <f>'PART PEF2019'!D$5*'CALCULO GARANTIA'!$U25</f>
        <v>2989413.4991206327</v>
      </c>
      <c r="D24" s="173">
        <f>'PART PEF2019'!D$6*'CALCULO GARANTIA'!$U25</f>
        <v>795047.07053134067</v>
      </c>
      <c r="E24" s="173">
        <f>'PART PEF2019'!D$7*'CALCULO GARANTIA'!$U25</f>
        <v>1008308.4986985888</v>
      </c>
      <c r="F24" s="173">
        <f>'PART PEF2019'!D$8*'CALCULO GARANTIA'!$U25</f>
        <v>83177.420077823874</v>
      </c>
      <c r="G24" s="173">
        <f>'PART PEF2019'!D$9*'CALCULO GARANTIA'!$U25</f>
        <v>566874.96585978835</v>
      </c>
      <c r="H24" s="173">
        <f>'PART PEF2019'!D$10*'CALCULO GARANTIA'!$U25</f>
        <v>126624.09312954934</v>
      </c>
      <c r="I24" s="173">
        <f>'PART PEF2019'!D$11*'COEF Art 14 F II'!N26</f>
        <v>377837.33747237088</v>
      </c>
      <c r="J24" s="174">
        <f t="shared" si="0"/>
        <v>27314395.440129057</v>
      </c>
    </row>
    <row r="25" spans="1:10">
      <c r="A25" s="172" t="s">
        <v>20</v>
      </c>
      <c r="B25" s="173">
        <f>'PART PEF2019'!D$4*'CALCULO GARANTIA'!$U26</f>
        <v>292075782.41470003</v>
      </c>
      <c r="C25" s="173">
        <f>'PART PEF2019'!D$5*'CALCULO GARANTIA'!$U26</f>
        <v>40863513.236028828</v>
      </c>
      <c r="D25" s="173">
        <f>'PART PEF2019'!D$6*'CALCULO GARANTIA'!$U26</f>
        <v>10867822.902211485</v>
      </c>
      <c r="E25" s="173">
        <f>'PART PEF2019'!D$7*'CALCULO GARANTIA'!$U26</f>
        <v>13782980.405584723</v>
      </c>
      <c r="F25" s="173">
        <f>'PART PEF2019'!D$8*'CALCULO GARANTIA'!$U26</f>
        <v>1136986.1035580104</v>
      </c>
      <c r="G25" s="173">
        <f>'PART PEF2019'!D$9*'CALCULO GARANTIA'!$U26</f>
        <v>7748845.2759710001</v>
      </c>
      <c r="H25" s="173">
        <f>'PART PEF2019'!D$10*'CALCULO GARANTIA'!$U26</f>
        <v>1730876.4100789544</v>
      </c>
      <c r="I25" s="173">
        <f>'PART PEF2019'!D$11*'COEF Art 14 F II'!N27</f>
        <v>16935882.221389685</v>
      </c>
      <c r="J25" s="174">
        <f t="shared" si="0"/>
        <v>385142688.96952271</v>
      </c>
    </row>
    <row r="26" spans="1:10">
      <c r="A26" s="172" t="s">
        <v>21</v>
      </c>
      <c r="B26" s="173">
        <f>'PART PEF2019'!D$4*'CALCULO GARANTIA'!$U27</f>
        <v>43123885.381421559</v>
      </c>
      <c r="C26" s="173">
        <f>'PART PEF2019'!D$5*'CALCULO GARANTIA'!$U27</f>
        <v>6033343.2868141131</v>
      </c>
      <c r="D26" s="173">
        <f>'PART PEF2019'!D$6*'CALCULO GARANTIA'!$U27</f>
        <v>1604592.9768841004</v>
      </c>
      <c r="E26" s="173">
        <f>'PART PEF2019'!D$7*'CALCULO GARANTIA'!$U27</f>
        <v>2035004.9645023227</v>
      </c>
      <c r="F26" s="173">
        <f>'PART PEF2019'!D$8*'CALCULO GARANTIA'!$U27</f>
        <v>167871.70098371367</v>
      </c>
      <c r="G26" s="173">
        <f>'PART PEF2019'!D$9*'CALCULO GARANTIA'!$U27</f>
        <v>1144087.7184568837</v>
      </c>
      <c r="H26" s="173">
        <f>'PART PEF2019'!D$10*'CALCULO GARANTIA'!$U27</f>
        <v>255557.36015001615</v>
      </c>
      <c r="I26" s="173">
        <f>'PART PEF2019'!D$11*'COEF Art 14 F II'!N28</f>
        <v>944124.03947878792</v>
      </c>
      <c r="J26" s="174">
        <f t="shared" si="0"/>
        <v>55308467.428691491</v>
      </c>
    </row>
    <row r="27" spans="1:10">
      <c r="A27" s="172" t="s">
        <v>22</v>
      </c>
      <c r="B27" s="173">
        <f>'PART PEF2019'!D$4*'CALCULO GARANTIA'!$U28</f>
        <v>6917089.5691276826</v>
      </c>
      <c r="C27" s="173">
        <f>'PART PEF2019'!D$5*'CALCULO GARANTIA'!$U28</f>
        <v>967750.83105493395</v>
      </c>
      <c r="D27" s="173">
        <f>'PART PEF2019'!D$6*'CALCULO GARANTIA'!$U28</f>
        <v>257377.39642268454</v>
      </c>
      <c r="E27" s="173">
        <f>'PART PEF2019'!D$7*'CALCULO GARANTIA'!$U28</f>
        <v>326415.66242420173</v>
      </c>
      <c r="F27" s="173">
        <f>'PART PEF2019'!D$8*'CALCULO GARANTIA'!$U28</f>
        <v>26926.692285626545</v>
      </c>
      <c r="G27" s="173">
        <f>'PART PEF2019'!D$9*'CALCULO GARANTIA'!$U28</f>
        <v>183512.15697541411</v>
      </c>
      <c r="H27" s="173">
        <f>'PART PEF2019'!D$10*'CALCULO GARANTIA'!$U28</f>
        <v>40991.509335776165</v>
      </c>
      <c r="I27" s="173">
        <f>'PART PEF2019'!D$11*'COEF Art 14 F II'!N29</f>
        <v>74419.825760711668</v>
      </c>
      <c r="J27" s="174">
        <f t="shared" si="0"/>
        <v>8794483.6433870327</v>
      </c>
    </row>
    <row r="28" spans="1:10">
      <c r="A28" s="172" t="s">
        <v>23</v>
      </c>
      <c r="B28" s="173">
        <f>'PART PEF2019'!D$4*'CALCULO GARANTIA'!$U29</f>
        <v>31869839.610222023</v>
      </c>
      <c r="C28" s="173">
        <f>'PART PEF2019'!D$5*'CALCULO GARANTIA'!$U29</f>
        <v>4458820.9333061045</v>
      </c>
      <c r="D28" s="173">
        <f>'PART PEF2019'!D$6*'CALCULO GARANTIA'!$U29</f>
        <v>1185842.1466590781</v>
      </c>
      <c r="E28" s="173">
        <f>'PART PEF2019'!D$7*'CALCULO GARANTIA'!$U29</f>
        <v>1503929.4639400756</v>
      </c>
      <c r="F28" s="173">
        <f>'PART PEF2019'!D$8*'CALCULO GARANTIA'!$U29</f>
        <v>124062.2021444985</v>
      </c>
      <c r="G28" s="173">
        <f>'PART PEF2019'!D$9*'CALCULO GARANTIA'!$U29</f>
        <v>845515.00322264747</v>
      </c>
      <c r="H28" s="173">
        <f>'PART PEF2019'!D$10*'CALCULO GARANTIA'!$U29</f>
        <v>188864.52385159078</v>
      </c>
      <c r="I28" s="173">
        <f>'PART PEF2019'!D$11*'COEF Art 14 F II'!N30</f>
        <v>574989.92299040861</v>
      </c>
      <c r="J28" s="174">
        <f t="shared" si="0"/>
        <v>40751863.806336418</v>
      </c>
    </row>
    <row r="29" spans="1:10">
      <c r="A29" s="172" t="s">
        <v>24</v>
      </c>
      <c r="B29" s="173">
        <f>'PART PEF2019'!D$4*'CALCULO GARANTIA'!$U30</f>
        <v>30488243.149484135</v>
      </c>
      <c r="C29" s="173">
        <f>'PART PEF2019'!D$5*'CALCULO GARANTIA'!$U30</f>
        <v>4265525.6015484938</v>
      </c>
      <c r="D29" s="173">
        <f>'PART PEF2019'!D$6*'CALCULO GARANTIA'!$U30</f>
        <v>1134434.4416672867</v>
      </c>
      <c r="E29" s="173">
        <f>'PART PEF2019'!D$7*'CALCULO GARANTIA'!$U30</f>
        <v>1438732.2853539435</v>
      </c>
      <c r="F29" s="173">
        <f>'PART PEF2019'!D$8*'CALCULO GARANTIA'!$U30</f>
        <v>118683.95419940339</v>
      </c>
      <c r="G29" s="173">
        <f>'PART PEF2019'!D$9*'CALCULO GARANTIA'!$U30</f>
        <v>808860.89544425404</v>
      </c>
      <c r="H29" s="173">
        <f>'PART PEF2019'!D$10*'CALCULO GARANTIA'!$U30</f>
        <v>180677.01613571853</v>
      </c>
      <c r="I29" s="173">
        <f>'PART PEF2019'!D$11*'COEF Art 14 F II'!N31</f>
        <v>2766722.7548718411</v>
      </c>
      <c r="J29" s="174">
        <f t="shared" si="0"/>
        <v>41201880.098705068</v>
      </c>
    </row>
    <row r="30" spans="1:10">
      <c r="A30" s="172" t="s">
        <v>25</v>
      </c>
      <c r="B30" s="173">
        <f>'PART PEF2019'!D$4*'CALCULO GARANTIA'!$U31</f>
        <v>491594708.85847151</v>
      </c>
      <c r="C30" s="173">
        <f>'PART PEF2019'!D$5*'CALCULO GARANTIA'!$U31</f>
        <v>68777653.272457197</v>
      </c>
      <c r="D30" s="173">
        <f>'PART PEF2019'!D$6*'CALCULO GARANTIA'!$U31</f>
        <v>18291705.63669847</v>
      </c>
      <c r="E30" s="173">
        <f>'PART PEF2019'!D$7*'CALCULO GARANTIA'!$U31</f>
        <v>23198226.787817463</v>
      </c>
      <c r="F30" s="173">
        <f>'PART PEF2019'!D$8*'CALCULO GARANTIA'!$U31</f>
        <v>1913668.9387041666</v>
      </c>
      <c r="G30" s="173">
        <f>'PART PEF2019'!D$9*'CALCULO GARANTIA'!$U31</f>
        <v>13042133.469394369</v>
      </c>
      <c r="H30" s="173">
        <f>'PART PEF2019'!D$10*'CALCULO GARANTIA'!$U31</f>
        <v>2913249.6978973602</v>
      </c>
      <c r="I30" s="173">
        <f>'PART PEF2019'!D$11*'COEF Art 14 F II'!N32</f>
        <v>28132874.340071175</v>
      </c>
      <c r="J30" s="174">
        <f t="shared" si="0"/>
        <v>647864221.00151169</v>
      </c>
    </row>
    <row r="31" spans="1:10">
      <c r="A31" s="172" t="s">
        <v>26</v>
      </c>
      <c r="B31" s="173">
        <f>'PART PEF2019'!D$4*'CALCULO GARANTIA'!$U32</f>
        <v>12862988.05880885</v>
      </c>
      <c r="C31" s="173">
        <f>'PART PEF2019'!D$5*'CALCULO GARANTIA'!$U32</f>
        <v>1799625.0098192382</v>
      </c>
      <c r="D31" s="173">
        <f>'PART PEF2019'!D$6*'CALCULO GARANTIA'!$U32</f>
        <v>478617.82671838521</v>
      </c>
      <c r="E31" s="173">
        <f>'PART PEF2019'!D$7*'CALCULO GARANTIA'!$U32</f>
        <v>607001.0697432945</v>
      </c>
      <c r="F31" s="173">
        <f>'PART PEF2019'!D$8*'CALCULO GARANTIA'!$U32</f>
        <v>50072.753557955439</v>
      </c>
      <c r="G31" s="173">
        <f>'PART PEF2019'!D$9*'CALCULO GARANTIA'!$U32</f>
        <v>341258.36599780974</v>
      </c>
      <c r="H31" s="173">
        <f>'PART PEF2019'!D$10*'CALCULO GARANTIA'!$U32</f>
        <v>76227.6228794208</v>
      </c>
      <c r="I31" s="173">
        <f>'PART PEF2019'!D$11*'COEF Art 14 F II'!N33</f>
        <v>161360.7581423776</v>
      </c>
      <c r="J31" s="174">
        <f t="shared" si="0"/>
        <v>16377151.465667332</v>
      </c>
    </row>
    <row r="32" spans="1:10">
      <c r="A32" s="172" t="s">
        <v>27</v>
      </c>
      <c r="B32" s="173">
        <f>'PART PEF2019'!D$4*'CALCULO GARANTIA'!$U33</f>
        <v>22141644.859021246</v>
      </c>
      <c r="C32" s="173">
        <f>'PART PEF2019'!D$5*'CALCULO GARANTIA'!$U33</f>
        <v>3097776.1671435549</v>
      </c>
      <c r="D32" s="173">
        <f>'PART PEF2019'!D$6*'CALCULO GARANTIA'!$U33</f>
        <v>823866.57703050098</v>
      </c>
      <c r="E32" s="173">
        <f>'PART PEF2019'!D$7*'CALCULO GARANTIA'!$U33</f>
        <v>1044858.477194808</v>
      </c>
      <c r="F32" s="173">
        <f>'PART PEF2019'!D$8*'CALCULO GARANTIA'!$U33</f>
        <v>86192.502187256949</v>
      </c>
      <c r="G32" s="173">
        <f>'PART PEF2019'!D$9*'CALCULO GARANTIA'!$U33</f>
        <v>587423.50615173508</v>
      </c>
      <c r="H32" s="173">
        <f>'PART PEF2019'!D$10*'CALCULO GARANTIA'!$U33</f>
        <v>131214.06523328714</v>
      </c>
      <c r="I32" s="173">
        <f>'PART PEF2019'!D$11*'COEF Art 14 F II'!N34</f>
        <v>752924.02796759701</v>
      </c>
      <c r="J32" s="174">
        <f t="shared" si="0"/>
        <v>28665900.181929987</v>
      </c>
    </row>
    <row r="33" spans="1:10">
      <c r="A33" s="172" t="s">
        <v>28</v>
      </c>
      <c r="B33" s="173">
        <f>'PART PEF2019'!D$4*'CALCULO GARANTIA'!$U34</f>
        <v>12623902.9100658</v>
      </c>
      <c r="C33" s="173">
        <f>'PART PEF2019'!D$5*'CALCULO GARANTIA'!$U34</f>
        <v>1766175.2692778334</v>
      </c>
      <c r="D33" s="173">
        <f>'PART PEF2019'!D$6*'CALCULO GARANTIA'!$U34</f>
        <v>469721.72778951493</v>
      </c>
      <c r="E33" s="173">
        <f>'PART PEF2019'!D$7*'CALCULO GARANTIA'!$U34</f>
        <v>595718.70359452232</v>
      </c>
      <c r="F33" s="173">
        <f>'PART PEF2019'!D$8*'CALCULO GARANTIA'!$U34</f>
        <v>49142.048213470618</v>
      </c>
      <c r="G33" s="173">
        <f>'PART PEF2019'!D$9*'CALCULO GARANTIA'!$U34</f>
        <v>334915.37579822529</v>
      </c>
      <c r="H33" s="173">
        <f>'PART PEF2019'!D$10*'CALCULO GARANTIA'!$U34</f>
        <v>74810.77537313904</v>
      </c>
      <c r="I33" s="173">
        <f>'PART PEF2019'!D$11*'COEF Art 14 F II'!N35</f>
        <v>206165.45796668917</v>
      </c>
      <c r="J33" s="174">
        <f t="shared" si="0"/>
        <v>16120552.268079195</v>
      </c>
    </row>
    <row r="34" spans="1:10">
      <c r="A34" s="172" t="s">
        <v>29</v>
      </c>
      <c r="B34" s="173">
        <f>'PART PEF2019'!D$4*'CALCULO GARANTIA'!$U35</f>
        <v>17725724.781545345</v>
      </c>
      <c r="C34" s="173">
        <f>'PART PEF2019'!D$5*'CALCULO GARANTIA'!$U35</f>
        <v>2479957.027729345</v>
      </c>
      <c r="D34" s="173">
        <f>'PART PEF2019'!D$6*'CALCULO GARANTIA'!$U35</f>
        <v>659554.98311619239</v>
      </c>
      <c r="E34" s="173">
        <f>'PART PEF2019'!D$7*'CALCULO GARANTIA'!$U35</f>
        <v>836472.35426024429</v>
      </c>
      <c r="F34" s="173">
        <f>'PART PEF2019'!D$8*'CALCULO GARANTIA'!$U35</f>
        <v>69002.306817398668</v>
      </c>
      <c r="G34" s="173">
        <f>'PART PEF2019'!D$9*'CALCULO GARANTIA'!$U35</f>
        <v>470268.0160644732</v>
      </c>
      <c r="H34" s="173">
        <f>'PART PEF2019'!D$10*'CALCULO GARANTIA'!$U35</f>
        <v>105044.78879514456</v>
      </c>
      <c r="I34" s="173">
        <f>'PART PEF2019'!D$11*'COEF Art 14 F II'!N36</f>
        <v>398982.46307831927</v>
      </c>
      <c r="J34" s="174">
        <f t="shared" si="0"/>
        <v>22745006.721406456</v>
      </c>
    </row>
    <row r="35" spans="1:10">
      <c r="A35" s="172" t="s">
        <v>30</v>
      </c>
      <c r="B35" s="173">
        <f>'PART PEF2019'!D$4*'CALCULO GARANTIA'!$U36</f>
        <v>16555047.25206868</v>
      </c>
      <c r="C35" s="173">
        <f>'PART PEF2019'!D$5*'CALCULO GARANTIA'!$U36</f>
        <v>2316170.7790873093</v>
      </c>
      <c r="D35" s="173">
        <f>'PART PEF2019'!D$6*'CALCULO GARANTIA'!$U36</f>
        <v>615995.342666829</v>
      </c>
      <c r="E35" s="173">
        <f>'PART PEF2019'!D$7*'CALCULO GARANTIA'!$U36</f>
        <v>781228.38532643695</v>
      </c>
      <c r="F35" s="173">
        <f>'PART PEF2019'!D$8*'CALCULO GARANTIA'!$U36</f>
        <v>64445.119392414817</v>
      </c>
      <c r="G35" s="173">
        <f>'PART PEF2019'!D$9*'CALCULO GARANTIA'!$U36</f>
        <v>439209.64152559842</v>
      </c>
      <c r="H35" s="173">
        <f>'PART PEF2019'!D$10*'CALCULO GARANTIA'!$U36</f>
        <v>98107.212174349435</v>
      </c>
      <c r="I35" s="173">
        <f>'PART PEF2019'!D$11*'COEF Art 14 F II'!N37</f>
        <v>314002.63114238082</v>
      </c>
      <c r="J35" s="174">
        <f t="shared" si="0"/>
        <v>21184206.363383997</v>
      </c>
    </row>
    <row r="36" spans="1:10">
      <c r="A36" s="172" t="s">
        <v>31</v>
      </c>
      <c r="B36" s="173">
        <f>'PART PEF2019'!D$4*'CALCULO GARANTIA'!$U37</f>
        <v>154985554.95844874</v>
      </c>
      <c r="C36" s="173">
        <f>'PART PEF2019'!D$5*'CALCULO GARANTIA'!$U37</f>
        <v>21683599.455177199</v>
      </c>
      <c r="D36" s="173">
        <f>'PART PEF2019'!D$6*'CALCULO GARANTIA'!$U37</f>
        <v>5766844.3092549024</v>
      </c>
      <c r="E36" s="173">
        <f>'PART PEF2019'!D$7*'CALCULO GARANTIA'!$U37</f>
        <v>7313728.1341181844</v>
      </c>
      <c r="F36" s="173">
        <f>'PART PEF2019'!D$8*'CALCULO GARANTIA'!$U37</f>
        <v>603324.31803532375</v>
      </c>
      <c r="G36" s="173">
        <f>'PART PEF2019'!D$9*'CALCULO GARANTIA'!$U37</f>
        <v>4111806.4478154955</v>
      </c>
      <c r="H36" s="173">
        <f>'PART PEF2019'!D$10*'CALCULO GARANTIA'!$U37</f>
        <v>918463.1425541729</v>
      </c>
      <c r="I36" s="173">
        <f>'PART PEF2019'!D$11*'COEF Art 14 F II'!N38</f>
        <v>12992187.716273595</v>
      </c>
      <c r="J36" s="174">
        <f t="shared" si="0"/>
        <v>208375508.48167765</v>
      </c>
    </row>
    <row r="37" spans="1:10">
      <c r="A37" s="172" t="s">
        <v>32</v>
      </c>
      <c r="B37" s="173">
        <f>'PART PEF2019'!D$4*'CALCULO GARANTIA'!$U38</f>
        <v>30203168.498869706</v>
      </c>
      <c r="C37" s="173">
        <f>'PART PEF2019'!D$5*'CALCULO GARANTIA'!$U38</f>
        <v>4225641.5972591573</v>
      </c>
      <c r="D37" s="173">
        <f>'PART PEF2019'!D$6*'CALCULO GARANTIA'!$U38</f>
        <v>1123827.1232817159</v>
      </c>
      <c r="E37" s="173">
        <f>'PART PEF2019'!D$7*'CALCULO GARANTIA'!$U38</f>
        <v>1425279.6865418693</v>
      </c>
      <c r="F37" s="173">
        <f>'PART PEF2019'!D$8*'CALCULO GARANTIA'!$U38</f>
        <v>117574.22194585744</v>
      </c>
      <c r="G37" s="173">
        <f>'PART PEF2019'!D$9*'CALCULO GARANTIA'!$U38</f>
        <v>801297.79198716464</v>
      </c>
      <c r="H37" s="173">
        <f>'PART PEF2019'!D$10*'CALCULO GARANTIA'!$U38</f>
        <v>178987.62927940115</v>
      </c>
      <c r="I37" s="173">
        <f>'PART PEF2019'!D$11*'COEF Art 14 F II'!N39</f>
        <v>504989.35668621748</v>
      </c>
      <c r="J37" s="174">
        <f t="shared" si="0"/>
        <v>38580765.905851096</v>
      </c>
    </row>
    <row r="38" spans="1:10">
      <c r="A38" s="172" t="s">
        <v>33</v>
      </c>
      <c r="B38" s="173">
        <f>'PART PEF2019'!D$4*'CALCULO GARANTIA'!$U39</f>
        <v>110737118.53581114</v>
      </c>
      <c r="C38" s="173">
        <f>'PART PEF2019'!D$5*'CALCULO GARANTIA'!$U39</f>
        <v>15492923.348855047</v>
      </c>
      <c r="D38" s="173">
        <f>'PART PEF2019'!D$6*'CALCULO GARANTIA'!$U39</f>
        <v>4120408.0084930258</v>
      </c>
      <c r="E38" s="173">
        <f>'PART PEF2019'!D$7*'CALCULO GARANTIA'!$U39</f>
        <v>5225655.8976975298</v>
      </c>
      <c r="F38" s="173">
        <f>'PART PEF2019'!D$8*'CALCULO GARANTIA'!$U39</f>
        <v>431074.98979325383</v>
      </c>
      <c r="G38" s="173">
        <f>'PART PEF2019'!D$9*'CALCULO GARANTIA'!$U39</f>
        <v>2937884.1023612162</v>
      </c>
      <c r="H38" s="173">
        <f>'PART PEF2019'!D$10*'CALCULO GARANTIA'!$U39</f>
        <v>656241.55693130707</v>
      </c>
      <c r="I38" s="173">
        <f>'PART PEF2019'!D$11*'COEF Art 14 F II'!N40</f>
        <v>3944915.8660298865</v>
      </c>
      <c r="J38" s="174">
        <f t="shared" si="0"/>
        <v>143546222.3059724</v>
      </c>
    </row>
    <row r="39" spans="1:10">
      <c r="A39" s="172" t="s">
        <v>34</v>
      </c>
      <c r="B39" s="173">
        <f>'PART PEF2019'!D$4*'CALCULO GARANTIA'!$U40</f>
        <v>23457557.7917253</v>
      </c>
      <c r="C39" s="173">
        <f>'PART PEF2019'!D$5*'CALCULO GARANTIA'!$U40</f>
        <v>3281881.8985344064</v>
      </c>
      <c r="D39" s="173">
        <f>'PART PEF2019'!D$6*'CALCULO GARANTIA'!$U40</f>
        <v>872830.26922409795</v>
      </c>
      <c r="E39" s="173">
        <f>'PART PEF2019'!D$7*'CALCULO GARANTIA'!$U40</f>
        <v>1106956.0671318045</v>
      </c>
      <c r="F39" s="173">
        <f>'PART PEF2019'!D$8*'CALCULO GARANTIA'!$U40</f>
        <v>91315.058756676503</v>
      </c>
      <c r="G39" s="173">
        <f>'PART PEF2019'!D$9*'CALCULO GARANTIA'!$U40</f>
        <v>622335.01311705797</v>
      </c>
      <c r="H39" s="173">
        <f>'PART PEF2019'!D$10*'CALCULO GARANTIA'!$U40</f>
        <v>139012.32441830004</v>
      </c>
      <c r="I39" s="173">
        <f>'PART PEF2019'!D$11*'COEF Art 14 F II'!N41</f>
        <v>471841.62069460913</v>
      </c>
      <c r="J39" s="174">
        <f t="shared" si="0"/>
        <v>30043730.043602247</v>
      </c>
    </row>
    <row r="40" spans="1:10">
      <c r="A40" s="172" t="s">
        <v>35</v>
      </c>
      <c r="B40" s="173">
        <f>'PART PEF2019'!D$4*'CALCULO GARANTIA'!$U41</f>
        <v>22343413.473746642</v>
      </c>
      <c r="C40" s="173">
        <f>'PART PEF2019'!D$5*'CALCULO GARANTIA'!$U41</f>
        <v>3126005.0548325037</v>
      </c>
      <c r="D40" s="173">
        <f>'PART PEF2019'!D$6*'CALCULO GARANTIA'!$U41</f>
        <v>831374.16822457919</v>
      </c>
      <c r="E40" s="173">
        <f>'PART PEF2019'!D$7*'CALCULO GARANTIA'!$U41</f>
        <v>1054379.8857834651</v>
      </c>
      <c r="F40" s="173">
        <f>'PART PEF2019'!D$8*'CALCULO GARANTIA'!$U41</f>
        <v>86977.942558862982</v>
      </c>
      <c r="G40" s="173">
        <f>'PART PEF2019'!D$9*'CALCULO GARANTIA'!$U41</f>
        <v>592776.47915116779</v>
      </c>
      <c r="H40" s="173">
        <f>'PART PEF2019'!D$10*'CALCULO GARANTIA'!$U41</f>
        <v>132409.77044593854</v>
      </c>
      <c r="I40" s="173">
        <f>'PART PEF2019'!D$11*'COEF Art 14 F II'!N42</f>
        <v>302433.46389950468</v>
      </c>
      <c r="J40" s="174">
        <f t="shared" si="0"/>
        <v>28469770.238642663</v>
      </c>
    </row>
    <row r="41" spans="1:10">
      <c r="A41" s="172" t="s">
        <v>36</v>
      </c>
      <c r="B41" s="173">
        <f>'PART PEF2019'!D$4*'CALCULO GARANTIA'!$U42</f>
        <v>23846161.873342164</v>
      </c>
      <c r="C41" s="173">
        <f>'PART PEF2019'!D$5*'CALCULO GARANTIA'!$U42</f>
        <v>3336250.4185857507</v>
      </c>
      <c r="D41" s="173">
        <f>'PART PEF2019'!D$6*'CALCULO GARANTIA'!$U42</f>
        <v>887289.80538684723</v>
      </c>
      <c r="E41" s="173">
        <f>'PART PEF2019'!D$7*'CALCULO GARANTIA'!$U42</f>
        <v>1125294.1929366023</v>
      </c>
      <c r="F41" s="173">
        <f>'PART PEF2019'!D$8*'CALCULO GARANTIA'!$U42</f>
        <v>92827.808074444183</v>
      </c>
      <c r="G41" s="173">
        <f>'PART PEF2019'!D$9*'CALCULO GARANTIA'!$U42</f>
        <v>632644.77888115146</v>
      </c>
      <c r="H41" s="173">
        <f>'PART PEF2019'!D$10*'CALCULO GARANTIA'!$U42</f>
        <v>141315.23920353208</v>
      </c>
      <c r="I41" s="173">
        <f>'PART PEF2019'!D$11*'COEF Art 14 F II'!N43</f>
        <v>510163.58922111942</v>
      </c>
      <c r="J41" s="174">
        <f t="shared" si="0"/>
        <v>30571947.705631614</v>
      </c>
    </row>
    <row r="42" spans="1:10">
      <c r="A42" s="172" t="s">
        <v>37</v>
      </c>
      <c r="B42" s="173">
        <f>'PART PEF2019'!D$4*'CALCULO GARANTIA'!$U43</f>
        <v>33588352.653618105</v>
      </c>
      <c r="C42" s="173">
        <f>'PART PEF2019'!D$5*'CALCULO GARANTIA'!$U43</f>
        <v>4699253.3303865194</v>
      </c>
      <c r="D42" s="173">
        <f>'PART PEF2019'!D$6*'CALCULO GARANTIA'!$U43</f>
        <v>1249786.1520687819</v>
      </c>
      <c r="E42" s="173">
        <f>'PART PEF2019'!D$7*'CALCULO GARANTIA'!$U43</f>
        <v>1585025.6486632561</v>
      </c>
      <c r="F42" s="173">
        <f>'PART PEF2019'!D$8*'CALCULO GARANTIA'!$U43</f>
        <v>130751.99146208826</v>
      </c>
      <c r="G42" s="173">
        <f>'PART PEF2019'!D$9*'CALCULO GARANTIA'!$U43</f>
        <v>891107.59418627294</v>
      </c>
      <c r="H42" s="173">
        <f>'PART PEF2019'!D$10*'CALCULO GARANTIA'!$U43</f>
        <v>199048.63998280745</v>
      </c>
      <c r="I42" s="173">
        <f>'PART PEF2019'!D$11*'COEF Art 14 F II'!N44</f>
        <v>530434.71016091562</v>
      </c>
      <c r="J42" s="174">
        <f t="shared" si="0"/>
        <v>42873760.720528744</v>
      </c>
    </row>
    <row r="43" spans="1:10">
      <c r="A43" s="172" t="s">
        <v>38</v>
      </c>
      <c r="B43" s="173">
        <f>'PART PEF2019'!D$4*'CALCULO GARANTIA'!$U44</f>
        <v>78801377.036338076</v>
      </c>
      <c r="C43" s="173">
        <f>'PART PEF2019'!D$5*'CALCULO GARANTIA'!$U44</f>
        <v>11024882.264869465</v>
      </c>
      <c r="D43" s="173">
        <f>'PART PEF2019'!D$6*'CALCULO GARANTIA'!$U44</f>
        <v>2932113.7240518271</v>
      </c>
      <c r="E43" s="173">
        <f>'PART PEF2019'!D$7*'CALCULO GARANTIA'!$U44</f>
        <v>3718616.5406991229</v>
      </c>
      <c r="F43" s="173">
        <f>'PART PEF2019'!D$8*'CALCULO GARANTIA'!$U44</f>
        <v>306756.24624139455</v>
      </c>
      <c r="G43" s="173">
        <f>'PART PEF2019'!D$9*'CALCULO GARANTIA'!$U44</f>
        <v>2090620.7051465071</v>
      </c>
      <c r="H43" s="173">
        <f>'PART PEF2019'!D$10*'CALCULO GARANTIA'!$U44</f>
        <v>466986.49051387527</v>
      </c>
      <c r="I43" s="173">
        <f>'PART PEF2019'!D$11*'COEF Art 14 F II'!N45</f>
        <v>2919495.3678585947</v>
      </c>
      <c r="J43" s="174">
        <f t="shared" si="0"/>
        <v>102260848.37571886</v>
      </c>
    </row>
    <row r="44" spans="1:10">
      <c r="A44" s="172" t="s">
        <v>39</v>
      </c>
      <c r="B44" s="173">
        <f>'PART PEF2019'!D$4*'CALCULO GARANTIA'!$U45</f>
        <v>1637764095.2398498</v>
      </c>
      <c r="C44" s="173">
        <f>'PART PEF2019'!D$5*'CALCULO GARANTIA'!$U45</f>
        <v>229135035.53781149</v>
      </c>
      <c r="D44" s="173">
        <f>'PART PEF2019'!D$6*'CALCULO GARANTIA'!$U45</f>
        <v>60939424.677790411</v>
      </c>
      <c r="E44" s="173">
        <f>'PART PEF2019'!D$7*'CALCULO GARANTIA'!$U45</f>
        <v>77285662.806547493</v>
      </c>
      <c r="F44" s="173">
        <f>'PART PEF2019'!D$8*'CALCULO GARANTIA'!$U45</f>
        <v>6375451.6098498954</v>
      </c>
      <c r="G44" s="173">
        <f>'PART PEF2019'!D$9*'CALCULO GARANTIA'!$U45</f>
        <v>43450300.698109195</v>
      </c>
      <c r="H44" s="173">
        <f>'PART PEF2019'!D$10*'CALCULO GARANTIA'!$U45</f>
        <v>9705588.0987080615</v>
      </c>
      <c r="I44" s="173">
        <f>'PART PEF2019'!D$11*'COEF Art 14 F II'!N46</f>
        <v>58295544.571360178</v>
      </c>
      <c r="J44" s="174">
        <f t="shared" si="0"/>
        <v>2122951103.2400265</v>
      </c>
    </row>
    <row r="45" spans="1:10">
      <c r="A45" s="172" t="s">
        <v>40</v>
      </c>
      <c r="B45" s="173">
        <f>'PART PEF2019'!D$4*'CALCULO GARANTIA'!$U46</f>
        <v>8422490.6917086318</v>
      </c>
      <c r="C45" s="173">
        <f>'PART PEF2019'!D$5*'CALCULO GARANTIA'!$U46</f>
        <v>1178367.3299291083</v>
      </c>
      <c r="D45" s="173">
        <f>'PART PEF2019'!D$6*'CALCULO GARANTIA'!$U46</f>
        <v>313391.73852849792</v>
      </c>
      <c r="E45" s="173">
        <f>'PART PEF2019'!D$7*'CALCULO GARANTIA'!$U46</f>
        <v>397455.15088688559</v>
      </c>
      <c r="F45" s="173">
        <f>'PART PEF2019'!D$8*'CALCULO GARANTIA'!$U46</f>
        <v>32786.884262190164</v>
      </c>
      <c r="G45" s="173">
        <f>'PART PEF2019'!D$9*'CALCULO GARANTIA'!$U46</f>
        <v>223450.83412527191</v>
      </c>
      <c r="H45" s="173">
        <f>'PART PEF2019'!D$10*'CALCULO GARANTIA'!$U46</f>
        <v>49912.698450600219</v>
      </c>
      <c r="I45" s="173">
        <f>'PART PEF2019'!D$11*'COEF Art 14 F II'!N47</f>
        <v>107970.38503721496</v>
      </c>
      <c r="J45" s="174">
        <f t="shared" si="0"/>
        <v>10725825.712928399</v>
      </c>
    </row>
    <row r="46" spans="1:10">
      <c r="A46" s="172" t="s">
        <v>41</v>
      </c>
      <c r="B46" s="173">
        <f>'PART PEF2019'!D$4*'CALCULO GARANTIA'!$U47</f>
        <v>32065712.321015321</v>
      </c>
      <c r="C46" s="173">
        <f>'PART PEF2019'!D$5*'CALCULO GARANTIA'!$U47</f>
        <v>4486224.9414162813</v>
      </c>
      <c r="D46" s="173">
        <f>'PART PEF2019'!D$6*'CALCULO GARANTIA'!$U47</f>
        <v>1193130.3576660941</v>
      </c>
      <c r="E46" s="173">
        <f>'PART PEF2019'!D$7*'CALCULO GARANTIA'!$U47</f>
        <v>1513172.6463516171</v>
      </c>
      <c r="F46" s="173">
        <f>'PART PEF2019'!D$8*'CALCULO GARANTIA'!$U47</f>
        <v>124824.69107253299</v>
      </c>
      <c r="G46" s="173">
        <f>'PART PEF2019'!D$9*'CALCULO GARANTIA'!$U47</f>
        <v>850711.55638146866</v>
      </c>
      <c r="H46" s="173">
        <f>'PART PEF2019'!D$10*'CALCULO GARANTIA'!$U47</f>
        <v>190025.28922449311</v>
      </c>
      <c r="I46" s="173">
        <f>'PART PEF2019'!D$11*'COEF Art 14 F II'!N48</f>
        <v>2373682.0856003207</v>
      </c>
      <c r="J46" s="174">
        <f t="shared" si="0"/>
        <v>42797483.888728134</v>
      </c>
    </row>
    <row r="47" spans="1:10">
      <c r="A47" s="172" t="s">
        <v>42</v>
      </c>
      <c r="B47" s="173">
        <f>'PART PEF2019'!D$4*'CALCULO GARANTIA'!$U48</f>
        <v>17863846.753798999</v>
      </c>
      <c r="C47" s="173">
        <f>'PART PEF2019'!D$5*'CALCULO GARANTIA'!$U48</f>
        <v>2499281.2900653435</v>
      </c>
      <c r="D47" s="173">
        <f>'PART PEF2019'!D$6*'CALCULO GARANTIA'!$U48</f>
        <v>664694.35181340808</v>
      </c>
      <c r="E47" s="173">
        <f>'PART PEF2019'!D$7*'CALCULO GARANTIA'!$U48</f>
        <v>842990.29430105828</v>
      </c>
      <c r="F47" s="173">
        <f>'PART PEF2019'!D$8*'CALCULO GARANTIA'!$U48</f>
        <v>69539.984956099855</v>
      </c>
      <c r="G47" s="173">
        <f>'PART PEF2019'!D$9*'CALCULO GARANTIA'!$U48</f>
        <v>473932.4273462203</v>
      </c>
      <c r="H47" s="173">
        <f>'PART PEF2019'!D$10*'CALCULO GARANTIA'!$U48</f>
        <v>105863.31630711742</v>
      </c>
      <c r="I47" s="173">
        <f>'PART PEF2019'!D$11*'COEF Art 14 F II'!N49</f>
        <v>291471.48581024306</v>
      </c>
      <c r="J47" s="174">
        <f t="shared" si="0"/>
        <v>22811619.904398493</v>
      </c>
    </row>
    <row r="48" spans="1:10">
      <c r="A48" s="172" t="s">
        <v>43</v>
      </c>
      <c r="B48" s="173">
        <f>'PART PEF2019'!D$4*'CALCULO GARANTIA'!$U49</f>
        <v>19631679.320365168</v>
      </c>
      <c r="C48" s="173">
        <f>'PART PEF2019'!D$5*'CALCULO GARANTIA'!$U49</f>
        <v>2746613.8449445101</v>
      </c>
      <c r="D48" s="173">
        <f>'PART PEF2019'!D$6*'CALCULO GARANTIA'!$U49</f>
        <v>730473.48315858934</v>
      </c>
      <c r="E48" s="173">
        <f>'PART PEF2019'!D$7*'CALCULO GARANTIA'!$U49</f>
        <v>926413.854528795</v>
      </c>
      <c r="F48" s="173">
        <f>'PART PEF2019'!D$8*'CALCULO GARANTIA'!$U49</f>
        <v>76421.764215529009</v>
      </c>
      <c r="G48" s="173">
        <f>'PART PEF2019'!D$9*'CALCULO GARANTIA'!$U49</f>
        <v>520833.4778848578</v>
      </c>
      <c r="H48" s="173">
        <f>'PART PEF2019'!D$10*'CALCULO GARANTIA'!$U49</f>
        <v>116339.70589731685</v>
      </c>
      <c r="I48" s="173">
        <f>'PART PEF2019'!D$11*'COEF Art 14 F II'!N50</f>
        <v>320283.83727449609</v>
      </c>
      <c r="J48" s="174">
        <f t="shared" si="0"/>
        <v>25069059.288269263</v>
      </c>
    </row>
    <row r="49" spans="1:10">
      <c r="A49" s="172" t="s">
        <v>44</v>
      </c>
      <c r="B49" s="173">
        <f>'PART PEF2019'!D$4*'CALCULO GARANTIA'!$U50</f>
        <v>57594258.099554472</v>
      </c>
      <c r="C49" s="173">
        <f>'PART PEF2019'!D$5*'CALCULO GARANTIA'!$U50</f>
        <v>8057853.029488124</v>
      </c>
      <c r="D49" s="173">
        <f>'PART PEF2019'!D$6*'CALCULO GARANTIA'!$U50</f>
        <v>2143019.8424376966</v>
      </c>
      <c r="E49" s="173">
        <f>'PART PEF2019'!D$7*'CALCULO GARANTIA'!$U50</f>
        <v>2717858.0993519435</v>
      </c>
      <c r="F49" s="173">
        <f>'PART PEF2019'!D$8*'CALCULO GARANTIA'!$U50</f>
        <v>224201.64575969666</v>
      </c>
      <c r="G49" s="173">
        <f>'PART PEF2019'!D$9*'CALCULO GARANTIA'!$U50</f>
        <v>1527990.4109411219</v>
      </c>
      <c r="H49" s="173">
        <f>'PART PEF2019'!D$10*'CALCULO GARANTIA'!$U50</f>
        <v>341310.53891683527</v>
      </c>
      <c r="I49" s="173">
        <f>'PART PEF2019'!D$11*'COEF Art 14 F II'!N51</f>
        <v>1597744.3279773379</v>
      </c>
      <c r="J49" s="174">
        <f t="shared" si="0"/>
        <v>74204235.994427249</v>
      </c>
    </row>
    <row r="50" spans="1:10">
      <c r="A50" s="172" t="s">
        <v>45</v>
      </c>
      <c r="B50" s="173">
        <f>'PART PEF2019'!D$4*'CALCULO GARANTIA'!$U51</f>
        <v>49765974.474505201</v>
      </c>
      <c r="C50" s="173">
        <f>'PART PEF2019'!D$5*'CALCULO GARANTIA'!$U51</f>
        <v>6962619.5634235004</v>
      </c>
      <c r="D50" s="173">
        <f>'PART PEF2019'!D$6*'CALCULO GARANTIA'!$U51</f>
        <v>1851737.9040244564</v>
      </c>
      <c r="E50" s="173">
        <f>'PART PEF2019'!D$7*'CALCULO GARANTIA'!$U51</f>
        <v>2348443.4257991132</v>
      </c>
      <c r="F50" s="173">
        <f>'PART PEF2019'!D$8*'CALCULO GARANTIA'!$U51</f>
        <v>193727.87753828938</v>
      </c>
      <c r="G50" s="173">
        <f>'PART PEF2019'!D$9*'CALCULO GARANTIA'!$U51</f>
        <v>1320304.0424054496</v>
      </c>
      <c r="H50" s="173">
        <f>'PART PEF2019'!D$10*'CALCULO GARANTIA'!$U51</f>
        <v>294919.18340634432</v>
      </c>
      <c r="I50" s="173">
        <f>'PART PEF2019'!D$11*'COEF Art 14 F II'!N52</f>
        <v>2079451.5588049416</v>
      </c>
      <c r="J50" s="174">
        <f t="shared" si="0"/>
        <v>64817178.029907301</v>
      </c>
    </row>
    <row r="51" spans="1:10">
      <c r="A51" s="172" t="s">
        <v>46</v>
      </c>
      <c r="B51" s="173">
        <f>'PART PEF2019'!D$4*'CALCULO GARANTIA'!$U52</f>
        <v>448472195.51009548</v>
      </c>
      <c r="C51" s="173">
        <f>'PART PEF2019'!D$5*'CALCULO GARANTIA'!$U52</f>
        <v>62744501.942983925</v>
      </c>
      <c r="D51" s="173">
        <f>'PART PEF2019'!D$6*'CALCULO GARANTIA'!$U52</f>
        <v>16687163.711675059</v>
      </c>
      <c r="E51" s="173">
        <f>'PART PEF2019'!D$7*'CALCULO GARANTIA'!$U52</f>
        <v>21163286.569198646</v>
      </c>
      <c r="F51" s="173">
        <f>'PART PEF2019'!D$8*'CALCULO GARANTIA'!$U52</f>
        <v>1745802.5787401481</v>
      </c>
      <c r="G51" s="173">
        <f>'PART PEF2019'!D$9*'CALCULO GARANTIA'!$U52</f>
        <v>11898082.15132541</v>
      </c>
      <c r="H51" s="173">
        <f>'PART PEF2019'!D$10*'CALCULO GARANTIA'!$U52</f>
        <v>2657700.4685811047</v>
      </c>
      <c r="I51" s="173">
        <f>'PART PEF2019'!D$11*'COEF Art 14 F II'!N53</f>
        <v>18847206.373605188</v>
      </c>
      <c r="J51" s="174">
        <f t="shared" si="0"/>
        <v>584215939.30620492</v>
      </c>
    </row>
    <row r="52" spans="1:10">
      <c r="A52" s="172" t="s">
        <v>47</v>
      </c>
      <c r="B52" s="173">
        <f>'PART PEF2019'!D$4*'CALCULO GARANTIA'!$U53</f>
        <v>831866440.70157576</v>
      </c>
      <c r="C52" s="173">
        <f>'PART PEF2019'!D$5*'CALCULO GARANTIA'!$U53</f>
        <v>116384128.21899945</v>
      </c>
      <c r="D52" s="173">
        <f>'PART PEF2019'!D$6*'CALCULO GARANTIA'!$U53</f>
        <v>30952847.514764477</v>
      </c>
      <c r="E52" s="173">
        <f>'PART PEF2019'!D$7*'CALCULO GARANTIA'!$U53</f>
        <v>39255561.544551618</v>
      </c>
      <c r="F52" s="173">
        <f>'PART PEF2019'!D$8*'CALCULO GARANTIA'!$U53</f>
        <v>3238271.1612530896</v>
      </c>
      <c r="G52" s="173">
        <f>'PART PEF2019'!D$9*'CALCULO GARANTIA'!$U53</f>
        <v>22069629.621386889</v>
      </c>
      <c r="H52" s="173">
        <f>'PART PEF2019'!D$10*'CALCULO GARANTIA'!$U53</f>
        <v>4929741.1330814725</v>
      </c>
      <c r="I52" s="173">
        <f>'PART PEF2019'!D$11*'COEF Art 14 F II'!N54</f>
        <v>14587848.991089014</v>
      </c>
      <c r="J52" s="174">
        <f t="shared" si="0"/>
        <v>1063284468.8867016</v>
      </c>
    </row>
    <row r="53" spans="1:10">
      <c r="A53" s="172" t="s">
        <v>48</v>
      </c>
      <c r="B53" s="173">
        <f>'PART PEF2019'!D$4*'CALCULO GARANTIA'!$U54</f>
        <v>233508129.95777953</v>
      </c>
      <c r="C53" s="173">
        <f>'PART PEF2019'!D$5*'CALCULO GARANTIA'!$U54</f>
        <v>32669475.299742691</v>
      </c>
      <c r="D53" s="173">
        <f>'PART PEF2019'!D$6*'CALCULO GARANTIA'!$U54</f>
        <v>8688584.1120664235</v>
      </c>
      <c r="E53" s="173">
        <f>'PART PEF2019'!D$7*'CALCULO GARANTIA'!$U54</f>
        <v>11019188.079014193</v>
      </c>
      <c r="F53" s="173">
        <f>'PART PEF2019'!D$8*'CALCULO GARANTIA'!$U54</f>
        <v>908995.2499137806</v>
      </c>
      <c r="G53" s="173">
        <f>'PART PEF2019'!D$9*'CALCULO GARANTIA'!$U54</f>
        <v>6195030.4635496382</v>
      </c>
      <c r="H53" s="173">
        <f>'PART PEF2019'!D$10*'CALCULO GARANTIA'!$U54</f>
        <v>1383797.4184785732</v>
      </c>
      <c r="I53" s="173">
        <f>'PART PEF2019'!D$11*'COEF Art 14 F II'!N55</f>
        <v>12286650.981020553</v>
      </c>
      <c r="J53" s="174">
        <f t="shared" si="0"/>
        <v>306659851.56156534</v>
      </c>
    </row>
    <row r="54" spans="1:10">
      <c r="A54" s="172" t="s">
        <v>49</v>
      </c>
      <c r="B54" s="173">
        <f>'PART PEF2019'!D$4*'CALCULO GARANTIA'!$U55</f>
        <v>73208265.956234142</v>
      </c>
      <c r="C54" s="173">
        <f>'PART PEF2019'!D$5*'CALCULO GARANTIA'!$U55</f>
        <v>10242365.594836559</v>
      </c>
      <c r="D54" s="173">
        <f>'PART PEF2019'!D$6*'CALCULO GARANTIA'!$U55</f>
        <v>2724000.1304206313</v>
      </c>
      <c r="E54" s="173">
        <f>'PART PEF2019'!D$7*'CALCULO GARANTIA'!$U55</f>
        <v>3454679.0797223812</v>
      </c>
      <c r="F54" s="173">
        <f>'PART PEF2019'!D$8*'CALCULO GARANTIA'!$U55</f>
        <v>284983.50794327253</v>
      </c>
      <c r="G54" s="173">
        <f>'PART PEF2019'!D$9*'CALCULO GARANTIA'!$U55</f>
        <v>1942234.03641028</v>
      </c>
      <c r="H54" s="173">
        <f>'PART PEF2019'!D$10*'CALCULO GARANTIA'!$U55</f>
        <v>433841.03782530659</v>
      </c>
      <c r="I54" s="173">
        <f>'PART PEF2019'!D$11*'COEF Art 14 F II'!N56</f>
        <v>2370741.0586118666</v>
      </c>
      <c r="J54" s="174">
        <f t="shared" si="0"/>
        <v>94661110.402004436</v>
      </c>
    </row>
    <row r="55" spans="1:10">
      <c r="A55" s="172" t="s">
        <v>50</v>
      </c>
      <c r="B55" s="173">
        <f>'PART PEF2019'!D$4*'CALCULO GARANTIA'!$U56</f>
        <v>14954915.125367356</v>
      </c>
      <c r="C55" s="173">
        <f>'PART PEF2019'!D$5*'CALCULO GARANTIA'!$U56</f>
        <v>2092300.7279715494</v>
      </c>
      <c r="D55" s="173">
        <f>'PART PEF2019'!D$6*'CALCULO GARANTIA'!$U56</f>
        <v>556456.16270004178</v>
      </c>
      <c r="E55" s="173">
        <f>'PART PEF2019'!D$7*'CALCULO GARANTIA'!$U56</f>
        <v>705718.56535321835</v>
      </c>
      <c r="F55" s="173">
        <f>'PART PEF2019'!D$8*'CALCULO GARANTIA'!$U56</f>
        <v>58216.160671924321</v>
      </c>
      <c r="G55" s="173">
        <f>'PART PEF2019'!D$9*'CALCULO GARANTIA'!$U56</f>
        <v>396757.72658622777</v>
      </c>
      <c r="H55" s="173">
        <f>'PART PEF2019'!D$10*'CALCULO GARANTIA'!$U56</f>
        <v>88624.635672390898</v>
      </c>
      <c r="I55" s="173">
        <f>'PART PEF2019'!D$11*'COEF Art 14 F II'!N57</f>
        <v>187506.36394867816</v>
      </c>
      <c r="J55" s="174">
        <f t="shared" si="0"/>
        <v>19040495.468271382</v>
      </c>
    </row>
    <row r="56" spans="1:10" ht="13.8" thickBot="1">
      <c r="A56" s="172" t="s">
        <v>51</v>
      </c>
      <c r="B56" s="173">
        <f>'PART PEF2019'!D$4*'CALCULO GARANTIA'!$U57</f>
        <v>20603552.275477722</v>
      </c>
      <c r="C56" s="173">
        <f>'PART PEF2019'!D$5*'CALCULO GARANTIA'!$U57</f>
        <v>2882585.8965697722</v>
      </c>
      <c r="D56" s="173">
        <f>'PART PEF2019'!D$6*'CALCULO GARANTIA'!$U57</f>
        <v>766635.82113913319</v>
      </c>
      <c r="E56" s="173">
        <f>'PART PEF2019'!D$7*'CALCULO GARANTIA'!$U57</f>
        <v>972276.28716970095</v>
      </c>
      <c r="F56" s="173">
        <f>'PART PEF2019'!D$8*'CALCULO GARANTIA'!$U57</f>
        <v>80205.04961923942</v>
      </c>
      <c r="G56" s="173">
        <f>'PART PEF2019'!D$9*'CALCULO GARANTIA'!$U57</f>
        <v>546617.5161738497</v>
      </c>
      <c r="H56" s="173">
        <f>'PART PEF2019'!D$10*'CALCULO GARANTIA'!$U57</f>
        <v>122099.142567111</v>
      </c>
      <c r="I56" s="173">
        <f>'PART PEF2019'!D$11*'COEF Art 14 F II'!N58</f>
        <v>223381.04430717361</v>
      </c>
      <c r="J56" s="174">
        <f t="shared" si="0"/>
        <v>26197353.033023704</v>
      </c>
    </row>
    <row r="57" spans="1:10" ht="14.4" thickTop="1" thickBot="1">
      <c r="A57" s="175" t="s">
        <v>52</v>
      </c>
      <c r="B57" s="176">
        <f t="shared" ref="B57:D57" si="1">SUM(B6:B56)</f>
        <v>6162893598.1999998</v>
      </c>
      <c r="C57" s="176">
        <f t="shared" si="1"/>
        <v>862233362.99999988</v>
      </c>
      <c r="D57" s="176">
        <f t="shared" si="1"/>
        <v>229314582.79999998</v>
      </c>
      <c r="E57" s="176">
        <f>SUM(E6:E56)</f>
        <v>290825350.19999993</v>
      </c>
      <c r="F57" s="176">
        <f t="shared" ref="F57:I57" si="2">SUM(F6:F56)</f>
        <v>23990775.000000011</v>
      </c>
      <c r="G57" s="176">
        <f t="shared" si="2"/>
        <v>163503144.79999998</v>
      </c>
      <c r="H57" s="176">
        <f t="shared" si="2"/>
        <v>36522052.800000012</v>
      </c>
      <c r="I57" s="176">
        <f t="shared" si="2"/>
        <v>240390776</v>
      </c>
      <c r="J57" s="177">
        <f t="shared" ref="J57" si="3">SUM(J6:J56)</f>
        <v>8009673642.8000021</v>
      </c>
    </row>
    <row r="58" spans="1:10" ht="13.8" thickTop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ht="16.5" customHeight="1">
      <c r="A59" s="166" t="s">
        <v>147</v>
      </c>
      <c r="B59" s="166"/>
      <c r="C59" s="166"/>
      <c r="D59" s="166"/>
    </row>
    <row r="60" spans="1:10">
      <c r="A60" s="168" t="s">
        <v>198</v>
      </c>
    </row>
    <row r="61" spans="1:10">
      <c r="A61" s="168"/>
    </row>
    <row r="62" spans="1:10" ht="16.5" customHeight="1"/>
  </sheetData>
  <mergeCells count="4">
    <mergeCell ref="A1:J1"/>
    <mergeCell ref="A2:J2"/>
    <mergeCell ref="A3:J3"/>
    <mergeCell ref="A4:J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zoomScaleNormal="100" workbookViewId="0"/>
  </sheetViews>
  <sheetFormatPr baseColWidth="10" defaultColWidth="9.6640625" defaultRowHeight="13.2"/>
  <cols>
    <col min="1" max="1" width="28.88671875" style="14" customWidth="1"/>
    <col min="2" max="2" width="17" style="14" customWidth="1"/>
    <col min="3" max="3" width="18" style="14" customWidth="1"/>
    <col min="4" max="4" width="15.6640625" style="14" customWidth="1"/>
    <col min="5" max="5" width="17.109375" style="14" customWidth="1"/>
    <col min="6" max="6" width="18.21875" style="14" customWidth="1"/>
    <col min="7" max="7" width="14.5546875" style="14" customWidth="1"/>
    <col min="8" max="8" width="15.44140625" style="14" customWidth="1"/>
    <col min="9" max="9" width="12.5546875" style="79" customWidth="1"/>
    <col min="10" max="10" width="12.33203125" style="14" customWidth="1"/>
    <col min="11" max="11" width="15.5546875" style="14" customWidth="1"/>
    <col min="12" max="12" width="12" style="79" customWidth="1"/>
    <col min="13" max="13" width="17.6640625" style="81" customWidth="1"/>
    <col min="14" max="14" width="18" style="14" customWidth="1"/>
    <col min="15" max="15" width="16.109375" style="14" customWidth="1"/>
    <col min="16" max="16" width="14.109375" style="14" customWidth="1"/>
    <col min="17" max="17" width="15.5546875" style="14" customWidth="1"/>
    <col min="18" max="18" width="14.5546875" style="14" customWidth="1"/>
    <col min="19" max="19" width="17.44140625" style="14" customWidth="1"/>
    <col min="20" max="20" width="14.33203125" style="14" customWidth="1"/>
    <col min="21" max="21" width="15" style="14" customWidth="1"/>
    <col min="22" max="22" width="16.109375" style="14" customWidth="1"/>
    <col min="23" max="23" width="13.109375" style="14" customWidth="1"/>
    <col min="24" max="24" width="14" style="14" customWidth="1"/>
    <col min="25" max="25" width="12.88671875" style="14" customWidth="1"/>
    <col min="26" max="26" width="14.44140625" style="14" customWidth="1"/>
    <col min="27" max="27" width="14.33203125" style="14" customWidth="1"/>
    <col min="28" max="28" width="15.44140625" style="14" customWidth="1"/>
    <col min="29" max="29" width="13.5546875" style="14" customWidth="1"/>
    <col min="30" max="30" width="14.109375" style="14" customWidth="1"/>
    <col min="31" max="31" width="16.88671875" style="14" customWidth="1"/>
    <col min="32" max="32" width="14.109375" style="79" customWidth="1"/>
    <col min="33" max="33" width="18.44140625" style="14" customWidth="1"/>
    <col min="34" max="34" width="16.88671875" style="14" customWidth="1"/>
    <col min="35" max="35" width="13.88671875" style="79" customWidth="1"/>
    <col min="36" max="36" width="15.109375" style="79" customWidth="1"/>
    <col min="37" max="37" width="17.5546875" style="81" customWidth="1"/>
    <col min="38" max="38" width="3.6640625" style="11" customWidth="1"/>
    <col min="39" max="41" width="18.44140625" style="14" customWidth="1"/>
    <col min="42" max="42" width="20.109375" style="14" customWidth="1"/>
    <col min="43" max="43" width="16.109375" style="14" bestFit="1" customWidth="1"/>
    <col min="44" max="16384" width="9.6640625" style="14"/>
  </cols>
  <sheetData>
    <row r="1" spans="1:43" ht="18.60000000000000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18" thickBot="1">
      <c r="B2" s="211" t="s">
        <v>137</v>
      </c>
      <c r="C2" s="211"/>
      <c r="D2" s="211"/>
      <c r="E2" s="211"/>
      <c r="F2" s="211"/>
      <c r="G2" s="212" t="s">
        <v>69</v>
      </c>
      <c r="H2" s="212"/>
      <c r="I2" s="212"/>
      <c r="J2" s="212"/>
      <c r="K2" s="212"/>
      <c r="L2" s="212"/>
      <c r="M2" s="212"/>
      <c r="N2" s="212" t="s">
        <v>123</v>
      </c>
      <c r="O2" s="212"/>
      <c r="P2" s="212"/>
      <c r="Q2" s="212"/>
      <c r="R2" s="212"/>
      <c r="S2" s="212"/>
      <c r="T2" s="212" t="s">
        <v>123</v>
      </c>
      <c r="U2" s="212"/>
      <c r="V2" s="212"/>
      <c r="W2" s="212"/>
      <c r="X2" s="212"/>
      <c r="Y2" s="212"/>
      <c r="Z2" s="135"/>
      <c r="AA2" s="212" t="s">
        <v>123</v>
      </c>
      <c r="AB2" s="212"/>
      <c r="AC2" s="212"/>
      <c r="AD2" s="212"/>
      <c r="AE2" s="212"/>
      <c r="AF2" s="212"/>
      <c r="AG2" s="211" t="s">
        <v>123</v>
      </c>
      <c r="AH2" s="211"/>
      <c r="AI2" s="211"/>
      <c r="AJ2" s="211"/>
      <c r="AK2" s="211"/>
      <c r="AM2" s="211" t="s">
        <v>162</v>
      </c>
      <c r="AN2" s="211"/>
      <c r="AO2" s="211"/>
      <c r="AP2" s="211"/>
      <c r="AQ2" s="211"/>
    </row>
    <row r="3" spans="1:43" ht="66.599999999999994" thickBot="1">
      <c r="A3" s="8" t="s">
        <v>0</v>
      </c>
      <c r="B3" s="9" t="s">
        <v>173</v>
      </c>
      <c r="C3" s="8" t="s">
        <v>174</v>
      </c>
      <c r="D3" s="9" t="s">
        <v>160</v>
      </c>
      <c r="E3" s="12" t="s">
        <v>161</v>
      </c>
      <c r="F3" s="132" t="s">
        <v>113</v>
      </c>
      <c r="G3" s="8" t="s">
        <v>183</v>
      </c>
      <c r="H3" s="9" t="s">
        <v>98</v>
      </c>
      <c r="I3" s="10">
        <v>0.85</v>
      </c>
      <c r="J3" s="8" t="s">
        <v>58</v>
      </c>
      <c r="K3" s="9" t="s">
        <v>99</v>
      </c>
      <c r="L3" s="10">
        <v>0.15</v>
      </c>
      <c r="M3" s="128" t="s">
        <v>100</v>
      </c>
      <c r="N3" s="8" t="s">
        <v>84</v>
      </c>
      <c r="O3" s="8" t="s">
        <v>85</v>
      </c>
      <c r="P3" s="8" t="s">
        <v>101</v>
      </c>
      <c r="Q3" s="8" t="s">
        <v>102</v>
      </c>
      <c r="R3" s="8" t="s">
        <v>86</v>
      </c>
      <c r="S3" s="8" t="s">
        <v>109</v>
      </c>
      <c r="T3" s="8" t="s">
        <v>110</v>
      </c>
      <c r="U3" s="8" t="s">
        <v>105</v>
      </c>
      <c r="V3" s="8" t="s">
        <v>63</v>
      </c>
      <c r="W3" s="8" t="s">
        <v>95</v>
      </c>
      <c r="X3" s="8" t="s">
        <v>96</v>
      </c>
      <c r="Y3" s="8" t="s">
        <v>112</v>
      </c>
      <c r="Z3" s="8" t="s">
        <v>111</v>
      </c>
      <c r="AA3" s="8" t="s">
        <v>86</v>
      </c>
      <c r="AB3" s="8" t="s">
        <v>104</v>
      </c>
      <c r="AC3" s="8" t="s">
        <v>107</v>
      </c>
      <c r="AD3" s="8" t="s">
        <v>106</v>
      </c>
      <c r="AE3" s="8" t="s">
        <v>62</v>
      </c>
      <c r="AF3" s="10">
        <v>0.85</v>
      </c>
      <c r="AG3" s="8" t="s">
        <v>108</v>
      </c>
      <c r="AH3" s="12" t="s">
        <v>64</v>
      </c>
      <c r="AI3" s="13" t="s">
        <v>66</v>
      </c>
      <c r="AJ3" s="10">
        <v>0.15</v>
      </c>
      <c r="AK3" s="128" t="s">
        <v>103</v>
      </c>
      <c r="AM3" s="134" t="s">
        <v>126</v>
      </c>
      <c r="AN3" s="134" t="s">
        <v>124</v>
      </c>
      <c r="AO3" s="134" t="s">
        <v>125</v>
      </c>
      <c r="AP3" s="134" t="s">
        <v>170</v>
      </c>
      <c r="AQ3" s="134" t="s">
        <v>114</v>
      </c>
    </row>
    <row r="4" spans="1:43">
      <c r="A4" s="99"/>
      <c r="B4" s="100" t="s">
        <v>130</v>
      </c>
      <c r="C4" s="99" t="s">
        <v>130</v>
      </c>
      <c r="D4" s="100"/>
      <c r="E4" s="103"/>
      <c r="F4" s="106"/>
      <c r="G4" s="99"/>
      <c r="H4" s="100"/>
      <c r="I4" s="101"/>
      <c r="J4" s="102"/>
      <c r="K4" s="100"/>
      <c r="L4" s="101"/>
      <c r="M4" s="105"/>
      <c r="N4" s="102"/>
      <c r="O4" s="102"/>
      <c r="P4" s="102"/>
      <c r="Q4" s="102"/>
      <c r="R4" s="102"/>
      <c r="S4" s="102"/>
      <c r="T4" s="102"/>
      <c r="U4" s="102"/>
      <c r="V4" s="99"/>
      <c r="W4" s="102"/>
      <c r="X4" s="102"/>
      <c r="Y4" s="102"/>
      <c r="Z4" s="102"/>
      <c r="AA4" s="102"/>
      <c r="AB4" s="102"/>
      <c r="AC4" s="102"/>
      <c r="AD4" s="102"/>
      <c r="AE4" s="99"/>
      <c r="AF4" s="101"/>
      <c r="AG4" s="99"/>
      <c r="AH4" s="103"/>
      <c r="AI4" s="104"/>
      <c r="AJ4" s="101"/>
      <c r="AK4" s="105"/>
      <c r="AL4" s="114"/>
      <c r="AM4" s="107" t="s">
        <v>130</v>
      </c>
      <c r="AN4" s="107" t="s">
        <v>130</v>
      </c>
      <c r="AO4" s="107" t="s">
        <v>130</v>
      </c>
      <c r="AP4" s="107" t="s">
        <v>130</v>
      </c>
      <c r="AQ4" s="107"/>
    </row>
    <row r="5" spans="1:43" s="17" customFormat="1" ht="20.399999999999999">
      <c r="A5" s="108"/>
      <c r="B5" s="112" t="s">
        <v>157</v>
      </c>
      <c r="C5" s="94" t="s">
        <v>158</v>
      </c>
      <c r="D5" s="94" t="s">
        <v>54</v>
      </c>
      <c r="E5" s="94" t="s">
        <v>55</v>
      </c>
      <c r="F5" s="113" t="s">
        <v>77</v>
      </c>
      <c r="G5" s="108" t="s">
        <v>57</v>
      </c>
      <c r="H5" s="94" t="s">
        <v>75</v>
      </c>
      <c r="I5" s="109" t="s">
        <v>78</v>
      </c>
      <c r="J5" s="15" t="s">
        <v>68</v>
      </c>
      <c r="K5" s="94" t="s">
        <v>79</v>
      </c>
      <c r="L5" s="109" t="s">
        <v>80</v>
      </c>
      <c r="M5" s="110" t="s">
        <v>70</v>
      </c>
      <c r="N5" s="15" t="s">
        <v>87</v>
      </c>
      <c r="O5" s="15" t="s">
        <v>88</v>
      </c>
      <c r="P5" s="15" t="s">
        <v>89</v>
      </c>
      <c r="Q5" s="15" t="s">
        <v>90</v>
      </c>
      <c r="R5" s="15" t="s">
        <v>91</v>
      </c>
      <c r="S5" s="15" t="s">
        <v>92</v>
      </c>
      <c r="T5" s="15" t="s">
        <v>93</v>
      </c>
      <c r="U5" s="15" t="s">
        <v>94</v>
      </c>
      <c r="V5" s="108" t="s">
        <v>60</v>
      </c>
      <c r="W5" s="15" t="s">
        <v>87</v>
      </c>
      <c r="X5" s="15" t="s">
        <v>88</v>
      </c>
      <c r="Y5" s="15" t="s">
        <v>89</v>
      </c>
      <c r="Z5" s="15" t="s">
        <v>90</v>
      </c>
      <c r="AA5" s="15" t="s">
        <v>91</v>
      </c>
      <c r="AB5" s="15" t="s">
        <v>92</v>
      </c>
      <c r="AC5" s="15" t="s">
        <v>93</v>
      </c>
      <c r="AD5" s="15" t="s">
        <v>94</v>
      </c>
      <c r="AE5" s="94" t="s">
        <v>59</v>
      </c>
      <c r="AF5" s="109" t="s">
        <v>81</v>
      </c>
      <c r="AG5" s="94" t="s">
        <v>65</v>
      </c>
      <c r="AH5" s="94" t="s">
        <v>61</v>
      </c>
      <c r="AI5" s="109" t="s">
        <v>82</v>
      </c>
      <c r="AJ5" s="109" t="s">
        <v>83</v>
      </c>
      <c r="AK5" s="111" t="s">
        <v>67</v>
      </c>
      <c r="AL5" s="16"/>
      <c r="AM5" s="15">
        <f>+AP5*0.5</f>
        <v>3884641433.4000006</v>
      </c>
      <c r="AN5" s="15">
        <f>+AP5*0.25</f>
        <v>1942320716.7000003</v>
      </c>
      <c r="AO5" s="15">
        <f>+AP5*0.25</f>
        <v>1942320716.7000003</v>
      </c>
      <c r="AP5" s="15">
        <f>SUM('PART PEF2019'!D4:D10)</f>
        <v>7769282866.8000011</v>
      </c>
    </row>
    <row r="6" spans="1:43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5"/>
      <c r="S6" s="15"/>
      <c r="T6" s="15"/>
      <c r="U6" s="15"/>
      <c r="V6" s="18"/>
      <c r="W6" s="15"/>
      <c r="X6" s="15"/>
      <c r="Y6" s="15"/>
      <c r="Z6" s="15"/>
      <c r="AA6" s="15"/>
      <c r="AB6" s="15"/>
      <c r="AC6" s="15"/>
      <c r="AD6" s="15"/>
      <c r="AE6" s="19"/>
      <c r="AF6" s="22"/>
      <c r="AG6" s="19"/>
      <c r="AH6" s="19"/>
      <c r="AI6" s="20"/>
      <c r="AJ6" s="20"/>
      <c r="AK6" s="21"/>
      <c r="AL6" s="19"/>
      <c r="AM6" s="15" t="s">
        <v>138</v>
      </c>
      <c r="AN6" s="15" t="s">
        <v>139</v>
      </c>
      <c r="AO6" s="15" t="s">
        <v>74</v>
      </c>
      <c r="AP6" s="24" t="s">
        <v>140</v>
      </c>
      <c r="AQ6" s="24" t="s">
        <v>72</v>
      </c>
    </row>
    <row r="7" spans="1:43" ht="14.4" thickTop="1">
      <c r="A7" s="2" t="s">
        <v>1</v>
      </c>
      <c r="B7" s="29">
        <v>479538</v>
      </c>
      <c r="C7" s="29">
        <v>115989</v>
      </c>
      <c r="D7" s="38">
        <f t="shared" ref="D7:D38" si="0">+C7/B7</f>
        <v>0.24187655618532838</v>
      </c>
      <c r="E7" s="39">
        <f>+D7*C7</f>
        <v>28055.019875380054</v>
      </c>
      <c r="F7" s="129">
        <f t="shared" ref="F7:F38" si="1">+E7/E$58</f>
        <v>1.4537047243590453E-5</v>
      </c>
      <c r="G7" s="26">
        <v>2639</v>
      </c>
      <c r="H7" s="118">
        <f t="shared" ref="H7:H38" si="2">+G7/$G$58</f>
        <v>5.1547962458863201E-4</v>
      </c>
      <c r="I7" s="28">
        <f>+H7*I$3</f>
        <v>4.381576809003372E-4</v>
      </c>
      <c r="J7" s="29">
        <v>47.45</v>
      </c>
      <c r="K7" s="115">
        <f t="shared" ref="K7:K38" si="3">+J7/$J$58</f>
        <v>7.3886478603129777E-4</v>
      </c>
      <c r="L7" s="30">
        <f>+K7*L$3</f>
        <v>1.1082971790469465E-4</v>
      </c>
      <c r="M7" s="129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>+N7/N$58*0.25</f>
        <v>1.9531661173630621E-4</v>
      </c>
      <c r="S7" s="33">
        <f t="shared" ref="S7:U22" si="4">+O7/O$58*0.25</f>
        <v>2.2168411718563488E-4</v>
      </c>
      <c r="T7" s="33">
        <f t="shared" si="4"/>
        <v>4.0332477297080497E-4</v>
      </c>
      <c r="U7" s="33">
        <f t="shared" si="4"/>
        <v>1.788314641187441E-4</v>
      </c>
      <c r="V7" s="34">
        <f>SUM(R7:U7)</f>
        <v>9.9915696601149016E-4</v>
      </c>
      <c r="W7" s="35">
        <v>194.999999997044</v>
      </c>
      <c r="X7" s="35">
        <v>51</v>
      </c>
      <c r="Y7" s="35">
        <v>69</v>
      </c>
      <c r="Z7" s="35">
        <v>52</v>
      </c>
      <c r="AA7" s="36">
        <f>+W7/W$58*0.25</f>
        <v>1.5336072329640257E-4</v>
      </c>
      <c r="AB7" s="36">
        <f t="shared" ref="AB7:AD57" si="5">+X7/X$58*0.25</f>
        <v>1.7408044564594084E-4</v>
      </c>
      <c r="AC7" s="36">
        <f t="shared" si="5"/>
        <v>1.4011176451476657E-4</v>
      </c>
      <c r="AD7" s="36">
        <f t="shared" si="5"/>
        <v>9.4710767885764239E-4</v>
      </c>
      <c r="AE7" s="27">
        <f>SUM(AA7:AD7)</f>
        <v>1.4146606123147524E-3</v>
      </c>
      <c r="AF7" s="37">
        <f t="shared" ref="AF7:AF38" si="6">+AE7*AF$3</f>
        <v>1.2024615204675394E-3</v>
      </c>
      <c r="AG7" s="27">
        <f t="shared" ref="AG7:AG57" si="7">+(AE7-V7)/V7</f>
        <v>0.415854225549666</v>
      </c>
      <c r="AH7" s="27">
        <f t="shared" ref="AH7:AH57" si="8">IF(AG7&gt;0,0,AG7)</f>
        <v>0</v>
      </c>
      <c r="AI7" s="28">
        <f>+AH7/AH$58</f>
        <v>0</v>
      </c>
      <c r="AJ7" s="28">
        <f t="shared" ref="AJ7:AJ38" si="9">+AI7*AJ$3</f>
        <v>0</v>
      </c>
      <c r="AK7" s="129">
        <f t="shared" ref="AK7:AK57" si="10">+AJ7+AF7</f>
        <v>1.2024615204675394E-3</v>
      </c>
      <c r="AM7" s="40">
        <f t="shared" ref="AM7:AM38" si="11">+F7*AM$5</f>
        <v>56471.216041744745</v>
      </c>
      <c r="AN7" s="41">
        <f t="shared" ref="AN7:AN38" si="12">+M7*AN$5</f>
        <v>1066309.5979062584</v>
      </c>
      <c r="AO7" s="41">
        <f t="shared" ref="AO7:AO38" si="13">+AK7*AO$5</f>
        <v>2335565.9222386833</v>
      </c>
      <c r="AP7" s="41">
        <f>SUM(AM7:AO7)</f>
        <v>3458346.7361866864</v>
      </c>
      <c r="AQ7" s="42">
        <f>+AP7/AP$58</f>
        <v>4.45130753439938E-4</v>
      </c>
    </row>
    <row r="8" spans="1:43" ht="13.8">
      <c r="A8" s="4" t="s">
        <v>2</v>
      </c>
      <c r="B8" s="46">
        <v>2532155</v>
      </c>
      <c r="C8" s="46">
        <v>996699</v>
      </c>
      <c r="D8" s="55">
        <f t="shared" si="0"/>
        <v>0.39361689943941031</v>
      </c>
      <c r="E8" s="56">
        <f t="shared" ref="E8:E57" si="14">+D8*C8</f>
        <v>392317.57005436084</v>
      </c>
      <c r="F8" s="130">
        <f t="shared" si="1"/>
        <v>2.0328408519060411E-4</v>
      </c>
      <c r="G8" s="43">
        <v>2439</v>
      </c>
      <c r="H8" s="119">
        <f t="shared" si="2"/>
        <v>4.7641334004231659E-4</v>
      </c>
      <c r="I8" s="45">
        <f t="shared" ref="I8:I57" si="15">+H8*I$3</f>
        <v>4.0495133903596908E-4</v>
      </c>
      <c r="J8" s="46">
        <v>978.99</v>
      </c>
      <c r="K8" s="116">
        <f t="shared" si="3"/>
        <v>1.524428317970032E-2</v>
      </c>
      <c r="L8" s="47">
        <f t="shared" ref="L8:L57" si="16">+K8*L$3</f>
        <v>2.2866424769550477E-3</v>
      </c>
      <c r="M8" s="130">
        <f t="shared" ref="M8:M57" si="17">+L8+I8</f>
        <v>2.6915938159910169E-3</v>
      </c>
      <c r="N8" s="48">
        <v>768</v>
      </c>
      <c r="O8" s="49">
        <v>191</v>
      </c>
      <c r="P8" s="49">
        <v>961</v>
      </c>
      <c r="Q8" s="49">
        <v>102</v>
      </c>
      <c r="R8" s="50">
        <f t="shared" ref="R8:U57" si="18">+N8/N$58*0.25</f>
        <v>4.4911125093857236E-4</v>
      </c>
      <c r="S8" s="50">
        <f t="shared" si="4"/>
        <v>5.4284187669815717E-4</v>
      </c>
      <c r="T8" s="50">
        <f t="shared" si="4"/>
        <v>7.1910038371974692E-4</v>
      </c>
      <c r="U8" s="50">
        <f t="shared" si="4"/>
        <v>6.514574764325678E-4</v>
      </c>
      <c r="V8" s="51">
        <f t="shared" ref="V8:V57" si="19">SUM(R8:U8)</f>
        <v>2.3625109877890441E-3</v>
      </c>
      <c r="W8" s="52">
        <v>468.99999999269994</v>
      </c>
      <c r="X8" s="52">
        <v>120</v>
      </c>
      <c r="Y8" s="52">
        <v>175</v>
      </c>
      <c r="Z8" s="52">
        <v>44</v>
      </c>
      <c r="AA8" s="53">
        <f t="shared" ref="AA8:AA57" si="20">+W8/W$58*0.25</f>
        <v>3.6885220115889019E-4</v>
      </c>
      <c r="AB8" s="53">
        <f t="shared" si="5"/>
        <v>4.0960104857868437E-4</v>
      </c>
      <c r="AC8" s="53">
        <f t="shared" si="5"/>
        <v>3.5535592449397314E-4</v>
      </c>
      <c r="AD8" s="53">
        <f t="shared" si="5"/>
        <v>8.0139880518723594E-4</v>
      </c>
      <c r="AE8" s="44">
        <f t="shared" ref="AE8:AE57" si="21">SUM(AA8:AD8)</f>
        <v>1.9352079794187835E-3</v>
      </c>
      <c r="AF8" s="54">
        <f t="shared" si="6"/>
        <v>1.644926782505966E-3</v>
      </c>
      <c r="AG8" s="44">
        <f t="shared" si="7"/>
        <v>-0.1808681570493571</v>
      </c>
      <c r="AH8" s="44">
        <f t="shared" si="8"/>
        <v>-0.1808681570493571</v>
      </c>
      <c r="AI8" s="45">
        <f t="shared" ref="AI8:AI57" si="22">+AH8/AH$58</f>
        <v>3.3703048799913031E-2</v>
      </c>
      <c r="AJ8" s="45">
        <f t="shared" si="9"/>
        <v>5.0554573199869546E-3</v>
      </c>
      <c r="AK8" s="130">
        <f t="shared" si="10"/>
        <v>6.7003841024929206E-3</v>
      </c>
      <c r="AM8" s="57">
        <f t="shared" si="11"/>
        <v>789685.78008223616</v>
      </c>
      <c r="AN8" s="58">
        <f t="shared" si="12"/>
        <v>5227938.4297409607</v>
      </c>
      <c r="AO8" s="58">
        <f t="shared" si="13"/>
        <v>13014294.852119338</v>
      </c>
      <c r="AP8" s="58">
        <f t="shared" ref="AP8:AP57" si="23">SUM(AM8:AO8)</f>
        <v>19031919.061942533</v>
      </c>
      <c r="AQ8" s="59">
        <f t="shared" ref="AQ8:AQ57" si="24">+AP8/AP$58</f>
        <v>2.4496365222162861E-3</v>
      </c>
    </row>
    <row r="9" spans="1:43" ht="13.8">
      <c r="A9" s="4" t="s">
        <v>3</v>
      </c>
      <c r="B9" s="46">
        <v>989819</v>
      </c>
      <c r="C9" s="46">
        <v>231032</v>
      </c>
      <c r="D9" s="55">
        <f t="shared" si="0"/>
        <v>0.23340833020986665</v>
      </c>
      <c r="E9" s="56">
        <f t="shared" si="14"/>
        <v>53924.79334504591</v>
      </c>
      <c r="F9" s="130">
        <f t="shared" si="1"/>
        <v>2.7941782680600045E-5</v>
      </c>
      <c r="G9" s="43">
        <v>1292</v>
      </c>
      <c r="H9" s="119">
        <f t="shared" si="2"/>
        <v>2.5236819816919762E-4</v>
      </c>
      <c r="I9" s="45">
        <f t="shared" si="15"/>
        <v>2.1451296844381799E-4</v>
      </c>
      <c r="J9" s="46">
        <v>696.75</v>
      </c>
      <c r="K9" s="116">
        <f t="shared" si="3"/>
        <v>1.0849400203736705E-2</v>
      </c>
      <c r="L9" s="47">
        <f t="shared" si="16"/>
        <v>1.6274100305605057E-3</v>
      </c>
      <c r="M9" s="130">
        <f t="shared" si="17"/>
        <v>1.8419229990043237E-3</v>
      </c>
      <c r="N9" s="48">
        <v>363</v>
      </c>
      <c r="O9" s="49">
        <v>91</v>
      </c>
      <c r="P9" s="49">
        <v>728</v>
      </c>
      <c r="Q9" s="49">
        <v>81</v>
      </c>
      <c r="R9" s="50">
        <f t="shared" si="18"/>
        <v>2.1227523970143459E-4</v>
      </c>
      <c r="S9" s="50">
        <f t="shared" si="4"/>
        <v>2.5863147004990736E-4</v>
      </c>
      <c r="T9" s="50">
        <f t="shared" si="4"/>
        <v>5.4475034271381456E-4</v>
      </c>
      <c r="U9" s="50">
        <f t="shared" si="4"/>
        <v>5.1733387834350972E-4</v>
      </c>
      <c r="V9" s="51">
        <f t="shared" si="19"/>
        <v>1.5329909308086662E-3</v>
      </c>
      <c r="W9" s="52">
        <v>209.00000000199</v>
      </c>
      <c r="X9" s="52">
        <v>60</v>
      </c>
      <c r="Y9" s="52">
        <v>193</v>
      </c>
      <c r="Z9" s="52">
        <v>19</v>
      </c>
      <c r="AA9" s="53">
        <f t="shared" si="20"/>
        <v>1.6437123676789337E-4</v>
      </c>
      <c r="AB9" s="53">
        <f t="shared" si="5"/>
        <v>2.0480052428934218E-4</v>
      </c>
      <c r="AC9" s="53">
        <f t="shared" si="5"/>
        <v>3.9190681958478185E-4</v>
      </c>
      <c r="AD9" s="53">
        <f t="shared" si="5"/>
        <v>3.4605857496721549E-4</v>
      </c>
      <c r="AE9" s="44">
        <f t="shared" si="21"/>
        <v>1.107137155609233E-3</v>
      </c>
      <c r="AF9" s="54">
        <f t="shared" si="6"/>
        <v>9.4106658226784804E-4</v>
      </c>
      <c r="AG9" s="44">
        <f t="shared" si="7"/>
        <v>-0.27779275574369616</v>
      </c>
      <c r="AH9" s="44">
        <f t="shared" si="8"/>
        <v>-0.27779275574369616</v>
      </c>
      <c r="AI9" s="45">
        <f t="shared" si="22"/>
        <v>5.1764019470476444E-2</v>
      </c>
      <c r="AJ9" s="45">
        <f t="shared" si="9"/>
        <v>7.7646029205714661E-3</v>
      </c>
      <c r="AK9" s="130">
        <f t="shared" si="10"/>
        <v>8.7056695028393145E-3</v>
      </c>
      <c r="AM9" s="57">
        <f t="shared" si="11"/>
        <v>108543.80672411747</v>
      </c>
      <c r="AN9" s="58">
        <f t="shared" si="12"/>
        <v>3577605.1995322919</v>
      </c>
      <c r="AO9" s="58">
        <f t="shared" si="13"/>
        <v>16909202.228108194</v>
      </c>
      <c r="AP9" s="58">
        <f t="shared" si="23"/>
        <v>20595351.234364603</v>
      </c>
      <c r="AQ9" s="59">
        <f t="shared" si="24"/>
        <v>2.6508690168012094E-3</v>
      </c>
    </row>
    <row r="10" spans="1:43" ht="13.5" customHeight="1">
      <c r="A10" s="4" t="s">
        <v>4</v>
      </c>
      <c r="B10" s="46">
        <v>31951312</v>
      </c>
      <c r="C10" s="46">
        <v>14228172</v>
      </c>
      <c r="D10" s="55">
        <f t="shared" si="0"/>
        <v>0.44530791098656608</v>
      </c>
      <c r="E10" s="56">
        <f t="shared" si="14"/>
        <v>6335917.5504775522</v>
      </c>
      <c r="F10" s="130">
        <f t="shared" si="1"/>
        <v>3.2830321693556935E-3</v>
      </c>
      <c r="G10" s="43">
        <v>34353</v>
      </c>
      <c r="H10" s="119">
        <f t="shared" si="2"/>
        <v>6.7102203650978689E-3</v>
      </c>
      <c r="I10" s="45">
        <f t="shared" si="15"/>
        <v>5.7036873103331887E-3</v>
      </c>
      <c r="J10" s="46">
        <v>190.52</v>
      </c>
      <c r="K10" s="116">
        <f t="shared" si="3"/>
        <v>2.9666705802883636E-3</v>
      </c>
      <c r="L10" s="47">
        <f t="shared" si="16"/>
        <v>4.4500058704325453E-4</v>
      </c>
      <c r="M10" s="130">
        <f t="shared" si="17"/>
        <v>6.148687897376443E-3</v>
      </c>
      <c r="N10" s="48">
        <v>3420</v>
      </c>
      <c r="O10" s="49">
        <v>773</v>
      </c>
      <c r="P10" s="49">
        <v>6993</v>
      </c>
      <c r="Q10" s="49">
        <v>216</v>
      </c>
      <c r="R10" s="50">
        <f t="shared" si="18"/>
        <v>1.99994853933583E-3</v>
      </c>
      <c r="S10" s="50">
        <f t="shared" si="4"/>
        <v>2.196946443390971E-3</v>
      </c>
      <c r="T10" s="50">
        <f t="shared" si="4"/>
        <v>5.2327460804913531E-3</v>
      </c>
      <c r="U10" s="50">
        <f t="shared" si="4"/>
        <v>1.3795570089160259E-3</v>
      </c>
      <c r="V10" s="51">
        <f t="shared" si="19"/>
        <v>1.080919807213418E-2</v>
      </c>
      <c r="W10" s="52">
        <v>2055.0000000045479</v>
      </c>
      <c r="X10" s="52">
        <v>629</v>
      </c>
      <c r="Y10" s="52">
        <v>1238</v>
      </c>
      <c r="Z10" s="52">
        <v>59</v>
      </c>
      <c r="AA10" s="53">
        <f t="shared" si="20"/>
        <v>1.6161860839978574E-3</v>
      </c>
      <c r="AB10" s="53">
        <f t="shared" si="5"/>
        <v>2.1469921629666037E-3</v>
      </c>
      <c r="AC10" s="53">
        <f t="shared" si="5"/>
        <v>2.5138893401345074E-3</v>
      </c>
      <c r="AD10" s="53">
        <f t="shared" si="5"/>
        <v>1.074602943319248E-3</v>
      </c>
      <c r="AE10" s="44">
        <f t="shared" si="21"/>
        <v>7.3516705304182165E-3</v>
      </c>
      <c r="AF10" s="54">
        <f t="shared" si="6"/>
        <v>6.2489199508554841E-3</v>
      </c>
      <c r="AG10" s="44">
        <f t="shared" si="7"/>
        <v>-0.31986901513345156</v>
      </c>
      <c r="AH10" s="44">
        <f t="shared" si="8"/>
        <v>-0.31986901513345156</v>
      </c>
      <c r="AI10" s="45">
        <f t="shared" si="22"/>
        <v>5.9604527422043294E-2</v>
      </c>
      <c r="AJ10" s="45">
        <f t="shared" si="9"/>
        <v>8.9406791133064944E-3</v>
      </c>
      <c r="AK10" s="130">
        <f t="shared" si="10"/>
        <v>1.5189599064161979E-2</v>
      </c>
      <c r="AM10" s="57">
        <f t="shared" si="11"/>
        <v>12753402.792264214</v>
      </c>
      <c r="AN10" s="58">
        <f t="shared" si="12"/>
        <v>11942723.88359683</v>
      </c>
      <c r="AO10" s="58">
        <f t="shared" si="13"/>
        <v>29503072.940688748</v>
      </c>
      <c r="AP10" s="58">
        <f t="shared" si="23"/>
        <v>54199199.61654979</v>
      </c>
      <c r="AQ10" s="59">
        <f t="shared" si="24"/>
        <v>6.9760878250624513E-3</v>
      </c>
    </row>
    <row r="11" spans="1:43" ht="13.8">
      <c r="A11" s="4" t="s">
        <v>5</v>
      </c>
      <c r="B11" s="46">
        <v>11434785</v>
      </c>
      <c r="C11" s="46">
        <v>3579757</v>
      </c>
      <c r="D11" s="55">
        <f t="shared" si="0"/>
        <v>0.31305853148966073</v>
      </c>
      <c r="E11" s="56">
        <f t="shared" si="14"/>
        <v>1120673.4695098335</v>
      </c>
      <c r="F11" s="130">
        <f t="shared" si="1"/>
        <v>5.8069048759432334E-4</v>
      </c>
      <c r="G11" s="43">
        <v>18194</v>
      </c>
      <c r="H11" s="119">
        <f t="shared" si="2"/>
        <v>3.5538599051783142E-3</v>
      </c>
      <c r="I11" s="45">
        <f t="shared" si="15"/>
        <v>3.0207809194015669E-3</v>
      </c>
      <c r="J11" s="46">
        <v>4572.87</v>
      </c>
      <c r="K11" s="116">
        <f t="shared" si="3"/>
        <v>7.1206166788175776E-2</v>
      </c>
      <c r="L11" s="47">
        <f t="shared" si="16"/>
        <v>1.0680925018226366E-2</v>
      </c>
      <c r="M11" s="130">
        <f t="shared" si="17"/>
        <v>1.3701705937627932E-2</v>
      </c>
      <c r="N11" s="48">
        <v>3207</v>
      </c>
      <c r="O11" s="49">
        <v>706</v>
      </c>
      <c r="P11" s="49">
        <v>5696</v>
      </c>
      <c r="Q11" s="49">
        <v>1464</v>
      </c>
      <c r="R11" s="50">
        <f t="shared" si="18"/>
        <v>1.8753903408333353E-3</v>
      </c>
      <c r="S11" s="50">
        <f t="shared" si="4"/>
        <v>2.0065254709366437E-3</v>
      </c>
      <c r="T11" s="50">
        <f t="shared" si="4"/>
        <v>4.2622224616729225E-3</v>
      </c>
      <c r="U11" s="50">
        <f t="shared" si="4"/>
        <v>9.3503308382086193E-3</v>
      </c>
      <c r="V11" s="51">
        <f t="shared" si="19"/>
        <v>1.749446911165152E-2</v>
      </c>
      <c r="W11" s="52">
        <v>2802.0000000077798</v>
      </c>
      <c r="X11" s="52">
        <v>510</v>
      </c>
      <c r="Y11" s="52">
        <v>1865</v>
      </c>
      <c r="Z11" s="52">
        <v>534</v>
      </c>
      <c r="AA11" s="53">
        <f t="shared" si="20"/>
        <v>2.2036756240216781E-3</v>
      </c>
      <c r="AB11" s="53">
        <f t="shared" si="5"/>
        <v>1.7408044564594086E-3</v>
      </c>
      <c r="AC11" s="53">
        <f t="shared" si="5"/>
        <v>3.7870788524643428E-3</v>
      </c>
      <c r="AD11" s="53">
        <f t="shared" si="5"/>
        <v>9.7260673174996357E-3</v>
      </c>
      <c r="AE11" s="44">
        <f t="shared" si="21"/>
        <v>1.7457626250445064E-2</v>
      </c>
      <c r="AF11" s="54">
        <f t="shared" si="6"/>
        <v>1.4838982312878304E-2</v>
      </c>
      <c r="AG11" s="44">
        <f t="shared" si="7"/>
        <v>-2.1059719486953626E-3</v>
      </c>
      <c r="AH11" s="44">
        <f t="shared" si="8"/>
        <v>-2.1059719486953626E-3</v>
      </c>
      <c r="AI11" s="45">
        <f t="shared" si="22"/>
        <v>3.9242770267603632E-4</v>
      </c>
      <c r="AJ11" s="45">
        <f t="shared" si="9"/>
        <v>5.8864155401405446E-5</v>
      </c>
      <c r="AK11" s="130">
        <f t="shared" si="10"/>
        <v>1.4897846468279709E-2</v>
      </c>
      <c r="AM11" s="57">
        <f t="shared" si="11"/>
        <v>2255774.3280901574</v>
      </c>
      <c r="AN11" s="58">
        <f t="shared" si="12"/>
        <v>26613107.296786133</v>
      </c>
      <c r="AO11" s="58">
        <f t="shared" si="13"/>
        <v>28936395.829555612</v>
      </c>
      <c r="AP11" s="58">
        <f t="shared" si="23"/>
        <v>57805277.454431906</v>
      </c>
      <c r="AQ11" s="59">
        <f t="shared" si="24"/>
        <v>7.4402333452740716E-3</v>
      </c>
    </row>
    <row r="12" spans="1:43" ht="13.8">
      <c r="A12" s="4" t="s">
        <v>6</v>
      </c>
      <c r="B12" s="46">
        <v>443655950</v>
      </c>
      <c r="C12" s="46">
        <v>243619322.05000001</v>
      </c>
      <c r="D12" s="55">
        <f t="shared" si="0"/>
        <v>0.54911767113683474</v>
      </c>
      <c r="E12" s="56">
        <f t="shared" si="14"/>
        <v>133775674.76803054</v>
      </c>
      <c r="F12" s="130">
        <f t="shared" si="1"/>
        <v>6.9317480892346253E-2</v>
      </c>
      <c r="G12" s="43">
        <v>597207</v>
      </c>
      <c r="H12" s="119">
        <f t="shared" si="2"/>
        <v>0.11665329297525698</v>
      </c>
      <c r="I12" s="45">
        <f t="shared" si="15"/>
        <v>9.9155299028968427E-2</v>
      </c>
      <c r="J12" s="46">
        <v>238.03</v>
      </c>
      <c r="K12" s="116">
        <f t="shared" si="3"/>
        <v>3.7064696526665922E-3</v>
      </c>
      <c r="L12" s="47">
        <f t="shared" si="16"/>
        <v>5.5597044789998883E-4</v>
      </c>
      <c r="M12" s="130">
        <f t="shared" si="17"/>
        <v>9.9711269476868411E-2</v>
      </c>
      <c r="N12" s="48">
        <v>27572</v>
      </c>
      <c r="O12" s="49">
        <v>4134</v>
      </c>
      <c r="P12" s="49">
        <v>4960</v>
      </c>
      <c r="Q12" s="49">
        <v>1244</v>
      </c>
      <c r="R12" s="50">
        <f t="shared" si="18"/>
        <v>1.6123561732914474E-2</v>
      </c>
      <c r="S12" s="50">
        <f t="shared" si="4"/>
        <v>1.1749258210838649E-2</v>
      </c>
      <c r="T12" s="50">
        <f t="shared" si="4"/>
        <v>3.711485851456758E-3</v>
      </c>
      <c r="U12" s="50">
        <f t="shared" si="4"/>
        <v>7.9452264772756302E-3</v>
      </c>
      <c r="V12" s="51">
        <f t="shared" si="19"/>
        <v>3.9529532272485512E-2</v>
      </c>
      <c r="W12" s="52">
        <v>34239.000000084088</v>
      </c>
      <c r="X12" s="52">
        <v>3826</v>
      </c>
      <c r="Y12" s="52">
        <v>1071</v>
      </c>
      <c r="Z12" s="52">
        <v>267</v>
      </c>
      <c r="AA12" s="53">
        <f t="shared" si="20"/>
        <v>2.6927783615579601E-2</v>
      </c>
      <c r="AB12" s="53">
        <f t="shared" si="5"/>
        <v>1.3059446765517053E-2</v>
      </c>
      <c r="AC12" s="53">
        <f t="shared" si="5"/>
        <v>2.1747782579031156E-3</v>
      </c>
      <c r="AD12" s="53">
        <f t="shared" si="5"/>
        <v>4.8630336587498178E-3</v>
      </c>
      <c r="AE12" s="44">
        <f t="shared" si="21"/>
        <v>4.7025042297749592E-2</v>
      </c>
      <c r="AF12" s="54">
        <f t="shared" si="6"/>
        <v>3.9971285953087153E-2</v>
      </c>
      <c r="AG12" s="44">
        <f t="shared" si="7"/>
        <v>0.18961797912497236</v>
      </c>
      <c r="AH12" s="44">
        <f t="shared" si="8"/>
        <v>0</v>
      </c>
      <c r="AI12" s="45">
        <f t="shared" si="22"/>
        <v>0</v>
      </c>
      <c r="AJ12" s="45">
        <f t="shared" si="9"/>
        <v>0</v>
      </c>
      <c r="AK12" s="130">
        <f t="shared" si="10"/>
        <v>3.9971285953087153E-2</v>
      </c>
      <c r="AM12" s="57">
        <f t="shared" si="11"/>
        <v>269273558.33332109</v>
      </c>
      <c r="AN12" s="58">
        <f t="shared" si="12"/>
        <v>193671264.3933779</v>
      </c>
      <c r="AO12" s="58">
        <f t="shared" si="13"/>
        <v>77637056.779820889</v>
      </c>
      <c r="AP12" s="58">
        <f t="shared" si="23"/>
        <v>540581879.50651991</v>
      </c>
      <c r="AQ12" s="59">
        <f t="shared" si="24"/>
        <v>6.9579379303662009E-2</v>
      </c>
    </row>
    <row r="13" spans="1:43" ht="13.8">
      <c r="A13" s="4" t="s">
        <v>7</v>
      </c>
      <c r="B13" s="46">
        <v>1396923</v>
      </c>
      <c r="C13" s="46">
        <v>719920.55</v>
      </c>
      <c r="D13" s="55">
        <f t="shared" si="0"/>
        <v>0.51536165558158897</v>
      </c>
      <c r="E13" s="56">
        <f t="shared" si="14"/>
        <v>371019.44653520815</v>
      </c>
      <c r="F13" s="130">
        <f t="shared" si="1"/>
        <v>1.9224820536684929E-4</v>
      </c>
      <c r="G13" s="43">
        <v>16152</v>
      </c>
      <c r="H13" s="119">
        <f t="shared" si="2"/>
        <v>3.1549931399604335E-3</v>
      </c>
      <c r="I13" s="45">
        <f t="shared" si="15"/>
        <v>2.6817441689663685E-3</v>
      </c>
      <c r="J13" s="46">
        <v>2664.8</v>
      </c>
      <c r="K13" s="116">
        <f t="shared" si="3"/>
        <v>4.149477095503061E-2</v>
      </c>
      <c r="L13" s="47">
        <f t="shared" si="16"/>
        <v>6.224215643254591E-3</v>
      </c>
      <c r="M13" s="130">
        <f t="shared" si="17"/>
        <v>8.9059598122209586E-3</v>
      </c>
      <c r="N13" s="48">
        <v>3888</v>
      </c>
      <c r="O13" s="49">
        <v>1372</v>
      </c>
      <c r="P13" s="49">
        <v>11340</v>
      </c>
      <c r="Q13" s="49">
        <v>3122</v>
      </c>
      <c r="R13" s="50">
        <f t="shared" si="18"/>
        <v>2.2736257078765226E-3</v>
      </c>
      <c r="S13" s="50">
        <f t="shared" si="4"/>
        <v>3.8993667792139876E-3</v>
      </c>
      <c r="T13" s="50">
        <f t="shared" si="4"/>
        <v>8.4855341845805725E-3</v>
      </c>
      <c r="U13" s="50">
        <f t="shared" si="4"/>
        <v>1.9939708249239966E-2</v>
      </c>
      <c r="V13" s="51">
        <f t="shared" si="19"/>
        <v>3.4598234920911047E-2</v>
      </c>
      <c r="W13" s="52">
        <v>3560.0000000065597</v>
      </c>
      <c r="X13" s="52">
        <v>1140</v>
      </c>
      <c r="Y13" s="52">
        <v>7405</v>
      </c>
      <c r="Z13" s="52">
        <v>920</v>
      </c>
      <c r="AA13" s="53">
        <f t="shared" si="20"/>
        <v>2.7998162817665408E-3</v>
      </c>
      <c r="AB13" s="53">
        <f t="shared" si="5"/>
        <v>3.8912099614975015E-3</v>
      </c>
      <c r="AC13" s="53">
        <f t="shared" si="5"/>
        <v>1.5036632119302121E-2</v>
      </c>
      <c r="AD13" s="53">
        <f t="shared" si="5"/>
        <v>1.6756520472096751E-2</v>
      </c>
      <c r="AE13" s="44">
        <f t="shared" si="21"/>
        <v>3.8484178834662916E-2</v>
      </c>
      <c r="AF13" s="54">
        <f t="shared" si="6"/>
        <v>3.2711552009463477E-2</v>
      </c>
      <c r="AG13" s="44">
        <f t="shared" si="7"/>
        <v>0.11231624742229894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30">
        <f t="shared" si="10"/>
        <v>3.2711552009463477E-2</v>
      </c>
      <c r="AM13" s="57">
        <f t="shared" si="11"/>
        <v>746815.34406485513</v>
      </c>
      <c r="AN13" s="58">
        <f t="shared" si="12"/>
        <v>17298230.245374411</v>
      </c>
      <c r="AO13" s="58">
        <f t="shared" si="13"/>
        <v>63536325.143390432</v>
      </c>
      <c r="AP13" s="58">
        <f t="shared" si="23"/>
        <v>81581370.73282969</v>
      </c>
      <c r="AQ13" s="59">
        <f t="shared" si="24"/>
        <v>1.050050205810453E-2</v>
      </c>
    </row>
    <row r="14" spans="1:43" ht="13.8">
      <c r="A14" s="4" t="s">
        <v>8</v>
      </c>
      <c r="B14" s="46">
        <v>2619952</v>
      </c>
      <c r="C14" s="46">
        <v>739085</v>
      </c>
      <c r="D14" s="55">
        <f t="shared" si="0"/>
        <v>0.28209867967046726</v>
      </c>
      <c r="E14" s="56">
        <f t="shared" si="14"/>
        <v>208494.90266424729</v>
      </c>
      <c r="F14" s="130">
        <f t="shared" si="1"/>
        <v>1.0803415087713949E-4</v>
      </c>
      <c r="G14" s="43">
        <v>3977</v>
      </c>
      <c r="H14" s="119">
        <f t="shared" si="2"/>
        <v>7.7683306820348224E-4</v>
      </c>
      <c r="I14" s="45">
        <f t="shared" si="15"/>
        <v>6.6030810797295986E-4</v>
      </c>
      <c r="J14" s="46">
        <v>465.62</v>
      </c>
      <c r="K14" s="116">
        <f t="shared" si="3"/>
        <v>7.2503734809671837E-3</v>
      </c>
      <c r="L14" s="47">
        <f t="shared" si="16"/>
        <v>1.0875560221450776E-3</v>
      </c>
      <c r="M14" s="130">
        <f t="shared" si="17"/>
        <v>1.7478641301180375E-3</v>
      </c>
      <c r="N14" s="48">
        <v>739</v>
      </c>
      <c r="O14" s="49">
        <v>153</v>
      </c>
      <c r="P14" s="49">
        <v>789</v>
      </c>
      <c r="Q14" s="49">
        <v>57</v>
      </c>
      <c r="R14" s="50">
        <f t="shared" si="18"/>
        <v>4.3215262297344398E-4</v>
      </c>
      <c r="S14" s="50">
        <f t="shared" si="4"/>
        <v>4.3484192217182224E-4</v>
      </c>
      <c r="T14" s="50">
        <f t="shared" si="4"/>
        <v>5.9039563241923033E-4</v>
      </c>
      <c r="U14" s="50">
        <f t="shared" si="4"/>
        <v>3.6404976624172905E-4</v>
      </c>
      <c r="V14" s="51">
        <f t="shared" si="19"/>
        <v>1.8214399438062257E-3</v>
      </c>
      <c r="W14" s="52">
        <v>518.99999999744</v>
      </c>
      <c r="X14" s="52">
        <v>104</v>
      </c>
      <c r="Y14" s="52">
        <v>89</v>
      </c>
      <c r="Z14" s="52">
        <v>41</v>
      </c>
      <c r="AA14" s="53">
        <f t="shared" si="20"/>
        <v>4.0817546354690717E-4</v>
      </c>
      <c r="AB14" s="53">
        <f t="shared" si="5"/>
        <v>3.5498757543485978E-4</v>
      </c>
      <c r="AC14" s="53">
        <f t="shared" si="5"/>
        <v>1.8072387017122063E-4</v>
      </c>
      <c r="AD14" s="53">
        <f t="shared" si="5"/>
        <v>7.4675797756083341E-4</v>
      </c>
      <c r="AE14" s="44">
        <f t="shared" si="21"/>
        <v>1.6906448867138209E-3</v>
      </c>
      <c r="AF14" s="54">
        <f t="shared" si="6"/>
        <v>1.4370481537067476E-3</v>
      </c>
      <c r="AG14" s="44">
        <f t="shared" si="7"/>
        <v>-7.1808602604313709E-2</v>
      </c>
      <c r="AH14" s="44">
        <f t="shared" si="8"/>
        <v>-7.1808602604313709E-2</v>
      </c>
      <c r="AI14" s="45">
        <f t="shared" si="22"/>
        <v>1.3380845347842557E-2</v>
      </c>
      <c r="AJ14" s="45">
        <f t="shared" si="9"/>
        <v>2.0071268021763836E-3</v>
      </c>
      <c r="AK14" s="130">
        <f t="shared" si="10"/>
        <v>3.4441749558831313E-3</v>
      </c>
      <c r="AM14" s="57">
        <f t="shared" si="11"/>
        <v>419673.93871952308</v>
      </c>
      <c r="AN14" s="58">
        <f t="shared" si="12"/>
        <v>3394912.7099050889</v>
      </c>
      <c r="AO14" s="58">
        <f t="shared" si="13"/>
        <v>6689692.3687511152</v>
      </c>
      <c r="AP14" s="58">
        <f t="shared" si="23"/>
        <v>10504279.017375726</v>
      </c>
      <c r="AQ14" s="59">
        <f t="shared" si="24"/>
        <v>1.3520268469388616E-3</v>
      </c>
    </row>
    <row r="15" spans="1:43" ht="13.8">
      <c r="A15" s="4" t="s">
        <v>9</v>
      </c>
      <c r="B15" s="46">
        <v>58792022</v>
      </c>
      <c r="C15" s="46">
        <v>26808501</v>
      </c>
      <c r="D15" s="55">
        <f t="shared" si="0"/>
        <v>0.45598875643365355</v>
      </c>
      <c r="E15" s="56">
        <f t="shared" si="14"/>
        <v>12224375.032840358</v>
      </c>
      <c r="F15" s="130">
        <f t="shared" si="1"/>
        <v>6.3342075024411491E-3</v>
      </c>
      <c r="G15" s="43">
        <v>95534</v>
      </c>
      <c r="H15" s="119">
        <f t="shared" si="2"/>
        <v>1.8660792139238488E-2</v>
      </c>
      <c r="I15" s="45">
        <f t="shared" si="15"/>
        <v>1.5861673318352715E-2</v>
      </c>
      <c r="J15" s="46">
        <v>1140.97</v>
      </c>
      <c r="K15" s="116">
        <f t="shared" si="3"/>
        <v>1.7766544887631817E-2</v>
      </c>
      <c r="L15" s="47">
        <f t="shared" si="16"/>
        <v>2.6649817331447726E-3</v>
      </c>
      <c r="M15" s="130">
        <f t="shared" si="17"/>
        <v>1.852665505149749E-2</v>
      </c>
      <c r="N15" s="48">
        <v>6662</v>
      </c>
      <c r="O15" s="49">
        <v>2055</v>
      </c>
      <c r="P15" s="49">
        <v>14558</v>
      </c>
      <c r="Q15" s="49">
        <v>683</v>
      </c>
      <c r="R15" s="50">
        <f t="shared" si="18"/>
        <v>3.895806189782251E-3</v>
      </c>
      <c r="S15" s="50">
        <f t="shared" si="4"/>
        <v>5.8405238566215344E-3</v>
      </c>
      <c r="T15" s="50">
        <f t="shared" si="4"/>
        <v>1.0893510287400703E-2</v>
      </c>
      <c r="U15" s="50">
        <f t="shared" si="4"/>
        <v>4.3622103568965081E-3</v>
      </c>
      <c r="V15" s="51">
        <f t="shared" si="19"/>
        <v>2.4992050690700995E-2</v>
      </c>
      <c r="W15" s="52">
        <v>5056.9999999440479</v>
      </c>
      <c r="X15" s="52">
        <v>1587</v>
      </c>
      <c r="Y15" s="52">
        <v>3489</v>
      </c>
      <c r="Z15" s="52">
        <v>461</v>
      </c>
      <c r="AA15" s="53">
        <f t="shared" si="20"/>
        <v>3.9771547575029919E-3</v>
      </c>
      <c r="AB15" s="53">
        <f t="shared" si="5"/>
        <v>5.4169738674531009E-3</v>
      </c>
      <c r="AC15" s="53">
        <f t="shared" si="5"/>
        <v>7.0847818317684138E-3</v>
      </c>
      <c r="AD15" s="53">
        <f t="shared" si="5"/>
        <v>8.3964738452571765E-3</v>
      </c>
      <c r="AE15" s="44">
        <f t="shared" si="21"/>
        <v>2.4875384301981683E-2</v>
      </c>
      <c r="AF15" s="54">
        <f t="shared" si="6"/>
        <v>2.114407665668443E-2</v>
      </c>
      <c r="AG15" s="44">
        <f t="shared" si="7"/>
        <v>-4.6681398882853836E-3</v>
      </c>
      <c r="AH15" s="44">
        <f t="shared" si="8"/>
        <v>-4.6681398882853836E-3</v>
      </c>
      <c r="AI15" s="45">
        <f t="shared" si="22"/>
        <v>8.6986315903450563E-4</v>
      </c>
      <c r="AJ15" s="45">
        <f t="shared" si="9"/>
        <v>1.3047947385517585E-4</v>
      </c>
      <c r="AK15" s="130">
        <f t="shared" si="10"/>
        <v>2.1274556130539607E-2</v>
      </c>
      <c r="AM15" s="57">
        <f t="shared" si="11"/>
        <v>24606124.911736023</v>
      </c>
      <c r="AN15" s="58">
        <f t="shared" si="12"/>
        <v>35984705.917678282</v>
      </c>
      <c r="AO15" s="58">
        <f t="shared" si="13"/>
        <v>41322011.110944077</v>
      </c>
      <c r="AP15" s="58">
        <f t="shared" si="23"/>
        <v>101912841.94035839</v>
      </c>
      <c r="AQ15" s="59">
        <f t="shared" si="24"/>
        <v>1.3117406546729847E-2</v>
      </c>
    </row>
    <row r="16" spans="1:43" ht="13.8">
      <c r="A16" s="4" t="s">
        <v>10</v>
      </c>
      <c r="B16" s="46">
        <v>22277988</v>
      </c>
      <c r="C16" s="46">
        <v>4025421.55</v>
      </c>
      <c r="D16" s="55">
        <f t="shared" si="0"/>
        <v>0.18069053408234173</v>
      </c>
      <c r="E16" s="56">
        <f t="shared" si="14"/>
        <v>727355.56977606786</v>
      </c>
      <c r="F16" s="130">
        <f t="shared" si="1"/>
        <v>3.7688806950382221E-4</v>
      </c>
      <c r="G16" s="43">
        <v>38306</v>
      </c>
      <c r="H16" s="119">
        <f t="shared" si="2"/>
        <v>7.4823654791557935E-3</v>
      </c>
      <c r="I16" s="45">
        <f t="shared" si="15"/>
        <v>6.3600106572824239E-3</v>
      </c>
      <c r="J16" s="46">
        <v>102.38</v>
      </c>
      <c r="K16" s="116">
        <f t="shared" si="3"/>
        <v>1.5942039366466652E-3</v>
      </c>
      <c r="L16" s="47">
        <f t="shared" si="16"/>
        <v>2.3913059049699976E-4</v>
      </c>
      <c r="M16" s="130">
        <f t="shared" si="17"/>
        <v>6.5991412477794239E-3</v>
      </c>
      <c r="N16" s="48">
        <v>981</v>
      </c>
      <c r="O16" s="49">
        <v>219</v>
      </c>
      <c r="P16" s="49">
        <v>1075</v>
      </c>
      <c r="Q16" s="49">
        <v>108</v>
      </c>
      <c r="R16" s="50">
        <f t="shared" si="18"/>
        <v>5.73669449441067E-4</v>
      </c>
      <c r="S16" s="50">
        <f t="shared" si="4"/>
        <v>6.2242079055966715E-4</v>
      </c>
      <c r="T16" s="50">
        <f t="shared" si="4"/>
        <v>8.0440469562822884E-4</v>
      </c>
      <c r="U16" s="50">
        <f t="shared" si="4"/>
        <v>6.8977850445801295E-4</v>
      </c>
      <c r="V16" s="51">
        <f t="shared" si="19"/>
        <v>2.6902734400869759E-3</v>
      </c>
      <c r="W16" s="52">
        <v>716.99999998365001</v>
      </c>
      <c r="X16" s="52">
        <v>253</v>
      </c>
      <c r="Y16" s="52">
        <v>273</v>
      </c>
      <c r="Z16" s="52">
        <v>153</v>
      </c>
      <c r="AA16" s="53">
        <f t="shared" si="20"/>
        <v>5.6389558257784655E-4</v>
      </c>
      <c r="AB16" s="53">
        <f t="shared" si="5"/>
        <v>8.6357554408672619E-4</v>
      </c>
      <c r="AC16" s="53">
        <f t="shared" si="5"/>
        <v>5.5435524221059812E-4</v>
      </c>
      <c r="AD16" s="53">
        <f t="shared" si="5"/>
        <v>2.786682208946525E-3</v>
      </c>
      <c r="AE16" s="44">
        <f t="shared" si="21"/>
        <v>4.7685085778216962E-3</v>
      </c>
      <c r="AF16" s="54">
        <f t="shared" si="6"/>
        <v>4.0532322911484417E-3</v>
      </c>
      <c r="AG16" s="44">
        <f t="shared" si="7"/>
        <v>0.77249959307762084</v>
      </c>
      <c r="AH16" s="44">
        <f t="shared" si="8"/>
        <v>0</v>
      </c>
      <c r="AI16" s="45">
        <f t="shared" si="22"/>
        <v>0</v>
      </c>
      <c r="AJ16" s="45">
        <f t="shared" si="9"/>
        <v>0</v>
      </c>
      <c r="AK16" s="130">
        <f t="shared" si="10"/>
        <v>4.0532322911484417E-3</v>
      </c>
      <c r="AM16" s="57">
        <f t="shared" si="11"/>
        <v>1464075.0105486871</v>
      </c>
      <c r="AN16" s="58">
        <f t="shared" si="12"/>
        <v>12817648.757991465</v>
      </c>
      <c r="AO16" s="58">
        <f t="shared" si="13"/>
        <v>7872677.048695025</v>
      </c>
      <c r="AP16" s="58">
        <f t="shared" si="23"/>
        <v>22154400.817235176</v>
      </c>
      <c r="AQ16" s="59">
        <f t="shared" si="24"/>
        <v>2.8515374194838768E-3</v>
      </c>
    </row>
    <row r="17" spans="1:43" ht="13.8">
      <c r="A17" s="4" t="s">
        <v>11</v>
      </c>
      <c r="B17" s="46">
        <v>4380370</v>
      </c>
      <c r="C17" s="46">
        <v>5594177</v>
      </c>
      <c r="D17" s="55">
        <f t="shared" si="0"/>
        <v>1.2771014777290504</v>
      </c>
      <c r="E17" s="56">
        <f t="shared" si="14"/>
        <v>7144331.713377866</v>
      </c>
      <c r="F17" s="130">
        <f t="shared" si="1"/>
        <v>3.7019217274694102E-3</v>
      </c>
      <c r="G17" s="43">
        <v>7757</v>
      </c>
      <c r="H17" s="119">
        <f t="shared" si="2"/>
        <v>1.5151858461288437E-3</v>
      </c>
      <c r="I17" s="45">
        <f t="shared" si="15"/>
        <v>1.2879079692095171E-3</v>
      </c>
      <c r="J17" s="46">
        <v>1006.89</v>
      </c>
      <c r="K17" s="116">
        <f t="shared" si="3"/>
        <v>1.5678726331023254E-2</v>
      </c>
      <c r="L17" s="47">
        <f t="shared" si="16"/>
        <v>2.3518089496534882E-3</v>
      </c>
      <c r="M17" s="130">
        <f t="shared" si="17"/>
        <v>3.6397169188630051E-3</v>
      </c>
      <c r="N17" s="48">
        <v>1343</v>
      </c>
      <c r="O17" s="49">
        <v>344</v>
      </c>
      <c r="P17" s="49">
        <v>1532</v>
      </c>
      <c r="Q17" s="49">
        <v>359</v>
      </c>
      <c r="R17" s="50">
        <f t="shared" si="18"/>
        <v>7.85359908867842E-4</v>
      </c>
      <c r="S17" s="50">
        <f t="shared" si="4"/>
        <v>9.7768379886997952E-4</v>
      </c>
      <c r="T17" s="50">
        <f t="shared" si="4"/>
        <v>1.1463702266999503E-3</v>
      </c>
      <c r="U17" s="50">
        <f t="shared" si="4"/>
        <v>2.2928748435224688E-3</v>
      </c>
      <c r="V17" s="51">
        <f t="shared" si="19"/>
        <v>5.2022887779602407E-3</v>
      </c>
      <c r="W17" s="52">
        <v>655.00000000354908</v>
      </c>
      <c r="X17" s="52">
        <v>319</v>
      </c>
      <c r="Y17" s="52">
        <v>345</v>
      </c>
      <c r="Z17" s="52">
        <v>110</v>
      </c>
      <c r="AA17" s="53">
        <f t="shared" si="20"/>
        <v>5.1513473723697805E-4</v>
      </c>
      <c r="AB17" s="53">
        <f t="shared" si="5"/>
        <v>1.0888561208050025E-3</v>
      </c>
      <c r="AC17" s="53">
        <f t="shared" si="5"/>
        <v>7.0055882257383283E-4</v>
      </c>
      <c r="AD17" s="53">
        <f t="shared" si="5"/>
        <v>2.0034970129680896E-3</v>
      </c>
      <c r="AE17" s="44">
        <f t="shared" si="21"/>
        <v>4.3080466935839033E-3</v>
      </c>
      <c r="AF17" s="54">
        <f t="shared" si="6"/>
        <v>3.6618396895463177E-3</v>
      </c>
      <c r="AG17" s="44">
        <f t="shared" si="7"/>
        <v>-0.17189397254624528</v>
      </c>
      <c r="AH17" s="44">
        <f t="shared" si="8"/>
        <v>-0.17189397254624528</v>
      </c>
      <c r="AI17" s="45">
        <f t="shared" si="22"/>
        <v>3.2030795468082691E-2</v>
      </c>
      <c r="AJ17" s="45">
        <f t="shared" si="9"/>
        <v>4.8046193202124039E-3</v>
      </c>
      <c r="AK17" s="130">
        <f t="shared" si="10"/>
        <v>8.4664590097587207E-3</v>
      </c>
      <c r="AM17" s="57">
        <f t="shared" si="11"/>
        <v>14380638.525731375</v>
      </c>
      <c r="AN17" s="58">
        <f t="shared" si="12"/>
        <v>7069497.5744311092</v>
      </c>
      <c r="AO17" s="58">
        <f t="shared" si="13"/>
        <v>16444578.731745733</v>
      </c>
      <c r="AP17" s="58">
        <f t="shared" si="23"/>
        <v>37894714.831908219</v>
      </c>
      <c r="AQ17" s="59">
        <f t="shared" si="24"/>
        <v>4.8775048458901361E-3</v>
      </c>
    </row>
    <row r="18" spans="1:43" ht="13.8">
      <c r="A18" s="4" t="s">
        <v>12</v>
      </c>
      <c r="B18" s="46">
        <v>3975546</v>
      </c>
      <c r="C18" s="46">
        <v>1434848</v>
      </c>
      <c r="D18" s="55">
        <f t="shared" si="0"/>
        <v>0.36091847509750863</v>
      </c>
      <c r="E18" s="56">
        <f t="shared" si="14"/>
        <v>517863.15215671004</v>
      </c>
      <c r="F18" s="130">
        <f t="shared" si="1"/>
        <v>2.6833704421015962E-4</v>
      </c>
      <c r="G18" s="43">
        <v>10835</v>
      </c>
      <c r="H18" s="119">
        <f t="shared" si="2"/>
        <v>2.1164159652966382E-3</v>
      </c>
      <c r="I18" s="45">
        <f t="shared" si="15"/>
        <v>1.7989535705021423E-3</v>
      </c>
      <c r="J18" s="46">
        <v>4292.05</v>
      </c>
      <c r="K18" s="116">
        <f t="shared" si="3"/>
        <v>6.6833395255756198E-2</v>
      </c>
      <c r="L18" s="47">
        <f t="shared" si="16"/>
        <v>1.002500928836343E-2</v>
      </c>
      <c r="M18" s="130">
        <f t="shared" si="17"/>
        <v>1.1823962858865573E-2</v>
      </c>
      <c r="N18" s="48">
        <v>2046</v>
      </c>
      <c r="O18" s="49">
        <v>494</v>
      </c>
      <c r="P18" s="49">
        <v>4758</v>
      </c>
      <c r="Q18" s="49">
        <v>898</v>
      </c>
      <c r="R18" s="50">
        <f t="shared" si="18"/>
        <v>1.1964604419535403E-3</v>
      </c>
      <c r="S18" s="50">
        <f t="shared" si="4"/>
        <v>1.4039994088423542E-3</v>
      </c>
      <c r="T18" s="50">
        <f t="shared" si="4"/>
        <v>3.5603325970224304E-3</v>
      </c>
      <c r="U18" s="50">
        <f t="shared" si="4"/>
        <v>5.7353805278082927E-3</v>
      </c>
      <c r="V18" s="51">
        <f t="shared" si="19"/>
        <v>1.1896172975626618E-2</v>
      </c>
      <c r="W18" s="52">
        <v>787.99999998764804</v>
      </c>
      <c r="X18" s="52">
        <v>378</v>
      </c>
      <c r="Y18" s="52">
        <v>1925</v>
      </c>
      <c r="Z18" s="52">
        <v>123</v>
      </c>
      <c r="AA18" s="53">
        <f t="shared" si="20"/>
        <v>6.1973461516668131E-4</v>
      </c>
      <c r="AB18" s="53">
        <f t="shared" si="5"/>
        <v>1.2902433030228557E-3</v>
      </c>
      <c r="AC18" s="53">
        <f t="shared" si="5"/>
        <v>3.9089151694337047E-3</v>
      </c>
      <c r="AD18" s="53">
        <f t="shared" si="5"/>
        <v>2.2402739326825003E-3</v>
      </c>
      <c r="AE18" s="44">
        <f t="shared" si="21"/>
        <v>8.0591670203057422E-3</v>
      </c>
      <c r="AF18" s="54">
        <f t="shared" si="6"/>
        <v>6.8502919672598804E-3</v>
      </c>
      <c r="AG18" s="44">
        <f t="shared" si="7"/>
        <v>-0.32254120406472697</v>
      </c>
      <c r="AH18" s="44">
        <f t="shared" si="8"/>
        <v>-0.32254120406472697</v>
      </c>
      <c r="AI18" s="45">
        <f t="shared" si="22"/>
        <v>6.0102464236475396E-2</v>
      </c>
      <c r="AJ18" s="45">
        <f t="shared" si="9"/>
        <v>9.0153696354713098E-3</v>
      </c>
      <c r="AK18" s="130">
        <f t="shared" si="10"/>
        <v>1.5865661602731191E-2</v>
      </c>
      <c r="AM18" s="57">
        <f t="shared" si="11"/>
        <v>1042393.2000548738</v>
      </c>
      <c r="AN18" s="58">
        <f t="shared" si="12"/>
        <v>22965928.014265962</v>
      </c>
      <c r="AO18" s="58">
        <f t="shared" si="13"/>
        <v>30816203.215136521</v>
      </c>
      <c r="AP18" s="58">
        <f t="shared" si="23"/>
        <v>54824524.429457352</v>
      </c>
      <c r="AQ18" s="59">
        <f t="shared" si="24"/>
        <v>7.0565746375042685E-3</v>
      </c>
    </row>
    <row r="19" spans="1:43" ht="13.8">
      <c r="A19" s="4" t="s">
        <v>13</v>
      </c>
      <c r="B19" s="46">
        <v>34819152</v>
      </c>
      <c r="C19" s="46">
        <v>12542027</v>
      </c>
      <c r="D19" s="55">
        <f t="shared" si="0"/>
        <v>0.36020483784326512</v>
      </c>
      <c r="E19" s="56">
        <f t="shared" si="14"/>
        <v>4517698.8017608533</v>
      </c>
      <c r="F19" s="130">
        <f t="shared" si="1"/>
        <v>2.3409001742017064E-3</v>
      </c>
      <c r="G19" s="43">
        <v>42715</v>
      </c>
      <c r="H19" s="119">
        <f t="shared" si="2"/>
        <v>8.3435817219793176E-3</v>
      </c>
      <c r="I19" s="45">
        <f t="shared" si="15"/>
        <v>7.0920444636824193E-3</v>
      </c>
      <c r="J19" s="46">
        <v>146.56</v>
      </c>
      <c r="K19" s="116">
        <f t="shared" si="3"/>
        <v>2.2821501167702212E-3</v>
      </c>
      <c r="L19" s="47">
        <f t="shared" si="16"/>
        <v>3.4232251751553319E-4</v>
      </c>
      <c r="M19" s="130">
        <f t="shared" si="17"/>
        <v>7.4343669811979523E-3</v>
      </c>
      <c r="N19" s="48">
        <v>1162</v>
      </c>
      <c r="O19" s="49">
        <v>349</v>
      </c>
      <c r="P19" s="49">
        <v>489</v>
      </c>
      <c r="Q19" s="49">
        <v>43</v>
      </c>
      <c r="R19" s="50">
        <f t="shared" si="18"/>
        <v>6.7951467915445456E-4</v>
      </c>
      <c r="S19" s="50">
        <f t="shared" si="4"/>
        <v>9.9189431920239184E-4</v>
      </c>
      <c r="T19" s="50">
        <f t="shared" si="4"/>
        <v>3.6591060108111993E-4</v>
      </c>
      <c r="U19" s="50">
        <f t="shared" si="4"/>
        <v>2.7463403418235698E-4</v>
      </c>
      <c r="V19" s="51">
        <f t="shared" si="19"/>
        <v>2.3119536336203231E-3</v>
      </c>
      <c r="W19" s="52">
        <v>2032.9999999577099</v>
      </c>
      <c r="X19" s="52">
        <v>358</v>
      </c>
      <c r="Y19" s="52">
        <v>131</v>
      </c>
      <c r="Z19" s="52">
        <v>31</v>
      </c>
      <c r="AA19" s="53">
        <f t="shared" si="20"/>
        <v>1.5988838485119338E-3</v>
      </c>
      <c r="AB19" s="53">
        <f t="shared" si="5"/>
        <v>1.221976461593075E-3</v>
      </c>
      <c r="AC19" s="53">
        <f t="shared" si="5"/>
        <v>2.6600929204977422E-4</v>
      </c>
      <c r="AD19" s="53">
        <f t="shared" si="5"/>
        <v>5.6462188547282534E-4</v>
      </c>
      <c r="AE19" s="44">
        <f t="shared" si="21"/>
        <v>3.6514914876276086E-3</v>
      </c>
      <c r="AF19" s="54">
        <f t="shared" si="6"/>
        <v>3.1037677644834673E-3</v>
      </c>
      <c r="AG19" s="44">
        <f t="shared" si="7"/>
        <v>0.57939650455259473</v>
      </c>
      <c r="AH19" s="44">
        <f t="shared" si="8"/>
        <v>0</v>
      </c>
      <c r="AI19" s="45">
        <f t="shared" si="22"/>
        <v>0</v>
      </c>
      <c r="AJ19" s="45">
        <f t="shared" si="9"/>
        <v>0</v>
      </c>
      <c r="AK19" s="130">
        <f t="shared" si="10"/>
        <v>3.1037677644834673E-3</v>
      </c>
      <c r="AM19" s="57">
        <f t="shared" si="11"/>
        <v>9093557.8081572279</v>
      </c>
      <c r="AN19" s="58">
        <f t="shared" si="12"/>
        <v>14439925.003131224</v>
      </c>
      <c r="AO19" s="58">
        <f t="shared" si="13"/>
        <v>6028512.4287818857</v>
      </c>
      <c r="AP19" s="58">
        <f t="shared" si="23"/>
        <v>29561995.240070339</v>
      </c>
      <c r="AQ19" s="59">
        <f t="shared" si="24"/>
        <v>3.8049837735212077E-3</v>
      </c>
    </row>
    <row r="20" spans="1:43" ht="13.8">
      <c r="A20" s="4" t="s">
        <v>14</v>
      </c>
      <c r="B20" s="46">
        <v>5611362</v>
      </c>
      <c r="C20" s="46">
        <v>637894</v>
      </c>
      <c r="D20" s="55">
        <f t="shared" si="0"/>
        <v>0.11367899629359146</v>
      </c>
      <c r="E20" s="56">
        <f t="shared" si="14"/>
        <v>72515.149661704228</v>
      </c>
      <c r="F20" s="130">
        <f t="shared" si="1"/>
        <v>3.7574600238772643E-5</v>
      </c>
      <c r="G20" s="43">
        <v>34110</v>
      </c>
      <c r="H20" s="119">
        <f t="shared" si="2"/>
        <v>6.6627548293740953E-3</v>
      </c>
      <c r="I20" s="45">
        <f t="shared" si="15"/>
        <v>5.6633416049679808E-3</v>
      </c>
      <c r="J20" s="46">
        <v>5091.18</v>
      </c>
      <c r="K20" s="116">
        <f t="shared" si="3"/>
        <v>7.9276999396139566E-2</v>
      </c>
      <c r="L20" s="47">
        <f t="shared" si="16"/>
        <v>1.1891549909420934E-2</v>
      </c>
      <c r="M20" s="130">
        <f t="shared" si="17"/>
        <v>1.7554891514388916E-2</v>
      </c>
      <c r="N20" s="48">
        <v>7369</v>
      </c>
      <c r="O20" s="49">
        <v>3474</v>
      </c>
      <c r="P20" s="49">
        <v>27910</v>
      </c>
      <c r="Q20" s="49">
        <v>2988</v>
      </c>
      <c r="R20" s="50">
        <f t="shared" si="18"/>
        <v>4.3092458439665882E-3</v>
      </c>
      <c r="S20" s="50">
        <f t="shared" si="4"/>
        <v>9.8734695269601987E-3</v>
      </c>
      <c r="T20" s="50">
        <f t="shared" si="4"/>
        <v>2.08845907488222E-2</v>
      </c>
      <c r="U20" s="50">
        <f t="shared" si="4"/>
        <v>1.9083871956671692E-2</v>
      </c>
      <c r="V20" s="51">
        <f t="shared" si="19"/>
        <v>5.4151178076420683E-2</v>
      </c>
      <c r="W20" s="52">
        <v>7387.0000000238397</v>
      </c>
      <c r="X20" s="52">
        <v>3170</v>
      </c>
      <c r="Y20" s="52">
        <v>23798</v>
      </c>
      <c r="Z20" s="52">
        <v>1385</v>
      </c>
      <c r="AA20" s="53">
        <f t="shared" si="20"/>
        <v>5.8096187846736159E-3</v>
      </c>
      <c r="AB20" s="53">
        <f t="shared" si="5"/>
        <v>1.0820294366620246E-2</v>
      </c>
      <c r="AC20" s="53">
        <f t="shared" si="5"/>
        <v>4.8324344520614702E-2</v>
      </c>
      <c r="AD20" s="53">
        <f t="shared" si="5"/>
        <v>2.522584875418913E-2</v>
      </c>
      <c r="AE20" s="44">
        <f t="shared" si="21"/>
        <v>9.0180106426097695E-2</v>
      </c>
      <c r="AF20" s="54">
        <f t="shared" si="6"/>
        <v>7.6653090462183035E-2</v>
      </c>
      <c r="AG20" s="44">
        <f t="shared" si="7"/>
        <v>0.66533969582030694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30">
        <f t="shared" si="10"/>
        <v>7.6653090462183035E-2</v>
      </c>
      <c r="AM20" s="57">
        <f t="shared" si="11"/>
        <v>145963.84893097775</v>
      </c>
      <c r="AN20" s="58">
        <f t="shared" si="12"/>
        <v>34097229.467818633</v>
      </c>
      <c r="AO20" s="58">
        <f t="shared" si="13"/>
        <v>148884885.60377732</v>
      </c>
      <c r="AP20" s="58">
        <f t="shared" si="23"/>
        <v>183128078.92052692</v>
      </c>
      <c r="AQ20" s="59">
        <f t="shared" si="24"/>
        <v>2.3570782794262373E-2</v>
      </c>
    </row>
    <row r="21" spans="1:43" ht="13.8">
      <c r="A21" s="4" t="s">
        <v>15</v>
      </c>
      <c r="B21" s="46">
        <v>1345912</v>
      </c>
      <c r="C21" s="46">
        <v>290883</v>
      </c>
      <c r="D21" s="55">
        <f t="shared" si="0"/>
        <v>0.21612334238791242</v>
      </c>
      <c r="E21" s="56">
        <f t="shared" si="14"/>
        <v>62866.606203823132</v>
      </c>
      <c r="F21" s="130">
        <f t="shared" si="1"/>
        <v>3.2575090963709152E-5</v>
      </c>
      <c r="G21" s="43">
        <v>1632</v>
      </c>
      <c r="H21" s="119">
        <f t="shared" si="2"/>
        <v>3.1878088189793386E-4</v>
      </c>
      <c r="I21" s="45">
        <f t="shared" si="15"/>
        <v>2.7096374961324375E-4</v>
      </c>
      <c r="J21" s="46">
        <v>720.74</v>
      </c>
      <c r="K21" s="116">
        <f t="shared" si="3"/>
        <v>1.1222959028117967E-2</v>
      </c>
      <c r="L21" s="47">
        <f t="shared" si="16"/>
        <v>1.683443854217695E-3</v>
      </c>
      <c r="M21" s="130">
        <f t="shared" si="17"/>
        <v>1.9544076038309388E-3</v>
      </c>
      <c r="N21" s="48">
        <v>381</v>
      </c>
      <c r="O21" s="49">
        <v>111</v>
      </c>
      <c r="P21" s="49">
        <v>881</v>
      </c>
      <c r="Q21" s="49">
        <v>100</v>
      </c>
      <c r="R21" s="50">
        <f t="shared" si="18"/>
        <v>2.2280128464530736E-4</v>
      </c>
      <c r="S21" s="50">
        <f t="shared" si="4"/>
        <v>3.1547355137955733E-4</v>
      </c>
      <c r="T21" s="50">
        <f t="shared" si="4"/>
        <v>6.5923770869625079E-4</v>
      </c>
      <c r="U21" s="50">
        <f t="shared" si="4"/>
        <v>6.3868380042408609E-4</v>
      </c>
      <c r="V21" s="51">
        <f t="shared" si="19"/>
        <v>1.8361963451452015E-3</v>
      </c>
      <c r="W21" s="52">
        <v>157.99999999728001</v>
      </c>
      <c r="X21" s="52">
        <v>83</v>
      </c>
      <c r="Y21" s="52">
        <v>189</v>
      </c>
      <c r="Z21" s="52">
        <v>25</v>
      </c>
      <c r="AA21" s="53">
        <f t="shared" si="20"/>
        <v>1.2426150913221427E-4</v>
      </c>
      <c r="AB21" s="53">
        <f t="shared" si="5"/>
        <v>2.8330739193359002E-4</v>
      </c>
      <c r="AC21" s="53">
        <f t="shared" si="5"/>
        <v>3.8378439845349104E-4</v>
      </c>
      <c r="AD21" s="53">
        <f t="shared" si="5"/>
        <v>4.5534023022002039E-4</v>
      </c>
      <c r="AE21" s="44">
        <f t="shared" si="21"/>
        <v>1.2466935297393157E-3</v>
      </c>
      <c r="AF21" s="54">
        <f t="shared" si="6"/>
        <v>1.0596895002784182E-3</v>
      </c>
      <c r="AG21" s="44">
        <f t="shared" si="7"/>
        <v>-0.32104563162022282</v>
      </c>
      <c r="AH21" s="44">
        <f t="shared" si="8"/>
        <v>-0.32104563162022282</v>
      </c>
      <c r="AI21" s="45">
        <f t="shared" si="22"/>
        <v>5.982377863529921E-2</v>
      </c>
      <c r="AJ21" s="45">
        <f t="shared" si="9"/>
        <v>8.9735667952948808E-3</v>
      </c>
      <c r="AK21" s="130">
        <f t="shared" si="10"/>
        <v>1.0033256295573299E-2</v>
      </c>
      <c r="AM21" s="57">
        <f t="shared" si="11"/>
        <v>126542.54805439853</v>
      </c>
      <c r="AN21" s="58">
        <f t="shared" si="12"/>
        <v>3796086.3777968395</v>
      </c>
      <c r="AO21" s="58">
        <f t="shared" si="13"/>
        <v>19487801.558852721</v>
      </c>
      <c r="AP21" s="58">
        <f t="shared" si="23"/>
        <v>23410430.484703958</v>
      </c>
      <c r="AQ21" s="59">
        <f t="shared" si="24"/>
        <v>3.0132035203329138E-3</v>
      </c>
    </row>
    <row r="22" spans="1:43" ht="13.8">
      <c r="A22" s="4" t="s">
        <v>16</v>
      </c>
      <c r="B22" s="46">
        <v>1830199</v>
      </c>
      <c r="C22" s="46">
        <v>471485</v>
      </c>
      <c r="D22" s="55">
        <f t="shared" si="0"/>
        <v>0.25761406273306892</v>
      </c>
      <c r="E22" s="56">
        <f t="shared" si="14"/>
        <v>121461.16636770099</v>
      </c>
      <c r="F22" s="130">
        <f t="shared" si="1"/>
        <v>6.2936569697402502E-5</v>
      </c>
      <c r="G22" s="43">
        <v>2861</v>
      </c>
      <c r="H22" s="119">
        <f t="shared" si="2"/>
        <v>5.588432004350421E-4</v>
      </c>
      <c r="I22" s="45">
        <f t="shared" si="15"/>
        <v>4.7501672036978578E-4</v>
      </c>
      <c r="J22" s="46">
        <v>615.78</v>
      </c>
      <c r="K22" s="116">
        <f t="shared" si="3"/>
        <v>9.5885807785532663E-3</v>
      </c>
      <c r="L22" s="47">
        <f t="shared" si="16"/>
        <v>1.4382871167829899E-3</v>
      </c>
      <c r="M22" s="130">
        <f t="shared" si="17"/>
        <v>1.9133038371527756E-3</v>
      </c>
      <c r="N22" s="48">
        <v>519</v>
      </c>
      <c r="O22" s="49">
        <v>176</v>
      </c>
      <c r="P22" s="49">
        <v>1034</v>
      </c>
      <c r="Q22" s="49">
        <v>145</v>
      </c>
      <c r="R22" s="50">
        <f t="shared" si="18"/>
        <v>3.0350096254833211E-4</v>
      </c>
      <c r="S22" s="50">
        <f t="shared" si="4"/>
        <v>5.0021031570091968E-4</v>
      </c>
      <c r="T22" s="50">
        <f t="shared" si="4"/>
        <v>7.7372507467868713E-4</v>
      </c>
      <c r="U22" s="50">
        <f t="shared" si="4"/>
        <v>9.2609151061492478E-4</v>
      </c>
      <c r="V22" s="51">
        <f t="shared" si="19"/>
        <v>2.5035278635428637E-3</v>
      </c>
      <c r="W22" s="52">
        <v>277.00000000287605</v>
      </c>
      <c r="X22" s="52">
        <v>136</v>
      </c>
      <c r="Y22" s="52">
        <v>317</v>
      </c>
      <c r="Z22" s="52">
        <v>84</v>
      </c>
      <c r="AA22" s="53">
        <f t="shared" si="20"/>
        <v>2.1785087361122336E-4</v>
      </c>
      <c r="AB22" s="53">
        <f t="shared" si="5"/>
        <v>4.6421452172250896E-4</v>
      </c>
      <c r="AC22" s="53">
        <f t="shared" si="5"/>
        <v>6.4370187465479715E-4</v>
      </c>
      <c r="AD22" s="53">
        <f t="shared" si="5"/>
        <v>1.5299431735392686E-3</v>
      </c>
      <c r="AE22" s="44">
        <f t="shared" si="21"/>
        <v>2.8557104435277978E-3</v>
      </c>
      <c r="AF22" s="54">
        <f t="shared" si="6"/>
        <v>2.4273538769986279E-3</v>
      </c>
      <c r="AG22" s="44">
        <f t="shared" si="7"/>
        <v>0.14067451979006276</v>
      </c>
      <c r="AH22" s="44">
        <f t="shared" si="8"/>
        <v>0</v>
      </c>
      <c r="AI22" s="45">
        <f t="shared" si="22"/>
        <v>0</v>
      </c>
      <c r="AJ22" s="45">
        <f t="shared" si="9"/>
        <v>0</v>
      </c>
      <c r="AK22" s="130">
        <f t="shared" si="10"/>
        <v>2.4273538769986279E-3</v>
      </c>
      <c r="AM22" s="57">
        <f t="shared" si="11"/>
        <v>244486.00632259669</v>
      </c>
      <c r="AN22" s="58">
        <f t="shared" si="12"/>
        <v>3716249.6802434395</v>
      </c>
      <c r="AO22" s="58">
        <f t="shared" si="13"/>
        <v>4714699.7220564997</v>
      </c>
      <c r="AP22" s="58">
        <f t="shared" si="23"/>
        <v>8675435.4086225368</v>
      </c>
      <c r="AQ22" s="59">
        <f t="shared" si="24"/>
        <v>1.1166327133865521E-3</v>
      </c>
    </row>
    <row r="23" spans="1:43" ht="13.8">
      <c r="A23" s="4" t="s">
        <v>17</v>
      </c>
      <c r="B23" s="46">
        <v>9105746</v>
      </c>
      <c r="C23" s="46">
        <v>892233</v>
      </c>
      <c r="D23" s="55">
        <f t="shared" si="0"/>
        <v>9.7985711439787584E-2</v>
      </c>
      <c r="E23" s="56">
        <f t="shared" si="14"/>
        <v>87426.085275056001</v>
      </c>
      <c r="F23" s="130">
        <f t="shared" si="1"/>
        <v>4.5300881539597907E-5</v>
      </c>
      <c r="G23" s="43">
        <v>41130</v>
      </c>
      <c r="H23" s="119">
        <f t="shared" si="2"/>
        <v>8.0339814169497672E-3</v>
      </c>
      <c r="I23" s="45">
        <f t="shared" si="15"/>
        <v>6.8288842044073022E-3</v>
      </c>
      <c r="J23" s="46">
        <v>7010.79</v>
      </c>
      <c r="K23" s="116">
        <f t="shared" si="3"/>
        <v>0.1091680896366778</v>
      </c>
      <c r="L23" s="47">
        <f t="shared" si="16"/>
        <v>1.637521344550167E-2</v>
      </c>
      <c r="M23" s="130">
        <f t="shared" si="17"/>
        <v>2.3204097649908974E-2</v>
      </c>
      <c r="N23" s="48">
        <v>6824</v>
      </c>
      <c r="O23" s="49">
        <v>2866</v>
      </c>
      <c r="P23" s="49">
        <v>26645</v>
      </c>
      <c r="Q23" s="49">
        <v>2369</v>
      </c>
      <c r="R23" s="50">
        <f t="shared" si="18"/>
        <v>3.9905405942771066E-3</v>
      </c>
      <c r="S23" s="50">
        <f t="shared" si="18"/>
        <v>8.1454702545388398E-3</v>
      </c>
      <c r="T23" s="50">
        <f t="shared" si="18"/>
        <v>1.9938012200013171E-2</v>
      </c>
      <c r="U23" s="50">
        <f t="shared" si="18"/>
        <v>1.5130419232046598E-2</v>
      </c>
      <c r="V23" s="51">
        <f t="shared" si="19"/>
        <v>4.7204442280875711E-2</v>
      </c>
      <c r="W23" s="52">
        <v>7532.9999999958</v>
      </c>
      <c r="X23" s="52">
        <v>2466</v>
      </c>
      <c r="Y23" s="52">
        <v>13627</v>
      </c>
      <c r="Z23" s="52">
        <v>715</v>
      </c>
      <c r="AA23" s="53">
        <f t="shared" si="20"/>
        <v>5.9244427108136877E-3</v>
      </c>
      <c r="AB23" s="53">
        <f t="shared" si="5"/>
        <v>8.4173015482919642E-3</v>
      </c>
      <c r="AC23" s="53">
        <f t="shared" si="5"/>
        <v>2.7671058189024985E-2</v>
      </c>
      <c r="AD23" s="53">
        <f t="shared" si="5"/>
        <v>1.3022730584292583E-2</v>
      </c>
      <c r="AE23" s="44">
        <f t="shared" si="21"/>
        <v>5.5035533032423221E-2</v>
      </c>
      <c r="AF23" s="54">
        <f t="shared" si="6"/>
        <v>4.6780203077559736E-2</v>
      </c>
      <c r="AG23" s="44">
        <f t="shared" si="7"/>
        <v>0.16589732603874402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30">
        <f t="shared" si="10"/>
        <v>4.6780203077559736E-2</v>
      </c>
      <c r="AM23" s="57">
        <f t="shared" si="11"/>
        <v>175977.68139826725</v>
      </c>
      <c r="AN23" s="58">
        <f t="shared" si="12"/>
        <v>45069799.577747993</v>
      </c>
      <c r="AO23" s="58">
        <f t="shared" si="13"/>
        <v>90862157.568977386</v>
      </c>
      <c r="AP23" s="58">
        <f t="shared" si="23"/>
        <v>136107934.82812363</v>
      </c>
      <c r="AQ23" s="59">
        <f t="shared" si="24"/>
        <v>1.7518725622636972E-2</v>
      </c>
    </row>
    <row r="24" spans="1:43" ht="13.8">
      <c r="A24" s="4" t="s">
        <v>18</v>
      </c>
      <c r="B24" s="46">
        <v>369597244</v>
      </c>
      <c r="C24" s="46">
        <v>74155651.00999999</v>
      </c>
      <c r="D24" s="55">
        <f t="shared" si="0"/>
        <v>0.20063908000894073</v>
      </c>
      <c r="E24" s="56">
        <f t="shared" si="14"/>
        <v>14878521.596110474</v>
      </c>
      <c r="F24" s="130">
        <f t="shared" si="1"/>
        <v>7.7094855864723848E-3</v>
      </c>
      <c r="G24" s="43">
        <v>247370</v>
      </c>
      <c r="H24" s="119">
        <f t="shared" si="2"/>
        <v>4.8319134041110233E-2</v>
      </c>
      <c r="I24" s="45">
        <f t="shared" si="15"/>
        <v>4.1071263934943696E-2</v>
      </c>
      <c r="J24" s="46">
        <v>1040.01</v>
      </c>
      <c r="K24" s="116">
        <f t="shared" si="3"/>
        <v>1.6194452394529189E-2</v>
      </c>
      <c r="L24" s="47">
        <f t="shared" si="16"/>
        <v>2.4291678591793781E-3</v>
      </c>
      <c r="M24" s="130">
        <f t="shared" si="17"/>
        <v>4.3500431794123072E-2</v>
      </c>
      <c r="N24" s="48">
        <v>3671</v>
      </c>
      <c r="O24" s="49">
        <v>1263</v>
      </c>
      <c r="P24" s="49">
        <v>9334</v>
      </c>
      <c r="Q24" s="49">
        <v>932</v>
      </c>
      <c r="R24" s="50">
        <f t="shared" si="18"/>
        <v>2.1467283882753894E-3</v>
      </c>
      <c r="S24" s="50">
        <f t="shared" si="18"/>
        <v>3.5895774359673955E-3</v>
      </c>
      <c r="T24" s="50">
        <f t="shared" si="18"/>
        <v>6.9844776083664078E-3</v>
      </c>
      <c r="U24" s="50">
        <f t="shared" si="18"/>
        <v>5.9525330199524818E-3</v>
      </c>
      <c r="V24" s="51">
        <f t="shared" si="19"/>
        <v>1.8673316452561674E-2</v>
      </c>
      <c r="W24" s="52">
        <v>8688.9999999445354</v>
      </c>
      <c r="X24" s="52">
        <v>1809</v>
      </c>
      <c r="Y24" s="52">
        <v>2369</v>
      </c>
      <c r="Z24" s="52">
        <v>783</v>
      </c>
      <c r="AA24" s="53">
        <f t="shared" si="20"/>
        <v>6.8335965370981333E-3</v>
      </c>
      <c r="AB24" s="53">
        <f t="shared" si="5"/>
        <v>6.1747358073236669E-3</v>
      </c>
      <c r="AC24" s="53">
        <f t="shared" si="5"/>
        <v>4.8105039150069849E-3</v>
      </c>
      <c r="AD24" s="53">
        <f t="shared" si="5"/>
        <v>1.4261256010491039E-2</v>
      </c>
      <c r="AE24" s="44">
        <f t="shared" si="21"/>
        <v>3.2080092269919827E-2</v>
      </c>
      <c r="AF24" s="54">
        <f t="shared" si="6"/>
        <v>2.7268078429431852E-2</v>
      </c>
      <c r="AG24" s="44">
        <f t="shared" si="7"/>
        <v>0.71796436650217865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30">
        <f t="shared" si="10"/>
        <v>2.7268078429431852E-2</v>
      </c>
      <c r="AM24" s="57">
        <f t="shared" si="11"/>
        <v>29948587.13941073</v>
      </c>
      <c r="AN24" s="58">
        <f t="shared" si="12"/>
        <v>84491789.859120607</v>
      </c>
      <c r="AO24" s="58">
        <f t="shared" si="13"/>
        <v>52963353.638085894</v>
      </c>
      <c r="AP24" s="58">
        <f t="shared" si="23"/>
        <v>167403730.63661724</v>
      </c>
      <c r="AQ24" s="59">
        <f t="shared" si="24"/>
        <v>2.1546870349124923E-2</v>
      </c>
    </row>
    <row r="25" spans="1:43" ht="13.8">
      <c r="A25" s="4" t="s">
        <v>19</v>
      </c>
      <c r="B25" s="46">
        <v>4099290</v>
      </c>
      <c r="C25" s="46">
        <v>1274026</v>
      </c>
      <c r="D25" s="55">
        <f t="shared" si="0"/>
        <v>0.31079186883582277</v>
      </c>
      <c r="E25" s="56">
        <f t="shared" si="14"/>
        <v>395956.92148542794</v>
      </c>
      <c r="F25" s="130">
        <f t="shared" si="1"/>
        <v>2.0516985907080297E-4</v>
      </c>
      <c r="G25" s="43">
        <v>5479</v>
      </c>
      <c r="H25" s="119">
        <f t="shared" si="2"/>
        <v>1.0702208651463111E-3</v>
      </c>
      <c r="I25" s="45">
        <f t="shared" si="15"/>
        <v>9.0968773537436444E-4</v>
      </c>
      <c r="J25" s="46">
        <v>1894.8</v>
      </c>
      <c r="K25" s="116">
        <f t="shared" si="3"/>
        <v>2.9504762836082252E-2</v>
      </c>
      <c r="L25" s="47">
        <f t="shared" si="16"/>
        <v>4.425714425412338E-3</v>
      </c>
      <c r="M25" s="130">
        <f t="shared" si="17"/>
        <v>5.3354021607867029E-3</v>
      </c>
      <c r="N25" s="48">
        <v>814</v>
      </c>
      <c r="O25" s="49">
        <v>270</v>
      </c>
      <c r="P25" s="49">
        <v>1738</v>
      </c>
      <c r="Q25" s="49">
        <v>531</v>
      </c>
      <c r="R25" s="50">
        <f t="shared" si="18"/>
        <v>4.760111435729139E-4</v>
      </c>
      <c r="S25" s="50">
        <f t="shared" si="18"/>
        <v>7.6736809795027456E-4</v>
      </c>
      <c r="T25" s="50">
        <f t="shared" si="18"/>
        <v>1.3005166148854527E-3</v>
      </c>
      <c r="U25" s="50">
        <f t="shared" si="18"/>
        <v>3.3914109802518971E-3</v>
      </c>
      <c r="V25" s="51">
        <f t="shared" si="19"/>
        <v>5.9353068366605382E-3</v>
      </c>
      <c r="W25" s="52">
        <v>320.00000000721394</v>
      </c>
      <c r="X25" s="52">
        <v>216</v>
      </c>
      <c r="Y25" s="52">
        <v>671</v>
      </c>
      <c r="Z25" s="52">
        <v>199</v>
      </c>
      <c r="AA25" s="53">
        <f t="shared" si="20"/>
        <v>2.5166887926512352E-4</v>
      </c>
      <c r="AB25" s="53">
        <f t="shared" si="5"/>
        <v>7.372818874416319E-4</v>
      </c>
      <c r="AC25" s="53">
        <f t="shared" si="5"/>
        <v>1.3625361447740343E-3</v>
      </c>
      <c r="AD25" s="53">
        <f t="shared" si="5"/>
        <v>3.6245082325513625E-3</v>
      </c>
      <c r="AE25" s="44">
        <f t="shared" si="21"/>
        <v>5.9759951440321521E-3</v>
      </c>
      <c r="AF25" s="54">
        <f t="shared" si="6"/>
        <v>5.0795958724273293E-3</v>
      </c>
      <c r="AG25" s="44">
        <f t="shared" si="7"/>
        <v>6.8552997328284624E-3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30">
        <f t="shared" si="10"/>
        <v>5.0795958724273293E-3</v>
      </c>
      <c r="AM25" s="57">
        <f t="shared" si="11"/>
        <v>797011.3354312802</v>
      </c>
      <c r="AN25" s="58">
        <f t="shared" si="12"/>
        <v>10363062.148821959</v>
      </c>
      <c r="AO25" s="58">
        <f t="shared" si="13"/>
        <v>9866204.2954794131</v>
      </c>
      <c r="AP25" s="58">
        <f t="shared" si="23"/>
        <v>21026277.779732652</v>
      </c>
      <c r="AQ25" s="59">
        <f t="shared" si="24"/>
        <v>2.7063344378389091E-3</v>
      </c>
    </row>
    <row r="26" spans="1:43" ht="13.8">
      <c r="A26" s="4" t="s">
        <v>20</v>
      </c>
      <c r="B26" s="46">
        <v>366527493</v>
      </c>
      <c r="C26" s="46">
        <v>127647607.33</v>
      </c>
      <c r="D26" s="55">
        <f t="shared" si="0"/>
        <v>0.34826202609035933</v>
      </c>
      <c r="E26" s="56">
        <f t="shared" si="14"/>
        <v>44454814.354332402</v>
      </c>
      <c r="F26" s="130">
        <f t="shared" si="1"/>
        <v>2.3034798739924922E-2</v>
      </c>
      <c r="G26" s="43">
        <v>425148</v>
      </c>
      <c r="H26" s="119">
        <f t="shared" si="2"/>
        <v>8.3044763711484545E-2</v>
      </c>
      <c r="I26" s="45">
        <f t="shared" si="15"/>
        <v>7.0588049154761856E-2</v>
      </c>
      <c r="J26" s="46">
        <v>151.27000000000001</v>
      </c>
      <c r="K26" s="116">
        <f t="shared" si="3"/>
        <v>2.3554915950043079E-3</v>
      </c>
      <c r="L26" s="47">
        <f t="shared" si="16"/>
        <v>3.5332373925064616E-4</v>
      </c>
      <c r="M26" s="130">
        <f t="shared" si="17"/>
        <v>7.0941372894012505E-2</v>
      </c>
      <c r="N26" s="48">
        <v>25525</v>
      </c>
      <c r="O26" s="49">
        <v>4815</v>
      </c>
      <c r="P26" s="49">
        <v>33044</v>
      </c>
      <c r="Q26" s="49">
        <v>5258</v>
      </c>
      <c r="R26" s="50">
        <f t="shared" si="18"/>
        <v>1.4926516510686275E-2</v>
      </c>
      <c r="S26" s="50">
        <f t="shared" si="18"/>
        <v>1.3684731080113229E-2</v>
      </c>
      <c r="T26" s="50">
        <f t="shared" si="18"/>
        <v>2.4726277918455063E-2</v>
      </c>
      <c r="U26" s="50">
        <f t="shared" si="18"/>
        <v>3.3581994226298442E-2</v>
      </c>
      <c r="V26" s="51">
        <f t="shared" si="19"/>
        <v>8.6919519735553008E-2</v>
      </c>
      <c r="W26" s="52">
        <v>20136.00000070727</v>
      </c>
      <c r="X26" s="52">
        <v>4791</v>
      </c>
      <c r="Y26" s="52">
        <v>5994</v>
      </c>
      <c r="Z26" s="52">
        <v>875</v>
      </c>
      <c r="AA26" s="53">
        <f t="shared" si="20"/>
        <v>1.5836264227957138E-2</v>
      </c>
      <c r="AB26" s="53">
        <f t="shared" si="5"/>
        <v>1.6353321864503972E-2</v>
      </c>
      <c r="AC26" s="53">
        <f t="shared" si="5"/>
        <v>1.2171448065239286E-2</v>
      </c>
      <c r="AD26" s="53">
        <f t="shared" si="5"/>
        <v>1.5936908057700715E-2</v>
      </c>
      <c r="AE26" s="44">
        <f t="shared" si="21"/>
        <v>6.0297942215401121E-2</v>
      </c>
      <c r="AF26" s="54">
        <f t="shared" si="6"/>
        <v>5.1253250883090955E-2</v>
      </c>
      <c r="AG26" s="44">
        <f t="shared" si="7"/>
        <v>-0.30627847002774872</v>
      </c>
      <c r="AH26" s="44">
        <f t="shared" si="8"/>
        <v>-0.30627847002774872</v>
      </c>
      <c r="AI26" s="45">
        <f t="shared" si="22"/>
        <v>5.7072059505151061E-2</v>
      </c>
      <c r="AJ26" s="45">
        <f t="shared" si="9"/>
        <v>8.5608089257726595E-3</v>
      </c>
      <c r="AK26" s="130">
        <f t="shared" si="10"/>
        <v>5.9814059808863618E-2</v>
      </c>
      <c r="AM26" s="57">
        <f t="shared" si="11"/>
        <v>89481933.595142484</v>
      </c>
      <c r="AN26" s="58">
        <f t="shared" si="12"/>
        <v>137790898.24318033</v>
      </c>
      <c r="AO26" s="58">
        <f t="shared" si="13"/>
        <v>116178087.51668866</v>
      </c>
      <c r="AP26" s="58">
        <f t="shared" si="23"/>
        <v>343450919.35501146</v>
      </c>
      <c r="AQ26" s="59">
        <f t="shared" si="24"/>
        <v>4.4206257545681485E-2</v>
      </c>
    </row>
    <row r="27" spans="1:43" ht="13.8">
      <c r="A27" s="4" t="s">
        <v>21</v>
      </c>
      <c r="B27" s="46">
        <v>12886730</v>
      </c>
      <c r="C27" s="46">
        <v>4150430.84</v>
      </c>
      <c r="D27" s="55">
        <f t="shared" si="0"/>
        <v>0.32207013260928102</v>
      </c>
      <c r="E27" s="56">
        <f t="shared" si="14"/>
        <v>1336729.8110244495</v>
      </c>
      <c r="F27" s="130">
        <f t="shared" si="1"/>
        <v>6.9264268929750388E-4</v>
      </c>
      <c r="G27" s="43">
        <v>14795</v>
      </c>
      <c r="H27" s="119">
        <f t="shared" si="2"/>
        <v>2.8899283993136836E-3</v>
      </c>
      <c r="I27" s="45">
        <f t="shared" si="15"/>
        <v>2.4564391394166309E-3</v>
      </c>
      <c r="J27" s="46">
        <v>2479.16</v>
      </c>
      <c r="K27" s="116">
        <f t="shared" si="3"/>
        <v>3.8604088997625963E-2</v>
      </c>
      <c r="L27" s="47">
        <f t="shared" si="16"/>
        <v>5.7906133496438946E-3</v>
      </c>
      <c r="M27" s="130">
        <f t="shared" si="17"/>
        <v>8.247052489060526E-3</v>
      </c>
      <c r="N27" s="48">
        <v>3166</v>
      </c>
      <c r="O27" s="49">
        <v>724</v>
      </c>
      <c r="P27" s="49">
        <v>6502</v>
      </c>
      <c r="Q27" s="49">
        <v>971</v>
      </c>
      <c r="R27" s="50">
        <f t="shared" si="18"/>
        <v>1.8514143495722917E-3</v>
      </c>
      <c r="S27" s="50">
        <f t="shared" si="18"/>
        <v>2.0576833441333289E-3</v>
      </c>
      <c r="T27" s="50">
        <f t="shared" si="18"/>
        <v>4.8653389125346454E-3</v>
      </c>
      <c r="U27" s="50">
        <f t="shared" si="18"/>
        <v>6.2016197021178754E-3</v>
      </c>
      <c r="V27" s="51">
        <f t="shared" si="19"/>
        <v>1.4976056308358143E-2</v>
      </c>
      <c r="W27" s="52">
        <v>1684.0000000044001</v>
      </c>
      <c r="X27" s="52">
        <v>572</v>
      </c>
      <c r="Y27" s="52">
        <v>3480</v>
      </c>
      <c r="Z27" s="52">
        <v>459</v>
      </c>
      <c r="AA27" s="53">
        <f t="shared" si="20"/>
        <v>1.3244074771063164E-3</v>
      </c>
      <c r="AB27" s="53">
        <f t="shared" si="5"/>
        <v>1.9524316648917288E-3</v>
      </c>
      <c r="AC27" s="53">
        <f t="shared" si="5"/>
        <v>7.0665063842230095E-3</v>
      </c>
      <c r="AD27" s="53">
        <f t="shared" si="5"/>
        <v>8.3600466268395745E-3</v>
      </c>
      <c r="AE27" s="44">
        <f t="shared" si="21"/>
        <v>1.8703392153060629E-2</v>
      </c>
      <c r="AF27" s="54">
        <f t="shared" si="6"/>
        <v>1.5897883330101534E-2</v>
      </c>
      <c r="AG27" s="44">
        <f t="shared" si="7"/>
        <v>0.24888634016568562</v>
      </c>
      <c r="AH27" s="44">
        <f t="shared" si="8"/>
        <v>0</v>
      </c>
      <c r="AI27" s="45">
        <f t="shared" si="22"/>
        <v>0</v>
      </c>
      <c r="AJ27" s="45">
        <f t="shared" si="9"/>
        <v>0</v>
      </c>
      <c r="AK27" s="130">
        <f t="shared" si="10"/>
        <v>1.5897883330101534E-2</v>
      </c>
      <c r="AM27" s="57">
        <f t="shared" si="11"/>
        <v>2690668.4893866866</v>
      </c>
      <c r="AN27" s="58">
        <f t="shared" si="12"/>
        <v>16018420.901214562</v>
      </c>
      <c r="AO27" s="58">
        <f t="shared" si="13"/>
        <v>30878788.1437358</v>
      </c>
      <c r="AP27" s="58">
        <f t="shared" si="23"/>
        <v>49587877.534337044</v>
      </c>
      <c r="AQ27" s="59">
        <f t="shared" si="24"/>
        <v>6.3825552994392657E-3</v>
      </c>
    </row>
    <row r="28" spans="1:43" ht="13.8">
      <c r="A28" s="4" t="s">
        <v>22</v>
      </c>
      <c r="B28" s="46">
        <v>1016075</v>
      </c>
      <c r="C28" s="46">
        <v>221868</v>
      </c>
      <c r="D28" s="55">
        <f t="shared" si="0"/>
        <v>0.21835789680879855</v>
      </c>
      <c r="E28" s="56">
        <f t="shared" si="14"/>
        <v>48446.629849174518</v>
      </c>
      <c r="F28" s="130">
        <f t="shared" si="1"/>
        <v>2.5103206129902942E-5</v>
      </c>
      <c r="G28" s="43">
        <v>1044</v>
      </c>
      <c r="H28" s="119">
        <f t="shared" si="2"/>
        <v>2.0392600533176652E-4</v>
      </c>
      <c r="I28" s="45">
        <f t="shared" si="15"/>
        <v>1.7333710453200154E-4</v>
      </c>
      <c r="J28" s="46">
        <v>388.05</v>
      </c>
      <c r="K28" s="116">
        <f t="shared" si="3"/>
        <v>6.0424969487765032E-3</v>
      </c>
      <c r="L28" s="47">
        <f t="shared" si="16"/>
        <v>9.0637454231647541E-4</v>
      </c>
      <c r="M28" s="130">
        <f t="shared" si="17"/>
        <v>1.079711646848477E-3</v>
      </c>
      <c r="N28" s="48">
        <v>248</v>
      </c>
      <c r="O28" s="49">
        <v>63</v>
      </c>
      <c r="P28" s="49">
        <v>357</v>
      </c>
      <c r="Q28" s="49">
        <v>74</v>
      </c>
      <c r="R28" s="50">
        <f t="shared" si="18"/>
        <v>1.4502550811558066E-4</v>
      </c>
      <c r="S28" s="50">
        <f t="shared" si="18"/>
        <v>1.7905255618839739E-4</v>
      </c>
      <c r="T28" s="50">
        <f t="shared" si="18"/>
        <v>2.6713718729235136E-4</v>
      </c>
      <c r="U28" s="50">
        <f t="shared" si="18"/>
        <v>4.7262601231382365E-4</v>
      </c>
      <c r="V28" s="51">
        <f t="shared" si="19"/>
        <v>1.0638412639101531E-3</v>
      </c>
      <c r="W28" s="52">
        <v>138</v>
      </c>
      <c r="X28" s="52">
        <v>45</v>
      </c>
      <c r="Y28" s="52">
        <v>165</v>
      </c>
      <c r="Z28" s="52">
        <v>30</v>
      </c>
      <c r="AA28" s="53">
        <f t="shared" si="20"/>
        <v>1.0853220418063782E-4</v>
      </c>
      <c r="AB28" s="53">
        <f t="shared" si="5"/>
        <v>1.5360039321700664E-4</v>
      </c>
      <c r="AC28" s="53">
        <f t="shared" si="5"/>
        <v>3.3504987166574612E-4</v>
      </c>
      <c r="AD28" s="53">
        <f t="shared" si="5"/>
        <v>5.4640827626402453E-4</v>
      </c>
      <c r="AE28" s="44">
        <f t="shared" si="21"/>
        <v>1.1435907453274151E-3</v>
      </c>
      <c r="AF28" s="54">
        <f t="shared" si="6"/>
        <v>9.7205213352830283E-4</v>
      </c>
      <c r="AG28" s="44">
        <f t="shared" si="7"/>
        <v>7.4963703818126448E-2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30">
        <f t="shared" si="10"/>
        <v>9.7205213352830283E-4</v>
      </c>
      <c r="AM28" s="57">
        <f t="shared" si="11"/>
        <v>97516.954643401841</v>
      </c>
      <c r="AN28" s="58">
        <f t="shared" si="12"/>
        <v>2097146.2997360716</v>
      </c>
      <c r="AO28" s="58">
        <f t="shared" si="13"/>
        <v>1888036.9966644575</v>
      </c>
      <c r="AP28" s="58">
        <f t="shared" si="23"/>
        <v>4082700.2510439311</v>
      </c>
      <c r="AQ28" s="59">
        <f t="shared" si="24"/>
        <v>5.2549254815914645E-4</v>
      </c>
    </row>
    <row r="29" spans="1:43" ht="13.8">
      <c r="A29" s="4" t="s">
        <v>23</v>
      </c>
      <c r="B29" s="46">
        <v>1153078</v>
      </c>
      <c r="C29" s="46">
        <v>194827</v>
      </c>
      <c r="D29" s="55">
        <f t="shared" si="0"/>
        <v>0.16896255066873186</v>
      </c>
      <c r="E29" s="56">
        <f t="shared" si="14"/>
        <v>32918.466859137021</v>
      </c>
      <c r="F29" s="130">
        <f t="shared" si="1"/>
        <v>1.7057101012349895E-5</v>
      </c>
      <c r="G29" s="43">
        <v>6011</v>
      </c>
      <c r="H29" s="119">
        <f t="shared" si="2"/>
        <v>1.17413718203951E-3</v>
      </c>
      <c r="I29" s="45">
        <f t="shared" si="15"/>
        <v>9.9801660473358353E-4</v>
      </c>
      <c r="J29" s="46">
        <v>1314.52</v>
      </c>
      <c r="K29" s="116">
        <f t="shared" si="3"/>
        <v>2.0468968146129852E-2</v>
      </c>
      <c r="L29" s="47">
        <f t="shared" si="16"/>
        <v>3.0703452219194775E-3</v>
      </c>
      <c r="M29" s="130">
        <f t="shared" si="17"/>
        <v>4.0683618266530615E-3</v>
      </c>
      <c r="N29" s="48">
        <v>1391</v>
      </c>
      <c r="O29" s="49">
        <v>407</v>
      </c>
      <c r="P29" s="49">
        <v>3581</v>
      </c>
      <c r="Q29" s="49">
        <v>1264</v>
      </c>
      <c r="R29" s="50">
        <f t="shared" si="18"/>
        <v>8.1342936205150277E-4</v>
      </c>
      <c r="S29" s="50">
        <f t="shared" si="18"/>
        <v>1.1567363550583768E-3</v>
      </c>
      <c r="T29" s="50">
        <f t="shared" si="18"/>
        <v>2.6796029907392442E-3</v>
      </c>
      <c r="U29" s="50">
        <f t="shared" si="18"/>
        <v>8.072963237360448E-3</v>
      </c>
      <c r="V29" s="51">
        <f t="shared" si="19"/>
        <v>1.2722731945209571E-2</v>
      </c>
      <c r="W29" s="52">
        <v>1108.99999999377</v>
      </c>
      <c r="X29" s="52">
        <v>288</v>
      </c>
      <c r="Y29" s="52">
        <v>3319</v>
      </c>
      <c r="Z29" s="52">
        <v>607</v>
      </c>
      <c r="AA29" s="53">
        <f t="shared" si="20"/>
        <v>8.721899596786318E-4</v>
      </c>
      <c r="AB29" s="53">
        <f t="shared" si="5"/>
        <v>9.8304251658884239E-4</v>
      </c>
      <c r="AC29" s="53">
        <f t="shared" si="5"/>
        <v>6.739578933688554E-3</v>
      </c>
      <c r="AD29" s="53">
        <f t="shared" si="5"/>
        <v>1.1055660789742095E-2</v>
      </c>
      <c r="AE29" s="44">
        <f t="shared" si="21"/>
        <v>1.9650472199698121E-2</v>
      </c>
      <c r="AF29" s="54">
        <f t="shared" si="6"/>
        <v>1.6702901369743402E-2</v>
      </c>
      <c r="AG29" s="44">
        <f t="shared" si="7"/>
        <v>0.54451671891877107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30">
        <f t="shared" si="10"/>
        <v>1.6702901369743402E-2</v>
      </c>
      <c r="AM29" s="57">
        <f t="shared" si="11"/>
        <v>66260.721326263505</v>
      </c>
      <c r="AN29" s="58">
        <f t="shared" si="12"/>
        <v>7902063.4589396967</v>
      </c>
      <c r="AO29" s="58">
        <f t="shared" si="13"/>
        <v>32442391.35944942</v>
      </c>
      <c r="AP29" s="58">
        <f t="shared" si="23"/>
        <v>40410715.539715379</v>
      </c>
      <c r="AQ29" s="59">
        <f t="shared" si="24"/>
        <v>5.2013443496052901E-3</v>
      </c>
    </row>
    <row r="30" spans="1:43" ht="13.8">
      <c r="A30" s="4" t="s">
        <v>24</v>
      </c>
      <c r="B30" s="46">
        <v>50701386</v>
      </c>
      <c r="C30" s="46">
        <v>9853275</v>
      </c>
      <c r="D30" s="55">
        <f t="shared" si="0"/>
        <v>0.19433936184703116</v>
      </c>
      <c r="E30" s="56">
        <f t="shared" si="14"/>
        <v>1914879.1756033059</v>
      </c>
      <c r="F30" s="130">
        <f t="shared" si="1"/>
        <v>9.922177622815069E-4</v>
      </c>
      <c r="G30" s="43">
        <v>67294</v>
      </c>
      <c r="H30" s="119">
        <f t="shared" si="2"/>
        <v>1.3144632761298751E-2</v>
      </c>
      <c r="I30" s="45">
        <f t="shared" si="15"/>
        <v>1.1172937847103938E-2</v>
      </c>
      <c r="J30" s="46">
        <v>184.87</v>
      </c>
      <c r="K30" s="116">
        <f t="shared" si="3"/>
        <v>2.8786919492856905E-3</v>
      </c>
      <c r="L30" s="47">
        <f t="shared" si="16"/>
        <v>4.3180379239285356E-4</v>
      </c>
      <c r="M30" s="130">
        <f t="shared" si="17"/>
        <v>1.1604741639496792E-2</v>
      </c>
      <c r="N30" s="48">
        <v>870</v>
      </c>
      <c r="O30" s="49">
        <v>295</v>
      </c>
      <c r="P30" s="49">
        <v>1873</v>
      </c>
      <c r="Q30" s="49">
        <v>57</v>
      </c>
      <c r="R30" s="50">
        <f t="shared" si="18"/>
        <v>5.0875883895385148E-4</v>
      </c>
      <c r="S30" s="50">
        <f t="shared" si="18"/>
        <v>8.3842069961233702E-4</v>
      </c>
      <c r="T30" s="50">
        <f t="shared" si="18"/>
        <v>1.4015348789876024E-3</v>
      </c>
      <c r="U30" s="50">
        <f t="shared" si="18"/>
        <v>3.6404976624172905E-4</v>
      </c>
      <c r="V30" s="51">
        <f t="shared" si="19"/>
        <v>3.1127641837955201E-3</v>
      </c>
      <c r="W30" s="52">
        <v>2629.9999999954803</v>
      </c>
      <c r="X30" s="52">
        <v>513</v>
      </c>
      <c r="Y30" s="52">
        <v>350</v>
      </c>
      <c r="Z30" s="52">
        <v>123</v>
      </c>
      <c r="AA30" s="53">
        <f t="shared" si="20"/>
        <v>2.0684036014100501E-3</v>
      </c>
      <c r="AB30" s="53">
        <f t="shared" si="5"/>
        <v>1.7510444826738757E-3</v>
      </c>
      <c r="AC30" s="53">
        <f t="shared" si="5"/>
        <v>7.1071184898794629E-4</v>
      </c>
      <c r="AD30" s="53">
        <f t="shared" si="5"/>
        <v>2.2402739326825003E-3</v>
      </c>
      <c r="AE30" s="44">
        <f t="shared" si="21"/>
        <v>6.770433865754372E-3</v>
      </c>
      <c r="AF30" s="54">
        <f t="shared" si="6"/>
        <v>5.7548687858912165E-3</v>
      </c>
      <c r="AG30" s="44">
        <f t="shared" si="7"/>
        <v>1.1750551811794834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30">
        <f t="shared" si="10"/>
        <v>5.7548687858912165E-3</v>
      </c>
      <c r="AM30" s="57">
        <f t="shared" si="11"/>
        <v>3854410.2303141742</v>
      </c>
      <c r="AN30" s="58">
        <f t="shared" si="12"/>
        <v>22540130.098345745</v>
      </c>
      <c r="AO30" s="58">
        <f t="shared" si="13"/>
        <v>11177800.864726689</v>
      </c>
      <c r="AP30" s="58">
        <f t="shared" si="23"/>
        <v>37572341.193386607</v>
      </c>
      <c r="AQ30" s="59">
        <f t="shared" si="24"/>
        <v>4.8360114874877553E-3</v>
      </c>
    </row>
    <row r="31" spans="1:43" ht="13.8">
      <c r="A31" s="4" t="s">
        <v>25</v>
      </c>
      <c r="B31" s="46">
        <v>443025120</v>
      </c>
      <c r="C31" s="46">
        <v>228201604.11000001</v>
      </c>
      <c r="D31" s="55">
        <f t="shared" si="0"/>
        <v>0.51509856621674188</v>
      </c>
      <c r="E31" s="56">
        <f t="shared" si="14"/>
        <v>117546319.08542156</v>
      </c>
      <c r="F31" s="130">
        <f t="shared" si="1"/>
        <v>6.0908044315965151E-2</v>
      </c>
      <c r="G31" s="43">
        <v>682880</v>
      </c>
      <c r="H31" s="119">
        <f t="shared" si="2"/>
        <v>0.1333879219549394</v>
      </c>
      <c r="I31" s="45">
        <f t="shared" si="15"/>
        <v>0.11337973366169848</v>
      </c>
      <c r="J31" s="46">
        <v>117.79</v>
      </c>
      <c r="K31" s="116">
        <f t="shared" si="3"/>
        <v>1.8341598134167874E-3</v>
      </c>
      <c r="L31" s="47">
        <f t="shared" si="16"/>
        <v>2.7512397201251811E-4</v>
      </c>
      <c r="M31" s="130">
        <f t="shared" si="17"/>
        <v>0.113654857633711</v>
      </c>
      <c r="N31" s="48">
        <v>69698</v>
      </c>
      <c r="O31" s="49">
        <v>12447</v>
      </c>
      <c r="P31" s="49">
        <v>14729</v>
      </c>
      <c r="Q31" s="49">
        <v>1417</v>
      </c>
      <c r="R31" s="50">
        <f t="shared" si="18"/>
        <v>4.0758015583224762E-2</v>
      </c>
      <c r="S31" s="50">
        <f t="shared" si="18"/>
        <v>3.5375669315507653E-2</v>
      </c>
      <c r="T31" s="50">
        <f t="shared" si="18"/>
        <v>1.1021466755263425E-2</v>
      </c>
      <c r="U31" s="50">
        <f t="shared" si="18"/>
        <v>9.0501494520092984E-3</v>
      </c>
      <c r="V31" s="51">
        <f t="shared" si="19"/>
        <v>9.6205301106005142E-2</v>
      </c>
      <c r="W31" s="52">
        <v>32769.999999791457</v>
      </c>
      <c r="X31" s="52">
        <v>9468</v>
      </c>
      <c r="Y31" s="52">
        <v>3881</v>
      </c>
      <c r="Z31" s="52">
        <v>299</v>
      </c>
      <c r="AA31" s="53">
        <f t="shared" si="20"/>
        <v>2.5772466166499041E-2</v>
      </c>
      <c r="AB31" s="53">
        <f t="shared" si="5"/>
        <v>3.2317522732858199E-2</v>
      </c>
      <c r="AC31" s="53">
        <f t="shared" si="5"/>
        <v>7.8807791026349137E-3</v>
      </c>
      <c r="AD31" s="53">
        <f t="shared" si="5"/>
        <v>5.4458691534314436E-3</v>
      </c>
      <c r="AE31" s="44">
        <f t="shared" si="21"/>
        <v>7.1416637155423596E-2</v>
      </c>
      <c r="AF31" s="54">
        <f t="shared" si="6"/>
        <v>6.0704141582110058E-2</v>
      </c>
      <c r="AG31" s="44">
        <f t="shared" si="7"/>
        <v>-0.25766422084441909</v>
      </c>
      <c r="AH31" s="44">
        <f t="shared" si="8"/>
        <v>-0.25766422084441909</v>
      </c>
      <c r="AI31" s="45">
        <f t="shared" si="22"/>
        <v>4.80132597732017E-2</v>
      </c>
      <c r="AJ31" s="45">
        <f t="shared" si="9"/>
        <v>7.2019889659802544E-3</v>
      </c>
      <c r="AK31" s="130">
        <f t="shared" si="10"/>
        <v>6.7906130548090318E-2</v>
      </c>
      <c r="AM31" s="57">
        <f t="shared" si="11"/>
        <v>236605912.57716161</v>
      </c>
      <c r="AN31" s="58">
        <f t="shared" si="12"/>
        <v>220754184.53554603</v>
      </c>
      <c r="AO31" s="58">
        <f t="shared" si="13"/>
        <v>131895484.15449058</v>
      </c>
      <c r="AP31" s="58">
        <f t="shared" si="23"/>
        <v>589255581.2671982</v>
      </c>
      <c r="AQ31" s="59">
        <f t="shared" si="24"/>
        <v>7.5844269203432887E-2</v>
      </c>
    </row>
    <row r="32" spans="1:43" ht="13.8">
      <c r="A32" s="4" t="s">
        <v>26</v>
      </c>
      <c r="B32" s="46">
        <v>795895</v>
      </c>
      <c r="C32" s="46">
        <v>207054</v>
      </c>
      <c r="D32" s="55">
        <f t="shared" si="0"/>
        <v>0.26015240703861692</v>
      </c>
      <c r="E32" s="56">
        <f t="shared" si="14"/>
        <v>53865.596486973787</v>
      </c>
      <c r="F32" s="130">
        <f t="shared" si="1"/>
        <v>2.7911109113933933E-5</v>
      </c>
      <c r="G32" s="43">
        <v>1764</v>
      </c>
      <c r="H32" s="119">
        <f t="shared" si="2"/>
        <v>3.4456462969850206E-4</v>
      </c>
      <c r="I32" s="45">
        <f t="shared" si="15"/>
        <v>2.9287993524372677E-4</v>
      </c>
      <c r="J32" s="46">
        <v>497.27</v>
      </c>
      <c r="K32" s="116">
        <f t="shared" si="3"/>
        <v>7.743209528973307E-3</v>
      </c>
      <c r="L32" s="47">
        <f t="shared" si="16"/>
        <v>1.1614814293459961E-3</v>
      </c>
      <c r="M32" s="130">
        <f t="shared" si="17"/>
        <v>1.4543613645897229E-3</v>
      </c>
      <c r="N32" s="48">
        <v>525</v>
      </c>
      <c r="O32" s="49">
        <v>111</v>
      </c>
      <c r="P32" s="49">
        <v>654</v>
      </c>
      <c r="Q32" s="49">
        <v>69</v>
      </c>
      <c r="R32" s="50">
        <f t="shared" si="18"/>
        <v>3.070096441962897E-4</v>
      </c>
      <c r="S32" s="50">
        <f t="shared" si="18"/>
        <v>3.1547355137955733E-4</v>
      </c>
      <c r="T32" s="50">
        <f t="shared" si="18"/>
        <v>4.8937736831708065E-4</v>
      </c>
      <c r="U32" s="50">
        <f t="shared" si="18"/>
        <v>4.4069182229261936E-4</v>
      </c>
      <c r="V32" s="51">
        <f t="shared" si="19"/>
        <v>1.5525523861855471E-3</v>
      </c>
      <c r="W32" s="52">
        <v>374.99999999594002</v>
      </c>
      <c r="X32" s="52">
        <v>98</v>
      </c>
      <c r="Y32" s="52">
        <v>163</v>
      </c>
      <c r="Z32" s="52">
        <v>24</v>
      </c>
      <c r="AA32" s="53">
        <f t="shared" si="20"/>
        <v>2.9492446787897499E-4</v>
      </c>
      <c r="AB32" s="53">
        <f t="shared" si="5"/>
        <v>3.3450752300592557E-4</v>
      </c>
      <c r="AC32" s="53">
        <f t="shared" si="5"/>
        <v>3.3098866110010071E-4</v>
      </c>
      <c r="AD32" s="53">
        <f t="shared" si="5"/>
        <v>4.3712662101121958E-4</v>
      </c>
      <c r="AE32" s="44">
        <f t="shared" si="21"/>
        <v>1.397547272996221E-3</v>
      </c>
      <c r="AF32" s="54">
        <f t="shared" si="6"/>
        <v>1.1879151820467877E-3</v>
      </c>
      <c r="AG32" s="44">
        <f t="shared" si="7"/>
        <v>-9.983889404862975E-2</v>
      </c>
      <c r="AH32" s="44">
        <f t="shared" si="8"/>
        <v>-9.983889404862975E-2</v>
      </c>
      <c r="AI32" s="45">
        <f t="shared" si="22"/>
        <v>1.8604021698148197E-2</v>
      </c>
      <c r="AJ32" s="45">
        <f t="shared" si="9"/>
        <v>2.7906032547222294E-3</v>
      </c>
      <c r="AK32" s="130">
        <f t="shared" si="10"/>
        <v>3.9785184367690171E-3</v>
      </c>
      <c r="AM32" s="57">
        <f t="shared" si="11"/>
        <v>108424.65091613613</v>
      </c>
      <c r="AN32" s="58">
        <f t="shared" si="12"/>
        <v>2824836.208010701</v>
      </c>
      <c r="AO32" s="58">
        <f t="shared" si="13"/>
        <v>7727558.7815093622</v>
      </c>
      <c r="AP32" s="58">
        <f t="shared" si="23"/>
        <v>10660819.640436199</v>
      </c>
      <c r="AQ32" s="59">
        <f t="shared" si="24"/>
        <v>1.3721755048966516E-3</v>
      </c>
    </row>
    <row r="33" spans="1:43" ht="13.8">
      <c r="A33" s="4" t="s">
        <v>27</v>
      </c>
      <c r="B33" s="46">
        <v>2090818</v>
      </c>
      <c r="C33" s="46">
        <v>642185</v>
      </c>
      <c r="D33" s="55">
        <f t="shared" si="0"/>
        <v>0.30714533737513261</v>
      </c>
      <c r="E33" s="56">
        <f t="shared" si="14"/>
        <v>197244.12848224954</v>
      </c>
      <c r="F33" s="130">
        <f t="shared" si="1"/>
        <v>1.0220442640939115E-4</v>
      </c>
      <c r="G33" s="43">
        <v>13836</v>
      </c>
      <c r="H33" s="119">
        <f t="shared" si="2"/>
        <v>2.702605564914101E-3</v>
      </c>
      <c r="I33" s="45">
        <f t="shared" si="15"/>
        <v>2.2972147301769858E-3</v>
      </c>
      <c r="J33" s="46">
        <v>170.12</v>
      </c>
      <c r="K33" s="116">
        <f t="shared" si="3"/>
        <v>2.6490132223318096E-3</v>
      </c>
      <c r="L33" s="47">
        <f t="shared" si="16"/>
        <v>3.9735198334977145E-4</v>
      </c>
      <c r="M33" s="130">
        <f t="shared" si="17"/>
        <v>2.6945667135267574E-3</v>
      </c>
      <c r="N33" s="48">
        <v>1777</v>
      </c>
      <c r="O33" s="49">
        <v>482</v>
      </c>
      <c r="P33" s="49">
        <v>1571</v>
      </c>
      <c r="Q33" s="49">
        <v>193</v>
      </c>
      <c r="R33" s="50">
        <f t="shared" si="18"/>
        <v>1.0391545480701082E-3</v>
      </c>
      <c r="S33" s="50">
        <f t="shared" si="18"/>
        <v>1.3698941600445642E-3</v>
      </c>
      <c r="T33" s="50">
        <f t="shared" si="18"/>
        <v>1.1755532807739047E-3</v>
      </c>
      <c r="U33" s="50">
        <f t="shared" si="18"/>
        <v>1.2326597348184861E-3</v>
      </c>
      <c r="V33" s="51">
        <f t="shared" si="19"/>
        <v>4.8172617237070628E-3</v>
      </c>
      <c r="W33" s="52">
        <v>887.9999999826681</v>
      </c>
      <c r="X33" s="52">
        <v>349</v>
      </c>
      <c r="Y33" s="52">
        <v>145</v>
      </c>
      <c r="Z33" s="52">
        <v>79</v>
      </c>
      <c r="AA33" s="53">
        <f t="shared" si="20"/>
        <v>6.9838113993134286E-4</v>
      </c>
      <c r="AB33" s="53">
        <f t="shared" si="5"/>
        <v>1.1912563829496736E-3</v>
      </c>
      <c r="AC33" s="53">
        <f t="shared" si="5"/>
        <v>2.9443776600929206E-4</v>
      </c>
      <c r="AD33" s="53">
        <f t="shared" si="5"/>
        <v>1.4388751274952644E-3</v>
      </c>
      <c r="AE33" s="44">
        <f t="shared" si="21"/>
        <v>3.6229504163855729E-3</v>
      </c>
      <c r="AF33" s="54">
        <f t="shared" si="6"/>
        <v>3.0795078539277371E-3</v>
      </c>
      <c r="AG33" s="44">
        <f t="shared" si="7"/>
        <v>-0.24792327588180588</v>
      </c>
      <c r="AH33" s="44">
        <f t="shared" si="8"/>
        <v>-0.24792327588180588</v>
      </c>
      <c r="AI33" s="45">
        <f t="shared" si="22"/>
        <v>4.6198127973397771E-2</v>
      </c>
      <c r="AJ33" s="45">
        <f t="shared" si="9"/>
        <v>6.9297191960096651E-3</v>
      </c>
      <c r="AK33" s="130">
        <f t="shared" si="10"/>
        <v>1.0009227049937402E-2</v>
      </c>
      <c r="AM33" s="57">
        <f t="shared" si="11"/>
        <v>397027.54950680211</v>
      </c>
      <c r="AN33" s="58">
        <f t="shared" si="12"/>
        <v>5233712.7502132561</v>
      </c>
      <c r="AO33" s="58">
        <f t="shared" si="13"/>
        <v>19441129.057247445</v>
      </c>
      <c r="AP33" s="58">
        <f t="shared" si="23"/>
        <v>25071869.356967501</v>
      </c>
      <c r="AQ33" s="59">
        <f t="shared" si="24"/>
        <v>3.227050654070735E-3</v>
      </c>
    </row>
    <row r="34" spans="1:43" ht="13.8">
      <c r="A34" s="4" t="s">
        <v>28</v>
      </c>
      <c r="B34" s="46">
        <v>685187</v>
      </c>
      <c r="C34" s="46">
        <v>360817</v>
      </c>
      <c r="D34" s="55">
        <f t="shared" si="0"/>
        <v>0.52659638901496963</v>
      </c>
      <c r="E34" s="56">
        <f t="shared" si="14"/>
        <v>190004.9292952143</v>
      </c>
      <c r="F34" s="130">
        <f t="shared" si="1"/>
        <v>9.8453347955155439E-5</v>
      </c>
      <c r="G34" s="43">
        <v>1511</v>
      </c>
      <c r="H34" s="119">
        <f t="shared" si="2"/>
        <v>2.9514577974741303E-4</v>
      </c>
      <c r="I34" s="45">
        <f t="shared" si="15"/>
        <v>2.5087391278530105E-4</v>
      </c>
      <c r="J34" s="46">
        <v>444.11</v>
      </c>
      <c r="K34" s="116">
        <f t="shared" si="3"/>
        <v>6.9154318255924057E-3</v>
      </c>
      <c r="L34" s="47">
        <f t="shared" si="16"/>
        <v>1.0373147738388607E-3</v>
      </c>
      <c r="M34" s="130">
        <f t="shared" si="17"/>
        <v>1.2881886866241618E-3</v>
      </c>
      <c r="N34" s="48">
        <v>236</v>
      </c>
      <c r="O34" s="49">
        <v>70</v>
      </c>
      <c r="P34" s="49">
        <v>392</v>
      </c>
      <c r="Q34" s="49">
        <v>106</v>
      </c>
      <c r="R34" s="50">
        <f t="shared" si="18"/>
        <v>1.3800814481966547E-4</v>
      </c>
      <c r="S34" s="50">
        <f t="shared" si="18"/>
        <v>1.9894728465377488E-4</v>
      </c>
      <c r="T34" s="50">
        <f t="shared" si="18"/>
        <v>2.9332710761513091E-4</v>
      </c>
      <c r="U34" s="50">
        <f t="shared" si="18"/>
        <v>6.7700482844953124E-4</v>
      </c>
      <c r="V34" s="51">
        <f t="shared" si="19"/>
        <v>1.3072873655381025E-3</v>
      </c>
      <c r="W34" s="52">
        <v>156.00000000186</v>
      </c>
      <c r="X34" s="52">
        <v>60</v>
      </c>
      <c r="Y34" s="52">
        <v>117</v>
      </c>
      <c r="Z34" s="52">
        <v>25</v>
      </c>
      <c r="AA34" s="53">
        <f t="shared" si="20"/>
        <v>1.2268857864044472E-4</v>
      </c>
      <c r="AB34" s="53">
        <f t="shared" si="5"/>
        <v>2.0480052428934218E-4</v>
      </c>
      <c r="AC34" s="53">
        <f t="shared" si="5"/>
        <v>2.3758081809025633E-4</v>
      </c>
      <c r="AD34" s="53">
        <f t="shared" si="5"/>
        <v>4.5534023022002039E-4</v>
      </c>
      <c r="AE34" s="44">
        <f t="shared" si="21"/>
        <v>1.0204101512400637E-3</v>
      </c>
      <c r="AF34" s="54">
        <f t="shared" si="6"/>
        <v>8.6734862855405406E-4</v>
      </c>
      <c r="AG34" s="44">
        <f t="shared" si="7"/>
        <v>-0.21944464687758616</v>
      </c>
      <c r="AH34" s="44">
        <f t="shared" si="8"/>
        <v>-0.21944464687758616</v>
      </c>
      <c r="AI34" s="45">
        <f t="shared" si="22"/>
        <v>4.0891408212760681E-2</v>
      </c>
      <c r="AJ34" s="45">
        <f t="shared" si="9"/>
        <v>6.1337112319141017E-3</v>
      </c>
      <c r="AK34" s="130">
        <f t="shared" si="10"/>
        <v>7.0010598604681555E-3</v>
      </c>
      <c r="AM34" s="57">
        <f t="shared" si="11"/>
        <v>382455.95472354407</v>
      </c>
      <c r="AN34" s="58">
        <f t="shared" si="12"/>
        <v>2502075.573048674</v>
      </c>
      <c r="AO34" s="58">
        <f t="shared" si="13"/>
        <v>13598303.605844112</v>
      </c>
      <c r="AP34" s="58">
        <f t="shared" si="23"/>
        <v>16482835.13361633</v>
      </c>
      <c r="AQ34" s="59">
        <f t="shared" si="24"/>
        <v>2.1215388107506568E-3</v>
      </c>
    </row>
    <row r="35" spans="1:43" ht="13.8">
      <c r="A35" s="4" t="s">
        <v>29</v>
      </c>
      <c r="B35" s="46">
        <v>1701073</v>
      </c>
      <c r="C35" s="46">
        <v>457885</v>
      </c>
      <c r="D35" s="55">
        <f t="shared" si="0"/>
        <v>0.2691742212121408</v>
      </c>
      <c r="E35" s="56">
        <f t="shared" si="14"/>
        <v>123250.83827972109</v>
      </c>
      <c r="F35" s="130">
        <f t="shared" si="1"/>
        <v>6.3863909804489513E-5</v>
      </c>
      <c r="G35" s="43">
        <v>6921</v>
      </c>
      <c r="H35" s="119">
        <f t="shared" si="2"/>
        <v>1.3518887767252452E-3</v>
      </c>
      <c r="I35" s="45">
        <f t="shared" si="15"/>
        <v>1.1491054602164583E-3</v>
      </c>
      <c r="J35" s="46">
        <v>127.8</v>
      </c>
      <c r="K35" s="116">
        <f t="shared" si="3"/>
        <v>1.990029918963116E-3</v>
      </c>
      <c r="L35" s="47">
        <f t="shared" si="16"/>
        <v>2.9850448784446741E-4</v>
      </c>
      <c r="M35" s="130">
        <f t="shared" si="17"/>
        <v>1.4476099480609256E-3</v>
      </c>
      <c r="N35" s="48">
        <v>1201</v>
      </c>
      <c r="O35" s="49">
        <v>234</v>
      </c>
      <c r="P35" s="49">
        <v>2745</v>
      </c>
      <c r="Q35" s="49">
        <v>176</v>
      </c>
      <c r="R35" s="50">
        <f t="shared" si="18"/>
        <v>7.0232110986617887E-4</v>
      </c>
      <c r="S35" s="50">
        <f t="shared" si="18"/>
        <v>6.6505235155690464E-4</v>
      </c>
      <c r="T35" s="50">
        <f t="shared" si="18"/>
        <v>2.0540380367437099E-3</v>
      </c>
      <c r="U35" s="50">
        <f t="shared" si="18"/>
        <v>1.1240834887463913E-3</v>
      </c>
      <c r="V35" s="51">
        <f t="shared" si="19"/>
        <v>4.5454949869131846E-3</v>
      </c>
      <c r="W35" s="52">
        <v>649.99999999475995</v>
      </c>
      <c r="X35" s="52">
        <v>185</v>
      </c>
      <c r="Y35" s="52">
        <v>941</v>
      </c>
      <c r="Z35" s="52">
        <v>42</v>
      </c>
      <c r="AA35" s="53">
        <f t="shared" si="20"/>
        <v>5.1120241099163676E-4</v>
      </c>
      <c r="AB35" s="53">
        <f t="shared" si="5"/>
        <v>6.3146828322547177E-4</v>
      </c>
      <c r="AC35" s="53">
        <f t="shared" si="5"/>
        <v>1.9107995711361643E-3</v>
      </c>
      <c r="AD35" s="53">
        <f t="shared" si="5"/>
        <v>7.6497158676963432E-4</v>
      </c>
      <c r="AE35" s="44">
        <f t="shared" si="21"/>
        <v>3.8184418521229071E-3</v>
      </c>
      <c r="AF35" s="54">
        <f t="shared" si="6"/>
        <v>3.2456755743044711E-3</v>
      </c>
      <c r="AG35" s="44">
        <f t="shared" si="7"/>
        <v>-0.15995026655700142</v>
      </c>
      <c r="AH35" s="44">
        <f t="shared" si="8"/>
        <v>-0.15995026655700142</v>
      </c>
      <c r="AI35" s="45">
        <f t="shared" si="22"/>
        <v>2.9805200247927655E-2</v>
      </c>
      <c r="AJ35" s="45">
        <f t="shared" si="9"/>
        <v>4.4707800371891482E-3</v>
      </c>
      <c r="AK35" s="130">
        <f t="shared" si="10"/>
        <v>7.7164556114936193E-3</v>
      </c>
      <c r="AM35" s="57">
        <f t="shared" si="11"/>
        <v>248088.39012544049</v>
      </c>
      <c r="AN35" s="58">
        <f t="shared" si="12"/>
        <v>2811722.7918197471</v>
      </c>
      <c r="AO35" s="58">
        <f t="shared" si="13"/>
        <v>14987831.593700025</v>
      </c>
      <c r="AP35" s="58">
        <f t="shared" si="23"/>
        <v>18047642.775645211</v>
      </c>
      <c r="AQ35" s="59">
        <f t="shared" si="24"/>
        <v>2.3229483447908803E-3</v>
      </c>
    </row>
    <row r="36" spans="1:43" ht="13.8">
      <c r="A36" s="4" t="s">
        <v>30</v>
      </c>
      <c r="B36" s="46">
        <v>496551</v>
      </c>
      <c r="C36" s="46">
        <v>71527</v>
      </c>
      <c r="D36" s="55">
        <f t="shared" si="0"/>
        <v>0.14404764062503148</v>
      </c>
      <c r="E36" s="56">
        <f t="shared" si="14"/>
        <v>10303.295590986627</v>
      </c>
      <c r="F36" s="130">
        <f t="shared" si="1"/>
        <v>5.338776997349063E-6</v>
      </c>
      <c r="G36" s="43">
        <v>3571</v>
      </c>
      <c r="H36" s="119">
        <f t="shared" si="2"/>
        <v>6.9752851057446193E-4</v>
      </c>
      <c r="I36" s="45">
        <f t="shared" si="15"/>
        <v>5.9289923398829264E-4</v>
      </c>
      <c r="J36" s="46">
        <v>561.88</v>
      </c>
      <c r="K36" s="116">
        <f t="shared" si="3"/>
        <v>8.7492802102268827E-3</v>
      </c>
      <c r="L36" s="47">
        <f t="shared" si="16"/>
        <v>1.3123920315340324E-3</v>
      </c>
      <c r="M36" s="130">
        <f t="shared" si="17"/>
        <v>1.905291265522325E-3</v>
      </c>
      <c r="N36" s="48">
        <v>779</v>
      </c>
      <c r="O36" s="49">
        <v>226</v>
      </c>
      <c r="P36" s="49">
        <v>2400</v>
      </c>
      <c r="Q36" s="49">
        <v>462</v>
      </c>
      <c r="R36" s="50">
        <f t="shared" si="18"/>
        <v>4.5554383395982794E-4</v>
      </c>
      <c r="S36" s="50">
        <f t="shared" si="18"/>
        <v>6.4231551902504459E-4</v>
      </c>
      <c r="T36" s="50">
        <f t="shared" si="18"/>
        <v>1.795880250704883E-3</v>
      </c>
      <c r="U36" s="50">
        <f t="shared" si="18"/>
        <v>2.9507191579592777E-3</v>
      </c>
      <c r="V36" s="51">
        <f t="shared" si="19"/>
        <v>5.8444587616490332E-3</v>
      </c>
      <c r="W36" s="52">
        <v>671.99999999645991</v>
      </c>
      <c r="X36" s="52">
        <v>188</v>
      </c>
      <c r="Y36" s="52">
        <v>1437</v>
      </c>
      <c r="Z36" s="52">
        <v>355</v>
      </c>
      <c r="AA36" s="53">
        <f t="shared" si="20"/>
        <v>5.2850464644206086E-4</v>
      </c>
      <c r="AB36" s="53">
        <f t="shared" si="5"/>
        <v>6.4170830943993879E-4</v>
      </c>
      <c r="AC36" s="53">
        <f t="shared" si="5"/>
        <v>2.9179797914162253E-3</v>
      </c>
      <c r="AD36" s="53">
        <f t="shared" si="5"/>
        <v>6.4658312691242897E-3</v>
      </c>
      <c r="AE36" s="44">
        <f t="shared" si="21"/>
        <v>1.0554024016422515E-2</v>
      </c>
      <c r="AF36" s="54">
        <f t="shared" si="6"/>
        <v>8.9709204139591381E-3</v>
      </c>
      <c r="AG36" s="44">
        <f t="shared" si="7"/>
        <v>0.80581717603644487</v>
      </c>
      <c r="AH36" s="44">
        <f t="shared" si="8"/>
        <v>0</v>
      </c>
      <c r="AI36" s="45">
        <f t="shared" si="22"/>
        <v>0</v>
      </c>
      <c r="AJ36" s="45">
        <f t="shared" si="9"/>
        <v>0</v>
      </c>
      <c r="AK36" s="130">
        <f t="shared" si="10"/>
        <v>8.9709204139591381E-3</v>
      </c>
      <c r="AM36" s="57">
        <f t="shared" si="11"/>
        <v>20739.234327585014</v>
      </c>
      <c r="AN36" s="58">
        <f t="shared" si="12"/>
        <v>3700686.696371573</v>
      </c>
      <c r="AO36" s="58">
        <f t="shared" si="13"/>
        <v>17424404.567899775</v>
      </c>
      <c r="AP36" s="58">
        <f t="shared" si="23"/>
        <v>21145830.498598933</v>
      </c>
      <c r="AQ36" s="59">
        <f t="shared" si="24"/>
        <v>2.7217223083690397E-3</v>
      </c>
    </row>
    <row r="37" spans="1:43" ht="13.8">
      <c r="A37" s="4" t="s">
        <v>31</v>
      </c>
      <c r="B37" s="46">
        <v>177122744</v>
      </c>
      <c r="C37" s="46">
        <v>44506089.519999996</v>
      </c>
      <c r="D37" s="55">
        <f t="shared" si="0"/>
        <v>0.25127258371742478</v>
      </c>
      <c r="E37" s="56">
        <f t="shared" si="14"/>
        <v>11183160.1048494</v>
      </c>
      <c r="F37" s="130">
        <f t="shared" si="1"/>
        <v>5.7946894174007212E-3</v>
      </c>
      <c r="G37" s="43">
        <v>333481</v>
      </c>
      <c r="H37" s="119">
        <f t="shared" si="2"/>
        <v>6.5139318183949066E-2</v>
      </c>
      <c r="I37" s="45">
        <f t="shared" si="15"/>
        <v>5.5368420456356704E-2</v>
      </c>
      <c r="J37" s="46">
        <v>247</v>
      </c>
      <c r="K37" s="116">
        <f t="shared" si="3"/>
        <v>3.8461454615327825E-3</v>
      </c>
      <c r="L37" s="47">
        <f t="shared" si="16"/>
        <v>5.769218192299174E-4</v>
      </c>
      <c r="M37" s="130">
        <f t="shared" si="17"/>
        <v>5.5945342275586618E-2</v>
      </c>
      <c r="N37" s="48">
        <v>7826</v>
      </c>
      <c r="O37" s="49">
        <v>1628</v>
      </c>
      <c r="P37" s="49">
        <v>22499</v>
      </c>
      <c r="Q37" s="49">
        <v>705</v>
      </c>
      <c r="R37" s="50">
        <f t="shared" si="18"/>
        <v>4.5764904294860248E-3</v>
      </c>
      <c r="S37" s="50">
        <f t="shared" si="18"/>
        <v>4.6269454202335072E-3</v>
      </c>
      <c r="T37" s="50">
        <f t="shared" si="18"/>
        <v>1.6835629066920484E-2</v>
      </c>
      <c r="U37" s="50">
        <f t="shared" si="18"/>
        <v>4.5027207929898066E-3</v>
      </c>
      <c r="V37" s="51">
        <f t="shared" si="19"/>
        <v>3.0541785709629822E-2</v>
      </c>
      <c r="W37" s="52">
        <v>16068.000000124277</v>
      </c>
      <c r="X37" s="52">
        <v>2619</v>
      </c>
      <c r="Y37" s="52">
        <v>3702</v>
      </c>
      <c r="Z37" s="52">
        <v>260</v>
      </c>
      <c r="AA37" s="53">
        <f t="shared" si="20"/>
        <v>1.2636923599912874E-2</v>
      </c>
      <c r="AB37" s="53">
        <f t="shared" si="5"/>
        <v>8.939542885229787E-3</v>
      </c>
      <c r="AC37" s="53">
        <f t="shared" si="5"/>
        <v>7.5173007570096496E-3</v>
      </c>
      <c r="AD37" s="53">
        <f t="shared" si="5"/>
        <v>4.7355383942882124E-3</v>
      </c>
      <c r="AE37" s="44">
        <f t="shared" si="21"/>
        <v>3.3829305636440522E-2</v>
      </c>
      <c r="AF37" s="54">
        <f t="shared" si="6"/>
        <v>2.8754909790974444E-2</v>
      </c>
      <c r="AG37" s="44">
        <f t="shared" si="7"/>
        <v>0.10764006918476104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30">
        <f t="shared" si="10"/>
        <v>2.8754909790974444E-2</v>
      </c>
      <c r="AM37" s="57">
        <f t="shared" si="11"/>
        <v>22510290.604519352</v>
      </c>
      <c r="AN37" s="58">
        <f t="shared" si="12"/>
        <v>108663797.30474423</v>
      </c>
      <c r="AO37" s="58">
        <f t="shared" si="13"/>
        <v>55851256.993849337</v>
      </c>
      <c r="AP37" s="58">
        <f t="shared" si="23"/>
        <v>187025344.90311292</v>
      </c>
      <c r="AQ37" s="59">
        <f t="shared" si="24"/>
        <v>2.4072407725340625E-2</v>
      </c>
    </row>
    <row r="38" spans="1:43" ht="13.8">
      <c r="A38" s="4" t="s">
        <v>32</v>
      </c>
      <c r="B38" s="46">
        <v>3439722</v>
      </c>
      <c r="C38" s="46">
        <v>1230552</v>
      </c>
      <c r="D38" s="55">
        <f t="shared" si="0"/>
        <v>0.35774751564225249</v>
      </c>
      <c r="E38" s="56">
        <f t="shared" si="14"/>
        <v>440226.92086860508</v>
      </c>
      <c r="F38" s="130">
        <f t="shared" si="1"/>
        <v>2.281088937022389E-4</v>
      </c>
      <c r="G38" s="43">
        <v>5238</v>
      </c>
      <c r="H38" s="119">
        <f t="shared" si="2"/>
        <v>1.0231459922680009E-3</v>
      </c>
      <c r="I38" s="45">
        <f t="shared" si="15"/>
        <v>8.6967409342780073E-4</v>
      </c>
      <c r="J38" s="46">
        <v>3428.68</v>
      </c>
      <c r="K38" s="116">
        <f t="shared" si="3"/>
        <v>5.3389481866591988E-2</v>
      </c>
      <c r="L38" s="47">
        <f t="shared" si="16"/>
        <v>8.0084222799887972E-3</v>
      </c>
      <c r="M38" s="130">
        <f t="shared" si="17"/>
        <v>8.8780963734165982E-3</v>
      </c>
      <c r="N38" s="48">
        <v>900</v>
      </c>
      <c r="O38" s="49">
        <v>209</v>
      </c>
      <c r="P38" s="49">
        <v>2198</v>
      </c>
      <c r="Q38" s="49">
        <v>203</v>
      </c>
      <c r="R38" s="50">
        <f t="shared" si="18"/>
        <v>5.2630224719363945E-4</v>
      </c>
      <c r="S38" s="50">
        <f t="shared" si="18"/>
        <v>5.9399974989484219E-4</v>
      </c>
      <c r="T38" s="50">
        <f t="shared" si="18"/>
        <v>1.6447269962705554E-3</v>
      </c>
      <c r="U38" s="50">
        <f t="shared" si="18"/>
        <v>1.2965281148608946E-3</v>
      </c>
      <c r="V38" s="51">
        <f t="shared" si="19"/>
        <v>4.0615571082199316E-3</v>
      </c>
      <c r="W38" s="52">
        <v>711.99999999240003</v>
      </c>
      <c r="X38" s="52">
        <v>170</v>
      </c>
      <c r="Y38" s="52">
        <v>749</v>
      </c>
      <c r="Z38" s="52">
        <v>32</v>
      </c>
      <c r="AA38" s="53">
        <f t="shared" si="20"/>
        <v>5.5996325634629924E-4</v>
      </c>
      <c r="AB38" s="53">
        <f t="shared" si="5"/>
        <v>5.8026815215313622E-4</v>
      </c>
      <c r="AC38" s="53">
        <f t="shared" si="5"/>
        <v>1.5209233568342052E-3</v>
      </c>
      <c r="AD38" s="53">
        <f t="shared" si="5"/>
        <v>5.8283549468162615E-4</v>
      </c>
      <c r="AE38" s="44">
        <f t="shared" si="21"/>
        <v>3.2439902600152671E-3</v>
      </c>
      <c r="AF38" s="54">
        <f t="shared" si="6"/>
        <v>2.7573917210129768E-3</v>
      </c>
      <c r="AG38" s="44">
        <f t="shared" si="7"/>
        <v>-0.20129394378083273</v>
      </c>
      <c r="AH38" s="44">
        <f t="shared" si="8"/>
        <v>-0.20129394378083273</v>
      </c>
      <c r="AI38" s="45">
        <f t="shared" si="22"/>
        <v>3.7509198529186154E-2</v>
      </c>
      <c r="AJ38" s="45">
        <f t="shared" si="9"/>
        <v>5.6263797793779232E-3</v>
      </c>
      <c r="AK38" s="130">
        <f t="shared" si="10"/>
        <v>8.3837715003909005E-3</v>
      </c>
      <c r="AM38" s="57">
        <f t="shared" si="11"/>
        <v>886121.25980275369</v>
      </c>
      <c r="AN38" s="58">
        <f t="shared" si="12"/>
        <v>17244110.510946199</v>
      </c>
      <c r="AO38" s="58">
        <f t="shared" si="13"/>
        <v>16283973.069288291</v>
      </c>
      <c r="AP38" s="58">
        <f t="shared" si="23"/>
        <v>34414204.840037242</v>
      </c>
      <c r="AQ38" s="59">
        <f t="shared" si="24"/>
        <v>4.429521415302993E-3</v>
      </c>
    </row>
    <row r="39" spans="1:43" ht="13.8">
      <c r="A39" s="4" t="s">
        <v>33</v>
      </c>
      <c r="B39" s="46">
        <v>34714201</v>
      </c>
      <c r="C39" s="46">
        <v>10573187</v>
      </c>
      <c r="D39" s="55">
        <f t="shared" ref="D39:D58" si="25">+C39/B39</f>
        <v>0.30457814656313131</v>
      </c>
      <c r="E39" s="56">
        <f t="shared" si="14"/>
        <v>3220361.6997253946</v>
      </c>
      <c r="F39" s="130">
        <f t="shared" ref="F39:F57" si="26">+E39/E$58</f>
        <v>1.6686692926366402E-3</v>
      </c>
      <c r="G39" s="43">
        <v>79853</v>
      </c>
      <c r="H39" s="119">
        <f t="shared" ref="H39:H57" si="27">+G39/$G$58</f>
        <v>1.5597800099384627E-2</v>
      </c>
      <c r="I39" s="45">
        <f t="shared" si="15"/>
        <v>1.3258130084476932E-2</v>
      </c>
      <c r="J39" s="46">
        <v>2539.67</v>
      </c>
      <c r="K39" s="116">
        <f t="shared" ref="K39:K58" si="28">+J39/$J$58</f>
        <v>3.9546316778505917E-2</v>
      </c>
      <c r="L39" s="47">
        <f t="shared" si="16"/>
        <v>5.9319475167758876E-3</v>
      </c>
      <c r="M39" s="130">
        <f t="shared" si="17"/>
        <v>1.9190077601252818E-2</v>
      </c>
      <c r="N39" s="48">
        <v>12929</v>
      </c>
      <c r="O39" s="49">
        <v>2053</v>
      </c>
      <c r="P39" s="49">
        <v>23315</v>
      </c>
      <c r="Q39" s="49">
        <v>2592</v>
      </c>
      <c r="R39" s="50">
        <f t="shared" si="18"/>
        <v>7.5606241710739607E-3</v>
      </c>
      <c r="S39" s="50">
        <f t="shared" si="18"/>
        <v>5.8348396484885689E-3</v>
      </c>
      <c r="T39" s="50">
        <f t="shared" si="18"/>
        <v>1.7446228352160146E-2</v>
      </c>
      <c r="U39" s="50">
        <f t="shared" si="18"/>
        <v>1.6554684106992311E-2</v>
      </c>
      <c r="V39" s="51">
        <f t="shared" si="19"/>
        <v>4.7396376278714986E-2</v>
      </c>
      <c r="W39" s="52">
        <v>10671.999999957041</v>
      </c>
      <c r="X39" s="52">
        <v>1702</v>
      </c>
      <c r="Y39" s="52">
        <v>11424</v>
      </c>
      <c r="Z39" s="52">
        <v>888</v>
      </c>
      <c r="AA39" s="53">
        <f t="shared" si="20"/>
        <v>8.3931571232688726E-3</v>
      </c>
      <c r="AB39" s="53">
        <f t="shared" si="5"/>
        <v>5.8095082056743401E-3</v>
      </c>
      <c r="AC39" s="53">
        <f t="shared" si="5"/>
        <v>2.3197634750966568E-2</v>
      </c>
      <c r="AD39" s="53">
        <f t="shared" si="5"/>
        <v>1.6173684977415125E-2</v>
      </c>
      <c r="AE39" s="44">
        <f t="shared" si="21"/>
        <v>5.3573985057324913E-2</v>
      </c>
      <c r="AF39" s="54">
        <f t="shared" ref="AF39:AF57" si="29">+AE39*AF$3</f>
        <v>4.5537887298726175E-2</v>
      </c>
      <c r="AG39" s="44">
        <f t="shared" si="7"/>
        <v>0.13033926353952507</v>
      </c>
      <c r="AH39" s="44">
        <f t="shared" si="8"/>
        <v>0</v>
      </c>
      <c r="AI39" s="45">
        <f t="shared" si="22"/>
        <v>0</v>
      </c>
      <c r="AJ39" s="45">
        <f t="shared" ref="AJ39:AJ57" si="30">+AI39*AJ$3</f>
        <v>0</v>
      </c>
      <c r="AK39" s="130">
        <f t="shared" si="10"/>
        <v>4.5537887298726175E-2</v>
      </c>
      <c r="AM39" s="57">
        <f t="shared" ref="AM39:AM57" si="31">+F39*AM$5</f>
        <v>6482181.8728185631</v>
      </c>
      <c r="AN39" s="58">
        <f t="shared" ref="AN39:AN57" si="32">+M39*AN$5</f>
        <v>37273285.279993996</v>
      </c>
      <c r="AO39" s="58">
        <f t="shared" ref="AO39:AO57" si="33">+AK39*AO$5</f>
        <v>88449181.895065665</v>
      </c>
      <c r="AP39" s="58">
        <f t="shared" si="23"/>
        <v>132204649.04787822</v>
      </c>
      <c r="AQ39" s="59">
        <f t="shared" si="24"/>
        <v>1.7016325871313066E-2</v>
      </c>
    </row>
    <row r="40" spans="1:43" ht="13.8">
      <c r="A40" s="4" t="s">
        <v>34</v>
      </c>
      <c r="B40" s="46">
        <v>1578033</v>
      </c>
      <c r="C40" s="46">
        <v>697553</v>
      </c>
      <c r="D40" s="55">
        <f t="shared" si="25"/>
        <v>0.44203955177109733</v>
      </c>
      <c r="E40" s="56">
        <f t="shared" si="14"/>
        <v>308346.01545658428</v>
      </c>
      <c r="F40" s="130">
        <f t="shared" si="26"/>
        <v>1.5977321042637526E-4</v>
      </c>
      <c r="G40" s="43">
        <v>5630</v>
      </c>
      <c r="H40" s="119">
        <f t="shared" si="27"/>
        <v>1.0997159099787792E-3</v>
      </c>
      <c r="I40" s="45">
        <f t="shared" si="15"/>
        <v>9.3475852348196226E-4</v>
      </c>
      <c r="J40" s="46">
        <v>264.23</v>
      </c>
      <c r="K40" s="116">
        <f t="shared" si="28"/>
        <v>4.114441357493147E-3</v>
      </c>
      <c r="L40" s="47">
        <f t="shared" si="16"/>
        <v>6.1716620362397201E-4</v>
      </c>
      <c r="M40" s="130">
        <f t="shared" si="17"/>
        <v>1.5519247271059342E-3</v>
      </c>
      <c r="N40" s="48">
        <v>549</v>
      </c>
      <c r="O40" s="49">
        <v>170</v>
      </c>
      <c r="P40" s="49">
        <v>368</v>
      </c>
      <c r="Q40" s="49">
        <v>141</v>
      </c>
      <c r="R40" s="50">
        <f t="shared" si="18"/>
        <v>3.2104437078812008E-4</v>
      </c>
      <c r="S40" s="50">
        <f t="shared" si="18"/>
        <v>4.8315769130202469E-4</v>
      </c>
      <c r="T40" s="50">
        <f t="shared" si="18"/>
        <v>2.7536830510808204E-4</v>
      </c>
      <c r="U40" s="50">
        <f t="shared" si="18"/>
        <v>9.0054415859796135E-4</v>
      </c>
      <c r="V40" s="51">
        <f t="shared" si="19"/>
        <v>1.9801145257961881E-3</v>
      </c>
      <c r="W40" s="52">
        <v>273.99999999933596</v>
      </c>
      <c r="X40" s="52">
        <v>118</v>
      </c>
      <c r="Y40" s="52">
        <v>143</v>
      </c>
      <c r="Z40" s="52">
        <v>8</v>
      </c>
      <c r="AA40" s="53">
        <f t="shared" si="20"/>
        <v>2.1549147786538184E-4</v>
      </c>
      <c r="AB40" s="53">
        <f t="shared" si="5"/>
        <v>4.0277436443570628E-4</v>
      </c>
      <c r="AC40" s="53">
        <f t="shared" si="5"/>
        <v>2.9037655544364666E-4</v>
      </c>
      <c r="AD40" s="53">
        <f t="shared" si="5"/>
        <v>1.4570887367040654E-4</v>
      </c>
      <c r="AE40" s="44">
        <f t="shared" si="21"/>
        <v>1.0543512714151413E-3</v>
      </c>
      <c r="AF40" s="54">
        <f t="shared" si="29"/>
        <v>8.9619858070287008E-4</v>
      </c>
      <c r="AG40" s="44">
        <f t="shared" si="7"/>
        <v>-0.46753015662505931</v>
      </c>
      <c r="AH40" s="44">
        <f t="shared" si="8"/>
        <v>-0.46753015662505931</v>
      </c>
      <c r="AI40" s="45">
        <f t="shared" si="22"/>
        <v>8.7119766913229382E-2</v>
      </c>
      <c r="AJ40" s="45">
        <f t="shared" si="30"/>
        <v>1.3067965036984408E-2</v>
      </c>
      <c r="AK40" s="130">
        <f t="shared" si="10"/>
        <v>1.3964163617687278E-2</v>
      </c>
      <c r="AM40" s="57">
        <f t="shared" si="31"/>
        <v>620661.63316963427</v>
      </c>
      <c r="AN40" s="58">
        <f t="shared" si="32"/>
        <v>3014335.5482168505</v>
      </c>
      <c r="AO40" s="58">
        <f t="shared" si="33"/>
        <v>27122884.286022421</v>
      </c>
      <c r="AP40" s="58">
        <f t="shared" si="23"/>
        <v>30757881.467408907</v>
      </c>
      <c r="AQ40" s="59">
        <f t="shared" si="24"/>
        <v>3.9589086914114903E-3</v>
      </c>
    </row>
    <row r="41" spans="1:43" ht="13.8">
      <c r="A41" s="4" t="s">
        <v>35</v>
      </c>
      <c r="B41" s="46">
        <v>710682</v>
      </c>
      <c r="C41" s="46">
        <v>262924</v>
      </c>
      <c r="D41" s="55">
        <f t="shared" si="25"/>
        <v>0.36996012281160912</v>
      </c>
      <c r="E41" s="56">
        <f t="shared" si="14"/>
        <v>97271.395330119514</v>
      </c>
      <c r="F41" s="130">
        <f t="shared" si="26"/>
        <v>5.040234780246277E-5</v>
      </c>
      <c r="G41" s="43">
        <v>955</v>
      </c>
      <c r="H41" s="119">
        <f t="shared" si="27"/>
        <v>1.8654150870865615E-4</v>
      </c>
      <c r="I41" s="45">
        <f t="shared" si="15"/>
        <v>1.5856028240235771E-4</v>
      </c>
      <c r="J41" s="46">
        <v>207.92</v>
      </c>
      <c r="K41" s="116">
        <f t="shared" si="28"/>
        <v>3.2376136208983647E-3</v>
      </c>
      <c r="L41" s="47">
        <f t="shared" si="16"/>
        <v>4.8564204313475466E-4</v>
      </c>
      <c r="M41" s="130">
        <f t="shared" si="17"/>
        <v>6.4420232553711243E-4</v>
      </c>
      <c r="N41" s="48">
        <v>166</v>
      </c>
      <c r="O41" s="49">
        <v>24</v>
      </c>
      <c r="P41" s="49">
        <v>127</v>
      </c>
      <c r="Q41" s="49">
        <v>48</v>
      </c>
      <c r="R41" s="50">
        <f t="shared" si="18"/>
        <v>9.7073525593493502E-5</v>
      </c>
      <c r="S41" s="50">
        <f t="shared" si="18"/>
        <v>6.821049759557996E-5</v>
      </c>
      <c r="T41" s="50">
        <f t="shared" si="18"/>
        <v>9.5031996599800059E-5</v>
      </c>
      <c r="U41" s="50">
        <f t="shared" si="18"/>
        <v>3.0656822420356133E-4</v>
      </c>
      <c r="V41" s="51">
        <f t="shared" si="19"/>
        <v>5.668842439924349E-4</v>
      </c>
      <c r="W41" s="52">
        <v>122.00000000265999</v>
      </c>
      <c r="X41" s="52">
        <v>28</v>
      </c>
      <c r="Y41" s="52">
        <v>16</v>
      </c>
      <c r="Z41" s="52">
        <v>3</v>
      </c>
      <c r="AA41" s="53">
        <f t="shared" si="20"/>
        <v>9.5948760219757314E-5</v>
      </c>
      <c r="AB41" s="53">
        <f t="shared" si="5"/>
        <v>9.5573578001693018E-5</v>
      </c>
      <c r="AC41" s="53">
        <f t="shared" si="5"/>
        <v>3.2489684525163258E-5</v>
      </c>
      <c r="AD41" s="53">
        <f t="shared" si="5"/>
        <v>5.4640827626402448E-5</v>
      </c>
      <c r="AE41" s="44">
        <f t="shared" si="21"/>
        <v>2.7865285037301604E-4</v>
      </c>
      <c r="AF41" s="54">
        <f t="shared" si="29"/>
        <v>2.3685492281706362E-4</v>
      </c>
      <c r="AG41" s="44">
        <f t="shared" si="7"/>
        <v>-0.50844841195350865</v>
      </c>
      <c r="AH41" s="44">
        <f t="shared" si="8"/>
        <v>-0.50844841195350865</v>
      </c>
      <c r="AI41" s="45">
        <f t="shared" si="22"/>
        <v>9.474449189876509E-2</v>
      </c>
      <c r="AJ41" s="45">
        <f t="shared" si="30"/>
        <v>1.4211673784814763E-2</v>
      </c>
      <c r="AK41" s="130">
        <f t="shared" si="10"/>
        <v>1.4448528707631827E-2</v>
      </c>
      <c r="AM41" s="57">
        <f t="shared" si="31"/>
        <v>195795.04861408434</v>
      </c>
      <c r="AN41" s="58">
        <f t="shared" si="32"/>
        <v>1251247.5226370511</v>
      </c>
      <c r="AO41" s="58">
        <f t="shared" si="33"/>
        <v>28063676.634667978</v>
      </c>
      <c r="AP41" s="58">
        <f t="shared" si="23"/>
        <v>29510719.205919113</v>
      </c>
      <c r="AQ41" s="59">
        <f t="shared" si="24"/>
        <v>3.7983839321934654E-3</v>
      </c>
    </row>
    <row r="42" spans="1:43" ht="13.8">
      <c r="A42" s="4" t="s">
        <v>36</v>
      </c>
      <c r="B42" s="46">
        <v>675385</v>
      </c>
      <c r="C42" s="46">
        <v>85535</v>
      </c>
      <c r="D42" s="55">
        <f t="shared" si="25"/>
        <v>0.12664628323104599</v>
      </c>
      <c r="E42" s="56">
        <f t="shared" si="14"/>
        <v>10832.689836167518</v>
      </c>
      <c r="F42" s="130">
        <f t="shared" si="26"/>
        <v>5.613089016619207E-6</v>
      </c>
      <c r="G42" s="43">
        <v>6996</v>
      </c>
      <c r="H42" s="119">
        <f t="shared" si="27"/>
        <v>1.3665386334301135E-3</v>
      </c>
      <c r="I42" s="45">
        <f t="shared" si="15"/>
        <v>1.1615578384155964E-3</v>
      </c>
      <c r="J42" s="46">
        <v>1006.78</v>
      </c>
      <c r="K42" s="116">
        <f t="shared" si="28"/>
        <v>1.5677013472720547E-2</v>
      </c>
      <c r="L42" s="47">
        <f t="shared" si="16"/>
        <v>2.3515520209080819E-3</v>
      </c>
      <c r="M42" s="130">
        <f t="shared" si="17"/>
        <v>3.5131098593236786E-3</v>
      </c>
      <c r="N42" s="48">
        <v>1457</v>
      </c>
      <c r="O42" s="49">
        <v>857</v>
      </c>
      <c r="P42" s="49">
        <v>6591</v>
      </c>
      <c r="Q42" s="49">
        <v>540</v>
      </c>
      <c r="R42" s="50">
        <f t="shared" si="18"/>
        <v>8.5202486017903634E-4</v>
      </c>
      <c r="S42" s="50">
        <f t="shared" si="18"/>
        <v>2.4356831849755012E-3</v>
      </c>
      <c r="T42" s="50">
        <f t="shared" si="18"/>
        <v>4.9319361384982845E-3</v>
      </c>
      <c r="U42" s="50">
        <f t="shared" si="18"/>
        <v>3.4488925222900648E-3</v>
      </c>
      <c r="V42" s="51">
        <f t="shared" si="19"/>
        <v>1.1668536705942888E-2</v>
      </c>
      <c r="W42" s="52">
        <v>1103.9999999949041</v>
      </c>
      <c r="X42" s="52">
        <v>656</v>
      </c>
      <c r="Y42" s="52">
        <v>3161</v>
      </c>
      <c r="Z42" s="52">
        <v>242</v>
      </c>
      <c r="AA42" s="53">
        <f t="shared" si="20"/>
        <v>8.6825763344109482E-4</v>
      </c>
      <c r="AB42" s="53">
        <f t="shared" si="5"/>
        <v>2.2391523988968078E-3</v>
      </c>
      <c r="AC42" s="53">
        <f t="shared" si="5"/>
        <v>6.4187432990025668E-3</v>
      </c>
      <c r="AD42" s="53">
        <f t="shared" si="5"/>
        <v>4.4076934285297974E-3</v>
      </c>
      <c r="AE42" s="44">
        <f t="shared" si="21"/>
        <v>1.3933846759870267E-2</v>
      </c>
      <c r="AF42" s="54">
        <f t="shared" si="29"/>
        <v>1.1843769745889727E-2</v>
      </c>
      <c r="AG42" s="44">
        <f t="shared" si="7"/>
        <v>0.19413831494172162</v>
      </c>
      <c r="AH42" s="44">
        <f t="shared" si="8"/>
        <v>0</v>
      </c>
      <c r="AI42" s="45">
        <f t="shared" si="22"/>
        <v>0</v>
      </c>
      <c r="AJ42" s="45">
        <f t="shared" si="30"/>
        <v>0</v>
      </c>
      <c r="AK42" s="130">
        <f t="shared" si="10"/>
        <v>1.1843769745889727E-2</v>
      </c>
      <c r="AM42" s="57">
        <f t="shared" si="31"/>
        <v>21804.838163321438</v>
      </c>
      <c r="AN42" s="58">
        <f t="shared" si="32"/>
        <v>6823586.0598074049</v>
      </c>
      <c r="AO42" s="58">
        <f t="shared" si="33"/>
        <v>23004399.341266315</v>
      </c>
      <c r="AP42" s="58">
        <f t="shared" si="23"/>
        <v>29849790.23923704</v>
      </c>
      <c r="AQ42" s="59">
        <f t="shared" si="24"/>
        <v>3.8420264458116603E-3</v>
      </c>
    </row>
    <row r="43" spans="1:43" ht="13.8">
      <c r="A43" s="4" t="s">
        <v>37</v>
      </c>
      <c r="B43" s="46">
        <v>4108792</v>
      </c>
      <c r="C43" s="46">
        <v>684339</v>
      </c>
      <c r="D43" s="55">
        <f t="shared" si="25"/>
        <v>0.1665547927468706</v>
      </c>
      <c r="E43" s="56">
        <f t="shared" si="14"/>
        <v>113979.94031360067</v>
      </c>
      <c r="F43" s="130">
        <f t="shared" si="26"/>
        <v>5.9060082100119597E-5</v>
      </c>
      <c r="G43" s="43">
        <v>5326</v>
      </c>
      <c r="H43" s="119">
        <f t="shared" si="27"/>
        <v>1.0403351574683798E-3</v>
      </c>
      <c r="I43" s="45">
        <f t="shared" si="15"/>
        <v>8.8428488384812277E-4</v>
      </c>
      <c r="J43" s="46">
        <v>3872.26</v>
      </c>
      <c r="K43" s="116">
        <f t="shared" si="28"/>
        <v>6.0296660829453175E-2</v>
      </c>
      <c r="L43" s="47">
        <f t="shared" si="16"/>
        <v>9.0444991244179752E-3</v>
      </c>
      <c r="M43" s="130">
        <f t="shared" si="17"/>
        <v>9.9287840082660974E-3</v>
      </c>
      <c r="N43" s="48">
        <v>871</v>
      </c>
      <c r="O43" s="49">
        <v>298</v>
      </c>
      <c r="P43" s="49">
        <v>2364</v>
      </c>
      <c r="Q43" s="49">
        <v>407</v>
      </c>
      <c r="R43" s="50">
        <f t="shared" si="18"/>
        <v>5.0934361922851112E-4</v>
      </c>
      <c r="S43" s="50">
        <f t="shared" si="18"/>
        <v>8.4694701181178454E-4</v>
      </c>
      <c r="T43" s="50">
        <f t="shared" si="18"/>
        <v>1.7689420469443097E-3</v>
      </c>
      <c r="U43" s="50">
        <f t="shared" si="18"/>
        <v>2.5994430677260304E-3</v>
      </c>
      <c r="V43" s="51">
        <f t="shared" si="19"/>
        <v>5.7246757457106359E-3</v>
      </c>
      <c r="W43" s="52">
        <v>541.99999999184001</v>
      </c>
      <c r="X43" s="52">
        <v>247</v>
      </c>
      <c r="Y43" s="52">
        <v>493</v>
      </c>
      <c r="Z43" s="52">
        <v>128</v>
      </c>
      <c r="AA43" s="53">
        <f t="shared" si="20"/>
        <v>4.2626416423927597E-4</v>
      </c>
      <c r="AB43" s="53">
        <f t="shared" si="5"/>
        <v>8.4309549165779193E-4</v>
      </c>
      <c r="AC43" s="53">
        <f t="shared" si="5"/>
        <v>1.0010884044315931E-3</v>
      </c>
      <c r="AD43" s="53">
        <f t="shared" si="5"/>
        <v>2.3313419787265046E-3</v>
      </c>
      <c r="AE43" s="44">
        <f t="shared" si="21"/>
        <v>4.6017900390551651E-3</v>
      </c>
      <c r="AF43" s="54">
        <f t="shared" si="29"/>
        <v>3.9115215331968906E-3</v>
      </c>
      <c r="AG43" s="44">
        <f t="shared" si="7"/>
        <v>-0.19614835084708904</v>
      </c>
      <c r="AH43" s="44">
        <f t="shared" si="8"/>
        <v>-0.19614835084708904</v>
      </c>
      <c r="AI43" s="45">
        <f t="shared" si="22"/>
        <v>3.655036656794089E-2</v>
      </c>
      <c r="AJ43" s="45">
        <f t="shared" si="30"/>
        <v>5.4825549851911333E-3</v>
      </c>
      <c r="AK43" s="130">
        <f t="shared" si="10"/>
        <v>9.3940765183880247E-3</v>
      </c>
      <c r="AM43" s="57">
        <f t="shared" si="31"/>
        <v>229427.24198613031</v>
      </c>
      <c r="AN43" s="58">
        <f t="shared" si="32"/>
        <v>19284882.870894909</v>
      </c>
      <c r="AO43" s="58">
        <f t="shared" si="33"/>
        <v>18246309.435930073</v>
      </c>
      <c r="AP43" s="58">
        <f t="shared" si="23"/>
        <v>37760619.548811108</v>
      </c>
      <c r="AQ43" s="59">
        <f t="shared" si="24"/>
        <v>4.8602451727135891E-3</v>
      </c>
    </row>
    <row r="44" spans="1:43" ht="13.8">
      <c r="A44" s="4" t="s">
        <v>38</v>
      </c>
      <c r="B44" s="46">
        <v>53027371</v>
      </c>
      <c r="C44" s="46">
        <v>16186491</v>
      </c>
      <c r="D44" s="55">
        <f t="shared" si="25"/>
        <v>0.30524785020928152</v>
      </c>
      <c r="E44" s="56">
        <f t="shared" si="14"/>
        <v>4940891.5801818836</v>
      </c>
      <c r="F44" s="130">
        <f t="shared" si="26"/>
        <v>2.5601826213494821E-3</v>
      </c>
      <c r="G44" s="43">
        <v>60829</v>
      </c>
      <c r="H44" s="119">
        <f t="shared" si="27"/>
        <v>1.1881815113339104E-2</v>
      </c>
      <c r="I44" s="45">
        <f t="shared" si="15"/>
        <v>1.0099542846338239E-2</v>
      </c>
      <c r="J44" s="46">
        <v>1869.3</v>
      </c>
      <c r="K44" s="116">
        <f t="shared" si="28"/>
        <v>2.9107691138636562E-2</v>
      </c>
      <c r="L44" s="47">
        <f t="shared" si="16"/>
        <v>4.3661536707954845E-3</v>
      </c>
      <c r="M44" s="130">
        <f t="shared" si="17"/>
        <v>1.4465696517133723E-2</v>
      </c>
      <c r="N44" s="48">
        <v>9097</v>
      </c>
      <c r="O44" s="49">
        <v>1608</v>
      </c>
      <c r="P44" s="49">
        <v>18077</v>
      </c>
      <c r="Q44" s="49">
        <v>1611</v>
      </c>
      <c r="R44" s="50">
        <f t="shared" si="18"/>
        <v>5.3197461585783755E-3</v>
      </c>
      <c r="S44" s="50">
        <f t="shared" si="18"/>
        <v>4.5701033389038571E-3</v>
      </c>
      <c r="T44" s="50">
        <f t="shared" si="18"/>
        <v>1.3526719704996738E-2</v>
      </c>
      <c r="U44" s="50">
        <f t="shared" si="18"/>
        <v>1.0289196024832026E-2</v>
      </c>
      <c r="V44" s="51">
        <f t="shared" si="19"/>
        <v>3.3705765227310995E-2</v>
      </c>
      <c r="W44" s="52">
        <v>5867.9999999965466</v>
      </c>
      <c r="X44" s="52">
        <v>1434</v>
      </c>
      <c r="Y44" s="52">
        <v>7372</v>
      </c>
      <c r="Z44" s="52">
        <v>494</v>
      </c>
      <c r="AA44" s="53">
        <f t="shared" si="20"/>
        <v>4.6149780734174488E-3</v>
      </c>
      <c r="AB44" s="53">
        <f t="shared" si="5"/>
        <v>4.8947325305152781E-3</v>
      </c>
      <c r="AC44" s="53">
        <f t="shared" si="5"/>
        <v>1.4969622144968973E-2</v>
      </c>
      <c r="AD44" s="53">
        <f t="shared" si="5"/>
        <v>8.9975229491476034E-3</v>
      </c>
      <c r="AE44" s="44">
        <f t="shared" si="21"/>
        <v>3.3476855698049306E-2</v>
      </c>
      <c r="AF44" s="54">
        <f t="shared" si="29"/>
        <v>2.8455327343341909E-2</v>
      </c>
      <c r="AG44" s="44">
        <f t="shared" si="7"/>
        <v>-6.7914057941698752E-3</v>
      </c>
      <c r="AH44" s="44">
        <f t="shared" si="8"/>
        <v>-6.7914057941698752E-3</v>
      </c>
      <c r="AI44" s="45">
        <f t="shared" si="22"/>
        <v>1.2655134249997214E-3</v>
      </c>
      <c r="AJ44" s="45">
        <f t="shared" si="30"/>
        <v>1.898270137499582E-4</v>
      </c>
      <c r="AK44" s="130">
        <f t="shared" si="10"/>
        <v>2.8645154357091869E-2</v>
      </c>
      <c r="AM44" s="57">
        <f t="shared" si="31"/>
        <v>9945391.4879648238</v>
      </c>
      <c r="AN44" s="58">
        <f t="shared" si="32"/>
        <v>28097022.026723873</v>
      </c>
      <c r="AO44" s="58">
        <f t="shared" si="33"/>
        <v>55638076.740848817</v>
      </c>
      <c r="AP44" s="58">
        <f t="shared" si="23"/>
        <v>93680490.25553751</v>
      </c>
      <c r="AQ44" s="59">
        <f t="shared" si="24"/>
        <v>1.2057804029231138E-2</v>
      </c>
    </row>
    <row r="45" spans="1:43" ht="13.8">
      <c r="A45" s="4" t="s">
        <v>39</v>
      </c>
      <c r="B45" s="46">
        <v>1643953678</v>
      </c>
      <c r="C45" s="46">
        <v>1146404960.6099999</v>
      </c>
      <c r="D45" s="55">
        <f t="shared" si="25"/>
        <v>0.69734626708259351</v>
      </c>
      <c r="E45" s="56">
        <f t="shared" si="14"/>
        <v>799441219.84635103</v>
      </c>
      <c r="F45" s="130">
        <f t="shared" si="26"/>
        <v>0.41424011934415189</v>
      </c>
      <c r="G45" s="43">
        <v>1109171</v>
      </c>
      <c r="H45" s="119">
        <f t="shared" si="27"/>
        <v>0.21665594948260614</v>
      </c>
      <c r="I45" s="45">
        <f t="shared" si="15"/>
        <v>0.18415755706021522</v>
      </c>
      <c r="J45" s="46">
        <v>323.60000000000002</v>
      </c>
      <c r="K45" s="116">
        <f t="shared" si="28"/>
        <v>5.0389176977814112E-3</v>
      </c>
      <c r="L45" s="47">
        <f t="shared" si="16"/>
        <v>7.558376546672117E-4</v>
      </c>
      <c r="M45" s="130">
        <f t="shared" si="17"/>
        <v>0.18491339471488244</v>
      </c>
      <c r="N45" s="48">
        <v>123398</v>
      </c>
      <c r="O45" s="49">
        <v>25536</v>
      </c>
      <c r="P45" s="49">
        <v>28126</v>
      </c>
      <c r="Q45" s="49">
        <v>2378</v>
      </c>
      <c r="R45" s="50">
        <f t="shared" si="18"/>
        <v>7.2160716332445252E-2</v>
      </c>
      <c r="S45" s="50">
        <f t="shared" si="18"/>
        <v>7.2575969441697072E-2</v>
      </c>
      <c r="T45" s="50">
        <f t="shared" si="18"/>
        <v>2.104621997138564E-2</v>
      </c>
      <c r="U45" s="50">
        <f t="shared" si="18"/>
        <v>1.5187900774084766E-2</v>
      </c>
      <c r="V45" s="51">
        <f t="shared" si="19"/>
        <v>0.18097080651961275</v>
      </c>
      <c r="W45" s="52">
        <v>88873.999998769097</v>
      </c>
      <c r="X45" s="52">
        <v>19246</v>
      </c>
      <c r="Y45" s="52">
        <v>4982</v>
      </c>
      <c r="Z45" s="52">
        <v>694</v>
      </c>
      <c r="AA45" s="53">
        <f t="shared" si="20"/>
        <v>6.9896312421858064E-2</v>
      </c>
      <c r="AB45" s="53">
        <f t="shared" si="5"/>
        <v>6.5693181507877993E-2</v>
      </c>
      <c r="AC45" s="53">
        <f t="shared" si="5"/>
        <v>1.011647551902271E-2</v>
      </c>
      <c r="AD45" s="53">
        <f t="shared" si="5"/>
        <v>1.2640244790907766E-2</v>
      </c>
      <c r="AE45" s="44">
        <f t="shared" si="21"/>
        <v>0.15834621423966655</v>
      </c>
      <c r="AF45" s="54">
        <f t="shared" si="29"/>
        <v>0.13459428210371657</v>
      </c>
      <c r="AG45" s="44">
        <f t="shared" si="7"/>
        <v>-0.12501791153532965</v>
      </c>
      <c r="AH45" s="44">
        <f t="shared" si="8"/>
        <v>-0.12501791153532965</v>
      </c>
      <c r="AI45" s="45">
        <f t="shared" si="22"/>
        <v>2.329589045455142E-2</v>
      </c>
      <c r="AJ45" s="45">
        <f t="shared" si="30"/>
        <v>3.4943835681827129E-3</v>
      </c>
      <c r="AK45" s="130">
        <f t="shared" si="10"/>
        <v>0.13808866567189929</v>
      </c>
      <c r="AM45" s="57">
        <f t="shared" si="31"/>
        <v>1609174330.9808536</v>
      </c>
      <c r="AN45" s="58">
        <f t="shared" si="32"/>
        <v>359161117.3500405</v>
      </c>
      <c r="AO45" s="58">
        <f t="shared" si="33"/>
        <v>268212476.07599014</v>
      </c>
      <c r="AP45" s="58">
        <f t="shared" si="23"/>
        <v>2236547924.4068842</v>
      </c>
      <c r="AQ45" s="59">
        <f t="shared" si="24"/>
        <v>0.28787057476877137</v>
      </c>
    </row>
    <row r="46" spans="1:43" ht="13.8">
      <c r="A46" s="4" t="s">
        <v>40</v>
      </c>
      <c r="B46" s="46">
        <v>1644701</v>
      </c>
      <c r="C46" s="46">
        <v>507232</v>
      </c>
      <c r="D46" s="55">
        <f t="shared" si="25"/>
        <v>0.30840377673510261</v>
      </c>
      <c r="E46" s="56">
        <f t="shared" si="14"/>
        <v>156432.26448089955</v>
      </c>
      <c r="F46" s="130">
        <f t="shared" si="26"/>
        <v>8.1057266374503598E-5</v>
      </c>
      <c r="G46" s="43">
        <v>971</v>
      </c>
      <c r="H46" s="119">
        <f t="shared" si="27"/>
        <v>1.8966681147236138E-4</v>
      </c>
      <c r="I46" s="45">
        <f t="shared" si="15"/>
        <v>1.6121678975150716E-4</v>
      </c>
      <c r="J46" s="46">
        <v>1172.6600000000001</v>
      </c>
      <c r="K46" s="116">
        <f t="shared" si="28"/>
        <v>1.8260003793202563E-2</v>
      </c>
      <c r="L46" s="47">
        <f t="shared" si="16"/>
        <v>2.7390005689803842E-3</v>
      </c>
      <c r="M46" s="130">
        <f t="shared" si="17"/>
        <v>2.9002173587318915E-3</v>
      </c>
      <c r="N46" s="48">
        <v>244</v>
      </c>
      <c r="O46" s="49">
        <v>60</v>
      </c>
      <c r="P46" s="49">
        <v>375</v>
      </c>
      <c r="Q46" s="49">
        <v>47</v>
      </c>
      <c r="R46" s="50">
        <f t="shared" si="18"/>
        <v>1.4268638701694225E-4</v>
      </c>
      <c r="S46" s="50">
        <f t="shared" si="18"/>
        <v>1.7052624398894989E-4</v>
      </c>
      <c r="T46" s="50">
        <f t="shared" si="18"/>
        <v>2.8060628917263796E-4</v>
      </c>
      <c r="U46" s="50">
        <f t="shared" si="18"/>
        <v>3.0018138619932047E-4</v>
      </c>
      <c r="V46" s="51">
        <f t="shared" si="19"/>
        <v>8.9400030637785065E-4</v>
      </c>
      <c r="W46" s="52">
        <v>95.999999999399989</v>
      </c>
      <c r="X46" s="52">
        <v>43</v>
      </c>
      <c r="Y46" s="52">
        <v>84</v>
      </c>
      <c r="Z46" s="52">
        <v>27</v>
      </c>
      <c r="AA46" s="53">
        <f t="shared" si="20"/>
        <v>7.5500663777363118E-5</v>
      </c>
      <c r="AB46" s="53">
        <f t="shared" si="5"/>
        <v>1.4677370907402855E-4</v>
      </c>
      <c r="AC46" s="53">
        <f t="shared" si="5"/>
        <v>1.7057084375710711E-4</v>
      </c>
      <c r="AD46" s="53">
        <f t="shared" si="5"/>
        <v>4.91767448637622E-4</v>
      </c>
      <c r="AE46" s="44">
        <f t="shared" si="21"/>
        <v>8.8461266524612078E-4</v>
      </c>
      <c r="AF46" s="54">
        <f t="shared" si="29"/>
        <v>7.5192076545920264E-4</v>
      </c>
      <c r="AG46" s="44">
        <f t="shared" si="7"/>
        <v>-1.0500713550943872E-2</v>
      </c>
      <c r="AH46" s="44">
        <f t="shared" si="8"/>
        <v>-1.0500713550943872E-2</v>
      </c>
      <c r="AI46" s="45">
        <f t="shared" si="22"/>
        <v>1.9567073995495625E-3</v>
      </c>
      <c r="AJ46" s="45">
        <f t="shared" si="30"/>
        <v>2.9350610993243438E-4</v>
      </c>
      <c r="AK46" s="130">
        <f t="shared" si="10"/>
        <v>1.0454268753916371E-3</v>
      </c>
      <c r="AM46" s="57">
        <f t="shared" si="31"/>
        <v>314878.4154365373</v>
      </c>
      <c r="AN46" s="58">
        <f t="shared" si="32"/>
        <v>5633152.2587979091</v>
      </c>
      <c r="AO46" s="58">
        <f t="shared" si="33"/>
        <v>2030554.2778681265</v>
      </c>
      <c r="AP46" s="58">
        <f t="shared" si="23"/>
        <v>7978584.9521025727</v>
      </c>
      <c r="AQ46" s="59">
        <f t="shared" si="24"/>
        <v>1.0269396917181337E-3</v>
      </c>
    </row>
    <row r="47" spans="1:43" ht="13.8">
      <c r="A47" s="4" t="s">
        <v>41</v>
      </c>
      <c r="B47" s="46">
        <v>62339071</v>
      </c>
      <c r="C47" s="46">
        <v>13914494.860000001</v>
      </c>
      <c r="D47" s="55">
        <f t="shared" si="25"/>
        <v>0.22320664451351868</v>
      </c>
      <c r="E47" s="56">
        <f t="shared" si="14"/>
        <v>3105807.7078012032</v>
      </c>
      <c r="F47" s="130">
        <f t="shared" si="26"/>
        <v>1.6093117587642357E-3</v>
      </c>
      <c r="G47" s="43">
        <v>87168</v>
      </c>
      <c r="H47" s="119">
        <f t="shared" si="27"/>
        <v>1.7026649456666116E-2</v>
      </c>
      <c r="I47" s="45">
        <f t="shared" si="15"/>
        <v>1.4472652038166198E-2</v>
      </c>
      <c r="J47" s="46">
        <v>308.89</v>
      </c>
      <c r="K47" s="116">
        <f t="shared" si="28"/>
        <v>4.8098618283921504E-3</v>
      </c>
      <c r="L47" s="47">
        <f t="shared" si="16"/>
        <v>7.2147927425882249E-4</v>
      </c>
      <c r="M47" s="130">
        <f t="shared" si="17"/>
        <v>1.5194131312425021E-2</v>
      </c>
      <c r="N47" s="48">
        <v>1423</v>
      </c>
      <c r="O47" s="49">
        <v>462</v>
      </c>
      <c r="P47" s="49">
        <v>3867</v>
      </c>
      <c r="Q47" s="49">
        <v>358</v>
      </c>
      <c r="R47" s="50">
        <f t="shared" si="18"/>
        <v>8.3214233084060992E-4</v>
      </c>
      <c r="S47" s="50">
        <f t="shared" si="18"/>
        <v>1.3130520787149142E-3</v>
      </c>
      <c r="T47" s="50">
        <f t="shared" si="18"/>
        <v>2.8936120539482428E-3</v>
      </c>
      <c r="U47" s="50">
        <f t="shared" si="18"/>
        <v>2.286488005518228E-3</v>
      </c>
      <c r="V47" s="51">
        <f t="shared" si="19"/>
        <v>7.3252944690219944E-3</v>
      </c>
      <c r="W47" s="52">
        <v>502.9999955589883</v>
      </c>
      <c r="X47" s="52">
        <v>435</v>
      </c>
      <c r="Y47" s="52">
        <v>1115</v>
      </c>
      <c r="Z47" s="52">
        <v>155</v>
      </c>
      <c r="AA47" s="53">
        <f t="shared" si="20"/>
        <v>3.9559201609324664E-4</v>
      </c>
      <c r="AB47" s="53">
        <f t="shared" si="5"/>
        <v>1.4848038010977307E-3</v>
      </c>
      <c r="AC47" s="53">
        <f t="shared" si="5"/>
        <v>2.2641248903473147E-3</v>
      </c>
      <c r="AD47" s="53">
        <f t="shared" si="5"/>
        <v>2.8231094273641266E-3</v>
      </c>
      <c r="AE47" s="44">
        <f t="shared" si="21"/>
        <v>6.9676301349024189E-3</v>
      </c>
      <c r="AF47" s="54">
        <f t="shared" si="29"/>
        <v>5.9224856146670559E-3</v>
      </c>
      <c r="AG47" s="44">
        <f t="shared" si="7"/>
        <v>-4.8825932613645158E-2</v>
      </c>
      <c r="AH47" s="44">
        <f t="shared" si="8"/>
        <v>-4.8825932613645158E-2</v>
      </c>
      <c r="AI47" s="45">
        <f t="shared" si="22"/>
        <v>9.0982449117888945E-3</v>
      </c>
      <c r="AJ47" s="45">
        <f t="shared" si="30"/>
        <v>1.3647367367683341E-3</v>
      </c>
      <c r="AK47" s="130">
        <f t="shared" si="10"/>
        <v>7.2872223514353898E-3</v>
      </c>
      <c r="AM47" s="57">
        <f t="shared" si="31"/>
        <v>6251599.1373533765</v>
      </c>
      <c r="AN47" s="58">
        <f t="shared" si="32"/>
        <v>29511876.020383283</v>
      </c>
      <c r="AO47" s="58">
        <f t="shared" si="33"/>
        <v>14154122.940392248</v>
      </c>
      <c r="AP47" s="58">
        <f t="shared" si="23"/>
        <v>49917598.098128907</v>
      </c>
      <c r="AQ47" s="59">
        <f t="shared" si="24"/>
        <v>6.4249942953472196E-3</v>
      </c>
    </row>
    <row r="48" spans="1:43" ht="13.8">
      <c r="A48" s="4" t="s">
        <v>42</v>
      </c>
      <c r="B48" s="46">
        <v>3451857</v>
      </c>
      <c r="C48" s="46">
        <v>745242</v>
      </c>
      <c r="D48" s="55">
        <f t="shared" si="25"/>
        <v>0.21589596556288398</v>
      </c>
      <c r="E48" s="56">
        <f t="shared" si="14"/>
        <v>160894.74116801479</v>
      </c>
      <c r="F48" s="130">
        <f t="shared" si="26"/>
        <v>8.3369552543330854E-5</v>
      </c>
      <c r="G48" s="43">
        <v>4469</v>
      </c>
      <c r="H48" s="119">
        <f t="shared" si="27"/>
        <v>8.7293612818741819E-4</v>
      </c>
      <c r="I48" s="45">
        <f t="shared" si="15"/>
        <v>7.4199570895930539E-4</v>
      </c>
      <c r="J48" s="46">
        <v>1341.58</v>
      </c>
      <c r="K48" s="116">
        <f t="shared" si="28"/>
        <v>2.089033128859575E-2</v>
      </c>
      <c r="L48" s="47">
        <f t="shared" si="16"/>
        <v>3.1335496932893623E-3</v>
      </c>
      <c r="M48" s="130">
        <f t="shared" si="17"/>
        <v>3.8755454022486677E-3</v>
      </c>
      <c r="N48" s="48">
        <v>1104</v>
      </c>
      <c r="O48" s="49">
        <v>274</v>
      </c>
      <c r="P48" s="49">
        <v>2326</v>
      </c>
      <c r="Q48" s="49">
        <v>140</v>
      </c>
      <c r="R48" s="50">
        <f t="shared" si="18"/>
        <v>6.4559742322419769E-4</v>
      </c>
      <c r="S48" s="50">
        <f t="shared" si="18"/>
        <v>7.7873651421620459E-4</v>
      </c>
      <c r="T48" s="50">
        <f t="shared" si="18"/>
        <v>1.7405072763081492E-3</v>
      </c>
      <c r="U48" s="50">
        <f t="shared" si="18"/>
        <v>8.9415732059372043E-4</v>
      </c>
      <c r="V48" s="51">
        <f t="shared" si="19"/>
        <v>4.0589985343422721E-3</v>
      </c>
      <c r="W48" s="52">
        <v>511.00000000414997</v>
      </c>
      <c r="X48" s="52">
        <v>264</v>
      </c>
      <c r="Y48" s="52">
        <v>999</v>
      </c>
      <c r="Z48" s="52">
        <v>49</v>
      </c>
      <c r="AA48" s="53">
        <f t="shared" si="20"/>
        <v>4.0188374157069809E-4</v>
      </c>
      <c r="AB48" s="53">
        <f t="shared" si="5"/>
        <v>9.0112230687310556E-4</v>
      </c>
      <c r="AC48" s="53">
        <f t="shared" si="5"/>
        <v>2.028574677539881E-3</v>
      </c>
      <c r="AD48" s="53">
        <f t="shared" si="5"/>
        <v>8.9246685123123997E-4</v>
      </c>
      <c r="AE48" s="44">
        <f t="shared" si="21"/>
        <v>4.2240475772149242E-3</v>
      </c>
      <c r="AF48" s="54">
        <f t="shared" si="29"/>
        <v>3.5904404406326856E-3</v>
      </c>
      <c r="AG48" s="44">
        <f t="shared" si="7"/>
        <v>4.066250368809185E-2</v>
      </c>
      <c r="AH48" s="44">
        <f t="shared" si="8"/>
        <v>0</v>
      </c>
      <c r="AI48" s="45">
        <f t="shared" si="22"/>
        <v>0</v>
      </c>
      <c r="AJ48" s="45">
        <f t="shared" si="30"/>
        <v>0</v>
      </c>
      <c r="AK48" s="130">
        <f t="shared" si="10"/>
        <v>3.5904404406326856E-3</v>
      </c>
      <c r="AM48" s="57">
        <f t="shared" si="31"/>
        <v>323860.81809384143</v>
      </c>
      <c r="AN48" s="58">
        <f t="shared" si="32"/>
        <v>7527552.1232990231</v>
      </c>
      <c r="AO48" s="58">
        <f t="shared" si="33"/>
        <v>6973786.8499183431</v>
      </c>
      <c r="AP48" s="58">
        <f t="shared" si="23"/>
        <v>14825199.791311208</v>
      </c>
      <c r="AQ48" s="59">
        <f t="shared" si="24"/>
        <v>1.9081812369920036E-3</v>
      </c>
    </row>
    <row r="49" spans="1:43" ht="13.8">
      <c r="A49" s="4" t="s">
        <v>43</v>
      </c>
      <c r="B49" s="46">
        <v>1460042</v>
      </c>
      <c r="C49" s="46">
        <v>536095</v>
      </c>
      <c r="D49" s="55">
        <f t="shared" si="25"/>
        <v>0.36717779351552898</v>
      </c>
      <c r="E49" s="56">
        <f t="shared" si="14"/>
        <v>196842.17921470752</v>
      </c>
      <c r="F49" s="130">
        <f t="shared" si="26"/>
        <v>1.0199615154386833E-4</v>
      </c>
      <c r="G49" s="43">
        <v>2640</v>
      </c>
      <c r="H49" s="119">
        <f t="shared" si="27"/>
        <v>5.1567495601136364E-4</v>
      </c>
      <c r="I49" s="45">
        <f t="shared" si="15"/>
        <v>4.3832371260965906E-4</v>
      </c>
      <c r="J49" s="46">
        <v>673.76</v>
      </c>
      <c r="K49" s="116">
        <f t="shared" si="28"/>
        <v>1.0491412818470961E-2</v>
      </c>
      <c r="L49" s="47">
        <f t="shared" si="16"/>
        <v>1.5737119227706442E-3</v>
      </c>
      <c r="M49" s="130">
        <f t="shared" si="17"/>
        <v>2.0120356353803032E-3</v>
      </c>
      <c r="N49" s="48">
        <v>671</v>
      </c>
      <c r="O49" s="49">
        <v>247</v>
      </c>
      <c r="P49" s="49">
        <v>1766</v>
      </c>
      <c r="Q49" s="49">
        <v>574</v>
      </c>
      <c r="R49" s="50">
        <f t="shared" si="18"/>
        <v>3.9238756429659118E-4</v>
      </c>
      <c r="S49" s="50">
        <f t="shared" si="18"/>
        <v>7.0199970442117712E-4</v>
      </c>
      <c r="T49" s="50">
        <f t="shared" si="18"/>
        <v>1.3214685511436764E-3</v>
      </c>
      <c r="U49" s="50">
        <f t="shared" si="18"/>
        <v>3.6660450144342539E-3</v>
      </c>
      <c r="V49" s="51">
        <f t="shared" si="19"/>
        <v>6.0819008342956988E-3</v>
      </c>
      <c r="W49" s="52">
        <v>600.99999999995009</v>
      </c>
      <c r="X49" s="52">
        <v>212</v>
      </c>
      <c r="Y49" s="52">
        <v>872</v>
      </c>
      <c r="Z49" s="52">
        <v>90</v>
      </c>
      <c r="AA49" s="53">
        <f t="shared" si="20"/>
        <v>4.7266561385911533E-4</v>
      </c>
      <c r="AB49" s="53">
        <f t="shared" si="5"/>
        <v>7.2362851915567573E-4</v>
      </c>
      <c r="AC49" s="53">
        <f t="shared" si="5"/>
        <v>1.7706878066213977E-3</v>
      </c>
      <c r="AD49" s="53">
        <f t="shared" si="5"/>
        <v>1.6392248287920735E-3</v>
      </c>
      <c r="AE49" s="44">
        <f t="shared" si="21"/>
        <v>4.6062067684282618E-3</v>
      </c>
      <c r="AF49" s="54">
        <f t="shared" si="29"/>
        <v>3.9152757531640226E-3</v>
      </c>
      <c r="AG49" s="44">
        <f t="shared" si="7"/>
        <v>-0.24263698242924844</v>
      </c>
      <c r="AH49" s="44">
        <f t="shared" si="8"/>
        <v>-0.24263698242924844</v>
      </c>
      <c r="AI49" s="45">
        <f t="shared" si="22"/>
        <v>4.5213077818031917E-2</v>
      </c>
      <c r="AJ49" s="45">
        <f t="shared" si="30"/>
        <v>6.7819616727047873E-3</v>
      </c>
      <c r="AK49" s="130">
        <f t="shared" si="10"/>
        <v>1.0697237425868811E-2</v>
      </c>
      <c r="AM49" s="57">
        <f t="shared" si="31"/>
        <v>396218.47633465636</v>
      </c>
      <c r="AN49" s="58">
        <f t="shared" si="32"/>
        <v>3908018.4973378112</v>
      </c>
      <c r="AO49" s="58">
        <f t="shared" si="33"/>
        <v>20777465.863723576</v>
      </c>
      <c r="AP49" s="58">
        <f t="shared" si="23"/>
        <v>25081702.837396044</v>
      </c>
      <c r="AQ49" s="59">
        <f t="shared" si="24"/>
        <v>3.2283163410842127E-3</v>
      </c>
    </row>
    <row r="50" spans="1:43" ht="13.8">
      <c r="A50" s="4" t="s">
        <v>44</v>
      </c>
      <c r="B50" s="46">
        <v>17855109</v>
      </c>
      <c r="C50" s="46">
        <v>6777223</v>
      </c>
      <c r="D50" s="55">
        <f t="shared" si="25"/>
        <v>0.37956771924495114</v>
      </c>
      <c r="E50" s="56">
        <f t="shared" si="14"/>
        <v>2572415.0769244255</v>
      </c>
      <c r="F50" s="130">
        <f t="shared" si="26"/>
        <v>1.3329279276751238E-3</v>
      </c>
      <c r="G50" s="43">
        <v>35456</v>
      </c>
      <c r="H50" s="119">
        <f t="shared" si="27"/>
        <v>6.9256709243707987E-3</v>
      </c>
      <c r="I50" s="45">
        <f t="shared" si="15"/>
        <v>5.886820285715179E-3</v>
      </c>
      <c r="J50" s="46">
        <v>1542.15</v>
      </c>
      <c r="K50" s="116">
        <f t="shared" si="28"/>
        <v>2.4013494831995066E-2</v>
      </c>
      <c r="L50" s="47">
        <f t="shared" si="16"/>
        <v>3.6020242247992596E-3</v>
      </c>
      <c r="M50" s="130">
        <f t="shared" si="17"/>
        <v>9.4888445105144395E-3</v>
      </c>
      <c r="N50" s="48">
        <v>4789</v>
      </c>
      <c r="O50" s="49">
        <v>909</v>
      </c>
      <c r="P50" s="49">
        <v>4749</v>
      </c>
      <c r="Q50" s="49">
        <v>258</v>
      </c>
      <c r="R50" s="50">
        <f t="shared" si="18"/>
        <v>2.8005127353448217E-3</v>
      </c>
      <c r="S50" s="50">
        <f t="shared" si="18"/>
        <v>2.5834725964325911E-3</v>
      </c>
      <c r="T50" s="50">
        <f t="shared" si="18"/>
        <v>3.5535980460822871E-3</v>
      </c>
      <c r="U50" s="50">
        <f t="shared" si="18"/>
        <v>1.6478042050941421E-3</v>
      </c>
      <c r="V50" s="51">
        <f t="shared" si="19"/>
        <v>1.0585387582953843E-2</v>
      </c>
      <c r="W50" s="52">
        <v>3480.0000000606401</v>
      </c>
      <c r="X50" s="52">
        <v>841</v>
      </c>
      <c r="Y50" s="52">
        <v>1534</v>
      </c>
      <c r="Z50" s="52">
        <v>182</v>
      </c>
      <c r="AA50" s="53">
        <f t="shared" si="20"/>
        <v>2.7368990619942106E-3</v>
      </c>
      <c r="AB50" s="53">
        <f t="shared" si="5"/>
        <v>2.8706206821222796E-3</v>
      </c>
      <c r="AC50" s="53">
        <f t="shared" si="5"/>
        <v>3.1149485038500274E-3</v>
      </c>
      <c r="AD50" s="53">
        <f t="shared" si="5"/>
        <v>3.3148768760017486E-3</v>
      </c>
      <c r="AE50" s="44">
        <f t="shared" si="21"/>
        <v>1.2037345123968266E-2</v>
      </c>
      <c r="AF50" s="54">
        <f t="shared" si="29"/>
        <v>1.0231743355373026E-2</v>
      </c>
      <c r="AG50" s="44">
        <f t="shared" si="7"/>
        <v>0.1371662142397676</v>
      </c>
      <c r="AH50" s="44">
        <f t="shared" si="8"/>
        <v>0</v>
      </c>
      <c r="AI50" s="45">
        <f t="shared" si="22"/>
        <v>0</v>
      </c>
      <c r="AJ50" s="45">
        <f t="shared" si="30"/>
        <v>0</v>
      </c>
      <c r="AK50" s="130">
        <f t="shared" si="10"/>
        <v>1.0231743355373026E-2</v>
      </c>
      <c r="AM50" s="57">
        <f t="shared" si="31"/>
        <v>5177947.055582785</v>
      </c>
      <c r="AN50" s="58">
        <f t="shared" si="32"/>
        <v>18430379.270317271</v>
      </c>
      <c r="AO50" s="58">
        <f t="shared" si="33"/>
        <v>19873327.087098602</v>
      </c>
      <c r="AP50" s="58">
        <f t="shared" si="23"/>
        <v>43481653.412998661</v>
      </c>
      <c r="AQ50" s="59">
        <f t="shared" si="24"/>
        <v>5.5966109303094286E-3</v>
      </c>
    </row>
    <row r="51" spans="1:43" ht="13.8">
      <c r="A51" s="4" t="s">
        <v>45</v>
      </c>
      <c r="B51" s="46">
        <v>281026895</v>
      </c>
      <c r="C51" s="46">
        <v>21565896.16</v>
      </c>
      <c r="D51" s="55">
        <f t="shared" si="25"/>
        <v>7.6739616540972E-2</v>
      </c>
      <c r="E51" s="56">
        <f t="shared" si="14"/>
        <v>1654958.6016808206</v>
      </c>
      <c r="F51" s="130">
        <f t="shared" si="26"/>
        <v>8.5753677900378151E-4</v>
      </c>
      <c r="G51" s="43">
        <v>54192</v>
      </c>
      <c r="H51" s="119">
        <f t="shared" si="27"/>
        <v>1.0585400460669627E-2</v>
      </c>
      <c r="I51" s="45">
        <f t="shared" si="15"/>
        <v>8.9975903915691831E-3</v>
      </c>
      <c r="J51" s="46">
        <v>1658.08</v>
      </c>
      <c r="K51" s="116">
        <f t="shared" si="28"/>
        <v>2.5818691768656987E-2</v>
      </c>
      <c r="L51" s="47">
        <f t="shared" si="16"/>
        <v>3.8728037652985478E-3</v>
      </c>
      <c r="M51" s="130">
        <f t="shared" si="17"/>
        <v>1.2870394156867731E-2</v>
      </c>
      <c r="N51" s="48">
        <v>2382</v>
      </c>
      <c r="O51" s="49">
        <v>572</v>
      </c>
      <c r="P51" s="49">
        <v>6969</v>
      </c>
      <c r="Q51" s="49">
        <v>1381</v>
      </c>
      <c r="R51" s="50">
        <f t="shared" si="18"/>
        <v>1.3929466142391658E-3</v>
      </c>
      <c r="S51" s="50">
        <f t="shared" si="18"/>
        <v>1.6256835260279891E-3</v>
      </c>
      <c r="T51" s="50">
        <f t="shared" si="18"/>
        <v>5.2147872779843042E-3</v>
      </c>
      <c r="U51" s="50">
        <f t="shared" si="18"/>
        <v>8.8202232838566277E-3</v>
      </c>
      <c r="V51" s="51">
        <f t="shared" si="19"/>
        <v>1.7053640702108089E-2</v>
      </c>
      <c r="W51" s="52">
        <v>1795.99999997852</v>
      </c>
      <c r="X51" s="52">
        <v>775</v>
      </c>
      <c r="Y51" s="52">
        <v>2276</v>
      </c>
      <c r="Z51" s="52">
        <v>675</v>
      </c>
      <c r="AA51" s="53">
        <f t="shared" si="20"/>
        <v>1.41249158482677E-3</v>
      </c>
      <c r="AB51" s="53">
        <f t="shared" si="5"/>
        <v>2.6453401054040032E-3</v>
      </c>
      <c r="AC51" s="53">
        <f t="shared" si="5"/>
        <v>4.6216576237044739E-3</v>
      </c>
      <c r="AD51" s="53">
        <f t="shared" si="5"/>
        <v>1.2294186215940551E-2</v>
      </c>
      <c r="AE51" s="44">
        <f t="shared" si="21"/>
        <v>2.09736755298758E-2</v>
      </c>
      <c r="AF51" s="54">
        <f t="shared" si="29"/>
        <v>1.782762420039443E-2</v>
      </c>
      <c r="AG51" s="44">
        <f t="shared" si="7"/>
        <v>0.22986498286451734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30">
        <f t="shared" si="10"/>
        <v>1.782762420039443E-2</v>
      </c>
      <c r="AM51" s="57">
        <f t="shared" si="31"/>
        <v>3331222.9023824693</v>
      </c>
      <c r="AN51" s="58">
        <f t="shared" si="32"/>
        <v>24998433.202978827</v>
      </c>
      <c r="AO51" s="58">
        <f t="shared" si="33"/>
        <v>34626963.813968383</v>
      </c>
      <c r="AP51" s="58">
        <f t="shared" si="23"/>
        <v>62956619.919329681</v>
      </c>
      <c r="AQ51" s="59">
        <f t="shared" si="24"/>
        <v>8.1032729788174315E-3</v>
      </c>
    </row>
    <row r="52" spans="1:43" ht="13.8">
      <c r="A52" s="4" t="s">
        <v>46</v>
      </c>
      <c r="B52" s="46">
        <v>546007792</v>
      </c>
      <c r="C52" s="46">
        <v>273934217.07000005</v>
      </c>
      <c r="D52" s="55">
        <f t="shared" si="25"/>
        <v>0.50170386042769155</v>
      </c>
      <c r="E52" s="56">
        <f t="shared" si="14"/>
        <v>137433854.20725626</v>
      </c>
      <c r="F52" s="130">
        <f t="shared" si="26"/>
        <v>7.1213010732274235E-2</v>
      </c>
      <c r="G52" s="43">
        <v>430143</v>
      </c>
      <c r="H52" s="119">
        <f t="shared" si="27"/>
        <v>8.4020444168028771E-2</v>
      </c>
      <c r="I52" s="45">
        <f t="shared" si="15"/>
        <v>7.1417377542824456E-2</v>
      </c>
      <c r="J52" s="46">
        <v>60.1</v>
      </c>
      <c r="K52" s="116">
        <f t="shared" si="28"/>
        <v>9.3584349084259205E-4</v>
      </c>
      <c r="L52" s="47">
        <f t="shared" si="16"/>
        <v>1.403765236263888E-4</v>
      </c>
      <c r="M52" s="130">
        <f t="shared" si="17"/>
        <v>7.1557754066450846E-2</v>
      </c>
      <c r="N52" s="48">
        <v>40580</v>
      </c>
      <c r="O52" s="49">
        <v>5745</v>
      </c>
      <c r="P52" s="49">
        <v>2165</v>
      </c>
      <c r="Q52" s="49">
        <v>472</v>
      </c>
      <c r="R52" s="50">
        <f t="shared" si="18"/>
        <v>2.3730383545686545E-2</v>
      </c>
      <c r="S52" s="50">
        <f t="shared" si="18"/>
        <v>1.6327887861941955E-2</v>
      </c>
      <c r="T52" s="50">
        <f t="shared" si="18"/>
        <v>1.6200336428233632E-3</v>
      </c>
      <c r="U52" s="50">
        <f t="shared" si="18"/>
        <v>3.0145875380016862E-3</v>
      </c>
      <c r="V52" s="51">
        <f t="shared" si="19"/>
        <v>4.4692892588453548E-2</v>
      </c>
      <c r="W52" s="52">
        <v>18155.999999995089</v>
      </c>
      <c r="X52" s="52">
        <v>4217</v>
      </c>
      <c r="Y52" s="52">
        <v>161</v>
      </c>
      <c r="Z52" s="52">
        <v>91</v>
      </c>
      <c r="AA52" s="53">
        <f t="shared" si="20"/>
        <v>1.4279063036979183E-2</v>
      </c>
      <c r="AB52" s="53">
        <f t="shared" si="5"/>
        <v>1.4394063515469267E-2</v>
      </c>
      <c r="AC52" s="53">
        <f t="shared" si="5"/>
        <v>3.2692745053445531E-4</v>
      </c>
      <c r="AD52" s="53">
        <f t="shared" si="5"/>
        <v>1.6574384380008743E-3</v>
      </c>
      <c r="AE52" s="44">
        <f t="shared" si="21"/>
        <v>3.0657492440983779E-2</v>
      </c>
      <c r="AF52" s="54">
        <f t="shared" si="29"/>
        <v>2.6058868574836212E-2</v>
      </c>
      <c r="AG52" s="44">
        <f t="shared" si="7"/>
        <v>-0.3140409880540117</v>
      </c>
      <c r="AH52" s="44">
        <f t="shared" si="8"/>
        <v>-0.3140409880540117</v>
      </c>
      <c r="AI52" s="45">
        <f t="shared" si="22"/>
        <v>5.8518530393766088E-2</v>
      </c>
      <c r="AJ52" s="45">
        <f t="shared" si="30"/>
        <v>8.7777795590649136E-3</v>
      </c>
      <c r="AK52" s="130">
        <f t="shared" si="10"/>
        <v>3.4836648133901124E-2</v>
      </c>
      <c r="AM52" s="57">
        <f t="shared" si="31"/>
        <v>276637012.08775139</v>
      </c>
      <c r="AN52" s="58">
        <f t="shared" si="32"/>
        <v>138988108.16379118</v>
      </c>
      <c r="AO52" s="58">
        <f t="shared" si="33"/>
        <v>67663943.370864555</v>
      </c>
      <c r="AP52" s="58">
        <f t="shared" si="23"/>
        <v>483289063.62240714</v>
      </c>
      <c r="AQ52" s="59">
        <f t="shared" si="24"/>
        <v>6.2205105916225106E-2</v>
      </c>
    </row>
    <row r="53" spans="1:43" ht="13.8">
      <c r="A53" s="4" t="s">
        <v>47</v>
      </c>
      <c r="B53" s="46">
        <v>802588968</v>
      </c>
      <c r="C53" s="46">
        <v>648216317.71000004</v>
      </c>
      <c r="D53" s="55">
        <f t="shared" si="25"/>
        <v>0.80765665060823522</v>
      </c>
      <c r="E53" s="56">
        <f t="shared" si="14"/>
        <v>523536220.03126228</v>
      </c>
      <c r="F53" s="130">
        <f t="shared" si="26"/>
        <v>0.27127661281765986</v>
      </c>
      <c r="G53" s="43">
        <v>123156</v>
      </c>
      <c r="H53" s="119">
        <f t="shared" si="27"/>
        <v>2.4056236697930111E-2</v>
      </c>
      <c r="I53" s="45">
        <f t="shared" si="15"/>
        <v>2.0447801193240595E-2</v>
      </c>
      <c r="J53" s="46">
        <v>72.010000000000005</v>
      </c>
      <c r="K53" s="116">
        <f t="shared" si="28"/>
        <v>1.1212993307084037E-3</v>
      </c>
      <c r="L53" s="47">
        <f t="shared" si="16"/>
        <v>1.6819489960626053E-4</v>
      </c>
      <c r="M53" s="130">
        <f t="shared" si="17"/>
        <v>2.0615996092846856E-2</v>
      </c>
      <c r="N53" s="48">
        <v>9903</v>
      </c>
      <c r="O53" s="49">
        <v>1776</v>
      </c>
      <c r="P53" s="49">
        <v>642</v>
      </c>
      <c r="Q53" s="49">
        <v>85</v>
      </c>
      <c r="R53" s="50">
        <f t="shared" si="18"/>
        <v>5.7910790599540133E-3</v>
      </c>
      <c r="S53" s="50">
        <f t="shared" si="18"/>
        <v>5.0475768220729174E-3</v>
      </c>
      <c r="T53" s="50">
        <f t="shared" si="18"/>
        <v>4.8039796706355622E-4</v>
      </c>
      <c r="U53" s="50">
        <f t="shared" si="18"/>
        <v>5.4288123036047315E-4</v>
      </c>
      <c r="V53" s="51">
        <f t="shared" si="19"/>
        <v>1.186193507945096E-2</v>
      </c>
      <c r="W53" s="52">
        <v>4908.0000000006539</v>
      </c>
      <c r="X53" s="52">
        <v>1283</v>
      </c>
      <c r="Y53" s="52">
        <v>140</v>
      </c>
      <c r="Z53" s="52">
        <v>21</v>
      </c>
      <c r="AA53" s="53">
        <f t="shared" si="20"/>
        <v>3.8599714356423293E-3</v>
      </c>
      <c r="AB53" s="53">
        <f t="shared" si="5"/>
        <v>4.3793178777204334E-3</v>
      </c>
      <c r="AC53" s="53">
        <f t="shared" si="5"/>
        <v>2.8428473959517855E-4</v>
      </c>
      <c r="AD53" s="53">
        <f t="shared" si="5"/>
        <v>3.8248579338481716E-4</v>
      </c>
      <c r="AE53" s="44">
        <f t="shared" si="21"/>
        <v>8.9060598463427572E-3</v>
      </c>
      <c r="AF53" s="54">
        <f t="shared" si="29"/>
        <v>7.5701508693913431E-3</v>
      </c>
      <c r="AG53" s="44">
        <f t="shared" si="7"/>
        <v>-0.24918996886341233</v>
      </c>
      <c r="AH53" s="44">
        <f t="shared" si="8"/>
        <v>-0.24918996886341233</v>
      </c>
      <c r="AI53" s="45">
        <f t="shared" si="22"/>
        <v>4.6434164078757868E-2</v>
      </c>
      <c r="AJ53" s="45">
        <f t="shared" si="30"/>
        <v>6.9651246118136801E-3</v>
      </c>
      <c r="AK53" s="130">
        <f t="shared" si="10"/>
        <v>1.4535275481205024E-2</v>
      </c>
      <c r="AM53" s="57">
        <f t="shared" si="31"/>
        <v>1053812370.0638912</v>
      </c>
      <c r="AN53" s="58">
        <f t="shared" si="32"/>
        <v>40042876.306542709</v>
      </c>
      <c r="AO53" s="58">
        <f t="shared" si="33"/>
        <v>28232166.690086085</v>
      </c>
      <c r="AP53" s="58">
        <f t="shared" si="23"/>
        <v>1122087413.0605199</v>
      </c>
      <c r="AQ53" s="59">
        <f t="shared" si="24"/>
        <v>0.14442612430234289</v>
      </c>
    </row>
    <row r="54" spans="1:43" ht="13.8">
      <c r="A54" s="4" t="s">
        <v>48</v>
      </c>
      <c r="B54" s="46">
        <v>247515007</v>
      </c>
      <c r="C54" s="46">
        <v>121128581.79000001</v>
      </c>
      <c r="D54" s="55">
        <f t="shared" si="25"/>
        <v>0.48937873811425103</v>
      </c>
      <c r="E54" s="56">
        <f t="shared" si="14"/>
        <v>59277752.505959049</v>
      </c>
      <c r="F54" s="130">
        <f t="shared" si="26"/>
        <v>3.0715483093605028E-2</v>
      </c>
      <c r="G54" s="43">
        <v>296954</v>
      </c>
      <c r="H54" s="119">
        <f t="shared" si="27"/>
        <v>5.8004447305832756E-2</v>
      </c>
      <c r="I54" s="45">
        <f t="shared" si="15"/>
        <v>4.9303780209957841E-2</v>
      </c>
      <c r="J54" s="46">
        <v>885.01</v>
      </c>
      <c r="K54" s="116">
        <f t="shared" si="28"/>
        <v>1.3780879331624E-2</v>
      </c>
      <c r="L54" s="47">
        <f t="shared" si="16"/>
        <v>2.0671318997435998E-3</v>
      </c>
      <c r="M54" s="130">
        <f t="shared" si="17"/>
        <v>5.137091210970144E-2</v>
      </c>
      <c r="N54" s="48">
        <v>25924</v>
      </c>
      <c r="O54" s="49">
        <v>5313</v>
      </c>
      <c r="P54" s="49">
        <v>11983</v>
      </c>
      <c r="Q54" s="49">
        <v>721</v>
      </c>
      <c r="R54" s="50">
        <f t="shared" si="18"/>
        <v>1.5159843840275454E-2</v>
      </c>
      <c r="S54" s="50">
        <f t="shared" si="18"/>
        <v>1.5100098905221513E-2</v>
      </c>
      <c r="T54" s="50">
        <f t="shared" si="18"/>
        <v>8.9666804350819213E-3</v>
      </c>
      <c r="U54" s="50">
        <f t="shared" si="18"/>
        <v>4.6049102010576604E-3</v>
      </c>
      <c r="V54" s="51">
        <f t="shared" si="19"/>
        <v>4.3831533381636548E-2</v>
      </c>
      <c r="W54" s="52">
        <v>21053.000000219407</v>
      </c>
      <c r="X54" s="52">
        <v>4306</v>
      </c>
      <c r="Y54" s="52">
        <v>2328</v>
      </c>
      <c r="Z54" s="52">
        <v>359</v>
      </c>
      <c r="AA54" s="53">
        <f t="shared" si="20"/>
        <v>1.655745285970131E-2</v>
      </c>
      <c r="AB54" s="53">
        <f t="shared" si="5"/>
        <v>1.4697850959831791E-2</v>
      </c>
      <c r="AC54" s="53">
        <f t="shared" si="5"/>
        <v>4.7272490984112542E-3</v>
      </c>
      <c r="AD54" s="53">
        <f t="shared" si="5"/>
        <v>6.5386857059594929E-3</v>
      </c>
      <c r="AE54" s="44">
        <f t="shared" si="21"/>
        <v>4.2521238623903848E-2</v>
      </c>
      <c r="AF54" s="54">
        <f t="shared" si="29"/>
        <v>3.6143052830318267E-2</v>
      </c>
      <c r="AG54" s="44">
        <f t="shared" si="7"/>
        <v>-2.9893883618537846E-2</v>
      </c>
      <c r="AH54" s="44">
        <f t="shared" si="8"/>
        <v>-2.9893883618537846E-2</v>
      </c>
      <c r="AI54" s="45">
        <f t="shared" si="22"/>
        <v>5.5704389034027758E-3</v>
      </c>
      <c r="AJ54" s="45">
        <f t="shared" si="30"/>
        <v>8.3556583551041631E-4</v>
      </c>
      <c r="AK54" s="130">
        <f t="shared" si="10"/>
        <v>3.6978618665828682E-2</v>
      </c>
      <c r="AM54" s="57">
        <f t="shared" si="31"/>
        <v>119318638.27231532</v>
      </c>
      <c r="AN54" s="58">
        <f t="shared" si="32"/>
        <v>99778786.826448023</v>
      </c>
      <c r="AO54" s="58">
        <f t="shared" si="33"/>
        <v>71824337.10958837</v>
      </c>
      <c r="AP54" s="58">
        <f t="shared" si="23"/>
        <v>290921762.20835173</v>
      </c>
      <c r="AQ54" s="59">
        <f t="shared" si="24"/>
        <v>3.7445124240685045E-2</v>
      </c>
    </row>
    <row r="55" spans="1:43" ht="13.8">
      <c r="A55" s="4" t="s">
        <v>49</v>
      </c>
      <c r="B55" s="46">
        <v>115569186</v>
      </c>
      <c r="C55" s="46">
        <v>61393149</v>
      </c>
      <c r="D55" s="55">
        <f t="shared" si="25"/>
        <v>0.53122420538637349</v>
      </c>
      <c r="E55" s="56">
        <f t="shared" si="14"/>
        <v>32613526.793692231</v>
      </c>
      <c r="F55" s="130">
        <f t="shared" si="26"/>
        <v>1.6899092636040575E-2</v>
      </c>
      <c r="G55" s="43">
        <v>42407</v>
      </c>
      <c r="H55" s="119">
        <f t="shared" si="27"/>
        <v>8.2834196437779912E-3</v>
      </c>
      <c r="I55" s="45">
        <f t="shared" si="15"/>
        <v>7.0409066972112926E-3</v>
      </c>
      <c r="J55" s="46">
        <v>746.48</v>
      </c>
      <c r="K55" s="116">
        <f t="shared" si="28"/>
        <v>1.1623767870951384E-2</v>
      </c>
      <c r="L55" s="47">
        <f t="shared" si="16"/>
        <v>1.7435651806427075E-3</v>
      </c>
      <c r="M55" s="130">
        <f t="shared" si="17"/>
        <v>8.7844718778539999E-3</v>
      </c>
      <c r="N55" s="48">
        <v>4577</v>
      </c>
      <c r="O55" s="49">
        <v>1003</v>
      </c>
      <c r="P55" s="49">
        <v>3403</v>
      </c>
      <c r="Q55" s="49">
        <v>757</v>
      </c>
      <c r="R55" s="50">
        <f t="shared" si="18"/>
        <v>2.6765393171169867E-3</v>
      </c>
      <c r="S55" s="50">
        <f t="shared" si="18"/>
        <v>2.8506303786819459E-3</v>
      </c>
      <c r="T55" s="50">
        <f t="shared" si="18"/>
        <v>2.5464085388119655E-3</v>
      </c>
      <c r="U55" s="50">
        <f t="shared" si="18"/>
        <v>4.8348363692103311E-3</v>
      </c>
      <c r="V55" s="51">
        <f t="shared" si="19"/>
        <v>1.2908414603821229E-2</v>
      </c>
      <c r="W55" s="52">
        <v>2792.0000000464884</v>
      </c>
      <c r="X55" s="52">
        <v>666</v>
      </c>
      <c r="Y55" s="52">
        <v>1225</v>
      </c>
      <c r="Z55" s="52">
        <v>325</v>
      </c>
      <c r="AA55" s="53">
        <f t="shared" si="20"/>
        <v>2.1958109715752628E-3</v>
      </c>
      <c r="AB55" s="53">
        <f t="shared" si="5"/>
        <v>2.2732858196116983E-3</v>
      </c>
      <c r="AC55" s="53">
        <f t="shared" si="5"/>
        <v>2.4874914714578121E-3</v>
      </c>
      <c r="AD55" s="53">
        <f t="shared" si="5"/>
        <v>5.9194229928602651E-3</v>
      </c>
      <c r="AE55" s="44">
        <f t="shared" si="21"/>
        <v>1.2876011255505039E-2</v>
      </c>
      <c r="AF55" s="54">
        <f t="shared" si="29"/>
        <v>1.0944609567179282E-2</v>
      </c>
      <c r="AG55" s="44">
        <f t="shared" si="7"/>
        <v>-2.5102500431461333E-3</v>
      </c>
      <c r="AH55" s="44">
        <f t="shared" si="8"/>
        <v>-2.5102500431461333E-3</v>
      </c>
      <c r="AI55" s="45">
        <f t="shared" si="22"/>
        <v>4.6776105360022324E-4</v>
      </c>
      <c r="AJ55" s="45">
        <f t="shared" si="30"/>
        <v>7.0164158040033481E-5</v>
      </c>
      <c r="AK55" s="130">
        <f t="shared" si="10"/>
        <v>1.1014773725219315E-2</v>
      </c>
      <c r="AM55" s="57">
        <f t="shared" si="31"/>
        <v>65646915.440828055</v>
      </c>
      <c r="AN55" s="58">
        <f t="shared" si="32"/>
        <v>17062261.713624377</v>
      </c>
      <c r="AO55" s="58">
        <f t="shared" si="33"/>
        <v>21394223.196256313</v>
      </c>
      <c r="AP55" s="58">
        <f t="shared" si="23"/>
        <v>104103400.35070874</v>
      </c>
      <c r="AQ55" s="59">
        <f t="shared" si="24"/>
        <v>1.3399357718788614E-2</v>
      </c>
    </row>
    <row r="56" spans="1:43" ht="13.8">
      <c r="A56" s="4" t="s">
        <v>50</v>
      </c>
      <c r="B56" s="46">
        <v>4428119</v>
      </c>
      <c r="C56" s="46">
        <v>1339229</v>
      </c>
      <c r="D56" s="55">
        <f t="shared" si="25"/>
        <v>0.30243744578680021</v>
      </c>
      <c r="E56" s="56">
        <f t="shared" si="14"/>
        <v>405032.99808361067</v>
      </c>
      <c r="F56" s="130">
        <f t="shared" si="26"/>
        <v>2.0987273773138851E-4</v>
      </c>
      <c r="G56" s="43">
        <v>1632</v>
      </c>
      <c r="H56" s="119">
        <f t="shared" si="27"/>
        <v>3.1878088189793386E-4</v>
      </c>
      <c r="I56" s="45">
        <f t="shared" si="15"/>
        <v>2.7096374961324375E-4</v>
      </c>
      <c r="J56" s="46">
        <v>1766.28</v>
      </c>
      <c r="K56" s="116">
        <f t="shared" si="28"/>
        <v>2.7503521480955966E-2</v>
      </c>
      <c r="L56" s="47">
        <f t="shared" si="16"/>
        <v>4.1255282221433947E-3</v>
      </c>
      <c r="M56" s="130">
        <f t="shared" si="17"/>
        <v>4.3964919717566385E-3</v>
      </c>
      <c r="N56" s="48">
        <v>477</v>
      </c>
      <c r="O56" s="49">
        <v>88</v>
      </c>
      <c r="P56" s="49">
        <v>1037</v>
      </c>
      <c r="Q56" s="49">
        <v>127</v>
      </c>
      <c r="R56" s="50">
        <f t="shared" si="18"/>
        <v>2.7894019101262893E-4</v>
      </c>
      <c r="S56" s="50">
        <f t="shared" si="18"/>
        <v>2.5010515785045984E-4</v>
      </c>
      <c r="T56" s="50">
        <f t="shared" si="18"/>
        <v>7.7596992499206823E-4</v>
      </c>
      <c r="U56" s="50">
        <f t="shared" si="18"/>
        <v>8.1112842653858932E-4</v>
      </c>
      <c r="V56" s="51">
        <f t="shared" si="19"/>
        <v>2.1161437003937465E-3</v>
      </c>
      <c r="W56" s="52">
        <v>265.99999999676999</v>
      </c>
      <c r="X56" s="52">
        <v>85</v>
      </c>
      <c r="Y56" s="52">
        <v>641</v>
      </c>
      <c r="Z56" s="52">
        <v>46</v>
      </c>
      <c r="AA56" s="53">
        <f t="shared" si="20"/>
        <v>2.0919975588187754E-4</v>
      </c>
      <c r="AB56" s="53">
        <f t="shared" si="5"/>
        <v>2.9013407607656811E-4</v>
      </c>
      <c r="AC56" s="53">
        <f t="shared" si="5"/>
        <v>1.3016179862893531E-3</v>
      </c>
      <c r="AD56" s="53">
        <f t="shared" si="5"/>
        <v>8.3782602360483755E-4</v>
      </c>
      <c r="AE56" s="44">
        <f t="shared" si="21"/>
        <v>2.6387778418526363E-3</v>
      </c>
      <c r="AF56" s="54">
        <f t="shared" si="29"/>
        <v>2.2429611655747409E-3</v>
      </c>
      <c r="AG56" s="44">
        <f t="shared" si="7"/>
        <v>0.24697478784717899</v>
      </c>
      <c r="AH56" s="44">
        <f t="shared" si="8"/>
        <v>0</v>
      </c>
      <c r="AI56" s="45">
        <f t="shared" si="22"/>
        <v>0</v>
      </c>
      <c r="AJ56" s="45">
        <f t="shared" si="30"/>
        <v>0</v>
      </c>
      <c r="AK56" s="130">
        <f t="shared" si="10"/>
        <v>2.2429611655747409E-3</v>
      </c>
      <c r="AM56" s="57">
        <f t="shared" si="31"/>
        <v>815280.33273244346</v>
      </c>
      <c r="AN56" s="58">
        <f t="shared" si="32"/>
        <v>8539397.4375481512</v>
      </c>
      <c r="AO56" s="58">
        <f t="shared" si="33"/>
        <v>4356549.9386493992</v>
      </c>
      <c r="AP56" s="58">
        <f t="shared" si="23"/>
        <v>13711227.708929993</v>
      </c>
      <c r="AQ56" s="59">
        <f t="shared" si="24"/>
        <v>1.7647996531985389E-3</v>
      </c>
    </row>
    <row r="57" spans="1:43" ht="13.8">
      <c r="A57" s="4" t="s">
        <v>51</v>
      </c>
      <c r="B57" s="46">
        <v>2813893</v>
      </c>
      <c r="C57" s="46">
        <v>482832</v>
      </c>
      <c r="D57" s="55">
        <f t="shared" si="25"/>
        <v>0.17158861406599327</v>
      </c>
      <c r="E57" s="56">
        <f t="shared" si="14"/>
        <v>82848.473706711666</v>
      </c>
      <c r="F57" s="130">
        <f t="shared" si="26"/>
        <v>4.2928936842092102E-5</v>
      </c>
      <c r="G57" s="43">
        <v>4080</v>
      </c>
      <c r="H57" s="119">
        <f t="shared" si="27"/>
        <v>7.9695220474483466E-4</v>
      </c>
      <c r="I57" s="45">
        <f t="shared" si="15"/>
        <v>6.7740937403310941E-4</v>
      </c>
      <c r="J57" s="46">
        <v>879.68</v>
      </c>
      <c r="K57" s="116">
        <f t="shared" si="28"/>
        <v>1.3697883561138291E-2</v>
      </c>
      <c r="L57" s="47">
        <f t="shared" si="16"/>
        <v>2.0546825341707436E-3</v>
      </c>
      <c r="M57" s="130">
        <f t="shared" si="17"/>
        <v>2.7320919082038531E-3</v>
      </c>
      <c r="N57" s="48">
        <v>765</v>
      </c>
      <c r="O57" s="49">
        <v>138</v>
      </c>
      <c r="P57" s="49">
        <v>1343</v>
      </c>
      <c r="Q57" s="49">
        <v>81</v>
      </c>
      <c r="R57" s="50">
        <f t="shared" si="18"/>
        <v>4.4735691011459354E-4</v>
      </c>
      <c r="S57" s="50">
        <f t="shared" si="18"/>
        <v>3.9221036117458475E-4</v>
      </c>
      <c r="T57" s="50">
        <f t="shared" si="18"/>
        <v>1.0049446569569407E-3</v>
      </c>
      <c r="U57" s="50">
        <f t="shared" si="18"/>
        <v>5.1733387834350972E-4</v>
      </c>
      <c r="V57" s="51">
        <f t="shared" si="19"/>
        <v>2.3618458065896289E-3</v>
      </c>
      <c r="W57" s="52">
        <v>609.99999999842794</v>
      </c>
      <c r="X57" s="52">
        <v>123</v>
      </c>
      <c r="Y57" s="52">
        <v>468</v>
      </c>
      <c r="Z57" s="52">
        <v>34</v>
      </c>
      <c r="AA57" s="53">
        <f t="shared" si="20"/>
        <v>4.7974380108709025E-4</v>
      </c>
      <c r="AB57" s="53">
        <f t="shared" si="5"/>
        <v>4.198410747931515E-4</v>
      </c>
      <c r="AC57" s="53">
        <f t="shared" si="5"/>
        <v>9.5032327236102532E-4</v>
      </c>
      <c r="AD57" s="53">
        <f t="shared" si="5"/>
        <v>6.1926271309922776E-4</v>
      </c>
      <c r="AE57" s="44">
        <f t="shared" si="21"/>
        <v>2.4691708613404947E-3</v>
      </c>
      <c r="AF57" s="54">
        <f t="shared" si="29"/>
        <v>2.0987952321394206E-3</v>
      </c>
      <c r="AG57" s="44">
        <f t="shared" si="7"/>
        <v>4.5441177595686125E-2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30">
        <f t="shared" si="10"/>
        <v>2.0987952321394206E-3</v>
      </c>
      <c r="AM57" s="57">
        <f t="shared" si="31"/>
        <v>166763.52674860277</v>
      </c>
      <c r="AN57" s="58">
        <f t="shared" si="32"/>
        <v>5306598.7132327789</v>
      </c>
      <c r="AO57" s="58">
        <f t="shared" si="33"/>
        <v>4076533.4594955831</v>
      </c>
      <c r="AP57" s="58">
        <f t="shared" si="23"/>
        <v>9549895.6994769648</v>
      </c>
      <c r="AQ57" s="59">
        <f t="shared" si="24"/>
        <v>1.2291862535068643E-3</v>
      </c>
    </row>
    <row r="58" spans="1:43" ht="14.4" thickBot="1">
      <c r="A58" s="6" t="s">
        <v>52</v>
      </c>
      <c r="B58" s="133">
        <f>SUM(B7:B57)</f>
        <v>5898005919</v>
      </c>
      <c r="C58" s="133">
        <f>SUM(C7:C57)</f>
        <v>3135538344.1599998</v>
      </c>
      <c r="D58" s="74">
        <f t="shared" si="25"/>
        <v>0.53162685613100003</v>
      </c>
      <c r="E58" s="75">
        <f t="shared" ref="E58:J58" si="34">SUM(E7:E57)</f>
        <v>1929898101.400876</v>
      </c>
      <c r="F58" s="131">
        <f t="shared" si="34"/>
        <v>1.0000000000000002</v>
      </c>
      <c r="G58" s="60">
        <f t="shared" si="34"/>
        <v>5119504</v>
      </c>
      <c r="H58" s="120">
        <f t="shared" si="34"/>
        <v>0.99999999999999989</v>
      </c>
      <c r="I58" s="62">
        <f t="shared" si="34"/>
        <v>0.85</v>
      </c>
      <c r="J58" s="63">
        <f t="shared" si="34"/>
        <v>64220.140000000021</v>
      </c>
      <c r="K58" s="117">
        <f t="shared" si="28"/>
        <v>1</v>
      </c>
      <c r="L58" s="64">
        <f>SUM(L7:L57)</f>
        <v>0.15</v>
      </c>
      <c r="M58" s="131">
        <f>SUM(M7:M57)</f>
        <v>1</v>
      </c>
      <c r="N58" s="65">
        <v>427511</v>
      </c>
      <c r="O58" s="66">
        <v>87963</v>
      </c>
      <c r="P58" s="66">
        <v>334098</v>
      </c>
      <c r="Q58" s="66">
        <v>39143</v>
      </c>
      <c r="R58" s="67">
        <f>SUM(R7:R57)</f>
        <v>0.25</v>
      </c>
      <c r="S58" s="67">
        <f>SUM(S7:S57)</f>
        <v>0.24999999999999994</v>
      </c>
      <c r="T58" s="67">
        <f>SUM(T7:T57)</f>
        <v>0.25</v>
      </c>
      <c r="U58" s="67">
        <f>SUM(U7:U57)</f>
        <v>0.25</v>
      </c>
      <c r="V58" s="68">
        <f>SUM(V7:V57)</f>
        <v>1</v>
      </c>
      <c r="W58" s="69">
        <v>317877.99999509094</v>
      </c>
      <c r="X58" s="69">
        <v>73242</v>
      </c>
      <c r="Y58" s="69">
        <v>123116</v>
      </c>
      <c r="Z58" s="69">
        <v>13726</v>
      </c>
      <c r="AA58" s="70">
        <f t="shared" ref="AA58:AF58" si="35">SUM(AA7:AA57)</f>
        <v>0.24999999999999994</v>
      </c>
      <c r="AB58" s="70">
        <f t="shared" si="35"/>
        <v>0.24999999999999997</v>
      </c>
      <c r="AC58" s="70">
        <f t="shared" si="35"/>
        <v>0.24999999999999997</v>
      </c>
      <c r="AD58" s="70">
        <f t="shared" si="35"/>
        <v>0.25000000000000006</v>
      </c>
      <c r="AE58" s="68">
        <f t="shared" si="35"/>
        <v>1.0000000000000002</v>
      </c>
      <c r="AF58" s="71">
        <f t="shared" si="35"/>
        <v>0.85</v>
      </c>
      <c r="AG58" s="72"/>
      <c r="AH58" s="61">
        <f>SUM(AH7:AH57)</f>
        <v>-5.3665221245451189</v>
      </c>
      <c r="AI58" s="73">
        <f>SUM(AI7:AI57)</f>
        <v>1.0000000000000002</v>
      </c>
      <c r="AJ58" s="62">
        <f>SUM(AJ7:AJ57)</f>
        <v>0.15000000000000005</v>
      </c>
      <c r="AK58" s="131">
        <f>SUM(AK7:AK57)</f>
        <v>1.0000000000000002</v>
      </c>
      <c r="AM58" s="76">
        <f>SUM(AM7:AM57)</f>
        <v>3884641433.400002</v>
      </c>
      <c r="AN58" s="77">
        <f>SUM(AN7:AN57)</f>
        <v>1942320716.7000003</v>
      </c>
      <c r="AO58" s="77">
        <f>SUM(AO7:AO57)</f>
        <v>1942320716.7000005</v>
      </c>
      <c r="AP58" s="77">
        <f>SUM(AP7:AP57)</f>
        <v>7769282866.8000021</v>
      </c>
      <c r="AQ58" s="78">
        <f>SUM(AQ7:AQ57)</f>
        <v>1</v>
      </c>
    </row>
    <row r="59" spans="1:43" ht="13.8" thickTop="1">
      <c r="K59" s="80"/>
      <c r="V59" s="82"/>
    </row>
    <row r="60" spans="1:43" ht="83.4" customHeight="1">
      <c r="B60" s="210" t="s">
        <v>199</v>
      </c>
      <c r="C60" s="210"/>
      <c r="D60" s="210"/>
      <c r="E60" s="210"/>
      <c r="F60" s="210"/>
      <c r="K60" s="80"/>
      <c r="V60" s="82"/>
    </row>
    <row r="61" spans="1:43" s="11" customFormat="1">
      <c r="I61" s="83"/>
      <c r="L61" s="83"/>
      <c r="M61" s="84"/>
      <c r="V61" s="85"/>
      <c r="W61" s="85"/>
      <c r="AF61" s="83"/>
      <c r="AI61" s="83"/>
      <c r="AJ61" s="83"/>
      <c r="AK61" s="84"/>
    </row>
    <row r="62" spans="1:43">
      <c r="V62" s="82"/>
    </row>
    <row r="63" spans="1:43">
      <c r="V63" s="82"/>
    </row>
    <row r="64" spans="1:43">
      <c r="V64" s="82"/>
    </row>
    <row r="65" spans="9:38">
      <c r="I65" s="14"/>
      <c r="L65" s="14"/>
      <c r="M65" s="14"/>
      <c r="V65" s="82"/>
      <c r="AF65" s="14"/>
      <c r="AI65" s="14"/>
      <c r="AJ65" s="14"/>
      <c r="AK65" s="14"/>
      <c r="AL65" s="14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</sheetData>
  <mergeCells count="8">
    <mergeCell ref="B60:F60"/>
    <mergeCell ref="AM2:AQ2"/>
    <mergeCell ref="B2:F2"/>
    <mergeCell ref="G2:M2"/>
    <mergeCell ref="N2:S2"/>
    <mergeCell ref="T2:Y2"/>
    <mergeCell ref="AA2:AF2"/>
    <mergeCell ref="AG2:AK2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&amp;LAnexo I</oddHeader>
  </headerFooter>
  <colBreaks count="3" manualBreakCount="3">
    <brk id="6" max="1048575" man="1"/>
    <brk id="13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sqref="A1:U1"/>
    </sheetView>
  </sheetViews>
  <sheetFormatPr baseColWidth="10" defaultColWidth="9.6640625" defaultRowHeight="13.8"/>
  <cols>
    <col min="1" max="1" width="26.21875" style="14" customWidth="1"/>
    <col min="2" max="2" width="12.6640625" style="14" hidden="1" customWidth="1"/>
    <col min="3" max="5" width="11.109375" style="14" hidden="1" customWidth="1"/>
    <col min="6" max="6" width="10.109375" style="14" hidden="1" customWidth="1"/>
    <col min="7" max="7" width="11.109375" style="14" hidden="1" customWidth="1"/>
    <col min="8" max="8" width="11.21875" style="14" hidden="1" customWidth="1"/>
    <col min="9" max="9" width="15.6640625" style="14" customWidth="1"/>
    <col min="10" max="10" width="14.5546875" style="14" customWidth="1"/>
    <col min="11" max="11" width="15.88671875" style="14" customWidth="1"/>
    <col min="12" max="12" width="12.5546875" style="14" customWidth="1"/>
    <col min="13" max="13" width="8.21875" style="14" customWidth="1"/>
    <col min="14" max="14" width="16.5546875" style="14" customWidth="1"/>
    <col min="15" max="15" width="15.88671875" style="14" customWidth="1"/>
    <col min="16" max="16" width="13.88671875" style="14" customWidth="1"/>
    <col min="17" max="17" width="12.6640625" style="14" bestFit="1" customWidth="1"/>
    <col min="18" max="18" width="14.88671875" style="14" customWidth="1"/>
    <col min="19" max="19" width="16.109375" style="14" customWidth="1"/>
    <col min="20" max="20" width="14.109375" style="14" customWidth="1"/>
    <col min="21" max="21" width="13.5546875" style="189" customWidth="1"/>
    <col min="22" max="22" width="5.44140625" style="14" customWidth="1"/>
    <col min="23" max="16384" width="9.6640625" style="14"/>
  </cols>
  <sheetData>
    <row r="1" spans="1:21" ht="47.25" customHeight="1">
      <c r="A1" s="213" t="s">
        <v>201</v>
      </c>
      <c r="B1" s="213"/>
      <c r="C1" s="213"/>
      <c r="D1" s="213"/>
      <c r="E1" s="213"/>
      <c r="F1" s="213"/>
      <c r="G1" s="213"/>
      <c r="H1" s="213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8.25" customHeight="1" thickBot="1">
      <c r="I2" s="97"/>
    </row>
    <row r="3" spans="1:21" ht="69" customHeight="1" thickBot="1">
      <c r="A3" s="217" t="s">
        <v>0</v>
      </c>
      <c r="B3" s="215" t="s">
        <v>133</v>
      </c>
      <c r="C3" s="224" t="s">
        <v>134</v>
      </c>
      <c r="D3" s="226" t="s">
        <v>135</v>
      </c>
      <c r="E3" s="226" t="s">
        <v>159</v>
      </c>
      <c r="F3" s="226" t="s">
        <v>149</v>
      </c>
      <c r="G3" s="226" t="s">
        <v>176</v>
      </c>
      <c r="H3" s="228" t="s">
        <v>177</v>
      </c>
      <c r="I3" s="215" t="s">
        <v>185</v>
      </c>
      <c r="J3" s="215" t="s">
        <v>186</v>
      </c>
      <c r="K3" s="215" t="s">
        <v>179</v>
      </c>
      <c r="L3" s="220" t="s">
        <v>182</v>
      </c>
      <c r="M3" s="221"/>
      <c r="N3" s="127" t="s">
        <v>187</v>
      </c>
      <c r="O3" s="215" t="s">
        <v>188</v>
      </c>
      <c r="P3" s="215" t="s">
        <v>189</v>
      </c>
      <c r="Q3" s="215" t="s">
        <v>190</v>
      </c>
      <c r="R3" s="188" t="s">
        <v>191</v>
      </c>
      <c r="S3" s="215" t="s">
        <v>192</v>
      </c>
      <c r="T3" s="215" t="s">
        <v>193</v>
      </c>
      <c r="U3" s="215" t="s">
        <v>194</v>
      </c>
    </row>
    <row r="4" spans="1:21" ht="20.399999999999999" customHeight="1" thickBot="1">
      <c r="A4" s="218"/>
      <c r="B4" s="216"/>
      <c r="C4" s="225"/>
      <c r="D4" s="227"/>
      <c r="E4" s="227"/>
      <c r="F4" s="227"/>
      <c r="G4" s="227"/>
      <c r="H4" s="229"/>
      <c r="I4" s="216"/>
      <c r="J4" s="216"/>
      <c r="K4" s="219"/>
      <c r="L4" s="222"/>
      <c r="M4" s="223"/>
      <c r="N4" s="181">
        <v>4.8300000000000003E-2</v>
      </c>
      <c r="O4" s="216"/>
      <c r="P4" s="216"/>
      <c r="Q4" s="216"/>
      <c r="R4" s="157">
        <f>+O58/Q58</f>
        <v>0.46089882450180975</v>
      </c>
      <c r="S4" s="216"/>
      <c r="T4" s="216"/>
      <c r="U4" s="216"/>
    </row>
    <row r="5" spans="1:21" ht="20.399999999999999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90" t="s">
        <v>130</v>
      </c>
      <c r="L5" s="190" t="s">
        <v>130</v>
      </c>
      <c r="M5" s="190" t="s">
        <v>131</v>
      </c>
      <c r="N5" s="125" t="s">
        <v>130</v>
      </c>
      <c r="O5" s="124" t="s">
        <v>130</v>
      </c>
      <c r="P5" s="124" t="s">
        <v>130</v>
      </c>
      <c r="Q5" s="125" t="s">
        <v>130</v>
      </c>
      <c r="R5" s="124" t="s">
        <v>130</v>
      </c>
      <c r="S5" s="124" t="s">
        <v>130</v>
      </c>
      <c r="T5" s="124"/>
      <c r="U5" s="124"/>
    </row>
    <row r="6" spans="1:21" ht="15.6" thickBot="1">
      <c r="A6" s="1"/>
      <c r="B6" s="1"/>
      <c r="C6" s="1"/>
      <c r="D6" s="1"/>
      <c r="E6" s="1"/>
      <c r="F6" s="1"/>
      <c r="G6" s="1"/>
      <c r="H6" s="1"/>
      <c r="I6" s="1"/>
      <c r="J6" s="1"/>
      <c r="K6" s="191" t="s">
        <v>150</v>
      </c>
      <c r="L6" s="191"/>
      <c r="M6" s="192"/>
      <c r="N6" s="191" t="s">
        <v>151</v>
      </c>
      <c r="O6" s="191" t="s">
        <v>152</v>
      </c>
      <c r="P6" s="191" t="s">
        <v>153</v>
      </c>
      <c r="Q6" s="191" t="s">
        <v>154</v>
      </c>
      <c r="R6" s="191" t="s">
        <v>155</v>
      </c>
      <c r="S6" s="191"/>
      <c r="T6" s="191"/>
      <c r="U6" s="191" t="s">
        <v>156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I'!AP7</f>
        <v>3458346.7361866864</v>
      </c>
      <c r="L7" s="3">
        <f>+K7-J7</f>
        <v>-6324209.958108861</v>
      </c>
      <c r="M7" s="182">
        <f>+(K7-J7)/J7</f>
        <v>-0.64647823219840528</v>
      </c>
      <c r="N7" s="3">
        <f>IF(M7&lt;0,J7,0)</f>
        <v>9782556.6942955479</v>
      </c>
      <c r="O7" s="3">
        <f>IF(M7&lt;0,N7-K7,0)</f>
        <v>6324209.958108861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82">
        <f t="shared" ref="T7:T38" si="2">+(S7-I7)/I7</f>
        <v>4.8299999999999912E-2</v>
      </c>
      <c r="U7" s="185">
        <f>+S7/S$58</f>
        <v>1.2591325173779869E-3</v>
      </c>
    </row>
    <row r="8" spans="1:21" ht="12.75" customHeight="1">
      <c r="A8" s="4" t="s">
        <v>2</v>
      </c>
      <c r="B8" s="5">
        <v>14576366.23974626</v>
      </c>
      <c r="C8" s="203">
        <v>2057492.7222054771</v>
      </c>
      <c r="D8" s="203">
        <v>535478.93657359632</v>
      </c>
      <c r="E8" s="203">
        <v>675314.19046624668</v>
      </c>
      <c r="F8" s="203">
        <v>56192.562953092871</v>
      </c>
      <c r="G8" s="203">
        <v>492269.14190235961</v>
      </c>
      <c r="H8" s="203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I'!AP8</f>
        <v>19031919.061942533</v>
      </c>
      <c r="L8" s="5">
        <f t="shared" ref="L8:L57" si="4">+K8-J8</f>
        <v>-345147.88897734135</v>
      </c>
      <c r="M8" s="183">
        <f t="shared" ref="M8:M58" si="5">+(K8-J8)/J8</f>
        <v>-1.7812184364721741E-2</v>
      </c>
      <c r="N8" s="5">
        <f t="shared" ref="N8:N57" si="6">IF(M8&lt;0,J8,0)</f>
        <v>19377066.950919874</v>
      </c>
      <c r="O8" s="5">
        <f t="shared" ref="O8:O57" si="7">IF(M8&lt;0,N8-K8,0)</f>
        <v>345147.88897734135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83">
        <f t="shared" si="2"/>
        <v>4.830000000000001E-2</v>
      </c>
      <c r="U8" s="186">
        <f t="shared" ref="U8:U57" si="10">+S8/S$58</f>
        <v>2.4940612001298993E-3</v>
      </c>
    </row>
    <row r="9" spans="1:21" ht="12.75" customHeight="1">
      <c r="A9" s="4" t="s">
        <v>3</v>
      </c>
      <c r="B9" s="5">
        <v>14372051.346093465</v>
      </c>
      <c r="C9" s="203">
        <v>2028653.1335304263</v>
      </c>
      <c r="D9" s="203">
        <v>527973.20296511694</v>
      </c>
      <c r="E9" s="203">
        <v>665848.40559658967</v>
      </c>
      <c r="F9" s="203">
        <v>55404.919631371144</v>
      </c>
      <c r="G9" s="203">
        <v>485369.07396124443</v>
      </c>
      <c r="H9" s="203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I'!AP9</f>
        <v>20595351.234364603</v>
      </c>
      <c r="L9" s="5">
        <f t="shared" si="4"/>
        <v>1489889.929754246</v>
      </c>
      <c r="M9" s="183">
        <f t="shared" si="5"/>
        <v>7.7982410683521117E-2</v>
      </c>
      <c r="N9" s="5">
        <f t="shared" si="6"/>
        <v>0</v>
      </c>
      <c r="O9" s="5">
        <f t="shared" si="7"/>
        <v>0</v>
      </c>
      <c r="P9" s="5">
        <f t="shared" si="8"/>
        <v>20595351.234364603</v>
      </c>
      <c r="Q9" s="5">
        <f t="shared" ref="Q9:Q57" si="11">IF(P9=0,0,K9-J9)</f>
        <v>1489889.929754246</v>
      </c>
      <c r="R9" s="5">
        <f t="shared" si="9"/>
        <v>686688.51726081583</v>
      </c>
      <c r="S9" s="5">
        <f t="shared" si="1"/>
        <v>19908662.717103787</v>
      </c>
      <c r="T9" s="183">
        <f t="shared" si="2"/>
        <v>9.2370961035297336E-2</v>
      </c>
      <c r="U9" s="186">
        <f t="shared" si="10"/>
        <v>2.5624839587419647E-3</v>
      </c>
    </row>
    <row r="10" spans="1:21" ht="12.75" customHeight="1">
      <c r="A10" s="4" t="s">
        <v>4</v>
      </c>
      <c r="B10" s="5">
        <v>39994666.972263224</v>
      </c>
      <c r="C10" s="203">
        <v>5645353.2292616945</v>
      </c>
      <c r="D10" s="203">
        <v>1469248.3288835278</v>
      </c>
      <c r="E10" s="203">
        <v>1852928.6178126237</v>
      </c>
      <c r="F10" s="203">
        <v>154181.28254073061</v>
      </c>
      <c r="G10" s="203">
        <v>1350689.1955942744</v>
      </c>
      <c r="H10" s="203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I'!AP10</f>
        <v>54199199.61654979</v>
      </c>
      <c r="L10" s="5">
        <f t="shared" si="4"/>
        <v>1032359.0710605234</v>
      </c>
      <c r="M10" s="183">
        <f t="shared" si="5"/>
        <v>1.9417348491438804E-2</v>
      </c>
      <c r="N10" s="5">
        <f t="shared" si="6"/>
        <v>0</v>
      </c>
      <c r="O10" s="5">
        <f t="shared" si="7"/>
        <v>0</v>
      </c>
      <c r="P10" s="5">
        <f t="shared" si="8"/>
        <v>54199199.61654979</v>
      </c>
      <c r="Q10" s="5">
        <f t="shared" si="11"/>
        <v>1032359.0710605234</v>
      </c>
      <c r="R10" s="5">
        <f t="shared" si="9"/>
        <v>475813.08231557551</v>
      </c>
      <c r="S10" s="5">
        <f t="shared" si="1"/>
        <v>53723386.534234211</v>
      </c>
      <c r="T10" s="183">
        <f t="shared" si="2"/>
        <v>5.9273515710457692E-2</v>
      </c>
      <c r="U10" s="186">
        <f t="shared" si="10"/>
        <v>6.914844967713437E-3</v>
      </c>
    </row>
    <row r="11" spans="1:21" ht="12.75" customHeight="1">
      <c r="A11" s="4" t="s">
        <v>5</v>
      </c>
      <c r="B11" s="5">
        <v>52971569.298851922</v>
      </c>
      <c r="C11" s="203">
        <v>7477077.3815359473</v>
      </c>
      <c r="D11" s="203">
        <v>1945969.1894567527</v>
      </c>
      <c r="E11" s="203">
        <v>2454140.6171064759</v>
      </c>
      <c r="F11" s="203">
        <v>204207.83846891561</v>
      </c>
      <c r="G11" s="203">
        <v>1788941.6700345716</v>
      </c>
      <c r="H11" s="203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I'!AP11</f>
        <v>57805277.454431906</v>
      </c>
      <c r="L11" s="5">
        <f t="shared" si="4"/>
        <v>-12612385.488222942</v>
      </c>
      <c r="M11" s="183">
        <f t="shared" si="5"/>
        <v>-0.17910826575562344</v>
      </c>
      <c r="N11" s="5">
        <f t="shared" si="6"/>
        <v>70417662.942654848</v>
      </c>
      <c r="O11" s="5">
        <f t="shared" si="7"/>
        <v>12612385.488222942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83">
        <f t="shared" si="2"/>
        <v>4.8299999999999919E-2</v>
      </c>
      <c r="U11" s="186">
        <f t="shared" si="10"/>
        <v>9.0635988095588999E-3</v>
      </c>
    </row>
    <row r="12" spans="1:21" ht="12.75" customHeight="1">
      <c r="A12" s="4" t="s">
        <v>6</v>
      </c>
      <c r="B12" s="5">
        <v>345472493.01836276</v>
      </c>
      <c r="C12" s="203">
        <v>48764357.893887833</v>
      </c>
      <c r="D12" s="203">
        <v>12691314.154321574</v>
      </c>
      <c r="E12" s="203">
        <v>16005530.672995448</v>
      </c>
      <c r="F12" s="203">
        <v>1331812.3662101035</v>
      </c>
      <c r="G12" s="203">
        <v>11667204.630520202</v>
      </c>
      <c r="H12" s="203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I'!AP12</f>
        <v>540581879.50651991</v>
      </c>
      <c r="L12" s="5">
        <f t="shared" si="4"/>
        <v>81328625.518978655</v>
      </c>
      <c r="M12" s="183">
        <f t="shared" si="5"/>
        <v>0.17708883892020275</v>
      </c>
      <c r="N12" s="5">
        <f t="shared" si="6"/>
        <v>0</v>
      </c>
      <c r="O12" s="5">
        <f t="shared" si="7"/>
        <v>0</v>
      </c>
      <c r="P12" s="5">
        <f t="shared" si="8"/>
        <v>540581879.50651991</v>
      </c>
      <c r="Q12" s="5">
        <f t="shared" si="11"/>
        <v>81328625.518978655</v>
      </c>
      <c r="R12" s="5">
        <f t="shared" si="9"/>
        <v>37484267.900045149</v>
      </c>
      <c r="S12" s="5">
        <f t="shared" si="1"/>
        <v>503097611.60647476</v>
      </c>
      <c r="T12" s="183">
        <f t="shared" si="2"/>
        <v>0.14837994432887544</v>
      </c>
      <c r="U12" s="186">
        <f t="shared" si="10"/>
        <v>6.4754703906628353E-2</v>
      </c>
    </row>
    <row r="13" spans="1:21" ht="12.75" customHeight="1">
      <c r="A13" s="4" t="s">
        <v>7</v>
      </c>
      <c r="B13" s="5">
        <v>59046361.196344882</v>
      </c>
      <c r="C13" s="203">
        <v>8334550.3561050957</v>
      </c>
      <c r="D13" s="203">
        <v>2169133.3890708839</v>
      </c>
      <c r="E13" s="203">
        <v>2735582.0343315811</v>
      </c>
      <c r="F13" s="203">
        <v>227626.44091840737</v>
      </c>
      <c r="G13" s="203">
        <v>1994097.9171697502</v>
      </c>
      <c r="H13" s="203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I'!AP13</f>
        <v>81581370.73282969</v>
      </c>
      <c r="L13" s="5">
        <f t="shared" si="4"/>
        <v>3088193.8126476556</v>
      </c>
      <c r="M13" s="183">
        <f t="shared" si="5"/>
        <v>3.934346823276081E-2</v>
      </c>
      <c r="N13" s="5">
        <f t="shared" si="6"/>
        <v>0</v>
      </c>
      <c r="O13" s="5">
        <f t="shared" si="7"/>
        <v>0</v>
      </c>
      <c r="P13" s="5">
        <f t="shared" si="8"/>
        <v>81581370.73282969</v>
      </c>
      <c r="Q13" s="5">
        <f t="shared" si="11"/>
        <v>3088193.8126476556</v>
      </c>
      <c r="R13" s="5">
        <f t="shared" si="9"/>
        <v>1423344.8980830666</v>
      </c>
      <c r="S13" s="5">
        <f t="shared" si="1"/>
        <v>80158025.834746629</v>
      </c>
      <c r="T13" s="183">
        <f t="shared" si="2"/>
        <v>7.05345582841269E-2</v>
      </c>
      <c r="U13" s="186">
        <f t="shared" si="10"/>
        <v>1.0317300477921971E-2</v>
      </c>
    </row>
    <row r="14" spans="1:21" ht="12.75" customHeight="1">
      <c r="A14" s="4" t="s">
        <v>8</v>
      </c>
      <c r="B14" s="5">
        <v>9614635.2259016</v>
      </c>
      <c r="C14" s="203">
        <v>1357131.2409818619</v>
      </c>
      <c r="D14" s="203">
        <v>353204.2596645439</v>
      </c>
      <c r="E14" s="203">
        <v>445440.2076220765</v>
      </c>
      <c r="F14" s="203">
        <v>37064.861455615079</v>
      </c>
      <c r="G14" s="203">
        <v>324702.88921892311</v>
      </c>
      <c r="H14" s="203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I'!AP14</f>
        <v>10504279.017375726</v>
      </c>
      <c r="L14" s="5">
        <f t="shared" si="4"/>
        <v>-2276919.4937431216</v>
      </c>
      <c r="M14" s="183">
        <f t="shared" si="5"/>
        <v>-0.17814600811984441</v>
      </c>
      <c r="N14" s="5">
        <f t="shared" si="6"/>
        <v>12781198.511118848</v>
      </c>
      <c r="O14" s="5">
        <f t="shared" si="7"/>
        <v>2276919.4937431216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83">
        <f t="shared" si="2"/>
        <v>4.8300000000000072E-2</v>
      </c>
      <c r="U14" s="186">
        <f t="shared" si="10"/>
        <v>1.6450937274707757E-3</v>
      </c>
    </row>
    <row r="15" spans="1:21" ht="12.75" customHeight="1">
      <c r="A15" s="4" t="s">
        <v>9</v>
      </c>
      <c r="B15" s="5">
        <v>95571355.506969333</v>
      </c>
      <c r="C15" s="203">
        <v>13490150.0945221</v>
      </c>
      <c r="D15" s="203">
        <v>3510919.4549614945</v>
      </c>
      <c r="E15" s="203">
        <v>4427762.8260988574</v>
      </c>
      <c r="F15" s="203">
        <v>368431.97560404323</v>
      </c>
      <c r="G15" s="203">
        <v>3227610.2556737154</v>
      </c>
      <c r="H15" s="203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I'!AP15</f>
        <v>101912841.94035839</v>
      </c>
      <c r="L15" s="5">
        <f t="shared" si="4"/>
        <v>-25134772.244790316</v>
      </c>
      <c r="M15" s="183">
        <f t="shared" si="5"/>
        <v>-0.19783742029315854</v>
      </c>
      <c r="N15" s="5">
        <f t="shared" si="6"/>
        <v>127047614.1851487</v>
      </c>
      <c r="O15" s="5">
        <f t="shared" si="7"/>
        <v>25134772.244790316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83">
        <f t="shared" si="2"/>
        <v>4.8299999999999982E-2</v>
      </c>
      <c r="U15" s="186">
        <f t="shared" si="10"/>
        <v>1.6352553557813353E-2</v>
      </c>
    </row>
    <row r="16" spans="1:21" ht="12.75" customHeight="1">
      <c r="A16" s="4" t="s">
        <v>10</v>
      </c>
      <c r="B16" s="5">
        <v>13653729.802358963</v>
      </c>
      <c r="C16" s="203">
        <v>1927260.1440757033</v>
      </c>
      <c r="D16" s="203">
        <v>501584.86652827612</v>
      </c>
      <c r="E16" s="203">
        <v>632569.00496796379</v>
      </c>
      <c r="F16" s="203">
        <v>52635.757008595327</v>
      </c>
      <c r="G16" s="203">
        <v>461110.11091684276</v>
      </c>
      <c r="H16" s="203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I'!AP16</f>
        <v>22154400.817235176</v>
      </c>
      <c r="L16" s="5">
        <f t="shared" si="4"/>
        <v>4003838.9996634796</v>
      </c>
      <c r="M16" s="183">
        <f t="shared" si="5"/>
        <v>0.22059036188000158</v>
      </c>
      <c r="N16" s="5">
        <f t="shared" si="6"/>
        <v>0</v>
      </c>
      <c r="O16" s="5">
        <f t="shared" si="7"/>
        <v>0</v>
      </c>
      <c r="P16" s="5">
        <f t="shared" si="8"/>
        <v>22154400.817235176</v>
      </c>
      <c r="Q16" s="5">
        <f t="shared" si="11"/>
        <v>4003838.9996634796</v>
      </c>
      <c r="R16" s="5">
        <f t="shared" si="9"/>
        <v>1845364.6884393995</v>
      </c>
      <c r="S16" s="5">
        <f t="shared" si="1"/>
        <v>20309036.128795777</v>
      </c>
      <c r="T16" s="183">
        <f t="shared" si="2"/>
        <v>0.17296438467296585</v>
      </c>
      <c r="U16" s="186">
        <f t="shared" si="10"/>
        <v>2.6140168245876506E-3</v>
      </c>
    </row>
    <row r="17" spans="1:21" s="11" customFormat="1" ht="12.75" customHeight="1">
      <c r="A17" s="4" t="s">
        <v>11</v>
      </c>
      <c r="B17" s="5">
        <v>19976001.592748493</v>
      </c>
      <c r="C17" s="203">
        <v>2819665.5613501002</v>
      </c>
      <c r="D17" s="203">
        <v>733840.51374347787</v>
      </c>
      <c r="E17" s="203">
        <v>925476.01524834731</v>
      </c>
      <c r="F17" s="203">
        <v>77008.405839252242</v>
      </c>
      <c r="G17" s="203">
        <v>674624.18279911578</v>
      </c>
      <c r="H17" s="203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I'!AP17</f>
        <v>37894714.831908219</v>
      </c>
      <c r="L17" s="5">
        <f t="shared" si="4"/>
        <v>11339652.074300073</v>
      </c>
      <c r="M17" s="183">
        <f t="shared" si="5"/>
        <v>0.42702411128933265</v>
      </c>
      <c r="N17" s="5">
        <f t="shared" si="6"/>
        <v>0</v>
      </c>
      <c r="O17" s="5">
        <f t="shared" si="7"/>
        <v>0</v>
      </c>
      <c r="P17" s="5">
        <f t="shared" si="8"/>
        <v>37894714.831908219</v>
      </c>
      <c r="Q17" s="5">
        <f t="shared" si="11"/>
        <v>11339652.074300073</v>
      </c>
      <c r="R17" s="5">
        <f t="shared" si="9"/>
        <v>5226432.3113044119</v>
      </c>
      <c r="S17" s="5">
        <f t="shared" si="1"/>
        <v>32668282.520603806</v>
      </c>
      <c r="T17" s="183">
        <f t="shared" si="2"/>
        <v>0.28962830473964113</v>
      </c>
      <c r="U17" s="186">
        <f t="shared" si="10"/>
        <v>4.2048002474209256E-3</v>
      </c>
    </row>
    <row r="18" spans="1:21" ht="12.75" customHeight="1">
      <c r="A18" s="4" t="s">
        <v>12</v>
      </c>
      <c r="B18" s="5">
        <v>48519433.955937073</v>
      </c>
      <c r="C18" s="203">
        <v>6848646.6796959136</v>
      </c>
      <c r="D18" s="203">
        <v>1782415.073177408</v>
      </c>
      <c r="E18" s="203">
        <v>2247875.8920374489</v>
      </c>
      <c r="F18" s="203">
        <v>187044.65174476066</v>
      </c>
      <c r="G18" s="203">
        <v>1638585.346048024</v>
      </c>
      <c r="H18" s="203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I'!AP18</f>
        <v>54824524.429457352</v>
      </c>
      <c r="L18" s="5">
        <f t="shared" si="4"/>
        <v>-9674700.1867110282</v>
      </c>
      <c r="M18" s="183">
        <f t="shared" si="5"/>
        <v>-0.14999715491596494</v>
      </c>
      <c r="N18" s="5">
        <f t="shared" si="6"/>
        <v>64499224.61616838</v>
      </c>
      <c r="O18" s="5">
        <f t="shared" si="7"/>
        <v>9674700.1867110282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83">
        <f t="shared" si="2"/>
        <v>4.8299999999999954E-2</v>
      </c>
      <c r="U18" s="186">
        <f t="shared" si="10"/>
        <v>8.3018247271944429E-3</v>
      </c>
    </row>
    <row r="19" spans="1:21" ht="12.75" customHeight="1">
      <c r="A19" s="4" t="s">
        <v>13</v>
      </c>
      <c r="B19" s="5">
        <v>24687151.460771684</v>
      </c>
      <c r="C19" s="203">
        <v>3484656.8497997792</v>
      </c>
      <c r="D19" s="203">
        <v>906909.815095003</v>
      </c>
      <c r="E19" s="203">
        <v>1143740.7258737253</v>
      </c>
      <c r="F19" s="203">
        <v>95170.105482757135</v>
      </c>
      <c r="G19" s="203">
        <v>833727.87605117215</v>
      </c>
      <c r="H19" s="203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I'!AP19</f>
        <v>29561995.240070339</v>
      </c>
      <c r="L19" s="5">
        <f t="shared" si="4"/>
        <v>-3255826.3496813364</v>
      </c>
      <c r="M19" s="183">
        <f t="shared" si="5"/>
        <v>-9.9209094082529342E-2</v>
      </c>
      <c r="N19" s="5">
        <f t="shared" si="6"/>
        <v>32817821.589751676</v>
      </c>
      <c r="O19" s="5">
        <f t="shared" si="7"/>
        <v>3255826.3496813364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83">
        <f t="shared" si="2"/>
        <v>4.8300000000000051E-2</v>
      </c>
      <c r="U19" s="186">
        <f t="shared" si="10"/>
        <v>4.2240477213141584E-3</v>
      </c>
    </row>
    <row r="20" spans="1:21" ht="12.75" customHeight="1">
      <c r="A20" s="4" t="s">
        <v>14</v>
      </c>
      <c r="B20" s="5">
        <v>129251977.08819351</v>
      </c>
      <c r="C20" s="203">
        <v>18244259.084576715</v>
      </c>
      <c r="D20" s="203">
        <v>4748214.3425108716</v>
      </c>
      <c r="E20" s="203">
        <v>5988165.5577144232</v>
      </c>
      <c r="F20" s="203">
        <v>498272.3224624148</v>
      </c>
      <c r="G20" s="203">
        <v>4365063.1991389329</v>
      </c>
      <c r="H20" s="203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I'!AP20</f>
        <v>183128078.92052692</v>
      </c>
      <c r="L20" s="5">
        <f t="shared" si="4"/>
        <v>11307189.380350083</v>
      </c>
      <c r="M20" s="183">
        <f t="shared" si="5"/>
        <v>6.5808001638276506E-2</v>
      </c>
      <c r="N20" s="5">
        <f t="shared" si="6"/>
        <v>0</v>
      </c>
      <c r="O20" s="5">
        <f t="shared" si="7"/>
        <v>0</v>
      </c>
      <c r="P20" s="5">
        <f t="shared" si="8"/>
        <v>183128078.92052692</v>
      </c>
      <c r="Q20" s="5">
        <f t="shared" si="11"/>
        <v>11307189.380350083</v>
      </c>
      <c r="R20" s="5">
        <f t="shared" si="9"/>
        <v>5211470.2938227002</v>
      </c>
      <c r="S20" s="5">
        <f t="shared" si="1"/>
        <v>177916608.62670422</v>
      </c>
      <c r="T20" s="183">
        <f t="shared" si="2"/>
        <v>8.5490718401632165E-2</v>
      </c>
      <c r="U20" s="186">
        <f t="shared" si="10"/>
        <v>2.2900003987109844E-2</v>
      </c>
    </row>
    <row r="21" spans="1:21" ht="12.75" customHeight="1">
      <c r="A21" s="4" t="s">
        <v>15</v>
      </c>
      <c r="B21" s="5">
        <v>16327622.596552014</v>
      </c>
      <c r="C21" s="203">
        <v>2304687.19780913</v>
      </c>
      <c r="D21" s="203">
        <v>599813.27588639664</v>
      </c>
      <c r="E21" s="203">
        <v>756448.83331509889</v>
      </c>
      <c r="F21" s="203">
        <v>62943.736836790253</v>
      </c>
      <c r="G21" s="203">
        <v>551412.10317407991</v>
      </c>
      <c r="H21" s="203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I'!AP21</f>
        <v>23410430.484703958</v>
      </c>
      <c r="L21" s="5">
        <f t="shared" si="4"/>
        <v>1705333.9607135653</v>
      </c>
      <c r="M21" s="183">
        <f t="shared" si="5"/>
        <v>7.8568365675254173E-2</v>
      </c>
      <c r="N21" s="5">
        <f t="shared" si="6"/>
        <v>0</v>
      </c>
      <c r="O21" s="5">
        <f t="shared" si="7"/>
        <v>0</v>
      </c>
      <c r="P21" s="5">
        <f t="shared" si="8"/>
        <v>23410430.484703958</v>
      </c>
      <c r="Q21" s="5">
        <f t="shared" si="11"/>
        <v>1705333.9607135653</v>
      </c>
      <c r="R21" s="5">
        <f t="shared" si="9"/>
        <v>785986.41787589772</v>
      </c>
      <c r="S21" s="5">
        <f t="shared" si="1"/>
        <v>22624444.066828061</v>
      </c>
      <c r="T21" s="183">
        <f t="shared" si="2"/>
        <v>9.2702107500029093E-2</v>
      </c>
      <c r="U21" s="186">
        <f t="shared" si="10"/>
        <v>2.9120376300762205E-3</v>
      </c>
    </row>
    <row r="22" spans="1:21" ht="12.75" customHeight="1">
      <c r="A22" s="4" t="s">
        <v>16</v>
      </c>
      <c r="B22" s="5">
        <v>12021064.558850277</v>
      </c>
      <c r="C22" s="203">
        <v>1696805.1183809435</v>
      </c>
      <c r="D22" s="203">
        <v>441607.10293512425</v>
      </c>
      <c r="E22" s="203">
        <v>556928.61633557442</v>
      </c>
      <c r="F22" s="203">
        <v>46341.757326628933</v>
      </c>
      <c r="G22" s="203">
        <v>405972.1770026756</v>
      </c>
      <c r="H22" s="203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I'!AP22</f>
        <v>8675435.4086225368</v>
      </c>
      <c r="L22" s="5">
        <f t="shared" si="4"/>
        <v>-7304745.7247946151</v>
      </c>
      <c r="M22" s="183">
        <f t="shared" si="5"/>
        <v>-0.45711282392908592</v>
      </c>
      <c r="N22" s="5">
        <f t="shared" si="6"/>
        <v>15980181.133417152</v>
      </c>
      <c r="O22" s="5">
        <f t="shared" si="7"/>
        <v>7304745.7247946151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83">
        <f t="shared" si="2"/>
        <v>4.830000000000003E-2</v>
      </c>
      <c r="U22" s="186">
        <f t="shared" si="10"/>
        <v>2.0568412049591189E-3</v>
      </c>
    </row>
    <row r="23" spans="1:21" ht="12.75" customHeight="1">
      <c r="A23" s="4" t="s">
        <v>17</v>
      </c>
      <c r="B23" s="5">
        <v>105426348.73077556</v>
      </c>
      <c r="C23" s="203">
        <v>14881208.50385846</v>
      </c>
      <c r="D23" s="203">
        <v>3872953.5315363719</v>
      </c>
      <c r="E23" s="203">
        <v>4884338.6737087974</v>
      </c>
      <c r="F23" s="203">
        <v>406423.42820771184</v>
      </c>
      <c r="G23" s="203">
        <v>3560430.4509092262</v>
      </c>
      <c r="H23" s="203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I'!AP23</f>
        <v>136107934.82812363</v>
      </c>
      <c r="L23" s="5">
        <f t="shared" si="4"/>
        <v>-4040397.3520114124</v>
      </c>
      <c r="M23" s="183">
        <f t="shared" si="5"/>
        <v>-2.8829435849569873E-2</v>
      </c>
      <c r="N23" s="5">
        <f t="shared" si="6"/>
        <v>140148332.18013504</v>
      </c>
      <c r="O23" s="5">
        <f t="shared" si="7"/>
        <v>4040397.3520114124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83">
        <f t="shared" si="2"/>
        <v>4.8300000000000093E-2</v>
      </c>
      <c r="U23" s="186">
        <f t="shared" si="10"/>
        <v>1.8038773279709288E-2</v>
      </c>
    </row>
    <row r="24" spans="1:21" ht="12.75" customHeight="1">
      <c r="A24" s="4" t="s">
        <v>18</v>
      </c>
      <c r="B24" s="5">
        <v>113489960.67171809</v>
      </c>
      <c r="C24" s="203">
        <v>16019408.697944999</v>
      </c>
      <c r="D24" s="203">
        <v>4169179.2352610994</v>
      </c>
      <c r="E24" s="203">
        <v>5257920.9150282089</v>
      </c>
      <c r="F24" s="203">
        <v>437509.02349046944</v>
      </c>
      <c r="G24" s="203">
        <v>3832752.5965930833</v>
      </c>
      <c r="H24" s="203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I'!AP24</f>
        <v>167403730.63661724</v>
      </c>
      <c r="L24" s="5">
        <f t="shared" si="4"/>
        <v>16536050.034807175</v>
      </c>
      <c r="M24" s="183">
        <f t="shared" si="5"/>
        <v>0.10960631176170399</v>
      </c>
      <c r="N24" s="5">
        <f t="shared" si="6"/>
        <v>0</v>
      </c>
      <c r="O24" s="5">
        <f t="shared" si="7"/>
        <v>0</v>
      </c>
      <c r="P24" s="5">
        <f t="shared" si="8"/>
        <v>167403730.63661724</v>
      </c>
      <c r="Q24" s="5">
        <f t="shared" si="11"/>
        <v>16536050.034807175</v>
      </c>
      <c r="R24" s="5">
        <f t="shared" si="9"/>
        <v>7621446.0229457375</v>
      </c>
      <c r="S24" s="5">
        <f t="shared" si="1"/>
        <v>159782284.61367151</v>
      </c>
      <c r="T24" s="183">
        <f t="shared" si="2"/>
        <v>0.11024288497282178</v>
      </c>
      <c r="U24" s="186">
        <f t="shared" si="10"/>
        <v>2.0565898726182221E-2</v>
      </c>
    </row>
    <row r="25" spans="1:21" ht="12.75" customHeight="1">
      <c r="A25" s="4" t="s">
        <v>19</v>
      </c>
      <c r="B25" s="5">
        <v>20262980.828679498</v>
      </c>
      <c r="C25" s="203">
        <v>2860173.4409990315</v>
      </c>
      <c r="D25" s="203">
        <v>744383.01339918515</v>
      </c>
      <c r="E25" s="203">
        <v>938771.58886417933</v>
      </c>
      <c r="F25" s="203">
        <v>78114.724006324599</v>
      </c>
      <c r="G25" s="203">
        <v>684315.96879879571</v>
      </c>
      <c r="H25" s="203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I'!AP25</f>
        <v>21026277.779732652</v>
      </c>
      <c r="L25" s="5">
        <f t="shared" si="4"/>
        <v>-5910280.3229240328</v>
      </c>
      <c r="M25" s="183">
        <f t="shared" si="5"/>
        <v>-0.21941483022439739</v>
      </c>
      <c r="N25" s="5">
        <f t="shared" si="6"/>
        <v>26936558.102656685</v>
      </c>
      <c r="O25" s="5">
        <f t="shared" si="7"/>
        <v>5910280.3229240328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83">
        <f t="shared" si="2"/>
        <v>4.8300000000000037E-2</v>
      </c>
      <c r="U25" s="186">
        <f t="shared" si="10"/>
        <v>3.4670584871820051E-3</v>
      </c>
    </row>
    <row r="26" spans="1:21" ht="12.75" customHeight="1">
      <c r="A26" s="4" t="s">
        <v>20</v>
      </c>
      <c r="B26" s="5">
        <v>276982955.19764858</v>
      </c>
      <c r="C26" s="203">
        <v>39096878.132776573</v>
      </c>
      <c r="D26" s="203">
        <v>10175275.226956585</v>
      </c>
      <c r="E26" s="203">
        <v>12832452.003862159</v>
      </c>
      <c r="F26" s="203">
        <v>1067782.0446388081</v>
      </c>
      <c r="G26" s="203">
        <v>9354194.2781782262</v>
      </c>
      <c r="H26" s="203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I'!AP26</f>
        <v>343450919.35501146</v>
      </c>
      <c r="L26" s="5">
        <f t="shared" si="4"/>
        <v>-24755887.3931216</v>
      </c>
      <c r="M26" s="183">
        <f t="shared" si="5"/>
        <v>-6.723364951277376E-2</v>
      </c>
      <c r="N26" s="5">
        <f t="shared" si="6"/>
        <v>368206806.74813306</v>
      </c>
      <c r="O26" s="5">
        <f t="shared" si="7"/>
        <v>24755887.3931216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83">
        <f t="shared" si="2"/>
        <v>4.8299999999999954E-2</v>
      </c>
      <c r="U26" s="186">
        <f t="shared" si="10"/>
        <v>4.7392637526633065E-2</v>
      </c>
    </row>
    <row r="27" spans="1:21" s="11" customFormat="1" ht="12.75" customHeight="1">
      <c r="A27" s="4" t="s">
        <v>21</v>
      </c>
      <c r="B27" s="5">
        <v>40895486.4857333</v>
      </c>
      <c r="C27" s="203">
        <v>5772506.2907662932</v>
      </c>
      <c r="D27" s="203">
        <v>1502340.9300960016</v>
      </c>
      <c r="E27" s="203">
        <v>1894663.0384828388</v>
      </c>
      <c r="F27" s="203">
        <v>157653.98323903049</v>
      </c>
      <c r="G27" s="203">
        <v>1381111.4312644987</v>
      </c>
      <c r="H27" s="203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I'!AP27</f>
        <v>49587877.534337044</v>
      </c>
      <c r="L27" s="5">
        <f t="shared" si="4"/>
        <v>-4776465.8548756689</v>
      </c>
      <c r="M27" s="183">
        <f t="shared" si="5"/>
        <v>-8.7860269380599987E-2</v>
      </c>
      <c r="N27" s="5">
        <f t="shared" si="6"/>
        <v>54364343.389212713</v>
      </c>
      <c r="O27" s="5">
        <f t="shared" si="7"/>
        <v>4776465.8548756689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83">
        <f t="shared" si="2"/>
        <v>4.8299999999999982E-2</v>
      </c>
      <c r="U27" s="186">
        <f t="shared" si="10"/>
        <v>6.997343811682352E-3</v>
      </c>
    </row>
    <row r="28" spans="1:21" ht="12.75" customHeight="1">
      <c r="A28" s="4" t="s">
        <v>22</v>
      </c>
      <c r="B28" s="5">
        <v>6559653.4378309054</v>
      </c>
      <c r="C28" s="203">
        <v>925912.46587408532</v>
      </c>
      <c r="D28" s="203">
        <v>240976.1245984016</v>
      </c>
      <c r="E28" s="203">
        <v>303904.75775977928</v>
      </c>
      <c r="F28" s="203">
        <v>25287.766010618696</v>
      </c>
      <c r="G28" s="203">
        <v>221530.8613893674</v>
      </c>
      <c r="H28" s="203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I'!AP28</f>
        <v>4082700.2510439311</v>
      </c>
      <c r="L28" s="5">
        <f t="shared" si="4"/>
        <v>-4637363.5665823892</v>
      </c>
      <c r="M28" s="183">
        <f t="shared" si="5"/>
        <v>-0.53180385643607841</v>
      </c>
      <c r="N28" s="5">
        <f t="shared" si="6"/>
        <v>8720063.8176263198</v>
      </c>
      <c r="O28" s="5">
        <f t="shared" si="7"/>
        <v>4637363.5665823892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83">
        <f t="shared" si="2"/>
        <v>4.8299999999999912E-2</v>
      </c>
      <c r="U28" s="186">
        <f t="shared" si="10"/>
        <v>1.1223769255318573E-3</v>
      </c>
    </row>
    <row r="29" spans="1:21" ht="12.75" customHeight="1">
      <c r="A29" s="4" t="s">
        <v>23</v>
      </c>
      <c r="B29" s="5">
        <v>30017232.489574715</v>
      </c>
      <c r="C29" s="203">
        <v>4237011.9117647037</v>
      </c>
      <c r="D29" s="203">
        <v>1102716.2372314048</v>
      </c>
      <c r="E29" s="203">
        <v>1390680.1410806994</v>
      </c>
      <c r="F29" s="203">
        <v>115717.81324680921</v>
      </c>
      <c r="G29" s="203">
        <v>1013733.9469170612</v>
      </c>
      <c r="H29" s="203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I'!AP29</f>
        <v>40410715.539715379</v>
      </c>
      <c r="L29" s="5">
        <f t="shared" si="4"/>
        <v>507360.0624217689</v>
      </c>
      <c r="M29" s="183">
        <f t="shared" si="5"/>
        <v>1.2714721765954604E-2</v>
      </c>
      <c r="N29" s="5">
        <f t="shared" si="6"/>
        <v>0</v>
      </c>
      <c r="O29" s="5">
        <f t="shared" si="7"/>
        <v>0</v>
      </c>
      <c r="P29" s="5">
        <f t="shared" si="8"/>
        <v>40410715.539715379</v>
      </c>
      <c r="Q29" s="5">
        <f t="shared" si="11"/>
        <v>507360.0624217689</v>
      </c>
      <c r="R29" s="5">
        <f t="shared" si="9"/>
        <v>233841.6563693581</v>
      </c>
      <c r="S29" s="5">
        <f t="shared" si="1"/>
        <v>40176873.883346021</v>
      </c>
      <c r="T29" s="183">
        <f t="shared" si="2"/>
        <v>5.5485594836201212E-2</v>
      </c>
      <c r="U29" s="186">
        <f t="shared" si="10"/>
        <v>5.1712461204149723E-3</v>
      </c>
    </row>
    <row r="30" spans="1:21" ht="12.75" customHeight="1">
      <c r="A30" s="4" t="s">
        <v>24</v>
      </c>
      <c r="B30" s="5">
        <v>28912782.89665971</v>
      </c>
      <c r="C30" s="203">
        <v>4081115.9249261506</v>
      </c>
      <c r="D30" s="203">
        <v>1062143.0598162662</v>
      </c>
      <c r="E30" s="203">
        <v>1339511.6625667326</v>
      </c>
      <c r="F30" s="203">
        <v>111460.10921703762</v>
      </c>
      <c r="G30" s="203">
        <v>976434.77067269804</v>
      </c>
      <c r="H30" s="203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I'!AP30</f>
        <v>37572341.193386607</v>
      </c>
      <c r="L30" s="5">
        <f t="shared" si="4"/>
        <v>-862816.15044663101</v>
      </c>
      <c r="M30" s="183">
        <f t="shared" si="5"/>
        <v>-2.2448617621831236E-2</v>
      </c>
      <c r="N30" s="5">
        <f t="shared" si="6"/>
        <v>38435157.343833238</v>
      </c>
      <c r="O30" s="5">
        <f t="shared" si="7"/>
        <v>862816.15044663101</v>
      </c>
      <c r="P30" s="5">
        <f t="shared" si="8"/>
        <v>0</v>
      </c>
      <c r="Q30" s="5">
        <f t="shared" si="11"/>
        <v>0</v>
      </c>
      <c r="R30" s="5">
        <f t="shared" si="9"/>
        <v>0</v>
      </c>
      <c r="S30" s="5">
        <f t="shared" si="1"/>
        <v>38435157.343833238</v>
      </c>
      <c r="T30" s="183">
        <f t="shared" si="2"/>
        <v>4.8299999999999954E-2</v>
      </c>
      <c r="U30" s="186">
        <f t="shared" si="10"/>
        <v>4.9470662869125067E-3</v>
      </c>
    </row>
    <row r="31" spans="1:21" ht="12.75" customHeight="1">
      <c r="A31" s="4" t="s">
        <v>25</v>
      </c>
      <c r="B31" s="5">
        <v>466191870.11476332</v>
      </c>
      <c r="C31" s="203">
        <v>65804217.878185242</v>
      </c>
      <c r="D31" s="203">
        <v>17126073.998306401</v>
      </c>
      <c r="E31" s="203">
        <v>21598386.057976648</v>
      </c>
      <c r="F31" s="203">
        <v>1797191.122861081</v>
      </c>
      <c r="G31" s="203">
        <v>15744107.144994853</v>
      </c>
      <c r="H31" s="203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I'!AP31</f>
        <v>589255581.2671982</v>
      </c>
      <c r="L31" s="5">
        <f t="shared" si="4"/>
        <v>-30475765.394242406</v>
      </c>
      <c r="M31" s="183">
        <f t="shared" si="5"/>
        <v>-4.9175768755959547E-2</v>
      </c>
      <c r="N31" s="5">
        <f t="shared" si="6"/>
        <v>619731346.66144061</v>
      </c>
      <c r="O31" s="5">
        <f t="shared" si="7"/>
        <v>30475765.394242406</v>
      </c>
      <c r="P31" s="5">
        <f t="shared" si="8"/>
        <v>0</v>
      </c>
      <c r="Q31" s="5">
        <f t="shared" si="11"/>
        <v>0</v>
      </c>
      <c r="R31" s="5">
        <f t="shared" si="9"/>
        <v>0</v>
      </c>
      <c r="S31" s="5">
        <f t="shared" si="1"/>
        <v>619731346.66144061</v>
      </c>
      <c r="T31" s="183">
        <f t="shared" si="2"/>
        <v>4.8300000000000058E-2</v>
      </c>
      <c r="U31" s="186">
        <f t="shared" si="10"/>
        <v>7.9766866168523798E-2</v>
      </c>
    </row>
    <row r="32" spans="1:21" ht="12.75" customHeight="1">
      <c r="A32" s="4" t="s">
        <v>26</v>
      </c>
      <c r="B32" s="5">
        <v>12198301.467330018</v>
      </c>
      <c r="C32" s="203">
        <v>1721822.5776918184</v>
      </c>
      <c r="D32" s="203">
        <v>448118.09680789994</v>
      </c>
      <c r="E32" s="203">
        <v>565139.89460631157</v>
      </c>
      <c r="F32" s="203">
        <v>47025.013768841702</v>
      </c>
      <c r="G32" s="203">
        <v>411957.77447022841</v>
      </c>
      <c r="H32" s="203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I'!AP32</f>
        <v>10660819.640436199</v>
      </c>
      <c r="L32" s="5">
        <f t="shared" si="4"/>
        <v>-5554971.0670887567</v>
      </c>
      <c r="M32" s="183">
        <f t="shared" si="5"/>
        <v>-0.34256553795498645</v>
      </c>
      <c r="N32" s="5">
        <f t="shared" si="6"/>
        <v>16215790.707524955</v>
      </c>
      <c r="O32" s="5">
        <f t="shared" si="7"/>
        <v>5554971.0670887567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83">
        <f t="shared" si="2"/>
        <v>4.8299999999999989E-2</v>
      </c>
      <c r="U32" s="186">
        <f t="shared" si="10"/>
        <v>2.0871669863918711E-3</v>
      </c>
    </row>
    <row r="33" spans="1:21" ht="12.75" customHeight="1">
      <c r="A33" s="4" t="s">
        <v>27</v>
      </c>
      <c r="B33" s="5">
        <v>20997489.676431384</v>
      </c>
      <c r="C33" s="203">
        <v>2963851.3113124319</v>
      </c>
      <c r="D33" s="203">
        <v>771366.00835341483</v>
      </c>
      <c r="E33" s="203">
        <v>972800.9374515739</v>
      </c>
      <c r="F33" s="203">
        <v>80946.289431345125</v>
      </c>
      <c r="G33" s="203">
        <v>709121.60514570505</v>
      </c>
      <c r="H33" s="203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I'!AP33</f>
        <v>25071869.356967501</v>
      </c>
      <c r="L33" s="5">
        <f t="shared" si="4"/>
        <v>-2841106.796994891</v>
      </c>
      <c r="M33" s="183">
        <f t="shared" si="5"/>
        <v>-0.10178444538926679</v>
      </c>
      <c r="N33" s="5">
        <f t="shared" si="6"/>
        <v>27912976.153962392</v>
      </c>
      <c r="O33" s="5">
        <f t="shared" si="7"/>
        <v>2841106.796994891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83">
        <f t="shared" si="2"/>
        <v>4.8299999999999968E-2</v>
      </c>
      <c r="U33" s="186">
        <f t="shared" si="10"/>
        <v>3.5927352154007928E-3</v>
      </c>
    </row>
    <row r="34" spans="1:21" ht="12.75" customHeight="1">
      <c r="A34" s="4" t="s">
        <v>28</v>
      </c>
      <c r="B34" s="5">
        <v>11471401.74041779</v>
      </c>
      <c r="C34" s="203">
        <v>1619218.7549490104</v>
      </c>
      <c r="D34" s="203">
        <v>421414.63132433518</v>
      </c>
      <c r="E34" s="203">
        <v>531463.07196372247</v>
      </c>
      <c r="F34" s="203">
        <v>44222.781854991714</v>
      </c>
      <c r="G34" s="203">
        <v>387409.11131633562</v>
      </c>
      <c r="H34" s="203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I'!AP34</f>
        <v>16482835.13361633</v>
      </c>
      <c r="L34" s="5">
        <f t="shared" si="4"/>
        <v>1233347.305926118</v>
      </c>
      <c r="M34" s="183">
        <f t="shared" si="5"/>
        <v>8.0877949467036553E-2</v>
      </c>
      <c r="N34" s="5">
        <f t="shared" si="6"/>
        <v>0</v>
      </c>
      <c r="O34" s="5">
        <f t="shared" si="7"/>
        <v>0</v>
      </c>
      <c r="P34" s="5">
        <f t="shared" si="8"/>
        <v>16482835.13361633</v>
      </c>
      <c r="Q34" s="5">
        <f t="shared" si="11"/>
        <v>1233347.305926118</v>
      </c>
      <c r="R34" s="5">
        <f t="shared" si="9"/>
        <v>568448.32350382174</v>
      </c>
      <c r="S34" s="5">
        <f t="shared" si="1"/>
        <v>15914386.810112508</v>
      </c>
      <c r="T34" s="183">
        <f t="shared" si="2"/>
        <v>9.4007345135070461E-2</v>
      </c>
      <c r="U34" s="186">
        <f t="shared" si="10"/>
        <v>2.0483726854789233E-3</v>
      </c>
    </row>
    <row r="35" spans="1:21" ht="12.75" customHeight="1">
      <c r="A35" s="4" t="s">
        <v>29</v>
      </c>
      <c r="B35" s="5">
        <v>16809759.413881905</v>
      </c>
      <c r="C35" s="203">
        <v>2372742.0872411542</v>
      </c>
      <c r="D35" s="203">
        <v>617525.10515681026</v>
      </c>
      <c r="E35" s="203">
        <v>778785.93908845424</v>
      </c>
      <c r="F35" s="203">
        <v>64802.3964652625</v>
      </c>
      <c r="G35" s="203">
        <v>567694.69881272723</v>
      </c>
      <c r="H35" s="203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I'!AP35</f>
        <v>18047642.775645211</v>
      </c>
      <c r="L35" s="5">
        <f t="shared" si="4"/>
        <v>-4298381.4826829322</v>
      </c>
      <c r="M35" s="183">
        <f t="shared" si="5"/>
        <v>-0.19235553640290029</v>
      </c>
      <c r="N35" s="5">
        <f t="shared" si="6"/>
        <v>22346024.258328144</v>
      </c>
      <c r="O35" s="5">
        <f t="shared" si="7"/>
        <v>4298381.4826829322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83">
        <f t="shared" si="2"/>
        <v>4.8300000000000065E-2</v>
      </c>
      <c r="U35" s="186">
        <f t="shared" si="10"/>
        <v>2.8762016574036754E-3</v>
      </c>
    </row>
    <row r="36" spans="1:21" ht="12.75" customHeight="1">
      <c r="A36" s="4" t="s">
        <v>30</v>
      </c>
      <c r="B36" s="5">
        <v>15457056.03370185</v>
      </c>
      <c r="C36" s="203">
        <v>2181804.4204559885</v>
      </c>
      <c r="D36" s="203">
        <v>567832.05027573742</v>
      </c>
      <c r="E36" s="203">
        <v>716116.01346348226</v>
      </c>
      <c r="F36" s="203">
        <v>59587.662655929205</v>
      </c>
      <c r="G36" s="203">
        <v>522011.56206538598</v>
      </c>
      <c r="H36" s="203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I'!AP36</f>
        <v>21145830.498598933</v>
      </c>
      <c r="L36" s="5">
        <f t="shared" si="4"/>
        <v>598020.11136661097</v>
      </c>
      <c r="M36" s="183">
        <f t="shared" si="5"/>
        <v>2.9103836374614368E-2</v>
      </c>
      <c r="N36" s="5">
        <f t="shared" si="6"/>
        <v>0</v>
      </c>
      <c r="O36" s="5">
        <f t="shared" si="7"/>
        <v>0</v>
      </c>
      <c r="P36" s="5">
        <f t="shared" si="8"/>
        <v>21145830.498598933</v>
      </c>
      <c r="Q36" s="5">
        <f t="shared" si="11"/>
        <v>598020.11136661097</v>
      </c>
      <c r="R36" s="5">
        <f t="shared" si="9"/>
        <v>275626.76635731233</v>
      </c>
      <c r="S36" s="5">
        <f t="shared" si="1"/>
        <v>20870203.732241619</v>
      </c>
      <c r="T36" s="183">
        <f t="shared" si="2"/>
        <v>6.4747735170032863E-2</v>
      </c>
      <c r="U36" s="186">
        <f t="shared" si="10"/>
        <v>2.6862458337596354E-3</v>
      </c>
    </row>
    <row r="37" spans="1:21" ht="12.75" customHeight="1">
      <c r="A37" s="4" t="s">
        <v>31</v>
      </c>
      <c r="B37" s="5">
        <v>146976776.61061856</v>
      </c>
      <c r="C37" s="203">
        <v>20746161.508002289</v>
      </c>
      <c r="D37" s="203">
        <v>5399354.4581683828</v>
      </c>
      <c r="E37" s="203">
        <v>6809344.7490014546</v>
      </c>
      <c r="F37" s="203">
        <v>566602.24067467044</v>
      </c>
      <c r="G37" s="203">
        <v>4963660.3877581675</v>
      </c>
      <c r="H37" s="203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I'!AP37</f>
        <v>187025344.90311292</v>
      </c>
      <c r="L37" s="5">
        <f t="shared" si="4"/>
        <v>-8357975.8622910976</v>
      </c>
      <c r="M37" s="183">
        <f t="shared" si="5"/>
        <v>-4.2777325257597018E-2</v>
      </c>
      <c r="N37" s="5">
        <f t="shared" si="6"/>
        <v>195383320.76540402</v>
      </c>
      <c r="O37" s="5">
        <f t="shared" si="7"/>
        <v>8357975.8622910976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83">
        <f t="shared" si="2"/>
        <v>4.8299999999999954E-2</v>
      </c>
      <c r="U37" s="186">
        <f t="shared" si="10"/>
        <v>2.5148179582999038E-2</v>
      </c>
    </row>
    <row r="38" spans="1:21" ht="12.75" customHeight="1">
      <c r="A38" s="4" t="s">
        <v>32</v>
      </c>
      <c r="B38" s="5">
        <v>28642439.294303101</v>
      </c>
      <c r="C38" s="203">
        <v>4042956.2090412104</v>
      </c>
      <c r="D38" s="203">
        <v>1052211.6885596451</v>
      </c>
      <c r="E38" s="203">
        <v>1326986.8077455515</v>
      </c>
      <c r="F38" s="203">
        <v>110417.92218327834</v>
      </c>
      <c r="G38" s="203">
        <v>967304.79884281906</v>
      </c>
      <c r="H38" s="203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I'!AP38</f>
        <v>34414204.840037242</v>
      </c>
      <c r="L38" s="5">
        <f t="shared" si="4"/>
        <v>-3661571.7091276348</v>
      </c>
      <c r="M38" s="183">
        <f t="shared" si="5"/>
        <v>-9.616538495018416E-2</v>
      </c>
      <c r="N38" s="5">
        <f t="shared" si="6"/>
        <v>38075776.549164876</v>
      </c>
      <c r="O38" s="5">
        <f t="shared" si="7"/>
        <v>3661571.7091276348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83">
        <f t="shared" si="2"/>
        <v>4.8299999999999926E-2</v>
      </c>
      <c r="U38" s="186">
        <f t="shared" si="10"/>
        <v>4.9008096631249906E-3</v>
      </c>
    </row>
    <row r="39" spans="1:21" s="11" customFormat="1" ht="12.75" customHeight="1">
      <c r="A39" s="4" t="s">
        <v>33</v>
      </c>
      <c r="B39" s="5">
        <v>105014849.53165476</v>
      </c>
      <c r="C39" s="203">
        <v>14823124.301427007</v>
      </c>
      <c r="D39" s="203">
        <v>3857836.6533019841</v>
      </c>
      <c r="E39" s="203">
        <v>4865274.1658636238</v>
      </c>
      <c r="F39" s="203">
        <v>404837.07984959421</v>
      </c>
      <c r="G39" s="203">
        <v>3546533.4100203705</v>
      </c>
      <c r="H39" s="203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I'!AP39</f>
        <v>132204649.04787822</v>
      </c>
      <c r="L39" s="5">
        <f t="shared" si="4"/>
        <v>-7396657.3920643181</v>
      </c>
      <c r="M39" s="183">
        <f t="shared" si="5"/>
        <v>-5.2984155955921604E-2</v>
      </c>
      <c r="N39" s="5">
        <f t="shared" si="6"/>
        <v>139601306.43994254</v>
      </c>
      <c r="O39" s="5">
        <f t="shared" si="7"/>
        <v>7396657.3920643181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83">
        <f t="shared" ref="T39:T58" si="13">+(S39-I39)/I39</f>
        <v>4.8299999999999912E-2</v>
      </c>
      <c r="U39" s="186">
        <f t="shared" si="10"/>
        <v>1.7968364498156222E-2</v>
      </c>
    </row>
    <row r="40" spans="1:21" ht="12.75" customHeight="1">
      <c r="A40" s="4" t="s">
        <v>34</v>
      </c>
      <c r="B40" s="5">
        <v>21201866.178504594</v>
      </c>
      <c r="C40" s="203">
        <v>2992699.5961788408</v>
      </c>
      <c r="D40" s="203">
        <v>778874.00521614891</v>
      </c>
      <c r="E40" s="203">
        <v>982269.57660201832</v>
      </c>
      <c r="F40" s="203">
        <v>81734.170256389014</v>
      </c>
      <c r="G40" s="203">
        <v>716023.75370756444</v>
      </c>
      <c r="H40" s="203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I'!AP40</f>
        <v>30757881.467408907</v>
      </c>
      <c r="L40" s="5">
        <f t="shared" si="4"/>
        <v>2573217.7680930644</v>
      </c>
      <c r="M40" s="183">
        <f t="shared" si="5"/>
        <v>9.1298508846693355E-2</v>
      </c>
      <c r="N40" s="5">
        <f t="shared" si="6"/>
        <v>0</v>
      </c>
      <c r="O40" s="5">
        <f t="shared" si="7"/>
        <v>0</v>
      </c>
      <c r="P40" s="5">
        <f t="shared" si="8"/>
        <v>30757881.467408907</v>
      </c>
      <c r="Q40" s="5">
        <f t="shared" si="11"/>
        <v>2573217.7680930644</v>
      </c>
      <c r="R40" s="5">
        <f t="shared" si="9"/>
        <v>1185993.0445012639</v>
      </c>
      <c r="S40" s="5">
        <f t="shared" si="12"/>
        <v>29571888.422907643</v>
      </c>
      <c r="T40" s="183">
        <f t="shared" si="13"/>
        <v>9.989641758565973E-2</v>
      </c>
      <c r="U40" s="186">
        <f t="shared" si="10"/>
        <v>3.8062571449516114E-3</v>
      </c>
    </row>
    <row r="41" spans="1:21" ht="12.75" customHeight="1">
      <c r="A41" s="4" t="s">
        <v>35</v>
      </c>
      <c r="B41" s="5">
        <v>20006809.988561384</v>
      </c>
      <c r="C41" s="203">
        <v>2824014.2480615564</v>
      </c>
      <c r="D41" s="203">
        <v>734972.29424045898</v>
      </c>
      <c r="E41" s="203">
        <v>926903.349505438</v>
      </c>
      <c r="F41" s="203">
        <v>77127.173623534836</v>
      </c>
      <c r="G41" s="203">
        <v>675664.6357022624</v>
      </c>
      <c r="H41" s="203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I'!AP41</f>
        <v>29510719.205919113</v>
      </c>
      <c r="L41" s="5">
        <f t="shared" si="4"/>
        <v>2914701.3612543531</v>
      </c>
      <c r="M41" s="183">
        <f t="shared" si="5"/>
        <v>0.10959164557182198</v>
      </c>
      <c r="N41" s="5">
        <f t="shared" si="6"/>
        <v>0</v>
      </c>
      <c r="O41" s="5">
        <f t="shared" si="7"/>
        <v>0</v>
      </c>
      <c r="P41" s="5">
        <f t="shared" si="8"/>
        <v>29510719.205919113</v>
      </c>
      <c r="Q41" s="5">
        <f t="shared" si="11"/>
        <v>2914701.3612543531</v>
      </c>
      <c r="R41" s="5">
        <f t="shared" si="9"/>
        <v>1343382.431175956</v>
      </c>
      <c r="S41" s="5">
        <f t="shared" si="12"/>
        <v>28167336.774743158</v>
      </c>
      <c r="T41" s="183">
        <f t="shared" si="13"/>
        <v>0.11023459652575847</v>
      </c>
      <c r="U41" s="186">
        <f t="shared" si="10"/>
        <v>3.6254744817065302E-3</v>
      </c>
    </row>
    <row r="42" spans="1:21" ht="12.75" customHeight="1">
      <c r="A42" s="4" t="s">
        <v>36</v>
      </c>
      <c r="B42" s="5">
        <v>22613926.876078855</v>
      </c>
      <c r="C42" s="203">
        <v>3192015.7056117598</v>
      </c>
      <c r="D42" s="203">
        <v>830747.61680566624</v>
      </c>
      <c r="E42" s="203">
        <v>1047689.4906729467</v>
      </c>
      <c r="F42" s="203">
        <v>87177.729257084051</v>
      </c>
      <c r="G42" s="203">
        <v>763711.48990311264</v>
      </c>
      <c r="H42" s="203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I'!AP42</f>
        <v>29849790.23923704</v>
      </c>
      <c r="L42" s="5">
        <f t="shared" si="4"/>
        <v>-211993.87717345357</v>
      </c>
      <c r="M42" s="183">
        <f t="shared" si="5"/>
        <v>-7.0519393111378162E-3</v>
      </c>
      <c r="N42" s="5">
        <f t="shared" si="6"/>
        <v>30061784.116410494</v>
      </c>
      <c r="O42" s="5">
        <f t="shared" si="7"/>
        <v>211993.87717345357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83">
        <f t="shared" si="13"/>
        <v>4.830000000000003E-2</v>
      </c>
      <c r="U42" s="186">
        <f t="shared" si="10"/>
        <v>3.8693126034671319E-3</v>
      </c>
    </row>
    <row r="43" spans="1:21" ht="12.75" customHeight="1">
      <c r="A43" s="4" t="s">
        <v>37</v>
      </c>
      <c r="B43" s="5">
        <v>31852696.246518105</v>
      </c>
      <c r="C43" s="203">
        <v>4496092.4850481506</v>
      </c>
      <c r="D43" s="203">
        <v>1170144.0285287597</v>
      </c>
      <c r="E43" s="203">
        <v>1475716.0616087182</v>
      </c>
      <c r="F43" s="203">
        <v>122793.61053495121</v>
      </c>
      <c r="G43" s="203">
        <v>1075720.7379843476</v>
      </c>
      <c r="H43" s="203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I'!AP43</f>
        <v>37760619.548811108</v>
      </c>
      <c r="L43" s="5">
        <f t="shared" si="4"/>
        <v>-4582706.4615567252</v>
      </c>
      <c r="M43" s="183">
        <f t="shared" si="5"/>
        <v>-0.10822736174372892</v>
      </c>
      <c r="N43" s="5">
        <f t="shared" si="6"/>
        <v>42343326.010367833</v>
      </c>
      <c r="O43" s="5">
        <f t="shared" si="7"/>
        <v>4582706.4615567252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83">
        <f t="shared" si="13"/>
        <v>4.8299999999999919E-2</v>
      </c>
      <c r="U43" s="186">
        <f t="shared" si="10"/>
        <v>5.4500945243364692E-3</v>
      </c>
    </row>
    <row r="44" spans="1:21" s="11" customFormat="1" ht="12.75" customHeight="1">
      <c r="A44" s="4" t="s">
        <v>38</v>
      </c>
      <c r="B44" s="5">
        <v>74729366.826373518</v>
      </c>
      <c r="C44" s="203">
        <v>10548248.160850508</v>
      </c>
      <c r="D44" s="203">
        <v>2745265.9476880203</v>
      </c>
      <c r="E44" s="203">
        <v>3462166.1552931815</v>
      </c>
      <c r="F44" s="203">
        <v>288085.1496709417</v>
      </c>
      <c r="G44" s="203">
        <v>2523740.1885674577</v>
      </c>
      <c r="H44" s="203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I'!AP44</f>
        <v>93680490.25553751</v>
      </c>
      <c r="L44" s="5">
        <f t="shared" si="4"/>
        <v>-5660862.7523227632</v>
      </c>
      <c r="M44" s="183">
        <f t="shared" si="5"/>
        <v>-5.6983950599855969E-2</v>
      </c>
      <c r="N44" s="5">
        <f t="shared" si="6"/>
        <v>99341353.007860273</v>
      </c>
      <c r="O44" s="5">
        <f t="shared" si="7"/>
        <v>5660862.7523227632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83">
        <f t="shared" si="13"/>
        <v>4.8299999999999961E-2</v>
      </c>
      <c r="U44" s="186">
        <f t="shared" si="10"/>
        <v>1.2786425042183696E-2</v>
      </c>
    </row>
    <row r="45" spans="1:21" ht="12.75" customHeight="1">
      <c r="A45" s="4" t="s">
        <v>39</v>
      </c>
      <c r="B45" s="5">
        <v>1401888181.6267445</v>
      </c>
      <c r="C45" s="203">
        <v>197880231.84936696</v>
      </c>
      <c r="D45" s="203">
        <v>51499912.965053618</v>
      </c>
      <c r="E45" s="203">
        <v>64948627.588551342</v>
      </c>
      <c r="F45" s="203">
        <v>5404343.4833909571</v>
      </c>
      <c r="G45" s="203">
        <v>47344192.706095994</v>
      </c>
      <c r="H45" s="203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I'!AP45</f>
        <v>2236547924.4068842</v>
      </c>
      <c r="L45" s="5">
        <f t="shared" si="4"/>
        <v>372950323.58569813</v>
      </c>
      <c r="M45" s="183">
        <f t="shared" si="5"/>
        <v>0.20012384831433525</v>
      </c>
      <c r="N45" s="5">
        <f t="shared" si="6"/>
        <v>0</v>
      </c>
      <c r="O45" s="5">
        <f t="shared" si="7"/>
        <v>0</v>
      </c>
      <c r="P45" s="5">
        <f t="shared" si="8"/>
        <v>2236547924.4068842</v>
      </c>
      <c r="Q45" s="5">
        <f t="shared" si="11"/>
        <v>372950323.58569813</v>
      </c>
      <c r="R45" s="5">
        <f t="shared" si="9"/>
        <v>171892365.73821783</v>
      </c>
      <c r="S45" s="5">
        <f t="shared" si="12"/>
        <v>2064655558.6686664</v>
      </c>
      <c r="T45" s="183">
        <f t="shared" si="13"/>
        <v>0.16139794406187216</v>
      </c>
      <c r="U45" s="186">
        <f t="shared" si="10"/>
        <v>0.26574596318167693</v>
      </c>
    </row>
    <row r="46" spans="1:21" ht="12.75" customHeight="1">
      <c r="A46" s="4" t="s">
        <v>40</v>
      </c>
      <c r="B46" s="5">
        <v>7987263.9307073141</v>
      </c>
      <c r="C46" s="203">
        <v>1127423.470120677</v>
      </c>
      <c r="D46" s="203">
        <v>293420.97511829878</v>
      </c>
      <c r="E46" s="203">
        <v>370045.08439819218</v>
      </c>
      <c r="F46" s="203">
        <v>30791.27018813516</v>
      </c>
      <c r="G46" s="203">
        <v>269743.74111125537</v>
      </c>
      <c r="H46" s="203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I'!AP46</f>
        <v>7978584.9521025727</v>
      </c>
      <c r="L46" s="5">
        <f t="shared" si="4"/>
        <v>-2639270.3757886132</v>
      </c>
      <c r="M46" s="183">
        <f t="shared" si="5"/>
        <v>-0.24856906543600452</v>
      </c>
      <c r="N46" s="5">
        <f t="shared" si="6"/>
        <v>10617855.327891186</v>
      </c>
      <c r="O46" s="5">
        <f t="shared" si="7"/>
        <v>2639270.3757886132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83">
        <f t="shared" si="13"/>
        <v>4.8299999999999912E-2</v>
      </c>
      <c r="U46" s="186">
        <f t="shared" si="10"/>
        <v>1.3666454819483808E-3</v>
      </c>
    </row>
    <row r="47" spans="1:21" s="11" customFormat="1" ht="12.75" customHeight="1">
      <c r="A47" s="4" t="s">
        <v>41</v>
      </c>
      <c r="B47" s="5">
        <v>22055288.490343686</v>
      </c>
      <c r="C47" s="203">
        <v>3113162.4170694686</v>
      </c>
      <c r="D47" s="203">
        <v>810225.4178027208</v>
      </c>
      <c r="E47" s="203">
        <v>1021808.113722087</v>
      </c>
      <c r="F47" s="203">
        <v>85024.152560273462</v>
      </c>
      <c r="G47" s="203">
        <v>744845.30375708197</v>
      </c>
      <c r="H47" s="203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I'!AP47</f>
        <v>49917598.098128907</v>
      </c>
      <c r="L47" s="5">
        <f t="shared" si="4"/>
        <v>20598438.942132339</v>
      </c>
      <c r="M47" s="183">
        <f t="shared" si="5"/>
        <v>0.70255899333727634</v>
      </c>
      <c r="N47" s="5">
        <f t="shared" si="6"/>
        <v>0</v>
      </c>
      <c r="O47" s="5">
        <f t="shared" si="7"/>
        <v>0</v>
      </c>
      <c r="P47" s="5">
        <f t="shared" si="8"/>
        <v>49917598.098128907</v>
      </c>
      <c r="Q47" s="5">
        <f t="shared" si="11"/>
        <v>20598438.942132339</v>
      </c>
      <c r="R47" s="5">
        <f t="shared" si="9"/>
        <v>9493796.295001097</v>
      </c>
      <c r="S47" s="5">
        <f t="shared" si="12"/>
        <v>40423801.80312781</v>
      </c>
      <c r="T47" s="183">
        <f t="shared" si="13"/>
        <v>0.4453440224786181</v>
      </c>
      <c r="U47" s="186">
        <f t="shared" si="10"/>
        <v>5.2030287088488383E-3</v>
      </c>
    </row>
    <row r="48" spans="1:21" ht="12.75" customHeight="1">
      <c r="A48" s="4" t="s">
        <v>42</v>
      </c>
      <c r="B48" s="5">
        <v>16940744.022520985</v>
      </c>
      <c r="C48" s="203">
        <v>2391230.9118606243</v>
      </c>
      <c r="D48" s="203">
        <v>622336.96963578486</v>
      </c>
      <c r="E48" s="203">
        <v>784854.37641307653</v>
      </c>
      <c r="F48" s="203">
        <v>65307.348162124203</v>
      </c>
      <c r="G48" s="203">
        <v>572118.275981182</v>
      </c>
      <c r="H48" s="203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I'!AP48</f>
        <v>14825199.791311208</v>
      </c>
      <c r="L48" s="5">
        <f t="shared" si="4"/>
        <v>-7694948.627277039</v>
      </c>
      <c r="M48" s="183">
        <f t="shared" si="5"/>
        <v>-0.34169173685043697</v>
      </c>
      <c r="N48" s="5">
        <f t="shared" si="6"/>
        <v>22520148.418588247</v>
      </c>
      <c r="O48" s="5">
        <f t="shared" si="7"/>
        <v>7694948.627277039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83">
        <f t="shared" si="13"/>
        <v>4.8300000000000051E-2</v>
      </c>
      <c r="U48" s="186">
        <f t="shared" si="10"/>
        <v>2.8986135277455547E-3</v>
      </c>
    </row>
    <row r="49" spans="1:21" ht="12.75" customHeight="1">
      <c r="A49" s="4" t="s">
        <v>43</v>
      </c>
      <c r="B49" s="5">
        <v>18324287.173424091</v>
      </c>
      <c r="C49" s="203">
        <v>2586521.6940089422</v>
      </c>
      <c r="D49" s="203">
        <v>673162.95760589605</v>
      </c>
      <c r="E49" s="203">
        <v>848953.08987566538</v>
      </c>
      <c r="F49" s="203">
        <v>70640.970707464192</v>
      </c>
      <c r="G49" s="203">
        <v>618842.92521665664</v>
      </c>
      <c r="H49" s="203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I'!AP49</f>
        <v>25081702.837396044</v>
      </c>
      <c r="L49" s="5">
        <f t="shared" si="4"/>
        <v>722343.75247352943</v>
      </c>
      <c r="M49" s="183">
        <f t="shared" si="5"/>
        <v>2.9653643593629351E-2</v>
      </c>
      <c r="N49" s="5">
        <f t="shared" si="6"/>
        <v>0</v>
      </c>
      <c r="O49" s="5">
        <f t="shared" si="7"/>
        <v>0</v>
      </c>
      <c r="P49" s="5">
        <f t="shared" si="8"/>
        <v>25081702.837396044</v>
      </c>
      <c r="Q49" s="5">
        <f t="shared" si="11"/>
        <v>722343.75247352943</v>
      </c>
      <c r="R49" s="5">
        <f t="shared" si="9"/>
        <v>332927.38640127593</v>
      </c>
      <c r="S49" s="5">
        <f t="shared" si="12"/>
        <v>24748775.450994767</v>
      </c>
      <c r="T49" s="183">
        <f t="shared" si="13"/>
        <v>6.505845309108392E-2</v>
      </c>
      <c r="U49" s="186">
        <f t="shared" si="10"/>
        <v>3.1854645885982845E-3</v>
      </c>
    </row>
    <row r="50" spans="1:21" ht="12.75" customHeight="1">
      <c r="A50" s="4" t="s">
        <v>44</v>
      </c>
      <c r="B50" s="5">
        <v>54618112.049358256</v>
      </c>
      <c r="C50" s="203">
        <v>7709491.2541189073</v>
      </c>
      <c r="D50" s="203">
        <v>2006456.7586192188</v>
      </c>
      <c r="E50" s="203">
        <v>2530423.9422053113</v>
      </c>
      <c r="F50" s="203">
        <v>210555.33657928117</v>
      </c>
      <c r="G50" s="203">
        <v>1844548.2714032405</v>
      </c>
      <c r="H50" s="203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I'!AP50</f>
        <v>43481653.412998661</v>
      </c>
      <c r="L50" s="5">
        <f t="shared" si="4"/>
        <v>-29124838.253451228</v>
      </c>
      <c r="M50" s="183">
        <f t="shared" si="5"/>
        <v>-0.40113270294409881</v>
      </c>
      <c r="N50" s="5">
        <f t="shared" si="6"/>
        <v>72606491.66644989</v>
      </c>
      <c r="O50" s="5">
        <f t="shared" si="7"/>
        <v>29124838.253451228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83">
        <f t="shared" si="13"/>
        <v>4.8300000000000058E-2</v>
      </c>
      <c r="U50" s="186">
        <f t="shared" si="10"/>
        <v>9.3453273501875895E-3</v>
      </c>
    </row>
    <row r="51" spans="1:21" ht="12.75" customHeight="1">
      <c r="A51" s="4" t="s">
        <v>45</v>
      </c>
      <c r="B51" s="5">
        <v>47001748.859349623</v>
      </c>
      <c r="C51" s="203">
        <v>6634421.4064372238</v>
      </c>
      <c r="D51" s="203">
        <v>1726661.2324596685</v>
      </c>
      <c r="E51" s="203">
        <v>2177562.463743506</v>
      </c>
      <c r="F51" s="203">
        <v>181193.90582288505</v>
      </c>
      <c r="G51" s="203">
        <v>1587330.4909018956</v>
      </c>
      <c r="H51" s="203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I'!AP51</f>
        <v>62956619.919329681</v>
      </c>
      <c r="L51" s="5">
        <f t="shared" si="4"/>
        <v>474927.33023117483</v>
      </c>
      <c r="M51" s="183">
        <f t="shared" si="5"/>
        <v>7.6010637764643042E-3</v>
      </c>
      <c r="N51" s="5">
        <f t="shared" si="6"/>
        <v>0</v>
      </c>
      <c r="O51" s="5">
        <f t="shared" si="7"/>
        <v>0</v>
      </c>
      <c r="P51" s="5">
        <f t="shared" si="8"/>
        <v>62956619.919329681</v>
      </c>
      <c r="Q51" s="5">
        <f t="shared" si="11"/>
        <v>474927.33023117483</v>
      </c>
      <c r="R51" s="5">
        <f t="shared" si="9"/>
        <v>218893.44822733128</v>
      </c>
      <c r="S51" s="5">
        <f t="shared" si="12"/>
        <v>62737726.471102349</v>
      </c>
      <c r="T51" s="183">
        <f t="shared" si="13"/>
        <v>5.2595663375666242E-2</v>
      </c>
      <c r="U51" s="186">
        <f t="shared" si="10"/>
        <v>8.0750987635159512E-3</v>
      </c>
    </row>
    <row r="52" spans="1:21" ht="12.75" customHeight="1">
      <c r="A52" s="4" t="s">
        <v>46</v>
      </c>
      <c r="B52" s="5">
        <v>425297684.76315486</v>
      </c>
      <c r="C52" s="203">
        <v>60031895.245948687</v>
      </c>
      <c r="D52" s="203">
        <v>15623780.866811644</v>
      </c>
      <c r="E52" s="203">
        <v>19703783.300247163</v>
      </c>
      <c r="F52" s="203">
        <v>1639542.1555540059</v>
      </c>
      <c r="G52" s="203">
        <v>14363039.655284002</v>
      </c>
      <c r="H52" s="203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I'!AP52</f>
        <v>483289063.62240714</v>
      </c>
      <c r="L52" s="5">
        <f t="shared" si="4"/>
        <v>-82079669.310192645</v>
      </c>
      <c r="M52" s="183">
        <f t="shared" si="5"/>
        <v>-0.14517900359370906</v>
      </c>
      <c r="N52" s="5">
        <f t="shared" si="6"/>
        <v>565368732.93259978</v>
      </c>
      <c r="O52" s="5">
        <f t="shared" si="7"/>
        <v>82079669.310192645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83">
        <f t="shared" si="13"/>
        <v>4.8300000000000058E-2</v>
      </c>
      <c r="U52" s="186">
        <f t="shared" si="10"/>
        <v>7.2769744984901408E-2</v>
      </c>
    </row>
    <row r="53" spans="1:21" ht="12.75" customHeight="1">
      <c r="A53" s="4" t="s">
        <v>47</v>
      </c>
      <c r="B53" s="5">
        <v>724304822.74862874</v>
      </c>
      <c r="C53" s="203">
        <v>102237545.1434126</v>
      </c>
      <c r="D53" s="203">
        <v>26608138.809256099</v>
      </c>
      <c r="E53" s="203">
        <v>33556602.309545174</v>
      </c>
      <c r="F53" s="203">
        <v>2792228.4388400866</v>
      </c>
      <c r="G53" s="203">
        <v>24461028.743535973</v>
      </c>
      <c r="H53" s="203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I'!AP53</f>
        <v>1122087413.0605199</v>
      </c>
      <c r="L53" s="5">
        <f t="shared" si="4"/>
        <v>159234064.53517401</v>
      </c>
      <c r="M53" s="183">
        <f t="shared" si="5"/>
        <v>0.16537727659050913</v>
      </c>
      <c r="N53" s="5">
        <f t="shared" si="6"/>
        <v>0</v>
      </c>
      <c r="O53" s="5">
        <f t="shared" si="7"/>
        <v>0</v>
      </c>
      <c r="P53" s="5">
        <f t="shared" si="8"/>
        <v>1122087413.0605199</v>
      </c>
      <c r="Q53" s="5">
        <f t="shared" si="11"/>
        <v>159234064.53517401</v>
      </c>
      <c r="R53" s="5">
        <f t="shared" si="9"/>
        <v>73390793.164907008</v>
      </c>
      <c r="S53" s="5">
        <f t="shared" si="12"/>
        <v>1048696619.895613</v>
      </c>
      <c r="T53" s="183">
        <f t="shared" si="13"/>
        <v>0.1417612747780064</v>
      </c>
      <c r="U53" s="186">
        <f t="shared" si="10"/>
        <v>0.13497984793126064</v>
      </c>
    </row>
    <row r="54" spans="1:21" s="11" customFormat="1" ht="12.75" customHeight="1">
      <c r="A54" s="4" t="s">
        <v>48</v>
      </c>
      <c r="B54" s="5">
        <v>221441748.31500369</v>
      </c>
      <c r="C54" s="203">
        <v>31257089.5967311</v>
      </c>
      <c r="D54" s="203">
        <v>8134907.5586131345</v>
      </c>
      <c r="E54" s="203">
        <v>10259261.638955295</v>
      </c>
      <c r="F54" s="203">
        <v>853668.1349777797</v>
      </c>
      <c r="G54" s="203">
        <v>7478471.4949613456</v>
      </c>
      <c r="H54" s="203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I'!AP54</f>
        <v>290921762.20835173</v>
      </c>
      <c r="L54" s="5">
        <f t="shared" si="4"/>
        <v>-3451438.3721930981</v>
      </c>
      <c r="M54" s="183">
        <f t="shared" si="5"/>
        <v>-1.1724703082299552E-2</v>
      </c>
      <c r="N54" s="5">
        <f t="shared" si="6"/>
        <v>294373200.58054483</v>
      </c>
      <c r="O54" s="5">
        <f t="shared" si="7"/>
        <v>3451438.3721930981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83">
        <f t="shared" si="13"/>
        <v>4.8300000000000003E-2</v>
      </c>
      <c r="U54" s="186">
        <f t="shared" si="10"/>
        <v>3.7889365804722047E-2</v>
      </c>
    </row>
    <row r="55" spans="1:21" s="11" customFormat="1" ht="12.75" customHeight="1">
      <c r="A55" s="4" t="s">
        <v>49</v>
      </c>
      <c r="B55" s="5">
        <v>59031167.450255796</v>
      </c>
      <c r="C55" s="203">
        <v>8332405.7185797393</v>
      </c>
      <c r="D55" s="203">
        <v>2168575.2300050557</v>
      </c>
      <c r="E55" s="203">
        <v>2734878.1173081729</v>
      </c>
      <c r="F55" s="203">
        <v>227567.8683277868</v>
      </c>
      <c r="G55" s="203">
        <v>1993584.7980335688</v>
      </c>
      <c r="H55" s="203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I'!AP55</f>
        <v>104103400.35070874</v>
      </c>
      <c r="L55" s="5">
        <f t="shared" si="4"/>
        <v>25630421.210305706</v>
      </c>
      <c r="M55" s="183">
        <f t="shared" si="5"/>
        <v>0.32661460659532277</v>
      </c>
      <c r="N55" s="5">
        <f t="shared" si="6"/>
        <v>0</v>
      </c>
      <c r="O55" s="5">
        <f t="shared" si="7"/>
        <v>0</v>
      </c>
      <c r="P55" s="5">
        <f t="shared" si="8"/>
        <v>104103400.35070874</v>
      </c>
      <c r="Q55" s="5">
        <f t="shared" si="11"/>
        <v>25630421.210305706</v>
      </c>
      <c r="R55" s="5">
        <f t="shared" si="9"/>
        <v>11813031.007316152</v>
      </c>
      <c r="S55" s="5">
        <f t="shared" si="12"/>
        <v>92290369.343392581</v>
      </c>
      <c r="T55" s="183">
        <f t="shared" si="13"/>
        <v>0.23288290112674262</v>
      </c>
      <c r="U55" s="186">
        <f t="shared" si="10"/>
        <v>1.1878878774998828E-2</v>
      </c>
    </row>
    <row r="56" spans="1:21" ht="12.75" customHeight="1">
      <c r="A56" s="4" t="s">
        <v>50</v>
      </c>
      <c r="B56" s="5">
        <v>14182129.555242509</v>
      </c>
      <c r="C56" s="203">
        <v>2001845.1694579963</v>
      </c>
      <c r="D56" s="203">
        <v>520996.21590754075</v>
      </c>
      <c r="E56" s="203">
        <v>657049.4444336046</v>
      </c>
      <c r="F56" s="203">
        <v>54672.762383593654</v>
      </c>
      <c r="G56" s="203">
        <v>478955.08603993838</v>
      </c>
      <c r="H56" s="203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I'!AP56</f>
        <v>13711227.708929993</v>
      </c>
      <c r="L56" s="5">
        <f t="shared" si="4"/>
        <v>-5141761.3953927159</v>
      </c>
      <c r="M56" s="183">
        <f t="shared" si="5"/>
        <v>-0.27272924027807277</v>
      </c>
      <c r="N56" s="5">
        <f t="shared" si="6"/>
        <v>18852989.104322709</v>
      </c>
      <c r="O56" s="5">
        <f t="shared" si="7"/>
        <v>5141761.3953927159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83">
        <f t="shared" si="13"/>
        <v>4.830000000000003E-2</v>
      </c>
      <c r="U56" s="186">
        <f t="shared" si="10"/>
        <v>2.4266060880452725E-3</v>
      </c>
    </row>
    <row r="57" spans="1:21" ht="12.75" customHeight="1">
      <c r="A57" s="4" t="s">
        <v>51</v>
      </c>
      <c r="B57" s="5">
        <v>19538877.032701243</v>
      </c>
      <c r="C57" s="203">
        <v>2757964.2713169348</v>
      </c>
      <c r="D57" s="203">
        <v>717782.25953077164</v>
      </c>
      <c r="E57" s="203">
        <v>905224.30000276084</v>
      </c>
      <c r="F57" s="203">
        <v>75323.270534942145</v>
      </c>
      <c r="G57" s="203">
        <v>659861.72907734208</v>
      </c>
      <c r="H57" s="203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I'!AP57</f>
        <v>9549895.6994769648</v>
      </c>
      <c r="L57" s="5">
        <f t="shared" si="4"/>
        <v>-16424076.289239567</v>
      </c>
      <c r="M57" s="183">
        <f t="shared" si="5"/>
        <v>-0.63232825138852167</v>
      </c>
      <c r="N57" s="5">
        <f t="shared" si="6"/>
        <v>25973971.988716532</v>
      </c>
      <c r="O57" s="5">
        <f t="shared" si="7"/>
        <v>16424076.289239567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83">
        <f t="shared" si="13"/>
        <v>4.8299999999999996E-2</v>
      </c>
      <c r="U57" s="186">
        <f t="shared" si="10"/>
        <v>3.3431620953987282E-3</v>
      </c>
    </row>
    <row r="58" spans="1:21" s="193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7769282866.8000021</v>
      </c>
      <c r="L58" s="7">
        <f>SUM(L7:L57)</f>
        <v>387758385.35328108</v>
      </c>
      <c r="M58" s="184">
        <f t="shared" si="5"/>
        <v>5.2530935354600954E-2</v>
      </c>
      <c r="N58" s="7">
        <f t="shared" ref="N58:S58" si="15">SUM(N7:N57)</f>
        <v>3230840982.8945918</v>
      </c>
      <c r="O58" s="7">
        <f t="shared" si="15"/>
        <v>331509913.39407122</v>
      </c>
      <c r="P58" s="7">
        <f t="shared" si="15"/>
        <v>4869951797.2994814</v>
      </c>
      <c r="Q58" s="7">
        <f t="shared" si="15"/>
        <v>719268298.74735236</v>
      </c>
      <c r="R58" s="7">
        <f t="shared" si="15"/>
        <v>331509913.39407116</v>
      </c>
      <c r="S58" s="7">
        <f t="shared" si="15"/>
        <v>7769282866.8000011</v>
      </c>
      <c r="T58" s="184">
        <f t="shared" si="13"/>
        <v>0.10336817953222814</v>
      </c>
      <c r="U58" s="187">
        <f>SUM(U7:U57)</f>
        <v>1</v>
      </c>
    </row>
    <row r="59" spans="1:21" ht="14.4" thickTop="1">
      <c r="K59" s="206">
        <f>+(K58-I58)/I58</f>
        <v>0.10336817953222827</v>
      </c>
      <c r="M59" s="194"/>
      <c r="N59" s="194"/>
      <c r="O59" s="194"/>
      <c r="P59" s="195"/>
      <c r="Q59" s="194"/>
      <c r="R59" s="194"/>
      <c r="S59" s="196"/>
      <c r="T59" s="194"/>
      <c r="U59" s="197"/>
    </row>
    <row r="60" spans="1:21">
      <c r="A60" s="98" t="s">
        <v>195</v>
      </c>
      <c r="B60" s="98"/>
      <c r="C60" s="98"/>
      <c r="D60" s="98"/>
      <c r="E60" s="98"/>
      <c r="F60" s="98"/>
      <c r="G60" s="98"/>
      <c r="H60" s="98"/>
      <c r="K60" s="198"/>
      <c r="M60" s="199"/>
    </row>
    <row r="61" spans="1:21">
      <c r="A61" s="98" t="s">
        <v>196</v>
      </c>
      <c r="B61" s="98"/>
      <c r="C61" s="98"/>
      <c r="D61" s="98"/>
      <c r="E61" s="98"/>
      <c r="F61" s="98"/>
      <c r="G61" s="98"/>
      <c r="H61" s="98"/>
      <c r="K61" s="200"/>
      <c r="L61" s="201"/>
    </row>
    <row r="65" spans="18:18">
      <c r="R65" s="202"/>
    </row>
  </sheetData>
  <mergeCells count="19"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  <mergeCell ref="E3:E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89" zoomScaleNormal="89" workbookViewId="0">
      <selection sqref="A1:N1"/>
    </sheetView>
  </sheetViews>
  <sheetFormatPr baseColWidth="10" defaultColWidth="9.6640625" defaultRowHeight="13.2"/>
  <cols>
    <col min="1" max="1" width="28.6640625" style="14" customWidth="1"/>
    <col min="2" max="2" width="12.44140625" style="14" customWidth="1"/>
    <col min="3" max="3" width="14.109375" style="81" customWidth="1"/>
    <col min="4" max="4" width="2.109375" style="11" customWidth="1"/>
    <col min="5" max="5" width="17.33203125" style="14" customWidth="1"/>
    <col min="6" max="6" width="15.6640625" style="81" customWidth="1"/>
    <col min="7" max="7" width="2" style="11" customWidth="1"/>
    <col min="8" max="8" width="16.109375" style="81" customWidth="1"/>
    <col min="9" max="9" width="2.109375" style="11" customWidth="1"/>
    <col min="10" max="12" width="18.44140625" style="14" customWidth="1"/>
    <col min="13" max="13" width="15.6640625" style="14" customWidth="1"/>
    <col min="14" max="14" width="15.6640625" style="81" customWidth="1"/>
    <col min="15" max="16384" width="9.6640625" style="14"/>
  </cols>
  <sheetData>
    <row r="1" spans="1:14" s="96" customFormat="1" ht="51" customHeight="1">
      <c r="A1" s="230" t="s">
        <v>200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1.4" customHeight="1"/>
    <row r="3" spans="1:14" ht="33.6" customHeight="1" thickBot="1">
      <c r="B3" s="232" t="s">
        <v>127</v>
      </c>
      <c r="C3" s="233"/>
      <c r="E3" s="234" t="s">
        <v>129</v>
      </c>
      <c r="F3" s="234"/>
      <c r="H3" s="126" t="s">
        <v>128</v>
      </c>
    </row>
    <row r="4" spans="1:14" ht="39" customHeight="1" thickBot="1">
      <c r="A4" s="8" t="s">
        <v>0</v>
      </c>
      <c r="B4" s="8" t="s">
        <v>164</v>
      </c>
      <c r="C4" s="128" t="s">
        <v>115</v>
      </c>
      <c r="E4" s="86" t="s">
        <v>184</v>
      </c>
      <c r="F4" s="128" t="s">
        <v>116</v>
      </c>
      <c r="H4" s="128" t="s">
        <v>122</v>
      </c>
      <c r="J4" s="134" t="s">
        <v>119</v>
      </c>
      <c r="K4" s="134" t="s">
        <v>120</v>
      </c>
      <c r="L4" s="134" t="s">
        <v>121</v>
      </c>
      <c r="M4" s="134" t="s">
        <v>169</v>
      </c>
      <c r="N4" s="136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0.199999999999999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7">
        <f>+M6*0.35</f>
        <v>84136771.599999994</v>
      </c>
      <c r="K6" s="137">
        <f>+M6*0.35</f>
        <v>84136771.599999994</v>
      </c>
      <c r="L6" s="137">
        <f>+M6*0.3</f>
        <v>72117232.799999997</v>
      </c>
      <c r="M6" s="137">
        <f>'PART PEF2019'!D11</f>
        <v>240390776</v>
      </c>
      <c r="N6" s="138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7" t="s">
        <v>117</v>
      </c>
      <c r="K7" s="137" t="s">
        <v>71</v>
      </c>
      <c r="L7" s="137" t="s">
        <v>118</v>
      </c>
      <c r="M7" s="139" t="s">
        <v>132</v>
      </c>
      <c r="N7" s="140" t="s">
        <v>73</v>
      </c>
    </row>
    <row r="8" spans="1:14" ht="13.8" thickTop="1">
      <c r="A8" s="2" t="s">
        <v>1</v>
      </c>
      <c r="B8" s="141">
        <v>2639</v>
      </c>
      <c r="C8" s="129">
        <f t="shared" ref="C8:C58" si="0">+B8/$B$59</f>
        <v>5.1547962458863201E-4</v>
      </c>
      <c r="E8" s="92">
        <v>2997</v>
      </c>
      <c r="F8" s="129">
        <f t="shared" ref="F8:F59" si="1">(E8/E$59)</f>
        <v>5.6540598300273027E-4</v>
      </c>
      <c r="H8" s="142">
        <f>+'COEF Art 14 F I'!AQ7</f>
        <v>4.45130753439938E-4</v>
      </c>
      <c r="J8" s="143">
        <f t="shared" ref="J8:J39" si="2">+C8*J$6</f>
        <v>43370.791438467473</v>
      </c>
      <c r="K8" s="144">
        <f t="shared" ref="K8:K39" si="3">+F8*K$6</f>
        <v>47571.434053174198</v>
      </c>
      <c r="L8" s="144">
        <f t="shared" ref="L8:L39" si="4">+H8*L$6</f>
        <v>32101.598172267408</v>
      </c>
      <c r="M8" s="144">
        <f>SUM(J8:L8)</f>
        <v>123043.82366390908</v>
      </c>
      <c r="N8" s="145">
        <f>+M8/M$59</f>
        <v>5.1184918868895821E-4</v>
      </c>
    </row>
    <row r="9" spans="1:14">
      <c r="A9" s="4" t="s">
        <v>2</v>
      </c>
      <c r="B9" s="146">
        <v>2439</v>
      </c>
      <c r="C9" s="130">
        <f t="shared" si="0"/>
        <v>4.7641334004231659E-4</v>
      </c>
      <c r="E9" s="93">
        <v>3480</v>
      </c>
      <c r="F9" s="130">
        <f t="shared" si="1"/>
        <v>6.5652746775091803E-4</v>
      </c>
      <c r="H9" s="147">
        <f>+'COEF Art 14 F I'!AQ8</f>
        <v>2.4496365222162861E-3</v>
      </c>
      <c r="J9" s="148">
        <f t="shared" si="2"/>
        <v>40083.880378333524</v>
      </c>
      <c r="K9" s="149">
        <f t="shared" si="3"/>
        <v>55238.101603285351</v>
      </c>
      <c r="L9" s="149">
        <f t="shared" si="4"/>
        <v>176661.00734805426</v>
      </c>
      <c r="M9" s="149">
        <f t="shared" ref="M9:M58" si="5">SUM(J9:L9)</f>
        <v>271982.98932967312</v>
      </c>
      <c r="N9" s="150">
        <f t="shared" ref="N9:N58" si="6">+M9/M$59</f>
        <v>1.1314202393925179E-3</v>
      </c>
    </row>
    <row r="10" spans="1:14">
      <c r="A10" s="4" t="s">
        <v>3</v>
      </c>
      <c r="B10" s="146">
        <v>1292</v>
      </c>
      <c r="C10" s="130">
        <f t="shared" si="0"/>
        <v>2.5236819816919762E-4</v>
      </c>
      <c r="E10" s="93">
        <v>1247</v>
      </c>
      <c r="F10" s="130">
        <f t="shared" si="1"/>
        <v>2.3525567594407894E-4</v>
      </c>
      <c r="H10" s="147">
        <f>+'COEF Art 14 F I'!AQ9</f>
        <v>2.6508690168012094E-3</v>
      </c>
      <c r="J10" s="148">
        <f t="shared" si="2"/>
        <v>21233.445448465318</v>
      </c>
      <c r="K10" s="149">
        <f t="shared" si="3"/>
        <v>19793.653074510585</v>
      </c>
      <c r="L10" s="149">
        <f t="shared" si="4"/>
        <v>191173.33800695994</v>
      </c>
      <c r="M10" s="149">
        <f t="shared" si="5"/>
        <v>232200.43652993583</v>
      </c>
      <c r="N10" s="150">
        <f t="shared" si="6"/>
        <v>9.659290609800097E-4</v>
      </c>
    </row>
    <row r="11" spans="1:14" ht="13.5" customHeight="1">
      <c r="A11" s="4" t="s">
        <v>4</v>
      </c>
      <c r="B11" s="146">
        <v>34353</v>
      </c>
      <c r="C11" s="130">
        <f t="shared" si="0"/>
        <v>6.7102203650978689E-3</v>
      </c>
      <c r="E11" s="93">
        <v>36535</v>
      </c>
      <c r="F11" s="130">
        <f t="shared" si="1"/>
        <v>6.8925951247930427E-3</v>
      </c>
      <c r="H11" s="147">
        <f>+'COEF Art 14 F I'!AQ10</f>
        <v>6.9760878250624513E-3</v>
      </c>
      <c r="J11" s="148">
        <f t="shared" si="2"/>
        <v>564576.27824390796</v>
      </c>
      <c r="K11" s="149">
        <f t="shared" si="3"/>
        <v>579920.70174598566</v>
      </c>
      <c r="L11" s="149">
        <f t="shared" si="4"/>
        <v>503096.14971327444</v>
      </c>
      <c r="M11" s="149">
        <f t="shared" si="5"/>
        <v>1647593.1297031683</v>
      </c>
      <c r="N11" s="150">
        <f t="shared" si="6"/>
        <v>6.8538117689805559E-3</v>
      </c>
    </row>
    <row r="12" spans="1:14">
      <c r="A12" s="4" t="s">
        <v>5</v>
      </c>
      <c r="B12" s="146">
        <v>18194</v>
      </c>
      <c r="C12" s="130">
        <f t="shared" si="0"/>
        <v>3.5538599051783142E-3</v>
      </c>
      <c r="E12" s="93">
        <v>19787</v>
      </c>
      <c r="F12" s="130">
        <f t="shared" si="1"/>
        <v>3.7329623575825905E-3</v>
      </c>
      <c r="H12" s="147">
        <f>+'COEF Art 14 F I'!AQ11</f>
        <v>7.4402333452740716E-3</v>
      </c>
      <c r="J12" s="148">
        <f t="shared" si="2"/>
        <v>299010.29914038547</v>
      </c>
      <c r="K12" s="149">
        <f t="shared" si="3"/>
        <v>314079.40127132391</v>
      </c>
      <c r="L12" s="149">
        <f t="shared" si="4"/>
        <v>536569.04024745303</v>
      </c>
      <c r="M12" s="149">
        <f t="shared" si="5"/>
        <v>1149658.7406591624</v>
      </c>
      <c r="N12" s="150">
        <f t="shared" si="6"/>
        <v>4.7824577955485389E-3</v>
      </c>
    </row>
    <row r="13" spans="1:14">
      <c r="A13" s="4" t="s">
        <v>6</v>
      </c>
      <c r="B13" s="146">
        <v>597207</v>
      </c>
      <c r="C13" s="130">
        <f t="shared" si="0"/>
        <v>0.11665329297525698</v>
      </c>
      <c r="E13" s="93">
        <v>636331</v>
      </c>
      <c r="F13" s="130">
        <f t="shared" si="1"/>
        <v>0.12004850002339351</v>
      </c>
      <c r="H13" s="147">
        <f>+'COEF Art 14 F I'!AQ12</f>
        <v>6.9579379303662009E-2</v>
      </c>
      <c r="J13" s="148">
        <f t="shared" si="2"/>
        <v>9814831.4674470797</v>
      </c>
      <c r="K13" s="149">
        <f t="shared" si="3"/>
        <v>10100493.227390854</v>
      </c>
      <c r="L13" s="149">
        <f t="shared" si="4"/>
        <v>5017872.2953216946</v>
      </c>
      <c r="M13" s="149">
        <f t="shared" si="5"/>
        <v>24933196.990159631</v>
      </c>
      <c r="N13" s="150">
        <f t="shared" si="6"/>
        <v>0.10371944134062629</v>
      </c>
    </row>
    <row r="14" spans="1:14">
      <c r="A14" s="4" t="s">
        <v>7</v>
      </c>
      <c r="B14" s="146">
        <v>16152</v>
      </c>
      <c r="C14" s="130">
        <f t="shared" si="0"/>
        <v>3.1549931399604335E-3</v>
      </c>
      <c r="E14" s="93">
        <v>16364</v>
      </c>
      <c r="F14" s="130">
        <f t="shared" si="1"/>
        <v>3.0871883569758684E-3</v>
      </c>
      <c r="H14" s="147">
        <f>+'COEF Art 14 F I'!AQ13</f>
        <v>1.050050205810453E-2</v>
      </c>
      <c r="J14" s="148">
        <f t="shared" si="2"/>
        <v>265450.93721641781</v>
      </c>
      <c r="K14" s="149">
        <f t="shared" si="3"/>
        <v>259746.06167705788</v>
      </c>
      <c r="L14" s="149">
        <f t="shared" si="4"/>
        <v>757267.15144120343</v>
      </c>
      <c r="M14" s="149">
        <f t="shared" si="5"/>
        <v>1282464.1503346791</v>
      </c>
      <c r="N14" s="150">
        <f t="shared" si="6"/>
        <v>5.3349141413590647E-3</v>
      </c>
    </row>
    <row r="15" spans="1:14">
      <c r="A15" s="4" t="s">
        <v>8</v>
      </c>
      <c r="B15" s="146">
        <v>3977</v>
      </c>
      <c r="C15" s="130">
        <f t="shared" si="0"/>
        <v>7.7683306820348224E-4</v>
      </c>
      <c r="E15" s="93">
        <v>4216</v>
      </c>
      <c r="F15" s="130">
        <f t="shared" si="1"/>
        <v>7.9537925403387079E-4</v>
      </c>
      <c r="H15" s="147">
        <f>+'COEF Art 14 F I'!AQ14</f>
        <v>1.3520268469388616E-3</v>
      </c>
      <c r="J15" s="148">
        <f t="shared" si="2"/>
        <v>65360.2264307636</v>
      </c>
      <c r="K15" s="149">
        <f t="shared" si="3"/>
        <v>66920.642632026167</v>
      </c>
      <c r="L15" s="149">
        <f t="shared" si="4"/>
        <v>97504.434872539845</v>
      </c>
      <c r="M15" s="149">
        <f t="shared" si="5"/>
        <v>229785.3039353296</v>
      </c>
      <c r="N15" s="150">
        <f t="shared" si="6"/>
        <v>9.5588236686473208E-4</v>
      </c>
    </row>
    <row r="16" spans="1:14">
      <c r="A16" s="4" t="s">
        <v>9</v>
      </c>
      <c r="B16" s="146">
        <v>95534</v>
      </c>
      <c r="C16" s="130">
        <f t="shared" si="0"/>
        <v>1.8660792139238488E-2</v>
      </c>
      <c r="E16" s="93">
        <v>100728</v>
      </c>
      <c r="F16" s="130">
        <f t="shared" si="1"/>
        <v>1.9003074359659332E-2</v>
      </c>
      <c r="H16" s="147">
        <f>+'COEF Art 14 F I'!AQ15</f>
        <v>1.3117406546729847E-2</v>
      </c>
      <c r="J16" s="148">
        <f t="shared" si="2"/>
        <v>1570058.8060941838</v>
      </c>
      <c r="K16" s="149">
        <f t="shared" si="3"/>
        <v>1598857.3270964734</v>
      </c>
      <c r="L16" s="149">
        <f t="shared" si="4"/>
        <v>945991.06166276045</v>
      </c>
      <c r="M16" s="149">
        <f t="shared" si="5"/>
        <v>4114907.1948534176</v>
      </c>
      <c r="N16" s="150">
        <f t="shared" si="6"/>
        <v>1.7117575238633193E-2</v>
      </c>
    </row>
    <row r="17" spans="1:14">
      <c r="A17" s="4" t="s">
        <v>10</v>
      </c>
      <c r="B17" s="146">
        <v>38306</v>
      </c>
      <c r="C17" s="130">
        <f t="shared" si="0"/>
        <v>7.4823654791557935E-3</v>
      </c>
      <c r="E17" s="93">
        <v>23214</v>
      </c>
      <c r="F17" s="130">
        <f t="shared" si="1"/>
        <v>4.3794909874625889E-3</v>
      </c>
      <c r="H17" s="147">
        <f>+'COEF Art 14 F I'!AQ16</f>
        <v>2.8515374194838768E-3</v>
      </c>
      <c r="J17" s="148">
        <f t="shared" si="2"/>
        <v>629542.07534745557</v>
      </c>
      <c r="K17" s="149">
        <f t="shared" si="3"/>
        <v>368476.2329363983</v>
      </c>
      <c r="L17" s="149">
        <f t="shared" si="4"/>
        <v>205644.98791882998</v>
      </c>
      <c r="M17" s="149">
        <f t="shared" si="5"/>
        <v>1203663.2962026838</v>
      </c>
      <c r="N17" s="150">
        <f t="shared" si="6"/>
        <v>5.0071109891615976E-3</v>
      </c>
    </row>
    <row r="18" spans="1:14">
      <c r="A18" s="4" t="s">
        <v>11</v>
      </c>
      <c r="B18" s="146">
        <v>7757</v>
      </c>
      <c r="C18" s="130">
        <f t="shared" si="0"/>
        <v>1.5151858461288437E-3</v>
      </c>
      <c r="E18" s="93">
        <v>8146</v>
      </c>
      <c r="F18" s="130">
        <f t="shared" si="1"/>
        <v>1.5368025150284421E-3</v>
      </c>
      <c r="H18" s="147">
        <f>+'COEF Art 14 F I'!AQ17</f>
        <v>4.8775048458901361E-3</v>
      </c>
      <c r="J18" s="148">
        <f t="shared" si="2"/>
        <v>127482.84546729525</v>
      </c>
      <c r="K18" s="149">
        <f t="shared" si="3"/>
        <v>129301.60220125358</v>
      </c>
      <c r="L18" s="149">
        <f t="shared" si="4"/>
        <v>351752.15245418705</v>
      </c>
      <c r="M18" s="149">
        <f t="shared" si="5"/>
        <v>608536.60012273584</v>
      </c>
      <c r="N18" s="150">
        <f t="shared" si="6"/>
        <v>2.5314473801720909E-3</v>
      </c>
    </row>
    <row r="19" spans="1:14">
      <c r="A19" s="4" t="s">
        <v>12</v>
      </c>
      <c r="B19" s="146">
        <v>10835</v>
      </c>
      <c r="C19" s="130">
        <f t="shared" si="0"/>
        <v>2.1164159652966382E-3</v>
      </c>
      <c r="E19" s="93">
        <v>11557</v>
      </c>
      <c r="F19" s="130">
        <f t="shared" si="1"/>
        <v>2.1803126278153334E-3</v>
      </c>
      <c r="H19" s="147">
        <f>+'COEF Art 14 F I'!AQ18</f>
        <v>7.0565746375042685E-3</v>
      </c>
      <c r="J19" s="148">
        <f t="shared" si="2"/>
        <v>178068.40668275676</v>
      </c>
      <c r="K19" s="149">
        <f t="shared" si="3"/>
        <v>183444.46558309448</v>
      </c>
      <c r="L19" s="149">
        <f t="shared" si="4"/>
        <v>508900.63590347092</v>
      </c>
      <c r="M19" s="149">
        <f t="shared" si="5"/>
        <v>870413.50816932216</v>
      </c>
      <c r="N19" s="150">
        <f t="shared" si="6"/>
        <v>3.6208273988404707E-3</v>
      </c>
    </row>
    <row r="20" spans="1:14">
      <c r="A20" s="4" t="s">
        <v>13</v>
      </c>
      <c r="B20" s="146">
        <v>42715</v>
      </c>
      <c r="C20" s="130">
        <f t="shared" si="0"/>
        <v>8.3435817219793176E-3</v>
      </c>
      <c r="E20" s="93">
        <v>35078</v>
      </c>
      <c r="F20" s="130">
        <f t="shared" si="1"/>
        <v>6.6177214120019257E-3</v>
      </c>
      <c r="H20" s="147">
        <f>+'COEF Art 14 F I'!AQ19</f>
        <v>3.8049837735212077E-3</v>
      </c>
      <c r="J20" s="148">
        <f t="shared" si="2"/>
        <v>702002.02966810844</v>
      </c>
      <c r="K20" s="149">
        <f t="shared" si="3"/>
        <v>556793.71495403547</v>
      </c>
      <c r="L20" s="149">
        <f t="shared" si="4"/>
        <v>274404.90059525141</v>
      </c>
      <c r="M20" s="149">
        <f t="shared" si="5"/>
        <v>1533200.6452173954</v>
      </c>
      <c r="N20" s="150">
        <f t="shared" si="6"/>
        <v>6.3779512289497981E-3</v>
      </c>
    </row>
    <row r="21" spans="1:14">
      <c r="A21" s="4" t="s">
        <v>14</v>
      </c>
      <c r="B21" s="146">
        <v>34110</v>
      </c>
      <c r="C21" s="130">
        <f t="shared" si="0"/>
        <v>6.6627548293740953E-3</v>
      </c>
      <c r="E21" s="93">
        <v>37995</v>
      </c>
      <c r="F21" s="130">
        <f t="shared" si="1"/>
        <v>7.1680348095391174E-3</v>
      </c>
      <c r="H21" s="147">
        <f>+'COEF Art 14 F I'!AQ20</f>
        <v>2.3570782794262373E-2</v>
      </c>
      <c r="J21" s="148">
        <f t="shared" si="2"/>
        <v>560582.68130584515</v>
      </c>
      <c r="K21" s="149">
        <f t="shared" si="3"/>
        <v>603095.30759104213</v>
      </c>
      <c r="L21" s="149">
        <f t="shared" si="4"/>
        <v>1699859.6300520541</v>
      </c>
      <c r="M21" s="149">
        <f t="shared" si="5"/>
        <v>2863537.6189489411</v>
      </c>
      <c r="N21" s="150">
        <f t="shared" si="6"/>
        <v>1.1912011211898336E-2</v>
      </c>
    </row>
    <row r="22" spans="1:14">
      <c r="A22" s="4" t="s">
        <v>15</v>
      </c>
      <c r="B22" s="146">
        <v>1632</v>
      </c>
      <c r="C22" s="130">
        <f t="shared" si="0"/>
        <v>3.1878088189793386E-4</v>
      </c>
      <c r="E22" s="93">
        <v>1822</v>
      </c>
      <c r="F22" s="130">
        <f t="shared" si="1"/>
        <v>3.4373363397763578E-4</v>
      </c>
      <c r="H22" s="147">
        <f>+'COEF Art 14 F I'!AQ21</f>
        <v>3.0132035203329138E-3</v>
      </c>
      <c r="J22" s="148">
        <f t="shared" si="2"/>
        <v>26821.194250693035</v>
      </c>
      <c r="K22" s="149">
        <f t="shared" si="3"/>
        <v>28920.63825321434</v>
      </c>
      <c r="L22" s="149">
        <f t="shared" si="4"/>
        <v>217303.89974962827</v>
      </c>
      <c r="M22" s="149">
        <f t="shared" si="5"/>
        <v>273045.73225353565</v>
      </c>
      <c r="N22" s="150">
        <f t="shared" si="6"/>
        <v>1.1358411366563237E-3</v>
      </c>
    </row>
    <row r="23" spans="1:14">
      <c r="A23" s="4" t="s">
        <v>16</v>
      </c>
      <c r="B23" s="146">
        <v>2861</v>
      </c>
      <c r="C23" s="130">
        <f t="shared" si="0"/>
        <v>5.588432004350421E-4</v>
      </c>
      <c r="E23" s="93">
        <v>3654</v>
      </c>
      <c r="F23" s="130">
        <f t="shared" si="1"/>
        <v>6.8935384113846386E-4</v>
      </c>
      <c r="H23" s="147">
        <f>+'COEF Art 14 F I'!AQ22</f>
        <v>1.1166327133865521E-3</v>
      </c>
      <c r="J23" s="148">
        <f t="shared" si="2"/>
        <v>47019.262715216151</v>
      </c>
      <c r="K23" s="149">
        <f t="shared" si="3"/>
        <v>58000.006683449617</v>
      </c>
      <c r="L23" s="149">
        <f t="shared" si="4"/>
        <v>80528.461343393647</v>
      </c>
      <c r="M23" s="149">
        <f t="shared" si="5"/>
        <v>185547.73074205942</v>
      </c>
      <c r="N23" s="150">
        <f t="shared" si="6"/>
        <v>7.7185877856669272E-4</v>
      </c>
    </row>
    <row r="24" spans="1:14">
      <c r="A24" s="4" t="s">
        <v>17</v>
      </c>
      <c r="B24" s="146">
        <v>41130</v>
      </c>
      <c r="C24" s="130">
        <f t="shared" si="0"/>
        <v>8.0339814169497672E-3</v>
      </c>
      <c r="E24" s="93">
        <v>42420</v>
      </c>
      <c r="F24" s="130">
        <f t="shared" si="1"/>
        <v>8.0028434431017072E-3</v>
      </c>
      <c r="H24" s="147">
        <f>+'COEF Art 14 F I'!AQ23</f>
        <v>1.7518725622636972E-2</v>
      </c>
      <c r="J24" s="148">
        <f t="shared" si="2"/>
        <v>675953.25951654685</v>
      </c>
      <c r="K24" s="149">
        <f t="shared" si="3"/>
        <v>673333.4109228059</v>
      </c>
      <c r="L24" s="149">
        <f t="shared" si="4"/>
        <v>1263402.0140870353</v>
      </c>
      <c r="M24" s="149">
        <f t="shared" si="5"/>
        <v>2612688.6845263881</v>
      </c>
      <c r="N24" s="150">
        <f t="shared" si="6"/>
        <v>1.0868506387809108E-2</v>
      </c>
    </row>
    <row r="25" spans="1:14">
      <c r="A25" s="4" t="s">
        <v>18</v>
      </c>
      <c r="B25" s="146">
        <v>247370</v>
      </c>
      <c r="C25" s="130">
        <f t="shared" si="0"/>
        <v>4.8319134041110233E-2</v>
      </c>
      <c r="E25" s="93">
        <v>204735</v>
      </c>
      <c r="F25" s="130">
        <f t="shared" si="1"/>
        <v>3.8624756066087416E-2</v>
      </c>
      <c r="H25" s="147">
        <f>+'COEF Art 14 F I'!AQ24</f>
        <v>2.1546870349124923E-2</v>
      </c>
      <c r="J25" s="148">
        <f t="shared" si="2"/>
        <v>4065415.9447266762</v>
      </c>
      <c r="K25" s="149">
        <f t="shared" si="3"/>
        <v>3249762.2792381113</v>
      </c>
      <c r="L25" s="149">
        <f t="shared" si="4"/>
        <v>1553900.6650792593</v>
      </c>
      <c r="M25" s="149">
        <f t="shared" si="5"/>
        <v>8869078.8890440464</v>
      </c>
      <c r="N25" s="150">
        <f t="shared" si="6"/>
        <v>3.6894422642256654E-2</v>
      </c>
    </row>
    <row r="26" spans="1:14">
      <c r="A26" s="4" t="s">
        <v>19</v>
      </c>
      <c r="B26" s="146">
        <v>5479</v>
      </c>
      <c r="C26" s="130">
        <f t="shared" si="0"/>
        <v>1.0702208651463111E-3</v>
      </c>
      <c r="E26" s="93">
        <v>5835</v>
      </c>
      <c r="F26" s="130">
        <f t="shared" si="1"/>
        <v>1.1008154523927029E-3</v>
      </c>
      <c r="H26" s="147">
        <f>+'COEF Art 14 F I'!AQ25</f>
        <v>2.7063344378389091E-3</v>
      </c>
      <c r="J26" s="148">
        <f t="shared" si="2"/>
        <v>90044.928492369567</v>
      </c>
      <c r="K26" s="149">
        <f t="shared" si="3"/>
        <v>92619.058291715512</v>
      </c>
      <c r="L26" s="149">
        <f t="shared" si="4"/>
        <v>195173.35068828572</v>
      </c>
      <c r="M26" s="149">
        <f t="shared" si="5"/>
        <v>377837.33747237083</v>
      </c>
      <c r="N26" s="150">
        <f t="shared" si="6"/>
        <v>1.5717630424903278E-3</v>
      </c>
    </row>
    <row r="27" spans="1:14">
      <c r="A27" s="4" t="s">
        <v>20</v>
      </c>
      <c r="B27" s="146">
        <v>425148</v>
      </c>
      <c r="C27" s="130">
        <f t="shared" si="0"/>
        <v>8.3044763711484545E-2</v>
      </c>
      <c r="E27" s="93">
        <v>425926</v>
      </c>
      <c r="F27" s="130">
        <f t="shared" si="1"/>
        <v>8.0354056962436068E-2</v>
      </c>
      <c r="H27" s="147">
        <f>+'COEF Art 14 F I'!AQ26</f>
        <v>4.4206257545681485E-2</v>
      </c>
      <c r="J27" s="148">
        <f t="shared" si="2"/>
        <v>6987118.3169691432</v>
      </c>
      <c r="K27" s="149">
        <f t="shared" si="3"/>
        <v>6760730.9377818732</v>
      </c>
      <c r="L27" s="149">
        <f t="shared" si="4"/>
        <v>3188032.966638668</v>
      </c>
      <c r="M27" s="149">
        <f t="shared" si="5"/>
        <v>16935882.221389685</v>
      </c>
      <c r="N27" s="150">
        <f t="shared" si="6"/>
        <v>7.0451464499576663E-2</v>
      </c>
    </row>
    <row r="28" spans="1:14">
      <c r="A28" s="4" t="s">
        <v>21</v>
      </c>
      <c r="B28" s="146">
        <v>14795</v>
      </c>
      <c r="C28" s="130">
        <f t="shared" si="0"/>
        <v>2.8899283993136836E-3</v>
      </c>
      <c r="E28" s="93">
        <v>15163</v>
      </c>
      <c r="F28" s="130">
        <f t="shared" si="1"/>
        <v>2.8606109176744741E-3</v>
      </c>
      <c r="H28" s="147">
        <f>+'COEF Art 14 F I'!AQ27</f>
        <v>6.3825552994392657E-3</v>
      </c>
      <c r="J28" s="148">
        <f t="shared" si="2"/>
        <v>243149.24567340896</v>
      </c>
      <c r="K28" s="149">
        <f t="shared" si="3"/>
        <v>240682.56741684361</v>
      </c>
      <c r="L28" s="149">
        <f t="shared" si="4"/>
        <v>460292.22638853523</v>
      </c>
      <c r="M28" s="149">
        <f t="shared" si="5"/>
        <v>944124.0394787878</v>
      </c>
      <c r="N28" s="150">
        <f t="shared" si="6"/>
        <v>3.9274553507776351E-3</v>
      </c>
    </row>
    <row r="29" spans="1:14">
      <c r="A29" s="4" t="s">
        <v>22</v>
      </c>
      <c r="B29" s="146">
        <v>1044</v>
      </c>
      <c r="C29" s="130">
        <f t="shared" si="0"/>
        <v>2.0392600533176652E-4</v>
      </c>
      <c r="E29" s="93">
        <v>1220</v>
      </c>
      <c r="F29" s="130">
        <f t="shared" si="1"/>
        <v>2.3016192834945977E-4</v>
      </c>
      <c r="H29" s="147">
        <f>+'COEF Art 14 F I'!AQ28</f>
        <v>5.2549254815914645E-4</v>
      </c>
      <c r="J29" s="148">
        <f t="shared" si="2"/>
        <v>17157.675733899221</v>
      </c>
      <c r="K29" s="149">
        <f t="shared" si="3"/>
        <v>19365.081596554061</v>
      </c>
      <c r="L29" s="149">
        <f t="shared" si="4"/>
        <v>37897.068430258376</v>
      </c>
      <c r="M29" s="149">
        <f t="shared" si="5"/>
        <v>74419.825760711654</v>
      </c>
      <c r="N29" s="150">
        <f t="shared" si="6"/>
        <v>3.0957854123617314E-4</v>
      </c>
    </row>
    <row r="30" spans="1:14">
      <c r="A30" s="4" t="s">
        <v>23</v>
      </c>
      <c r="B30" s="146">
        <v>6011</v>
      </c>
      <c r="C30" s="130">
        <f t="shared" si="0"/>
        <v>1.17413718203951E-3</v>
      </c>
      <c r="E30" s="93">
        <v>6369</v>
      </c>
      <c r="F30" s="130">
        <f t="shared" si="1"/>
        <v>1.2015584603751715E-3</v>
      </c>
      <c r="H30" s="147">
        <f>+'COEF Art 14 F I'!AQ29</f>
        <v>5.2013443496052901E-3</v>
      </c>
      <c r="J30" s="148">
        <f t="shared" si="2"/>
        <v>98788.111912325869</v>
      </c>
      <c r="K30" s="149">
        <f t="shared" si="3"/>
        <v>101095.24974463345</v>
      </c>
      <c r="L30" s="149">
        <f t="shared" si="4"/>
        <v>375106.56133344927</v>
      </c>
      <c r="M30" s="149">
        <f t="shared" si="5"/>
        <v>574989.92299040861</v>
      </c>
      <c r="N30" s="150">
        <f t="shared" si="6"/>
        <v>2.3918967797267256E-3</v>
      </c>
    </row>
    <row r="31" spans="1:14">
      <c r="A31" s="4" t="s">
        <v>24</v>
      </c>
      <c r="B31" s="146">
        <v>67294</v>
      </c>
      <c r="C31" s="130">
        <f t="shared" si="0"/>
        <v>1.3144632761298751E-2</v>
      </c>
      <c r="E31" s="93">
        <v>82657</v>
      </c>
      <c r="F31" s="130">
        <f t="shared" si="1"/>
        <v>1.5593847960312537E-2</v>
      </c>
      <c r="H31" s="147">
        <f>+'COEF Art 14 F I'!AQ30</f>
        <v>4.8360114874877553E-3</v>
      </c>
      <c r="J31" s="148">
        <f t="shared" si="2"/>
        <v>1105946.9644032703</v>
      </c>
      <c r="K31" s="149">
        <f t="shared" si="3"/>
        <v>1312016.0242019417</v>
      </c>
      <c r="L31" s="149">
        <f t="shared" si="4"/>
        <v>348759.76626662875</v>
      </c>
      <c r="M31" s="149">
        <f t="shared" si="5"/>
        <v>2766722.7548718406</v>
      </c>
      <c r="N31" s="150">
        <f t="shared" si="6"/>
        <v>1.1509271698810278E-2</v>
      </c>
    </row>
    <row r="32" spans="1:14">
      <c r="A32" s="4" t="s">
        <v>25</v>
      </c>
      <c r="B32" s="146">
        <v>682880</v>
      </c>
      <c r="C32" s="130">
        <f t="shared" si="0"/>
        <v>0.1333879219549394</v>
      </c>
      <c r="E32" s="93">
        <v>720743</v>
      </c>
      <c r="F32" s="130">
        <f t="shared" si="1"/>
        <v>0.1359734415773563</v>
      </c>
      <c r="H32" s="147">
        <f>+'COEF Art 14 F I'!AQ31</f>
        <v>7.5844269203432887E-2</v>
      </c>
      <c r="J32" s="148">
        <f t="shared" si="2"/>
        <v>11222829.123721361</v>
      </c>
      <c r="K32" s="149">
        <f t="shared" si="3"/>
        <v>11440366.39765997</v>
      </c>
      <c r="L32" s="149">
        <f t="shared" si="4"/>
        <v>5469678.8186898399</v>
      </c>
      <c r="M32" s="149">
        <f t="shared" si="5"/>
        <v>28132874.340071172</v>
      </c>
      <c r="N32" s="150">
        <f t="shared" si="6"/>
        <v>0.11702975799733337</v>
      </c>
    </row>
    <row r="33" spans="1:14">
      <c r="A33" s="4" t="s">
        <v>26</v>
      </c>
      <c r="B33" s="146">
        <v>1764</v>
      </c>
      <c r="C33" s="130">
        <f t="shared" si="0"/>
        <v>3.4456462969850206E-4</v>
      </c>
      <c r="E33" s="93">
        <v>2105</v>
      </c>
      <c r="F33" s="130">
        <f t="shared" si="1"/>
        <v>3.9712365506197768E-4</v>
      </c>
      <c r="H33" s="147">
        <f>+'COEF Art 14 F I'!AQ32</f>
        <v>1.3721755048966516E-3</v>
      </c>
      <c r="J33" s="148">
        <f t="shared" si="2"/>
        <v>28990.555550381443</v>
      </c>
      <c r="K33" s="149">
        <f t="shared" si="3"/>
        <v>33412.702262906794</v>
      </c>
      <c r="L33" s="149">
        <f t="shared" si="4"/>
        <v>98957.500329089366</v>
      </c>
      <c r="M33" s="149">
        <f t="shared" si="5"/>
        <v>161360.7581423776</v>
      </c>
      <c r="N33" s="150">
        <f t="shared" si="6"/>
        <v>6.7124355113516341E-4</v>
      </c>
    </row>
    <row r="34" spans="1:14">
      <c r="A34" s="4" t="s">
        <v>27</v>
      </c>
      <c r="B34" s="146">
        <v>13836</v>
      </c>
      <c r="C34" s="130">
        <f t="shared" si="0"/>
        <v>2.702605564914101E-3</v>
      </c>
      <c r="E34" s="93">
        <v>18447</v>
      </c>
      <c r="F34" s="130">
        <f t="shared" si="1"/>
        <v>3.4801615510348231E-3</v>
      </c>
      <c r="H34" s="147">
        <f>+'COEF Art 14 F I'!AQ33</f>
        <v>3.227050654070735E-3</v>
      </c>
      <c r="J34" s="148">
        <f t="shared" si="2"/>
        <v>227388.50714006668</v>
      </c>
      <c r="K34" s="149">
        <f t="shared" si="3"/>
        <v>292809.55755051866</v>
      </c>
      <c r="L34" s="149">
        <f t="shared" si="4"/>
        <v>232725.96327701147</v>
      </c>
      <c r="M34" s="149">
        <f t="shared" si="5"/>
        <v>752924.02796759689</v>
      </c>
      <c r="N34" s="150">
        <f t="shared" si="6"/>
        <v>3.1320836868033446E-3</v>
      </c>
    </row>
    <row r="35" spans="1:14">
      <c r="A35" s="4" t="s">
        <v>28</v>
      </c>
      <c r="B35" s="146">
        <v>1511</v>
      </c>
      <c r="C35" s="130">
        <f t="shared" si="0"/>
        <v>2.9514577974741303E-4</v>
      </c>
      <c r="E35" s="93">
        <v>1785</v>
      </c>
      <c r="F35" s="130">
        <f t="shared" si="1"/>
        <v>3.3675331319982433E-4</v>
      </c>
      <c r="H35" s="147">
        <f>+'COEF Art 14 F I'!AQ34</f>
        <v>2.1215388107506568E-3</v>
      </c>
      <c r="J35" s="148">
        <f t="shared" si="2"/>
        <v>24832.613059311996</v>
      </c>
      <c r="K35" s="149">
        <f t="shared" si="3"/>
        <v>28333.336598236881</v>
      </c>
      <c r="L35" s="149">
        <f t="shared" si="4"/>
        <v>152999.50830914025</v>
      </c>
      <c r="M35" s="149">
        <f t="shared" si="5"/>
        <v>206165.45796668914</v>
      </c>
      <c r="N35" s="150">
        <f t="shared" si="6"/>
        <v>8.5762632575673019E-4</v>
      </c>
    </row>
    <row r="36" spans="1:14">
      <c r="A36" s="4" t="s">
        <v>29</v>
      </c>
      <c r="B36" s="146">
        <v>6921</v>
      </c>
      <c r="C36" s="130">
        <f t="shared" si="0"/>
        <v>1.3518887767252452E-3</v>
      </c>
      <c r="E36" s="93">
        <v>7416</v>
      </c>
      <c r="F36" s="130">
        <f t="shared" si="1"/>
        <v>1.3990826726554045E-3</v>
      </c>
      <c r="H36" s="147">
        <f>+'COEF Art 14 F I'!AQ35</f>
        <v>2.3229483447908803E-3</v>
      </c>
      <c r="J36" s="148">
        <f t="shared" si="2"/>
        <v>113743.55723593534</v>
      </c>
      <c r="K36" s="149">
        <f t="shared" si="3"/>
        <v>117714.29927872533</v>
      </c>
      <c r="L36" s="149">
        <f t="shared" si="4"/>
        <v>167524.60656365857</v>
      </c>
      <c r="M36" s="149">
        <f t="shared" si="5"/>
        <v>398982.46307831921</v>
      </c>
      <c r="N36" s="150">
        <f t="shared" si="6"/>
        <v>1.6597245107204915E-3</v>
      </c>
    </row>
    <row r="37" spans="1:14">
      <c r="A37" s="4" t="s">
        <v>30</v>
      </c>
      <c r="B37" s="146">
        <v>3571</v>
      </c>
      <c r="C37" s="130">
        <f t="shared" si="0"/>
        <v>6.9752851057446193E-4</v>
      </c>
      <c r="E37" s="93">
        <v>3719</v>
      </c>
      <c r="F37" s="130">
        <f t="shared" si="1"/>
        <v>7.0161656682921384E-4</v>
      </c>
      <c r="H37" s="147">
        <f>+'COEF Art 14 F I'!AQ36</f>
        <v>2.7217223083690397E-3</v>
      </c>
      <c r="J37" s="148">
        <f t="shared" si="2"/>
        <v>58687.796978691687</v>
      </c>
      <c r="K37" s="149">
        <f t="shared" si="3"/>
        <v>59031.752834085695</v>
      </c>
      <c r="L37" s="149">
        <f t="shared" si="4"/>
        <v>196283.08132960342</v>
      </c>
      <c r="M37" s="149">
        <f t="shared" si="5"/>
        <v>314002.63114238076</v>
      </c>
      <c r="N37" s="150">
        <f t="shared" si="6"/>
        <v>1.3062174696019985E-3</v>
      </c>
    </row>
    <row r="38" spans="1:14">
      <c r="A38" s="4" t="s">
        <v>31</v>
      </c>
      <c r="B38" s="146">
        <v>333481</v>
      </c>
      <c r="C38" s="130">
        <f t="shared" si="0"/>
        <v>6.5139318183949066E-2</v>
      </c>
      <c r="E38" s="93">
        <v>363859</v>
      </c>
      <c r="F38" s="130">
        <f t="shared" si="1"/>
        <v>6.8644663186316457E-2</v>
      </c>
      <c r="H38" s="147">
        <f>+'COEF Art 14 F I'!AQ37</f>
        <v>2.4072407725340625E-2</v>
      </c>
      <c r="J38" s="148">
        <f t="shared" si="2"/>
        <v>5480611.9362226492</v>
      </c>
      <c r="K38" s="149">
        <f t="shared" si="3"/>
        <v>5775540.3480660357</v>
      </c>
      <c r="L38" s="149">
        <f t="shared" si="4"/>
        <v>1736035.4319849082</v>
      </c>
      <c r="M38" s="149">
        <f t="shared" si="5"/>
        <v>12992187.716273595</v>
      </c>
      <c r="N38" s="150">
        <f t="shared" si="6"/>
        <v>5.4046115797195128E-2</v>
      </c>
    </row>
    <row r="39" spans="1:14">
      <c r="A39" s="4" t="s">
        <v>32</v>
      </c>
      <c r="B39" s="146">
        <v>5238</v>
      </c>
      <c r="C39" s="130">
        <f t="shared" si="0"/>
        <v>1.0231459922680009E-3</v>
      </c>
      <c r="E39" s="93">
        <v>6266</v>
      </c>
      <c r="F39" s="130">
        <f t="shared" si="1"/>
        <v>1.1821267565882909E-3</v>
      </c>
      <c r="H39" s="147">
        <f>+'COEF Art 14 F I'!AQ38</f>
        <v>4.429521415302993E-3</v>
      </c>
      <c r="J39" s="148">
        <f t="shared" si="2"/>
        <v>86084.200664908145</v>
      </c>
      <c r="K39" s="149">
        <f t="shared" si="3"/>
        <v>99460.328921317821</v>
      </c>
      <c r="L39" s="149">
        <f t="shared" si="4"/>
        <v>319444.82709999144</v>
      </c>
      <c r="M39" s="149">
        <f t="shared" si="5"/>
        <v>504989.35668621742</v>
      </c>
      <c r="N39" s="150">
        <f t="shared" si="6"/>
        <v>2.1007018866906002E-3</v>
      </c>
    </row>
    <row r="40" spans="1:14">
      <c r="A40" s="4" t="s">
        <v>33</v>
      </c>
      <c r="B40" s="146">
        <v>79853</v>
      </c>
      <c r="C40" s="130">
        <f t="shared" si="0"/>
        <v>1.5597800099384627E-2</v>
      </c>
      <c r="E40" s="93">
        <v>88540</v>
      </c>
      <c r="F40" s="130">
        <f t="shared" si="1"/>
        <v>1.6703718963984562E-2</v>
      </c>
      <c r="H40" s="147">
        <f>+'COEF Art 14 F I'!AQ39</f>
        <v>1.7016325871313066E-2</v>
      </c>
      <c r="J40" s="148">
        <f t="shared" ref="J40:J58" si="7">+C40*J$6</f>
        <v>1312348.5444243816</v>
      </c>
      <c r="K40" s="149">
        <f t="shared" ref="K40:K58" si="8">+F40*K$6</f>
        <v>1405396.9873433576</v>
      </c>
      <c r="L40" s="149">
        <f t="shared" ref="L40:L58" si="9">+H40*L$6</f>
        <v>1227170.3342621471</v>
      </c>
      <c r="M40" s="149">
        <f t="shared" si="5"/>
        <v>3944915.8660298861</v>
      </c>
      <c r="N40" s="150">
        <f t="shared" si="6"/>
        <v>1.6410429433573136E-2</v>
      </c>
    </row>
    <row r="41" spans="1:14">
      <c r="A41" s="4" t="s">
        <v>34</v>
      </c>
      <c r="B41" s="146">
        <v>5630</v>
      </c>
      <c r="C41" s="130">
        <f t="shared" si="0"/>
        <v>1.0997159099787792E-3</v>
      </c>
      <c r="E41" s="93">
        <v>5910</v>
      </c>
      <c r="F41" s="130">
        <f t="shared" si="1"/>
        <v>1.1149647512666452E-3</v>
      </c>
      <c r="H41" s="147">
        <f>+'COEF Art 14 F I'!AQ40</f>
        <v>3.9589086914114903E-3</v>
      </c>
      <c r="J41" s="148">
        <f t="shared" si="7"/>
        <v>92526.5463427707</v>
      </c>
      <c r="K41" s="149">
        <f t="shared" si="8"/>
        <v>93809.534619372527</v>
      </c>
      <c r="L41" s="149">
        <f t="shared" si="9"/>
        <v>285505.53973246581</v>
      </c>
      <c r="M41" s="149">
        <f t="shared" si="5"/>
        <v>471841.62069460901</v>
      </c>
      <c r="N41" s="150">
        <f t="shared" si="6"/>
        <v>1.9628108388593459E-3</v>
      </c>
    </row>
    <row r="42" spans="1:14">
      <c r="A42" s="4" t="s">
        <v>35</v>
      </c>
      <c r="B42" s="146">
        <v>955</v>
      </c>
      <c r="C42" s="130">
        <f t="shared" si="0"/>
        <v>1.8654150870865615E-4</v>
      </c>
      <c r="E42" s="93">
        <v>807</v>
      </c>
      <c r="F42" s="130">
        <f t="shared" si="1"/>
        <v>1.5224645588361805E-4</v>
      </c>
      <c r="H42" s="147">
        <f>+'COEF Art 14 F I'!AQ41</f>
        <v>3.7983839321934654E-3</v>
      </c>
      <c r="J42" s="148">
        <f t="shared" si="7"/>
        <v>15695.000312139611</v>
      </c>
      <c r="K42" s="149">
        <f t="shared" si="8"/>
        <v>12809.525285589447</v>
      </c>
      <c r="L42" s="149">
        <f t="shared" si="9"/>
        <v>273928.93830177555</v>
      </c>
      <c r="M42" s="149">
        <f t="shared" si="5"/>
        <v>302433.46389950463</v>
      </c>
      <c r="N42" s="150">
        <f t="shared" si="6"/>
        <v>1.2580909672653359E-3</v>
      </c>
    </row>
    <row r="43" spans="1:14">
      <c r="A43" s="4" t="s">
        <v>36</v>
      </c>
      <c r="B43" s="146">
        <v>6996</v>
      </c>
      <c r="C43" s="130">
        <f t="shared" si="0"/>
        <v>1.3665386334301135E-3</v>
      </c>
      <c r="E43" s="93">
        <v>7441</v>
      </c>
      <c r="F43" s="130">
        <f t="shared" si="1"/>
        <v>1.4037991056133853E-3</v>
      </c>
      <c r="H43" s="147">
        <f>+'COEF Art 14 F I'!AQ42</f>
        <v>3.8420264458116603E-3</v>
      </c>
      <c r="J43" s="148">
        <f t="shared" si="7"/>
        <v>114976.14888348558</v>
      </c>
      <c r="K43" s="149">
        <f t="shared" si="8"/>
        <v>118111.12472127767</v>
      </c>
      <c r="L43" s="149">
        <f t="shared" si="9"/>
        <v>277076.31561635609</v>
      </c>
      <c r="M43" s="149">
        <f t="shared" si="5"/>
        <v>510163.58922111936</v>
      </c>
      <c r="N43" s="150">
        <f t="shared" si="6"/>
        <v>2.1222261424087229E-3</v>
      </c>
    </row>
    <row r="44" spans="1:14">
      <c r="A44" s="4" t="s">
        <v>37</v>
      </c>
      <c r="B44" s="146">
        <v>5326</v>
      </c>
      <c r="C44" s="130">
        <f t="shared" si="0"/>
        <v>1.0403351574683798E-3</v>
      </c>
      <c r="E44" s="93">
        <v>5821</v>
      </c>
      <c r="F44" s="130">
        <f t="shared" si="1"/>
        <v>1.0981742499362338E-3</v>
      </c>
      <c r="H44" s="147">
        <f>+'COEF Art 14 F I'!AQ43</f>
        <v>4.8602451727135891E-3</v>
      </c>
      <c r="J44" s="148">
        <f t="shared" si="7"/>
        <v>87530.441531367105</v>
      </c>
      <c r="K44" s="149">
        <f t="shared" si="8"/>
        <v>92396.836043886215</v>
      </c>
      <c r="L44" s="149">
        <f t="shared" si="9"/>
        <v>350507.43258566211</v>
      </c>
      <c r="M44" s="149">
        <f t="shared" si="5"/>
        <v>530434.71016091551</v>
      </c>
      <c r="N44" s="150">
        <f t="shared" si="6"/>
        <v>2.2065518444056922E-3</v>
      </c>
    </row>
    <row r="45" spans="1:14">
      <c r="A45" s="4" t="s">
        <v>38</v>
      </c>
      <c r="B45" s="146">
        <v>60829</v>
      </c>
      <c r="C45" s="130">
        <f t="shared" si="0"/>
        <v>1.1881815113339104E-2</v>
      </c>
      <c r="E45" s="93">
        <v>66164</v>
      </c>
      <c r="F45" s="130">
        <f t="shared" si="1"/>
        <v>1.2482322809273489E-2</v>
      </c>
      <c r="H45" s="147">
        <f>+'COEF Art 14 F I'!AQ44</f>
        <v>1.2057804029231138E-2</v>
      </c>
      <c r="J45" s="148">
        <f t="shared" si="7"/>
        <v>999697.56438444019</v>
      </c>
      <c r="K45" s="149">
        <f t="shared" si="8"/>
        <v>1050222.3432413139</v>
      </c>
      <c r="L45" s="149">
        <f t="shared" si="9"/>
        <v>869575.46023284004</v>
      </c>
      <c r="M45" s="149">
        <f t="shared" si="5"/>
        <v>2919495.3678585943</v>
      </c>
      <c r="N45" s="150">
        <f t="shared" si="6"/>
        <v>1.2144789481683751E-2</v>
      </c>
    </row>
    <row r="46" spans="1:14">
      <c r="A46" s="4" t="s">
        <v>39</v>
      </c>
      <c r="B46" s="146">
        <v>1109171</v>
      </c>
      <c r="C46" s="130">
        <f t="shared" si="0"/>
        <v>0.21665594948260614</v>
      </c>
      <c r="E46" s="93">
        <v>1216302</v>
      </c>
      <c r="F46" s="130">
        <f t="shared" si="1"/>
        <v>0.22946427358631524</v>
      </c>
      <c r="H46" s="147">
        <f>+'COEF Art 14 F I'!AQ45</f>
        <v>0.28787057476877137</v>
      </c>
      <c r="J46" s="148">
        <f t="shared" si="7"/>
        <v>18228732.137399171</v>
      </c>
      <c r="K46" s="149">
        <f t="shared" si="8"/>
        <v>19306383.177091718</v>
      </c>
      <c r="L46" s="149">
        <f t="shared" si="9"/>
        <v>20760429.25686929</v>
      </c>
      <c r="M46" s="149">
        <f t="shared" si="5"/>
        <v>58295544.571360171</v>
      </c>
      <c r="N46" s="150">
        <f t="shared" si="6"/>
        <v>0.24250325050475388</v>
      </c>
    </row>
    <row r="47" spans="1:14">
      <c r="A47" s="4" t="s">
        <v>40</v>
      </c>
      <c r="B47" s="146">
        <v>971</v>
      </c>
      <c r="C47" s="130">
        <f t="shared" si="0"/>
        <v>1.8966681147236138E-4</v>
      </c>
      <c r="E47" s="93">
        <v>1131</v>
      </c>
      <c r="F47" s="130">
        <f t="shared" si="1"/>
        <v>2.1337142701904836E-4</v>
      </c>
      <c r="H47" s="147">
        <f>+'COEF Art 14 F I'!AQ46</f>
        <v>1.0269396917181337E-3</v>
      </c>
      <c r="J47" s="148">
        <f t="shared" si="7"/>
        <v>15957.953196950328</v>
      </c>
      <c r="K47" s="149">
        <f t="shared" si="8"/>
        <v>17952.383021067741</v>
      </c>
      <c r="L47" s="149">
        <f t="shared" si="9"/>
        <v>74060.048819196876</v>
      </c>
      <c r="M47" s="149">
        <f t="shared" si="5"/>
        <v>107970.38503721495</v>
      </c>
      <c r="N47" s="150">
        <f t="shared" si="6"/>
        <v>4.4914529098743355E-4</v>
      </c>
    </row>
    <row r="48" spans="1:14">
      <c r="A48" s="4" t="s">
        <v>41</v>
      </c>
      <c r="B48" s="146">
        <v>87168</v>
      </c>
      <c r="C48" s="130">
        <f t="shared" si="0"/>
        <v>1.7026649456666116E-2</v>
      </c>
      <c r="E48" s="93">
        <v>30099</v>
      </c>
      <c r="F48" s="130">
        <f t="shared" si="1"/>
        <v>5.6783966240904829E-3</v>
      </c>
      <c r="H48" s="147">
        <f>+'COEF Art 14 F I'!AQ47</f>
        <v>6.4249942953472196E-3</v>
      </c>
      <c r="J48" s="148">
        <f t="shared" si="7"/>
        <v>1432567.3164487809</v>
      </c>
      <c r="K48" s="149">
        <f t="shared" si="8"/>
        <v>477761.959815312</v>
      </c>
      <c r="L48" s="149">
        <f t="shared" si="9"/>
        <v>463352.80933622736</v>
      </c>
      <c r="M48" s="149">
        <f t="shared" si="5"/>
        <v>2373682.0856003202</v>
      </c>
      <c r="N48" s="150">
        <f t="shared" si="6"/>
        <v>9.8742644168689758E-3</v>
      </c>
    </row>
    <row r="49" spans="1:14">
      <c r="A49" s="4" t="s">
        <v>42</v>
      </c>
      <c r="B49" s="146">
        <v>4469</v>
      </c>
      <c r="C49" s="130">
        <f t="shared" si="0"/>
        <v>8.7293612818741819E-4</v>
      </c>
      <c r="E49" s="93">
        <v>5066</v>
      </c>
      <c r="F49" s="130">
        <f t="shared" si="1"/>
        <v>9.5573797460521566E-4</v>
      </c>
      <c r="H49" s="147">
        <f>+'COEF Art 14 F I'!AQ48</f>
        <v>1.9081812369920036E-3</v>
      </c>
      <c r="J49" s="148">
        <f t="shared" si="7"/>
        <v>73446.027638693122</v>
      </c>
      <c r="K49" s="149">
        <f t="shared" si="8"/>
        <v>80412.707678805629</v>
      </c>
      <c r="L49" s="149">
        <f t="shared" si="9"/>
        <v>137612.75049274429</v>
      </c>
      <c r="M49" s="149">
        <f t="shared" si="5"/>
        <v>291471.48581024306</v>
      </c>
      <c r="N49" s="150">
        <f t="shared" si="6"/>
        <v>1.2124903070750231E-3</v>
      </c>
    </row>
    <row r="50" spans="1:14">
      <c r="A50" s="4" t="s">
        <v>43</v>
      </c>
      <c r="B50" s="146">
        <v>2640</v>
      </c>
      <c r="C50" s="130">
        <f t="shared" si="0"/>
        <v>5.1567495601136364E-4</v>
      </c>
      <c r="E50" s="93">
        <v>2777</v>
      </c>
      <c r="F50" s="130">
        <f t="shared" si="1"/>
        <v>5.2390137297249979E-4</v>
      </c>
      <c r="H50" s="147">
        <f>+'COEF Art 14 F I'!AQ49</f>
        <v>3.2283163410842127E-3</v>
      </c>
      <c r="J50" s="148">
        <f t="shared" si="7"/>
        <v>43387.225993768145</v>
      </c>
      <c r="K50" s="149">
        <f t="shared" si="8"/>
        <v>44079.370158713624</v>
      </c>
      <c r="L50" s="149">
        <f t="shared" si="9"/>
        <v>232817.24112201435</v>
      </c>
      <c r="M50" s="149">
        <f t="shared" si="5"/>
        <v>320283.83727449609</v>
      </c>
      <c r="N50" s="150">
        <f t="shared" si="6"/>
        <v>1.3323466174696159E-3</v>
      </c>
    </row>
    <row r="51" spans="1:14">
      <c r="A51" s="4" t="s">
        <v>44</v>
      </c>
      <c r="B51" s="146">
        <v>35456</v>
      </c>
      <c r="C51" s="130">
        <f t="shared" si="0"/>
        <v>6.9256709243707987E-3</v>
      </c>
      <c r="E51" s="93">
        <v>38520</v>
      </c>
      <c r="F51" s="130">
        <f t="shared" si="1"/>
        <v>7.2670799016567129E-3</v>
      </c>
      <c r="H51" s="147">
        <f>+'COEF Art 14 F I'!AQ50</f>
        <v>5.5966109303094286E-3</v>
      </c>
      <c r="J51" s="148">
        <f t="shared" si="7"/>
        <v>582703.59274054668</v>
      </c>
      <c r="K51" s="149">
        <f t="shared" si="8"/>
        <v>611428.64188464126</v>
      </c>
      <c r="L51" s="149">
        <f t="shared" si="9"/>
        <v>403612.09335214965</v>
      </c>
      <c r="M51" s="149">
        <f t="shared" si="5"/>
        <v>1597744.3279773376</v>
      </c>
      <c r="N51" s="150">
        <f t="shared" si="6"/>
        <v>6.6464460682024579E-3</v>
      </c>
    </row>
    <row r="52" spans="1:14">
      <c r="A52" s="4" t="s">
        <v>45</v>
      </c>
      <c r="B52" s="146">
        <v>54192</v>
      </c>
      <c r="C52" s="130">
        <f t="shared" si="0"/>
        <v>1.0585400460669627E-2</v>
      </c>
      <c r="E52" s="93">
        <v>38080</v>
      </c>
      <c r="F52" s="130">
        <f t="shared" si="1"/>
        <v>7.1840706815962524E-3</v>
      </c>
      <c r="H52" s="147">
        <f>+'COEF Art 14 F I'!AQ51</f>
        <v>8.1032729788174315E-3</v>
      </c>
      <c r="J52" s="148">
        <f t="shared" si="7"/>
        <v>890621.42085389514</v>
      </c>
      <c r="K52" s="149">
        <f t="shared" si="8"/>
        <v>604444.51409572014</v>
      </c>
      <c r="L52" s="149">
        <f t="shared" si="9"/>
        <v>584385.62385532621</v>
      </c>
      <c r="M52" s="149">
        <f t="shared" si="5"/>
        <v>2079451.5588049414</v>
      </c>
      <c r="N52" s="150">
        <f t="shared" si="6"/>
        <v>8.6502967934382873E-3</v>
      </c>
    </row>
    <row r="53" spans="1:14">
      <c r="A53" s="4" t="s">
        <v>46</v>
      </c>
      <c r="B53" s="146">
        <v>430143</v>
      </c>
      <c r="C53" s="130">
        <f t="shared" si="0"/>
        <v>8.4020444168028771E-2</v>
      </c>
      <c r="E53" s="93">
        <v>459392</v>
      </c>
      <c r="F53" s="130">
        <f t="shared" si="1"/>
        <v>8.6667662777307392E-2</v>
      </c>
      <c r="H53" s="147">
        <f>+'COEF Art 14 F I'!AQ52</f>
        <v>6.2205105916225106E-2</v>
      </c>
      <c r="J53" s="148">
        <f t="shared" si="7"/>
        <v>7069208.9206959885</v>
      </c>
      <c r="K53" s="149">
        <f t="shared" si="8"/>
        <v>7291937.3482001331</v>
      </c>
      <c r="L53" s="149">
        <f t="shared" si="9"/>
        <v>4486060.1047090627</v>
      </c>
      <c r="M53" s="149">
        <f t="shared" si="5"/>
        <v>18847206.373605184</v>
      </c>
      <c r="N53" s="150">
        <f t="shared" si="6"/>
        <v>7.8402369205735192E-2</v>
      </c>
    </row>
    <row r="54" spans="1:14">
      <c r="A54" s="4" t="s">
        <v>47</v>
      </c>
      <c r="B54" s="146">
        <v>123156</v>
      </c>
      <c r="C54" s="130">
        <f t="shared" si="0"/>
        <v>2.4056236697930111E-2</v>
      </c>
      <c r="E54" s="93">
        <v>135338</v>
      </c>
      <c r="F54" s="130">
        <f t="shared" si="1"/>
        <v>2.5532504146687857E-2</v>
      </c>
      <c r="H54" s="147">
        <f>+'COEF Art 14 F I'!AQ53</f>
        <v>0.14442612430234289</v>
      </c>
      <c r="J54" s="148">
        <f t="shared" si="7"/>
        <v>2024014.0926092837</v>
      </c>
      <c r="K54" s="149">
        <f t="shared" si="8"/>
        <v>2148222.469765929</v>
      </c>
      <c r="L54" s="149">
        <f t="shared" si="9"/>
        <v>10415612.428713799</v>
      </c>
      <c r="M54" s="149">
        <f t="shared" si="5"/>
        <v>14587848.991089012</v>
      </c>
      <c r="N54" s="150">
        <f t="shared" si="6"/>
        <v>6.0683896586319161E-2</v>
      </c>
    </row>
    <row r="55" spans="1:14">
      <c r="A55" s="4" t="s">
        <v>48</v>
      </c>
      <c r="B55" s="146">
        <v>296954</v>
      </c>
      <c r="C55" s="130">
        <f t="shared" si="0"/>
        <v>5.8004447305832756E-2</v>
      </c>
      <c r="E55" s="93">
        <v>296472</v>
      </c>
      <c r="F55" s="130">
        <f t="shared" si="1"/>
        <v>5.593161247673855E-2</v>
      </c>
      <c r="H55" s="147">
        <f>+'COEF Art 14 F I'!AQ54</f>
        <v>3.7445124240685045E-2</v>
      </c>
      <c r="J55" s="148">
        <f t="shared" si="7"/>
        <v>4880306.934755086</v>
      </c>
      <c r="K55" s="149">
        <f t="shared" si="8"/>
        <v>4705905.3041750612</v>
      </c>
      <c r="L55" s="149">
        <f t="shared" si="9"/>
        <v>2700438.7420904064</v>
      </c>
      <c r="M55" s="149">
        <f t="shared" si="5"/>
        <v>12286650.981020553</v>
      </c>
      <c r="N55" s="150">
        <f t="shared" si="6"/>
        <v>5.1111158196105469E-2</v>
      </c>
    </row>
    <row r="56" spans="1:14">
      <c r="A56" s="4" t="s">
        <v>49</v>
      </c>
      <c r="B56" s="146">
        <v>42407</v>
      </c>
      <c r="C56" s="130">
        <f t="shared" si="0"/>
        <v>8.2834196437779912E-3</v>
      </c>
      <c r="E56" s="93">
        <v>44571</v>
      </c>
      <c r="F56" s="130">
        <f t="shared" si="1"/>
        <v>8.4086453348063694E-3</v>
      </c>
      <c r="H56" s="147">
        <f>+'COEF Art 14 F I'!AQ55</f>
        <v>1.3399357718788614E-2</v>
      </c>
      <c r="J56" s="148">
        <f t="shared" si="7"/>
        <v>696940.18663550215</v>
      </c>
      <c r="K56" s="149">
        <f t="shared" si="8"/>
        <v>707476.27200000896</v>
      </c>
      <c r="L56" s="149">
        <f t="shared" si="9"/>
        <v>966324.59997635544</v>
      </c>
      <c r="M56" s="149">
        <f t="shared" si="5"/>
        <v>2370741.0586118666</v>
      </c>
      <c r="N56" s="150">
        <f t="shared" si="6"/>
        <v>9.8620300581411108E-3</v>
      </c>
    </row>
    <row r="57" spans="1:14">
      <c r="A57" s="4" t="s">
        <v>50</v>
      </c>
      <c r="B57" s="146">
        <v>1632</v>
      </c>
      <c r="C57" s="130">
        <f t="shared" si="0"/>
        <v>3.1878088189793386E-4</v>
      </c>
      <c r="E57" s="93">
        <v>2105</v>
      </c>
      <c r="F57" s="130">
        <f t="shared" si="1"/>
        <v>3.9712365506197768E-4</v>
      </c>
      <c r="H57" s="147">
        <f>+'COEF Art 14 F I'!AQ56</f>
        <v>1.7647996531985389E-3</v>
      </c>
      <c r="J57" s="148">
        <f t="shared" si="7"/>
        <v>26821.194250693035</v>
      </c>
      <c r="K57" s="149">
        <f t="shared" si="8"/>
        <v>33412.702262906794</v>
      </c>
      <c r="L57" s="149">
        <f t="shared" si="9"/>
        <v>127272.46743507829</v>
      </c>
      <c r="M57" s="149">
        <f t="shared" si="5"/>
        <v>187506.36394867813</v>
      </c>
      <c r="N57" s="150">
        <f t="shared" si="6"/>
        <v>7.8000648389553082E-4</v>
      </c>
    </row>
    <row r="58" spans="1:14">
      <c r="A58" s="4" t="s">
        <v>51</v>
      </c>
      <c r="B58" s="146">
        <v>4080</v>
      </c>
      <c r="C58" s="130">
        <f t="shared" si="0"/>
        <v>7.9695220474483466E-4</v>
      </c>
      <c r="E58" s="93">
        <v>4264</v>
      </c>
      <c r="F58" s="130">
        <f t="shared" si="1"/>
        <v>8.0443480531319376E-4</v>
      </c>
      <c r="H58" s="147">
        <f>+'COEF Art 14 F I'!AQ57</f>
        <v>1.2291862535068643E-3</v>
      </c>
      <c r="J58" s="148">
        <f t="shared" si="7"/>
        <v>67052.985626732581</v>
      </c>
      <c r="K58" s="149">
        <f t="shared" si="8"/>
        <v>67682.547481726651</v>
      </c>
      <c r="L58" s="149">
        <f t="shared" si="9"/>
        <v>88645.511198714346</v>
      </c>
      <c r="M58" s="149">
        <f t="shared" si="5"/>
        <v>223381.04430717358</v>
      </c>
      <c r="N58" s="150">
        <f t="shared" si="6"/>
        <v>9.2924132957236932E-4</v>
      </c>
    </row>
    <row r="59" spans="1:14" ht="13.8" thickBot="1">
      <c r="A59" s="6" t="s">
        <v>52</v>
      </c>
      <c r="B59" s="151">
        <f>SUM(B8:B58)</f>
        <v>5119504</v>
      </c>
      <c r="C59" s="131">
        <f>SUM(C8:C58)</f>
        <v>0.99999999999999989</v>
      </c>
      <c r="E59" s="152">
        <f>SUM(E8:E58)</f>
        <v>5300616</v>
      </c>
      <c r="F59" s="131">
        <f t="shared" si="1"/>
        <v>1</v>
      </c>
      <c r="H59" s="153">
        <f>SUM(H8:H58)</f>
        <v>1</v>
      </c>
      <c r="J59" s="154">
        <f>SUM(J8:J58)</f>
        <v>84136771.600000009</v>
      </c>
      <c r="K59" s="155">
        <f>SUM(K8:K58)</f>
        <v>84136771.600000024</v>
      </c>
      <c r="L59" s="155">
        <f>SUM(L8:L58)</f>
        <v>72117232.799999997</v>
      </c>
      <c r="M59" s="155">
        <f>SUM(M8:M58)</f>
        <v>240390775.99999997</v>
      </c>
      <c r="N59" s="156">
        <f>SUM(N8:N58)</f>
        <v>1</v>
      </c>
    </row>
    <row r="60" spans="1:14" ht="13.8" thickTop="1"/>
    <row r="61" spans="1:14" ht="15.75" customHeight="1">
      <c r="A61" s="14" t="s">
        <v>97</v>
      </c>
    </row>
    <row r="62" spans="1:14">
      <c r="A62" s="14" t="s">
        <v>165</v>
      </c>
    </row>
    <row r="63" spans="1:14">
      <c r="A63" s="14" t="s">
        <v>136</v>
      </c>
    </row>
  </sheetData>
  <mergeCells count="3">
    <mergeCell ref="A1:N1"/>
    <mergeCell ref="B3:C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66" orientation="landscape" r:id="rId1"/>
  <headerFooter alignWithMargins="0"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PART PEF2019</vt:lpstr>
      <vt:lpstr>DIST2019</vt:lpstr>
      <vt:lpstr>COEF Art 14 F I</vt:lpstr>
      <vt:lpstr>CALCULO GARANTIA</vt:lpstr>
      <vt:lpstr>COEF Art 14 F II</vt:lpstr>
      <vt:lpstr>'CALCULO GARANTIA'!Área_de_impresión</vt:lpstr>
      <vt:lpstr>'COEF Art 14 F I'!Área_de_impresión</vt:lpstr>
      <vt:lpstr>'COEF Art 14 F II'!Área_de_impresión</vt:lpstr>
      <vt:lpstr>DIST2019!Área_de_impresión</vt:lpstr>
      <vt:lpstr>'PART PEF2019'!Área_de_impresión</vt:lpstr>
      <vt:lpstr>'COEF Art 14 F I'!Títulos_a_imprimir</vt:lpstr>
      <vt:lpstr>DIST2019!Títulos_a_imprimir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Gabriel Rivera Cantu</cp:lastModifiedBy>
  <cp:lastPrinted>2019-01-29T15:22:26Z</cp:lastPrinted>
  <dcterms:created xsi:type="dcterms:W3CDTF">2009-12-17T23:31:03Z</dcterms:created>
  <dcterms:modified xsi:type="dcterms:W3CDTF">2019-02-06T17:51:08Z</dcterms:modified>
</cp:coreProperties>
</file>