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.rivera\Desktop\Participaciones 2019\Participaciones\Ajuste del 1er Semestre\"/>
    </mc:Choice>
  </mc:AlternateContent>
  <bookViews>
    <workbookView xWindow="0" yWindow="1296" windowWidth="10536" windowHeight="6852" activeTab="1"/>
  </bookViews>
  <sheets>
    <sheet name="PART MES" sheetId="41" r:id="rId1"/>
    <sheet name="Ajuste 1er Sem" sheetId="46" r:id="rId2"/>
    <sheet name="Calculo Coef Actualizado" sheetId="42" r:id="rId3"/>
    <sheet name="pagado 1er Sem" sheetId="45" r:id="rId4"/>
    <sheet name="COEF Art 14 F I" sheetId="1" r:id="rId5"/>
    <sheet name="PART PEF2019" sheetId="43" r:id="rId6"/>
    <sheet name="CALCULO GARANTIA" sheetId="28" r:id="rId7"/>
    <sheet name="COEF Art 14 F II" sheetId="36" r:id="rId8"/>
    <sheet name="Art.14 Frac.III" sheetId="44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1" hidden="1">'Ajuste 1er Sem'!#REF!</definedName>
    <definedName name="_xlnm._FilterDatabase" localSheetId="2" hidden="1">'Calculo Coef Actualizado'!#REF!</definedName>
    <definedName name="_xlnm._FilterDatabase" localSheetId="3" hidden="1">'pagado 1er Sem'!#REF!</definedName>
    <definedName name="A_impresión_IM" localSheetId="1">#REF!</definedName>
    <definedName name="A_impresión_IM" localSheetId="2">#REF!</definedName>
    <definedName name="A_impresión_IM" localSheetId="6">#REF!</definedName>
    <definedName name="A_impresión_IM" localSheetId="7">#REF!</definedName>
    <definedName name="A_impresión_IM" localSheetId="3">#REF!</definedName>
    <definedName name="A_impresión_IM" localSheetId="0">#REF!</definedName>
    <definedName name="A_impresión_IM" localSheetId="5">#REF!</definedName>
    <definedName name="A_impresión_IM">#REF!</definedName>
    <definedName name="AJUSTES" localSheetId="1" hidden="1">{"'beneficiarios'!$A$1:$C$7"}</definedName>
    <definedName name="AJUSTES" localSheetId="2" hidden="1">{"'beneficiarios'!$A$1:$C$7"}</definedName>
    <definedName name="AJUSTES" localSheetId="6" hidden="1">{"'beneficiarios'!$A$1:$C$7"}</definedName>
    <definedName name="AJUSTES" localSheetId="3" hidden="1">{"'beneficiarios'!$A$1:$C$7"}</definedName>
    <definedName name="AJUSTES" localSheetId="0" hidden="1">{"'beneficiarios'!$A$1:$C$7"}</definedName>
    <definedName name="AJUSTES" localSheetId="5" hidden="1">{"'beneficiarios'!$A$1:$C$7"}</definedName>
    <definedName name="AJUSTES" hidden="1">{"'beneficiarios'!$A$1:$C$7"}</definedName>
    <definedName name="_xlnm.Print_Area" localSheetId="1">'Ajuste 1er Sem'!$A$1:$K$59</definedName>
    <definedName name="_xlnm.Print_Area" localSheetId="8">'Art.14 Frac.III'!$A$1:$Q$56</definedName>
    <definedName name="_xlnm.Print_Area" localSheetId="2">'Calculo Coef Actualizado'!$A$1:$K$59</definedName>
    <definedName name="_xlnm.Print_Area" localSheetId="6">'CALCULO GARANTIA'!$A$1:$U$61</definedName>
    <definedName name="_xlnm.Print_Area" localSheetId="4">'COEF Art 14 F I'!$A$3:$AQ$61</definedName>
    <definedName name="_xlnm.Print_Area" localSheetId="7">'COEF Art 14 F II'!$A$1:$N$60</definedName>
    <definedName name="_xlnm.Print_Area" localSheetId="3">'pagado 1er Sem'!$A$1:$L$59</definedName>
    <definedName name="_xlnm.Print_Area" localSheetId="0">'PART MES'!$A$1:$J$15</definedName>
    <definedName name="_xlnm.Print_Area" localSheetId="5">'PART PEF2019'!$A$1:$P$15</definedName>
    <definedName name="_xlnm.Database" localSheetId="1">#REF!</definedName>
    <definedName name="_xlnm.Database" localSheetId="2">#REF!</definedName>
    <definedName name="_xlnm.Database" localSheetId="6">#REF!</definedName>
    <definedName name="_xlnm.Database" localSheetId="7">#REF!</definedName>
    <definedName name="_xlnm.Database" localSheetId="3">#REF!</definedName>
    <definedName name="_xlnm.Database" localSheetId="0">#REF!</definedName>
    <definedName name="_xlnm.Database" localSheetId="5">#REF!</definedName>
    <definedName name="_xlnm.Database">#REF!</definedName>
    <definedName name="cierre_2001" localSheetId="1">'[1]deuda c sadm'!#REF!</definedName>
    <definedName name="cierre_2001" localSheetId="2">'[1]deuda c sadm'!#REF!</definedName>
    <definedName name="cierre_2001" localSheetId="7">'[1]deuda c sadm'!#REF!</definedName>
    <definedName name="cierre_2001" localSheetId="3">'[1]deuda c sadm'!#REF!</definedName>
    <definedName name="cierre_2001" localSheetId="0">'[1]deuda c sadm'!#REF!</definedName>
    <definedName name="cierre_2001" localSheetId="5">'[1]deuda c sadm'!#REF!</definedName>
    <definedName name="cierre_2001">'[1]deuda c sadm'!#REF!</definedName>
    <definedName name="deuda" localSheetId="1">'[1]deuda c sadm'!#REF!</definedName>
    <definedName name="deuda" localSheetId="2">'[1]deuda c sadm'!#REF!</definedName>
    <definedName name="deuda" localSheetId="7">'[1]deuda c sadm'!#REF!</definedName>
    <definedName name="deuda" localSheetId="3">'[1]deuda c sadm'!#REF!</definedName>
    <definedName name="deuda" localSheetId="0">'[1]deuda c sadm'!#REF!</definedName>
    <definedName name="deuda" localSheetId="5">'[1]deuda c sadm'!#REF!</definedName>
    <definedName name="deuda">'[1]deuda c sadm'!#REF!</definedName>
    <definedName name="Deuda_ingTot" localSheetId="1">'[1]deuda c sadm'!#REF!</definedName>
    <definedName name="Deuda_ingTot" localSheetId="2">'[1]deuda c sadm'!#REF!</definedName>
    <definedName name="Deuda_ingTot" localSheetId="7">'[1]deuda c sadm'!#REF!</definedName>
    <definedName name="Deuda_ingTot" localSheetId="3">'[1]deuda c sadm'!#REF!</definedName>
    <definedName name="Deuda_ingTot" localSheetId="0">'[1]deuda c sadm'!#REF!</definedName>
    <definedName name="Deuda_ingTot" localSheetId="5">'[1]deuda c sadm'!#REF!</definedName>
    <definedName name="Deuda_ingTot">'[1]deuda c sadm'!#REF!</definedName>
    <definedName name="ENERO" localSheetId="1">#REF!</definedName>
    <definedName name="ENERO" localSheetId="2">#REF!</definedName>
    <definedName name="ENERO" localSheetId="6">#REF!</definedName>
    <definedName name="ENERO" localSheetId="7">#REF!</definedName>
    <definedName name="ENERO" localSheetId="3">#REF!</definedName>
    <definedName name="ENERO" localSheetId="0">#REF!</definedName>
    <definedName name="ENERO" localSheetId="5">#REF!</definedName>
    <definedName name="ENERO">#REF!</definedName>
    <definedName name="ENEROAJUSTE" localSheetId="1">#REF!</definedName>
    <definedName name="ENEROAJUSTE" localSheetId="3">#REF!</definedName>
    <definedName name="ENEROAJUSTE" localSheetId="5">#REF!</definedName>
    <definedName name="ENEROAJUSTE">#REF!</definedName>
    <definedName name="Estado">'[2]Compendio de nombres'!$C$2:$C$33</definedName>
    <definedName name="Estado1" localSheetId="1">#REF!</definedName>
    <definedName name="Estado1" localSheetId="3">#REF!</definedName>
    <definedName name="Estado1">#REF!</definedName>
    <definedName name="Fto_1" localSheetId="1">#REF!</definedName>
    <definedName name="Fto_1" localSheetId="2">#REF!</definedName>
    <definedName name="Fto_1" localSheetId="6">#REF!</definedName>
    <definedName name="Fto_1" localSheetId="7">#REF!</definedName>
    <definedName name="Fto_1" localSheetId="3">#REF!</definedName>
    <definedName name="Fto_1" localSheetId="0">#REF!</definedName>
    <definedName name="Fto_1" localSheetId="5">#REF!</definedName>
    <definedName name="Fto_1">#REF!</definedName>
    <definedName name="HTML_CodePage" hidden="1">1252</definedName>
    <definedName name="HTML_Control" localSheetId="1" hidden="1">{"'beneficiarios'!$A$1:$C$7"}</definedName>
    <definedName name="HTML_Control" localSheetId="2" hidden="1">{"'beneficiarios'!$A$1:$C$7"}</definedName>
    <definedName name="HTML_Control" localSheetId="6" hidden="1">{"'beneficiarios'!$A$1:$C$7"}</definedName>
    <definedName name="HTML_Control" localSheetId="3" hidden="1">{"'beneficiarios'!$A$1:$C$7"}</definedName>
    <definedName name="HTML_Control" localSheetId="0" hidden="1">{"'beneficiarios'!$A$1:$C$7"}</definedName>
    <definedName name="HTML_Control" localSheetId="5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1" hidden="1">{"'beneficiarios'!$A$1:$C$7"}</definedName>
    <definedName name="INDICADORES" localSheetId="2" hidden="1">{"'beneficiarios'!$A$1:$C$7"}</definedName>
    <definedName name="INDICADORES" localSheetId="6" hidden="1">{"'beneficiarios'!$A$1:$C$7"}</definedName>
    <definedName name="INDICADORES" localSheetId="3" hidden="1">{"'beneficiarios'!$A$1:$C$7"}</definedName>
    <definedName name="INDICADORES" localSheetId="0" hidden="1">{"'beneficiarios'!$A$1:$C$7"}</definedName>
    <definedName name="INDICADORES" localSheetId="5" hidden="1">{"'beneficiarios'!$A$1:$C$7"}</definedName>
    <definedName name="INDICADORES" hidden="1">{"'beneficiarios'!$A$1:$C$7"}</definedName>
    <definedName name="ingresofederales" localSheetId="1" hidden="1">{"'beneficiarios'!$A$1:$C$7"}</definedName>
    <definedName name="ingresofederales" localSheetId="2" hidden="1">{"'beneficiarios'!$A$1:$C$7"}</definedName>
    <definedName name="ingresofederales" localSheetId="6" hidden="1">{"'beneficiarios'!$A$1:$C$7"}</definedName>
    <definedName name="ingresofederales" localSheetId="3" hidden="1">{"'beneficiarios'!$A$1:$C$7"}</definedName>
    <definedName name="ingresofederales" localSheetId="0" hidden="1">{"'beneficiarios'!$A$1:$C$7"}</definedName>
    <definedName name="ingresofederales" localSheetId="5" hidden="1">{"'beneficiarios'!$A$1:$C$7"}</definedName>
    <definedName name="ingresofederales" hidden="1">{"'beneficiarios'!$A$1:$C$7"}</definedName>
    <definedName name="MUNICIPIOS" localSheetId="1" hidden="1">{"'beneficiarios'!$A$1:$C$7"}</definedName>
    <definedName name="MUNICIPIOS" localSheetId="8">[3]IMPORTE!$A$3:$A$53</definedName>
    <definedName name="MUNICIPIOS" localSheetId="3" hidden="1">{"'beneficiarios'!$A$1:$C$7"}</definedName>
    <definedName name="MUNICIPIOS" hidden="1">{"'beneficiarios'!$A$1:$C$7"}</definedName>
    <definedName name="Notas_Fto_1" localSheetId="1">#REF!</definedName>
    <definedName name="Notas_Fto_1" localSheetId="2">#REF!</definedName>
    <definedName name="Notas_Fto_1" localSheetId="7">#REF!</definedName>
    <definedName name="Notas_Fto_1" localSheetId="3">#REF!</definedName>
    <definedName name="Notas_Fto_1" localSheetId="0">#REF!</definedName>
    <definedName name="Notas_Fto_1" localSheetId="5">#REF!</definedName>
    <definedName name="Notas_Fto_1">#REF!</definedName>
    <definedName name="Partidas">[4]TECHO!$B$1:$Q$2798</definedName>
    <definedName name="SINAJUSTE" localSheetId="1" hidden="1">{"'beneficiarios'!$A$1:$C$7"}</definedName>
    <definedName name="SINAJUSTE" localSheetId="2" hidden="1">{"'beneficiarios'!$A$1:$C$7"}</definedName>
    <definedName name="SINAJUSTE" localSheetId="6" hidden="1">{"'beneficiarios'!$A$1:$C$7"}</definedName>
    <definedName name="SINAJUSTE" localSheetId="3" hidden="1">{"'beneficiarios'!$A$1:$C$7"}</definedName>
    <definedName name="SINAJUSTE" localSheetId="0" hidden="1">{"'beneficiarios'!$A$1:$C$7"}</definedName>
    <definedName name="SINAJUSTE" localSheetId="5" hidden="1">{"'beneficiarios'!$A$1:$C$7"}</definedName>
    <definedName name="SINAJUSTE" hidden="1">{"'beneficiarios'!$A$1:$C$7"}</definedName>
    <definedName name="t" localSheetId="1">#REF!</definedName>
    <definedName name="t" localSheetId="2">#REF!</definedName>
    <definedName name="t" localSheetId="3">#REF!</definedName>
    <definedName name="t" localSheetId="0">#REF!</definedName>
    <definedName name="t" localSheetId="5">#REF!</definedName>
    <definedName name="t">#REF!</definedName>
    <definedName name="_xlnm.Print_Titles" localSheetId="1">'Ajuste 1er Sem'!$1:$3</definedName>
    <definedName name="_xlnm.Print_Titles" localSheetId="2">'Calculo Coef Actualizado'!$1:$3</definedName>
    <definedName name="_xlnm.Print_Titles" localSheetId="4">'COEF Art 14 F I'!$A:$A,'COEF Art 14 F I'!$3:$3</definedName>
    <definedName name="_xlnm.Print_Titles" localSheetId="3">'pagado 1er Sem'!$1:$3</definedName>
    <definedName name="TOT" localSheetId="1">#REF!</definedName>
    <definedName name="TOT" localSheetId="2">#REF!</definedName>
    <definedName name="TOT" localSheetId="7">#REF!</definedName>
    <definedName name="TOT" localSheetId="3">#REF!</definedName>
    <definedName name="TOT" localSheetId="0">#REF!</definedName>
    <definedName name="TOT" localSheetId="5">#REF!</definedName>
    <definedName name="TOT">#REF!</definedName>
    <definedName name="TOTAL" localSheetId="1">#REF!</definedName>
    <definedName name="TOTAL" localSheetId="2">#REF!</definedName>
    <definedName name="TOTAL" localSheetId="7">#REF!</definedName>
    <definedName name="TOTAL" localSheetId="3">#REF!</definedName>
    <definedName name="TOTAL" localSheetId="0">#REF!</definedName>
    <definedName name="TOTAL" localSheetId="5">#REF!</definedName>
    <definedName name="TOTAL">#REF!</definedName>
  </definedNames>
  <calcPr calcId="152511"/>
</workbook>
</file>

<file path=xl/calcChain.xml><?xml version="1.0" encoding="utf-8"?>
<calcChain xmlns="http://schemas.openxmlformats.org/spreadsheetml/2006/main">
  <c r="P6" i="46" l="1"/>
  <c r="P7" i="46"/>
  <c r="P8" i="46"/>
  <c r="P9" i="46"/>
  <c r="P10" i="46"/>
  <c r="P11" i="46"/>
  <c r="P12" i="46"/>
  <c r="P13" i="46"/>
  <c r="P14" i="46"/>
  <c r="P15" i="46"/>
  <c r="P16" i="46"/>
  <c r="P17" i="46"/>
  <c r="P18" i="46"/>
  <c r="P19" i="46"/>
  <c r="P20" i="46"/>
  <c r="P21" i="46"/>
  <c r="P22" i="46"/>
  <c r="P23" i="46"/>
  <c r="P24" i="46"/>
  <c r="P25" i="46"/>
  <c r="P26" i="46"/>
  <c r="P27" i="46"/>
  <c r="P28" i="46"/>
  <c r="P29" i="46"/>
  <c r="P30" i="46"/>
  <c r="P31" i="46"/>
  <c r="P32" i="46"/>
  <c r="P33" i="46"/>
  <c r="P34" i="46"/>
  <c r="P35" i="46"/>
  <c r="P36" i="46"/>
  <c r="P37" i="46"/>
  <c r="P38" i="46"/>
  <c r="P39" i="46"/>
  <c r="P40" i="46"/>
  <c r="P41" i="46"/>
  <c r="P42" i="46"/>
  <c r="P43" i="46"/>
  <c r="P44" i="46"/>
  <c r="P45" i="46"/>
  <c r="P46" i="46"/>
  <c r="P47" i="46"/>
  <c r="P48" i="46"/>
  <c r="P49" i="46"/>
  <c r="P50" i="46"/>
  <c r="P51" i="46"/>
  <c r="P52" i="46"/>
  <c r="P53" i="46"/>
  <c r="P54" i="46"/>
  <c r="P55" i="46"/>
  <c r="P56" i="46"/>
  <c r="P57" i="46"/>
  <c r="D6" i="46" l="1"/>
  <c r="D7" i="46"/>
  <c r="D8" i="46"/>
  <c r="D9" i="46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D34" i="46"/>
  <c r="D35" i="46"/>
  <c r="D36" i="46"/>
  <c r="D37" i="46"/>
  <c r="D38" i="46"/>
  <c r="D39" i="46"/>
  <c r="D40" i="46"/>
  <c r="D41" i="46"/>
  <c r="D42" i="46"/>
  <c r="D43" i="46"/>
  <c r="D44" i="46"/>
  <c r="D45" i="46"/>
  <c r="D46" i="46"/>
  <c r="D47" i="46"/>
  <c r="D48" i="46"/>
  <c r="D49" i="46"/>
  <c r="D50" i="46"/>
  <c r="D51" i="46"/>
  <c r="D52" i="46"/>
  <c r="D53" i="46"/>
  <c r="D54" i="46"/>
  <c r="D55" i="46"/>
  <c r="D56" i="46"/>
  <c r="D57" i="46"/>
  <c r="K56" i="45"/>
  <c r="K55" i="45"/>
  <c r="K54" i="45"/>
  <c r="K53" i="45"/>
  <c r="K52" i="45"/>
  <c r="K51" i="45"/>
  <c r="K50" i="45"/>
  <c r="K49" i="45"/>
  <c r="K48" i="45"/>
  <c r="K47" i="45"/>
  <c r="K46" i="45"/>
  <c r="K45" i="45"/>
  <c r="K44" i="45"/>
  <c r="K43" i="45"/>
  <c r="K42" i="45"/>
  <c r="K41" i="45"/>
  <c r="K40" i="45"/>
  <c r="K39" i="45"/>
  <c r="K38" i="45"/>
  <c r="K37" i="45"/>
  <c r="K36" i="45"/>
  <c r="K35" i="45"/>
  <c r="K34" i="45"/>
  <c r="K33" i="45"/>
  <c r="K32" i="45"/>
  <c r="K31" i="45"/>
  <c r="K30" i="45"/>
  <c r="K29" i="45"/>
  <c r="K28" i="45"/>
  <c r="K27" i="45"/>
  <c r="K26" i="45"/>
  <c r="K25" i="45"/>
  <c r="K24" i="45"/>
  <c r="K23" i="45"/>
  <c r="K22" i="45"/>
  <c r="K21" i="45"/>
  <c r="K20" i="45"/>
  <c r="K19" i="45"/>
  <c r="K18" i="45"/>
  <c r="K17" i="45"/>
  <c r="K16" i="45"/>
  <c r="K15" i="45"/>
  <c r="K14" i="45"/>
  <c r="K13" i="45"/>
  <c r="K12" i="45"/>
  <c r="K11" i="45"/>
  <c r="K10" i="45"/>
  <c r="K9" i="45"/>
  <c r="K8" i="45"/>
  <c r="K7" i="45"/>
  <c r="J57" i="45"/>
  <c r="I57" i="45"/>
  <c r="H57" i="45"/>
  <c r="G57" i="45"/>
  <c r="F57" i="45"/>
  <c r="E57" i="45"/>
  <c r="D57" i="45"/>
  <c r="C57" i="45"/>
  <c r="B57" i="45"/>
  <c r="K6" i="45" l="1"/>
  <c r="K57" i="45" s="1"/>
  <c r="P3" i="44" l="1"/>
  <c r="AP6" i="1"/>
  <c r="G13" i="41"/>
  <c r="F13" i="41"/>
  <c r="E13" i="41"/>
  <c r="D13" i="41"/>
  <c r="C13" i="41"/>
  <c r="B13" i="41"/>
  <c r="P15" i="43"/>
  <c r="N7" i="43"/>
  <c r="N8" i="43"/>
  <c r="P8" i="43" s="1"/>
  <c r="N9" i="43"/>
  <c r="N10" i="43"/>
  <c r="P10" i="43" s="1"/>
  <c r="N11" i="43"/>
  <c r="N12" i="43"/>
  <c r="P12" i="43" s="1"/>
  <c r="N6" i="43"/>
  <c r="N5" i="43"/>
  <c r="N4" i="43"/>
  <c r="P6" i="43"/>
  <c r="P7" i="43"/>
  <c r="P9" i="43"/>
  <c r="P11" i="43"/>
  <c r="G13" i="43"/>
  <c r="B13" i="43" l="1"/>
  <c r="C13" i="43"/>
  <c r="D13" i="43"/>
  <c r="E13" i="43"/>
  <c r="F13" i="43"/>
  <c r="H13" i="43"/>
  <c r="I13" i="43"/>
  <c r="J13" i="43"/>
  <c r="K13" i="43"/>
  <c r="L13" i="43"/>
  <c r="M13" i="43"/>
  <c r="P4" i="43"/>
  <c r="H12" i="41" l="1"/>
  <c r="J12" i="41" s="1"/>
  <c r="H6" i="41" l="1"/>
  <c r="H7" i="41"/>
  <c r="H8" i="41"/>
  <c r="H9" i="41"/>
  <c r="H10" i="41"/>
  <c r="H11" i="41"/>
  <c r="H4" i="41"/>
  <c r="H5" i="41" l="1"/>
  <c r="H13" i="41" s="1"/>
  <c r="D5" i="44"/>
  <c r="G5" i="44"/>
  <c r="H5" i="44" s="1"/>
  <c r="D6" i="44"/>
  <c r="G6" i="44"/>
  <c r="H6" i="44" s="1"/>
  <c r="D7" i="44"/>
  <c r="G7" i="44"/>
  <c r="H7" i="44" s="1"/>
  <c r="D8" i="44"/>
  <c r="G8" i="44"/>
  <c r="H8" i="44" s="1"/>
  <c r="D9" i="44"/>
  <c r="G9" i="44"/>
  <c r="H9" i="44" s="1"/>
  <c r="D10" i="44"/>
  <c r="G10" i="44"/>
  <c r="H10" i="44" s="1"/>
  <c r="D11" i="44"/>
  <c r="G11" i="44"/>
  <c r="H11" i="44" s="1"/>
  <c r="D12" i="44"/>
  <c r="G12" i="44"/>
  <c r="H12" i="44" s="1"/>
  <c r="D13" i="44"/>
  <c r="G13" i="44"/>
  <c r="H13" i="44" s="1"/>
  <c r="D14" i="44"/>
  <c r="G14" i="44"/>
  <c r="H14" i="44" s="1"/>
  <c r="D15" i="44"/>
  <c r="G15" i="44"/>
  <c r="H15" i="44" s="1"/>
  <c r="D16" i="44"/>
  <c r="G16" i="44"/>
  <c r="H16" i="44" s="1"/>
  <c r="D17" i="44"/>
  <c r="G17" i="44"/>
  <c r="H17" i="44" s="1"/>
  <c r="D18" i="44"/>
  <c r="G18" i="44"/>
  <c r="H18" i="44" s="1"/>
  <c r="D19" i="44"/>
  <c r="G19" i="44"/>
  <c r="H19" i="44" s="1"/>
  <c r="D20" i="44"/>
  <c r="G20" i="44"/>
  <c r="H20" i="44" s="1"/>
  <c r="D21" i="44"/>
  <c r="G21" i="44"/>
  <c r="H21" i="44" s="1"/>
  <c r="D22" i="44"/>
  <c r="G22" i="44"/>
  <c r="H22" i="44" s="1"/>
  <c r="D23" i="44"/>
  <c r="G23" i="44"/>
  <c r="H23" i="44" s="1"/>
  <c r="D24" i="44"/>
  <c r="G24" i="44"/>
  <c r="H24" i="44" s="1"/>
  <c r="D25" i="44"/>
  <c r="G25" i="44"/>
  <c r="H25" i="44" s="1"/>
  <c r="D26" i="44"/>
  <c r="G26" i="44"/>
  <c r="H26" i="44" s="1"/>
  <c r="D27" i="44"/>
  <c r="G27" i="44"/>
  <c r="H27" i="44" s="1"/>
  <c r="D28" i="44"/>
  <c r="G28" i="44"/>
  <c r="H28" i="44" s="1"/>
  <c r="D29" i="44"/>
  <c r="G29" i="44"/>
  <c r="H29" i="44" s="1"/>
  <c r="D30" i="44"/>
  <c r="G30" i="44"/>
  <c r="H30" i="44" s="1"/>
  <c r="D31" i="44"/>
  <c r="G31" i="44"/>
  <c r="H31" i="44" s="1"/>
  <c r="D32" i="44"/>
  <c r="G32" i="44"/>
  <c r="H32" i="44" s="1"/>
  <c r="D33" i="44"/>
  <c r="G33" i="44"/>
  <c r="H33" i="44" s="1"/>
  <c r="D34" i="44"/>
  <c r="G34" i="44"/>
  <c r="H34" i="44" s="1"/>
  <c r="D35" i="44"/>
  <c r="G35" i="44"/>
  <c r="H35" i="44" s="1"/>
  <c r="D36" i="44"/>
  <c r="G36" i="44"/>
  <c r="H36" i="44" s="1"/>
  <c r="D37" i="44"/>
  <c r="G37" i="44"/>
  <c r="H37" i="44" s="1"/>
  <c r="D38" i="44"/>
  <c r="G38" i="44"/>
  <c r="H38" i="44" s="1"/>
  <c r="D39" i="44"/>
  <c r="G39" i="44"/>
  <c r="H39" i="44" s="1"/>
  <c r="D40" i="44"/>
  <c r="G40" i="44"/>
  <c r="H40" i="44" s="1"/>
  <c r="D41" i="44"/>
  <c r="G41" i="44"/>
  <c r="H41" i="44" s="1"/>
  <c r="D42" i="44"/>
  <c r="G42" i="44"/>
  <c r="H42" i="44" s="1"/>
  <c r="D43" i="44"/>
  <c r="G43" i="44"/>
  <c r="H43" i="44" s="1"/>
  <c r="D44" i="44"/>
  <c r="G44" i="44"/>
  <c r="H44" i="44" s="1"/>
  <c r="D45" i="44"/>
  <c r="G45" i="44"/>
  <c r="H45" i="44" s="1"/>
  <c r="D46" i="44"/>
  <c r="G46" i="44"/>
  <c r="H46" i="44" s="1"/>
  <c r="D47" i="44"/>
  <c r="G47" i="44"/>
  <c r="H47" i="44" s="1"/>
  <c r="D48" i="44"/>
  <c r="G48" i="44"/>
  <c r="H48" i="44" s="1"/>
  <c r="D49" i="44"/>
  <c r="G49" i="44"/>
  <c r="H49" i="44" s="1"/>
  <c r="D50" i="44"/>
  <c r="G50" i="44"/>
  <c r="H50" i="44" s="1"/>
  <c r="D51" i="44"/>
  <c r="G51" i="44"/>
  <c r="H51" i="44" s="1"/>
  <c r="D52" i="44"/>
  <c r="G52" i="44"/>
  <c r="H52" i="44" s="1"/>
  <c r="D53" i="44"/>
  <c r="G53" i="44"/>
  <c r="H53" i="44" s="1"/>
  <c r="D54" i="44"/>
  <c r="G54" i="44"/>
  <c r="H54" i="44" s="1"/>
  <c r="D55" i="44"/>
  <c r="G55" i="44"/>
  <c r="H55" i="44" s="1"/>
  <c r="B56" i="44"/>
  <c r="C56" i="44"/>
  <c r="J55" i="44" s="1"/>
  <c r="F56" i="44"/>
  <c r="D56" i="44" l="1"/>
  <c r="E54" i="44" s="1"/>
  <c r="H56" i="44"/>
  <c r="I54" i="44" s="1"/>
  <c r="J54" i="44"/>
  <c r="E50" i="44"/>
  <c r="E46" i="44"/>
  <c r="E42" i="44"/>
  <c r="E38" i="44"/>
  <c r="E34" i="44"/>
  <c r="E30" i="44"/>
  <c r="J5" i="44"/>
  <c r="J6" i="44"/>
  <c r="J7" i="44"/>
  <c r="J8" i="44"/>
  <c r="J9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30" i="44"/>
  <c r="J31" i="44"/>
  <c r="J32" i="44"/>
  <c r="J33" i="44"/>
  <c r="J34" i="44"/>
  <c r="J35" i="44"/>
  <c r="J36" i="44"/>
  <c r="J37" i="44"/>
  <c r="J38" i="44"/>
  <c r="J39" i="44"/>
  <c r="J40" i="44"/>
  <c r="J41" i="44"/>
  <c r="J53" i="44"/>
  <c r="J52" i="44"/>
  <c r="J51" i="44"/>
  <c r="J50" i="44"/>
  <c r="J49" i="44"/>
  <c r="J48" i="44"/>
  <c r="J47" i="44"/>
  <c r="J46" i="44"/>
  <c r="J45" i="44"/>
  <c r="J44" i="44"/>
  <c r="J43" i="44"/>
  <c r="J42" i="44"/>
  <c r="I40" i="44"/>
  <c r="I38" i="44"/>
  <c r="I36" i="44"/>
  <c r="I34" i="44"/>
  <c r="I32" i="44"/>
  <c r="I30" i="44"/>
  <c r="I28" i="44"/>
  <c r="I26" i="44"/>
  <c r="I24" i="44"/>
  <c r="E25" i="44"/>
  <c r="E21" i="44"/>
  <c r="I22" i="44"/>
  <c r="I20" i="44"/>
  <c r="I18" i="44"/>
  <c r="I16" i="44"/>
  <c r="I14" i="44"/>
  <c r="E18" i="44"/>
  <c r="E14" i="44"/>
  <c r="E10" i="44"/>
  <c r="E6" i="44"/>
  <c r="I11" i="44"/>
  <c r="I9" i="44"/>
  <c r="I7" i="44"/>
  <c r="I5" i="44"/>
  <c r="E8" i="44" l="1"/>
  <c r="E12" i="44"/>
  <c r="E16" i="44"/>
  <c r="E23" i="44"/>
  <c r="E27" i="44"/>
  <c r="E32" i="44"/>
  <c r="E36" i="44"/>
  <c r="E40" i="44"/>
  <c r="E44" i="44"/>
  <c r="E48" i="44"/>
  <c r="E52" i="44"/>
  <c r="I6" i="44"/>
  <c r="I8" i="44"/>
  <c r="I10" i="44"/>
  <c r="I12" i="44"/>
  <c r="I13" i="44"/>
  <c r="I15" i="44"/>
  <c r="I17" i="44"/>
  <c r="I19" i="44"/>
  <c r="I21" i="44"/>
  <c r="I23" i="44"/>
  <c r="I25" i="44"/>
  <c r="I27" i="44"/>
  <c r="I29" i="44"/>
  <c r="I31" i="44"/>
  <c r="I33" i="44"/>
  <c r="I35" i="44"/>
  <c r="I37" i="44"/>
  <c r="I39" i="44"/>
  <c r="I41" i="44"/>
  <c r="E5" i="44"/>
  <c r="E7" i="44"/>
  <c r="E9" i="44"/>
  <c r="E11" i="44"/>
  <c r="E13" i="44"/>
  <c r="E15" i="44"/>
  <c r="E17" i="44"/>
  <c r="E19" i="44"/>
  <c r="E20" i="44"/>
  <c r="E22" i="44"/>
  <c r="E24" i="44"/>
  <c r="E26" i="44"/>
  <c r="E28" i="44"/>
  <c r="E29" i="44"/>
  <c r="E31" i="44"/>
  <c r="E33" i="44"/>
  <c r="E35" i="44"/>
  <c r="E37" i="44"/>
  <c r="E39" i="44"/>
  <c r="E41" i="44"/>
  <c r="E43" i="44"/>
  <c r="E45" i="44"/>
  <c r="E47" i="44"/>
  <c r="E49" i="44"/>
  <c r="E51" i="44"/>
  <c r="E53" i="44"/>
  <c r="I43" i="44"/>
  <c r="I46" i="44"/>
  <c r="I49" i="44"/>
  <c r="E55" i="44"/>
  <c r="I45" i="44"/>
  <c r="I50" i="44"/>
  <c r="I53" i="44"/>
  <c r="J56" i="44"/>
  <c r="I42" i="44"/>
  <c r="I44" i="44"/>
  <c r="I48" i="44"/>
  <c r="I52" i="44"/>
  <c r="I55" i="44"/>
  <c r="I47" i="44"/>
  <c r="I51" i="44"/>
  <c r="I56" i="44" l="1"/>
  <c r="E56" i="44"/>
  <c r="J6" i="41" l="1"/>
  <c r="M3" i="44" l="1"/>
  <c r="O3" i="44"/>
  <c r="N3" i="44"/>
  <c r="O55" i="44" l="1"/>
  <c r="O43" i="44"/>
  <c r="O47" i="44"/>
  <c r="O51" i="44"/>
  <c r="O40" i="44"/>
  <c r="O36" i="44"/>
  <c r="O32" i="44"/>
  <c r="O28" i="44"/>
  <c r="O24" i="44"/>
  <c r="O20" i="44"/>
  <c r="O16" i="44"/>
  <c r="O12" i="44"/>
  <c r="O8" i="44"/>
  <c r="O54" i="44"/>
  <c r="O42" i="44"/>
  <c r="O46" i="44"/>
  <c r="O50" i="44"/>
  <c r="O41" i="44"/>
  <c r="O37" i="44"/>
  <c r="O33" i="44"/>
  <c r="O29" i="44"/>
  <c r="O25" i="44"/>
  <c r="O21" i="44"/>
  <c r="O17" i="44"/>
  <c r="O13" i="44"/>
  <c r="O9" i="44"/>
  <c r="O5" i="44"/>
  <c r="O45" i="44"/>
  <c r="O49" i="44"/>
  <c r="O53" i="44"/>
  <c r="O38" i="44"/>
  <c r="O34" i="44"/>
  <c r="O30" i="44"/>
  <c r="O26" i="44"/>
  <c r="O22" i="44"/>
  <c r="O18" i="44"/>
  <c r="O14" i="44"/>
  <c r="O10" i="44"/>
  <c r="O6" i="44"/>
  <c r="O44" i="44"/>
  <c r="O48" i="44"/>
  <c r="O52" i="44"/>
  <c r="O39" i="44"/>
  <c r="O35" i="44"/>
  <c r="O31" i="44"/>
  <c r="O27" i="44"/>
  <c r="O23" i="44"/>
  <c r="O19" i="44"/>
  <c r="O15" i="44"/>
  <c r="O11" i="44"/>
  <c r="O7" i="44"/>
  <c r="N9" i="44"/>
  <c r="N20" i="44"/>
  <c r="N28" i="44"/>
  <c r="N36" i="44"/>
  <c r="N7" i="44"/>
  <c r="N18" i="44"/>
  <c r="N26" i="44"/>
  <c r="N34" i="44"/>
  <c r="N54" i="44"/>
  <c r="N5" i="44"/>
  <c r="N16" i="44"/>
  <c r="N24" i="44"/>
  <c r="N32" i="44"/>
  <c r="N40" i="44"/>
  <c r="N11" i="44"/>
  <c r="N14" i="44"/>
  <c r="N22" i="44"/>
  <c r="N30" i="44"/>
  <c r="N38" i="44"/>
  <c r="N51" i="44"/>
  <c r="N48" i="44"/>
  <c r="N53" i="44"/>
  <c r="N49" i="44"/>
  <c r="N35" i="44"/>
  <c r="N27" i="44"/>
  <c r="N19" i="44"/>
  <c r="N10" i="44"/>
  <c r="N47" i="44"/>
  <c r="N44" i="44"/>
  <c r="N41" i="44"/>
  <c r="N33" i="44"/>
  <c r="N25" i="44"/>
  <c r="N17" i="44"/>
  <c r="N12" i="44"/>
  <c r="N55" i="44"/>
  <c r="N42" i="44"/>
  <c r="N45" i="44"/>
  <c r="N43" i="44"/>
  <c r="N39" i="44"/>
  <c r="N31" i="44"/>
  <c r="N23" i="44"/>
  <c r="N15" i="44"/>
  <c r="N6" i="44"/>
  <c r="N52" i="44"/>
  <c r="N50" i="44"/>
  <c r="N46" i="44"/>
  <c r="N37" i="44"/>
  <c r="N29" i="44"/>
  <c r="N21" i="44"/>
  <c r="N13" i="44"/>
  <c r="N8" i="44"/>
  <c r="M10" i="44"/>
  <c r="M18" i="44"/>
  <c r="M25" i="44"/>
  <c r="M30" i="44"/>
  <c r="M38" i="44"/>
  <c r="M46" i="44"/>
  <c r="M8" i="44"/>
  <c r="M16" i="44"/>
  <c r="M23" i="44"/>
  <c r="M32" i="44"/>
  <c r="M40" i="44"/>
  <c r="P40" i="44" s="1"/>
  <c r="M48" i="44"/>
  <c r="M5" i="44"/>
  <c r="M6" i="44"/>
  <c r="M14" i="44"/>
  <c r="P14" i="44" s="1"/>
  <c r="M21" i="44"/>
  <c r="M34" i="44"/>
  <c r="M42" i="44"/>
  <c r="M50" i="44"/>
  <c r="M54" i="44"/>
  <c r="P54" i="44" s="1"/>
  <c r="M12" i="44"/>
  <c r="M27" i="44"/>
  <c r="M36" i="44"/>
  <c r="M44" i="44"/>
  <c r="M52" i="44"/>
  <c r="M53" i="44"/>
  <c r="M45" i="44"/>
  <c r="M37" i="44"/>
  <c r="M29" i="44"/>
  <c r="P29" i="44" s="1"/>
  <c r="M22" i="44"/>
  <c r="M15" i="44"/>
  <c r="P15" i="44" s="1"/>
  <c r="M7" i="44"/>
  <c r="M55" i="44"/>
  <c r="M51" i="44"/>
  <c r="M43" i="44"/>
  <c r="M35" i="44"/>
  <c r="M28" i="44"/>
  <c r="M20" i="44"/>
  <c r="M13" i="44"/>
  <c r="P13" i="44" s="1"/>
  <c r="M49" i="44"/>
  <c r="M41" i="44"/>
  <c r="M33" i="44"/>
  <c r="P33" i="44" s="1"/>
  <c r="M26" i="44"/>
  <c r="M19" i="44"/>
  <c r="M11" i="44"/>
  <c r="M47" i="44"/>
  <c r="M39" i="44"/>
  <c r="M31" i="44"/>
  <c r="M24" i="44"/>
  <c r="P24" i="44" s="1"/>
  <c r="M17" i="44"/>
  <c r="P17" i="44" s="1"/>
  <c r="M9" i="44"/>
  <c r="N13" i="43"/>
  <c r="M4" i="36"/>
  <c r="P5" i="43"/>
  <c r="P31" i="44" l="1"/>
  <c r="P47" i="44"/>
  <c r="P19" i="44"/>
  <c r="P49" i="44"/>
  <c r="D50" i="42" s="1"/>
  <c r="P20" i="44"/>
  <c r="D21" i="42" s="1"/>
  <c r="P35" i="44"/>
  <c r="D36" i="42" s="1"/>
  <c r="P51" i="44"/>
  <c r="D52" i="42" s="1"/>
  <c r="P7" i="44"/>
  <c r="D8" i="42" s="1"/>
  <c r="P22" i="44"/>
  <c r="D23" i="42" s="1"/>
  <c r="P37" i="44"/>
  <c r="P53" i="44"/>
  <c r="D54" i="42" s="1"/>
  <c r="P21" i="44"/>
  <c r="P32" i="44"/>
  <c r="D33" i="42" s="1"/>
  <c r="P16" i="44"/>
  <c r="P46" i="44"/>
  <c r="D47" i="42" s="1"/>
  <c r="P30" i="44"/>
  <c r="P18" i="44"/>
  <c r="D19" i="42" s="1"/>
  <c r="P13" i="43"/>
  <c r="P50" i="44"/>
  <c r="D51" i="42" s="1"/>
  <c r="P23" i="44"/>
  <c r="D24" i="42" s="1"/>
  <c r="P10" i="44"/>
  <c r="D11" i="42" s="1"/>
  <c r="D18" i="42"/>
  <c r="D32" i="42"/>
  <c r="D48" i="42"/>
  <c r="D20" i="42"/>
  <c r="D34" i="42"/>
  <c r="D38" i="42"/>
  <c r="D55" i="42"/>
  <c r="D22" i="42"/>
  <c r="D17" i="42"/>
  <c r="D31" i="42"/>
  <c r="P6" i="44"/>
  <c r="P44" i="44"/>
  <c r="P27" i="44"/>
  <c r="P48" i="44"/>
  <c r="P9" i="44"/>
  <c r="D25" i="42"/>
  <c r="P39" i="44"/>
  <c r="P11" i="44"/>
  <c r="P26" i="44"/>
  <c r="P41" i="44"/>
  <c r="D14" i="42"/>
  <c r="P28" i="44"/>
  <c r="P43" i="44"/>
  <c r="P55" i="44"/>
  <c r="D16" i="42"/>
  <c r="D30" i="42"/>
  <c r="P45" i="44"/>
  <c r="P36" i="44"/>
  <c r="P12" i="44"/>
  <c r="P34" i="44"/>
  <c r="D15" i="42"/>
  <c r="M56" i="44"/>
  <c r="P5" i="44"/>
  <c r="D41" i="42"/>
  <c r="P8" i="44"/>
  <c r="P38" i="44"/>
  <c r="P52" i="44"/>
  <c r="P42" i="44"/>
  <c r="P25" i="44"/>
  <c r="N56" i="44"/>
  <c r="O56" i="44"/>
  <c r="I9" i="28"/>
  <c r="I11" i="28"/>
  <c r="I13" i="28"/>
  <c r="I15" i="28"/>
  <c r="I17" i="28"/>
  <c r="I19" i="28"/>
  <c r="I21" i="28"/>
  <c r="I23" i="28"/>
  <c r="I25" i="28"/>
  <c r="I27" i="28"/>
  <c r="I29" i="28"/>
  <c r="I31" i="28"/>
  <c r="I33" i="28"/>
  <c r="I35" i="28"/>
  <c r="I37" i="28"/>
  <c r="I39" i="28"/>
  <c r="I41" i="28"/>
  <c r="I43" i="28"/>
  <c r="I45" i="28"/>
  <c r="I47" i="28"/>
  <c r="I49" i="28"/>
  <c r="I51" i="28"/>
  <c r="I53" i="28"/>
  <c r="I55" i="28"/>
  <c r="I57" i="28"/>
  <c r="D58" i="28"/>
  <c r="F58" i="28"/>
  <c r="H58" i="28"/>
  <c r="C58" i="28"/>
  <c r="E58" i="28"/>
  <c r="G58" i="28"/>
  <c r="I7" i="28"/>
  <c r="I8" i="28"/>
  <c r="I10" i="28"/>
  <c r="I12" i="28"/>
  <c r="I14" i="28"/>
  <c r="I16" i="28"/>
  <c r="I18" i="28"/>
  <c r="I20" i="28"/>
  <c r="I22" i="28"/>
  <c r="I24" i="28"/>
  <c r="I26" i="28"/>
  <c r="I28" i="28"/>
  <c r="I30" i="28"/>
  <c r="I32" i="28"/>
  <c r="I34" i="28"/>
  <c r="I36" i="28"/>
  <c r="I38" i="28"/>
  <c r="I40" i="28"/>
  <c r="I42" i="28"/>
  <c r="I44" i="28"/>
  <c r="I46" i="28"/>
  <c r="I48" i="28"/>
  <c r="I50" i="28"/>
  <c r="I52" i="28"/>
  <c r="I54" i="28"/>
  <c r="I56" i="28"/>
  <c r="J11" i="41"/>
  <c r="J10" i="41"/>
  <c r="J9" i="41"/>
  <c r="J8" i="41"/>
  <c r="J7" i="41"/>
  <c r="J5" i="41"/>
  <c r="J4" i="41"/>
  <c r="D43" i="42" l="1"/>
  <c r="D39" i="42"/>
  <c r="D6" i="42"/>
  <c r="P56" i="44"/>
  <c r="D35" i="42"/>
  <c r="Q34" i="44"/>
  <c r="D37" i="42"/>
  <c r="Q36" i="44"/>
  <c r="D56" i="42"/>
  <c r="Q55" i="44"/>
  <c r="D29" i="42"/>
  <c r="Q28" i="44"/>
  <c r="D27" i="42"/>
  <c r="Q26" i="44"/>
  <c r="D40" i="42"/>
  <c r="Q39" i="44"/>
  <c r="D49" i="42"/>
  <c r="Q48" i="44"/>
  <c r="D45" i="42"/>
  <c r="Q44" i="44"/>
  <c r="J13" i="41"/>
  <c r="D26" i="42"/>
  <c r="D53" i="42"/>
  <c r="D9" i="42"/>
  <c r="D13" i="42"/>
  <c r="D46" i="42"/>
  <c r="D44" i="42"/>
  <c r="D42" i="42"/>
  <c r="D12" i="42"/>
  <c r="D10" i="42"/>
  <c r="D28" i="42"/>
  <c r="D7" i="42"/>
  <c r="I58" i="28"/>
  <c r="B58" i="28"/>
  <c r="Q5" i="44" l="1"/>
  <c r="Q23" i="44"/>
  <c r="Q24" i="44"/>
  <c r="Q13" i="44"/>
  <c r="Q17" i="44"/>
  <c r="Q31" i="44"/>
  <c r="Q47" i="44"/>
  <c r="Q19" i="44"/>
  <c r="Q33" i="44"/>
  <c r="Q49" i="44"/>
  <c r="Q20" i="44"/>
  <c r="Q35" i="44"/>
  <c r="Q51" i="44"/>
  <c r="Q7" i="44"/>
  <c r="Q22" i="44"/>
  <c r="Q37" i="44"/>
  <c r="Q53" i="44"/>
  <c r="Q54" i="44"/>
  <c r="Q21" i="44"/>
  <c r="Q32" i="44"/>
  <c r="Q16" i="44"/>
  <c r="Q46" i="44"/>
  <c r="Q30" i="44"/>
  <c r="Q18" i="44"/>
  <c r="Q50" i="44"/>
  <c r="Q10" i="44"/>
  <c r="Q15" i="44"/>
  <c r="Q29" i="44"/>
  <c r="Q14" i="44"/>
  <c r="Q40" i="44"/>
  <c r="Q38" i="44"/>
  <c r="Q42" i="44"/>
  <c r="Q6" i="44"/>
  <c r="Q27" i="44"/>
  <c r="Q9" i="44"/>
  <c r="Q11" i="44"/>
  <c r="Q41" i="44"/>
  <c r="Q43" i="44"/>
  <c r="Q45" i="44"/>
  <c r="Q12" i="44"/>
  <c r="Q8" i="44"/>
  <c r="Q52" i="44"/>
  <c r="Q25" i="44"/>
  <c r="D57" i="42"/>
  <c r="C59" i="1"/>
  <c r="B59" i="1"/>
  <c r="J4" i="36"/>
  <c r="AD58" i="1"/>
  <c r="AC58" i="1"/>
  <c r="AB58" i="1"/>
  <c r="AA58" i="1"/>
  <c r="AE58" i="1"/>
  <c r="AD57" i="1"/>
  <c r="AC57" i="1"/>
  <c r="AB57" i="1"/>
  <c r="AA57" i="1"/>
  <c r="AE57" i="1"/>
  <c r="AD56" i="1"/>
  <c r="AC56" i="1"/>
  <c r="AB56" i="1"/>
  <c r="AA56" i="1"/>
  <c r="AE56" i="1"/>
  <c r="AD55" i="1"/>
  <c r="AC55" i="1"/>
  <c r="AB55" i="1"/>
  <c r="AA55" i="1"/>
  <c r="AE55" i="1"/>
  <c r="AD54" i="1"/>
  <c r="AC54" i="1"/>
  <c r="AB54" i="1"/>
  <c r="AA54" i="1"/>
  <c r="AE54" i="1"/>
  <c r="AD53" i="1"/>
  <c r="AC53" i="1"/>
  <c r="AB53" i="1"/>
  <c r="AA53" i="1"/>
  <c r="AE53" i="1"/>
  <c r="AD52" i="1"/>
  <c r="AC52" i="1"/>
  <c r="AB52" i="1"/>
  <c r="AA52" i="1"/>
  <c r="AE52" i="1"/>
  <c r="AD51" i="1"/>
  <c r="AC51" i="1"/>
  <c r="AB51" i="1"/>
  <c r="AA51" i="1"/>
  <c r="AE51" i="1"/>
  <c r="AD50" i="1"/>
  <c r="AC50" i="1"/>
  <c r="AB50" i="1"/>
  <c r="AA50" i="1"/>
  <c r="AE50" i="1"/>
  <c r="AD49" i="1"/>
  <c r="AC49" i="1"/>
  <c r="AB49" i="1"/>
  <c r="AA49" i="1"/>
  <c r="AE49" i="1"/>
  <c r="AD48" i="1"/>
  <c r="AC48" i="1"/>
  <c r="AB48" i="1"/>
  <c r="AA48" i="1"/>
  <c r="AE48" i="1"/>
  <c r="AD47" i="1"/>
  <c r="AC47" i="1"/>
  <c r="AB47" i="1"/>
  <c r="AA47" i="1"/>
  <c r="AE47" i="1"/>
  <c r="AD46" i="1"/>
  <c r="AC46" i="1"/>
  <c r="AB46" i="1"/>
  <c r="AA46" i="1"/>
  <c r="AE46" i="1"/>
  <c r="AD45" i="1"/>
  <c r="AC45" i="1"/>
  <c r="AB45" i="1"/>
  <c r="AA45" i="1"/>
  <c r="AE45" i="1"/>
  <c r="AD44" i="1"/>
  <c r="AC44" i="1"/>
  <c r="AB44" i="1"/>
  <c r="AA44" i="1"/>
  <c r="AE44" i="1"/>
  <c r="AD43" i="1"/>
  <c r="AC43" i="1"/>
  <c r="AB43" i="1"/>
  <c r="AA43" i="1"/>
  <c r="AE43" i="1"/>
  <c r="AD42" i="1"/>
  <c r="AC42" i="1"/>
  <c r="AB42" i="1"/>
  <c r="AA42" i="1"/>
  <c r="AE42" i="1"/>
  <c r="AD41" i="1"/>
  <c r="AC41" i="1"/>
  <c r="AB41" i="1"/>
  <c r="AA41" i="1"/>
  <c r="AE41" i="1"/>
  <c r="AD40" i="1"/>
  <c r="AC40" i="1"/>
  <c r="AB40" i="1"/>
  <c r="AA40" i="1"/>
  <c r="AE40" i="1"/>
  <c r="AD39" i="1"/>
  <c r="AC39" i="1"/>
  <c r="AB39" i="1"/>
  <c r="AA39" i="1"/>
  <c r="AE39" i="1"/>
  <c r="AD38" i="1"/>
  <c r="AC38" i="1"/>
  <c r="AB38" i="1"/>
  <c r="AA38" i="1"/>
  <c r="AE38" i="1"/>
  <c r="AD37" i="1"/>
  <c r="AC37" i="1"/>
  <c r="AB37" i="1"/>
  <c r="AA37" i="1"/>
  <c r="AE37" i="1"/>
  <c r="AD36" i="1"/>
  <c r="AC36" i="1"/>
  <c r="AB36" i="1"/>
  <c r="AA36" i="1"/>
  <c r="AE36" i="1"/>
  <c r="AD35" i="1"/>
  <c r="AC35" i="1"/>
  <c r="AB35" i="1"/>
  <c r="AA35" i="1"/>
  <c r="AE35" i="1"/>
  <c r="AD34" i="1"/>
  <c r="AC34" i="1"/>
  <c r="AB34" i="1"/>
  <c r="AA34" i="1"/>
  <c r="AE34" i="1"/>
  <c r="AD33" i="1"/>
  <c r="AC33" i="1"/>
  <c r="AB33" i="1"/>
  <c r="AA33" i="1"/>
  <c r="AE33" i="1"/>
  <c r="AD32" i="1"/>
  <c r="AC32" i="1"/>
  <c r="AB32" i="1"/>
  <c r="AA32" i="1"/>
  <c r="AE32" i="1"/>
  <c r="AD31" i="1"/>
  <c r="AC31" i="1"/>
  <c r="AB31" i="1"/>
  <c r="AA31" i="1"/>
  <c r="AE31" i="1"/>
  <c r="AD30" i="1"/>
  <c r="AC30" i="1"/>
  <c r="AB30" i="1"/>
  <c r="AA30" i="1"/>
  <c r="AE30" i="1"/>
  <c r="AD29" i="1"/>
  <c r="AC29" i="1"/>
  <c r="AB29" i="1"/>
  <c r="AA29" i="1"/>
  <c r="AE29" i="1"/>
  <c r="AD28" i="1"/>
  <c r="AC28" i="1"/>
  <c r="AB28" i="1"/>
  <c r="AA28" i="1"/>
  <c r="AE28" i="1"/>
  <c r="AD27" i="1"/>
  <c r="AC27" i="1"/>
  <c r="AB27" i="1"/>
  <c r="AA27" i="1"/>
  <c r="AE27" i="1"/>
  <c r="AD26" i="1"/>
  <c r="AC26" i="1"/>
  <c r="AB26" i="1"/>
  <c r="AA26" i="1"/>
  <c r="AE26" i="1"/>
  <c r="AD25" i="1"/>
  <c r="AC25" i="1"/>
  <c r="AB25" i="1"/>
  <c r="AA25" i="1"/>
  <c r="AE25" i="1"/>
  <c r="AD24" i="1"/>
  <c r="AC24" i="1"/>
  <c r="AB24" i="1"/>
  <c r="AA24" i="1"/>
  <c r="AD23" i="1"/>
  <c r="AC23" i="1"/>
  <c r="AB23" i="1"/>
  <c r="AA23" i="1"/>
  <c r="AE23" i="1"/>
  <c r="AD22" i="1"/>
  <c r="AC22" i="1"/>
  <c r="AB22" i="1"/>
  <c r="AA22" i="1"/>
  <c r="AE22" i="1"/>
  <c r="AD21" i="1"/>
  <c r="AC21" i="1"/>
  <c r="AB21" i="1"/>
  <c r="AA21" i="1"/>
  <c r="AE21" i="1"/>
  <c r="AD20" i="1"/>
  <c r="AC20" i="1"/>
  <c r="AB20" i="1"/>
  <c r="AA20" i="1"/>
  <c r="AE20" i="1"/>
  <c r="AD19" i="1"/>
  <c r="AC19" i="1"/>
  <c r="AB19" i="1"/>
  <c r="AA19" i="1"/>
  <c r="AE19" i="1"/>
  <c r="AD18" i="1"/>
  <c r="AC18" i="1"/>
  <c r="AB18" i="1"/>
  <c r="AA18" i="1"/>
  <c r="AE18" i="1"/>
  <c r="AD17" i="1"/>
  <c r="AC17" i="1"/>
  <c r="AB17" i="1"/>
  <c r="AA17" i="1"/>
  <c r="AE17" i="1"/>
  <c r="AD16" i="1"/>
  <c r="AC16" i="1"/>
  <c r="AB16" i="1"/>
  <c r="AA16" i="1"/>
  <c r="AE16" i="1"/>
  <c r="AD15" i="1"/>
  <c r="AC15" i="1"/>
  <c r="AB15" i="1"/>
  <c r="AA15" i="1"/>
  <c r="AE15" i="1"/>
  <c r="AD14" i="1"/>
  <c r="AC14" i="1"/>
  <c r="AB14" i="1"/>
  <c r="AA14" i="1"/>
  <c r="AE14" i="1"/>
  <c r="AD13" i="1"/>
  <c r="AC13" i="1"/>
  <c r="AB13" i="1"/>
  <c r="AA13" i="1"/>
  <c r="AE13" i="1"/>
  <c r="AD12" i="1"/>
  <c r="AC12" i="1"/>
  <c r="AB12" i="1"/>
  <c r="AA12" i="1"/>
  <c r="AE12" i="1"/>
  <c r="AD11" i="1"/>
  <c r="AC11" i="1"/>
  <c r="AB11" i="1"/>
  <c r="AA11" i="1"/>
  <c r="AE11" i="1"/>
  <c r="AD10" i="1"/>
  <c r="AC10" i="1"/>
  <c r="AB10" i="1"/>
  <c r="AA10" i="1"/>
  <c r="AE10" i="1"/>
  <c r="AD9" i="1"/>
  <c r="AC9" i="1"/>
  <c r="AB9" i="1"/>
  <c r="AA9" i="1"/>
  <c r="AE9" i="1"/>
  <c r="AD8" i="1"/>
  <c r="AD59" i="1"/>
  <c r="AC8" i="1"/>
  <c r="AC59" i="1"/>
  <c r="AB8" i="1"/>
  <c r="AB59" i="1"/>
  <c r="AA8" i="1"/>
  <c r="U58" i="1"/>
  <c r="T58" i="1"/>
  <c r="S58" i="1"/>
  <c r="R58" i="1"/>
  <c r="V58" i="1"/>
  <c r="U57" i="1"/>
  <c r="T57" i="1"/>
  <c r="S57" i="1"/>
  <c r="R57" i="1"/>
  <c r="V57" i="1"/>
  <c r="U56" i="1"/>
  <c r="T56" i="1"/>
  <c r="S56" i="1"/>
  <c r="R56" i="1"/>
  <c r="V56" i="1"/>
  <c r="U55" i="1"/>
  <c r="T55" i="1"/>
  <c r="S55" i="1"/>
  <c r="R55" i="1"/>
  <c r="V55" i="1"/>
  <c r="U54" i="1"/>
  <c r="T54" i="1"/>
  <c r="S54" i="1"/>
  <c r="R54" i="1"/>
  <c r="U53" i="1"/>
  <c r="T53" i="1"/>
  <c r="S53" i="1"/>
  <c r="R53" i="1"/>
  <c r="V53" i="1"/>
  <c r="U52" i="1"/>
  <c r="T52" i="1"/>
  <c r="S52" i="1"/>
  <c r="R52" i="1"/>
  <c r="V52" i="1"/>
  <c r="U51" i="1"/>
  <c r="T51" i="1"/>
  <c r="S51" i="1"/>
  <c r="R51" i="1"/>
  <c r="V51" i="1"/>
  <c r="U50" i="1"/>
  <c r="T50" i="1"/>
  <c r="S50" i="1"/>
  <c r="R50" i="1"/>
  <c r="V50" i="1"/>
  <c r="U49" i="1"/>
  <c r="T49" i="1"/>
  <c r="S49" i="1"/>
  <c r="R49" i="1"/>
  <c r="V49" i="1"/>
  <c r="U48" i="1"/>
  <c r="T48" i="1"/>
  <c r="S48" i="1"/>
  <c r="R48" i="1"/>
  <c r="V48" i="1"/>
  <c r="U47" i="1"/>
  <c r="T47" i="1"/>
  <c r="S47" i="1"/>
  <c r="R47" i="1"/>
  <c r="V47" i="1"/>
  <c r="U46" i="1"/>
  <c r="T46" i="1"/>
  <c r="S46" i="1"/>
  <c r="R46" i="1"/>
  <c r="V46" i="1"/>
  <c r="U45" i="1"/>
  <c r="T45" i="1"/>
  <c r="S45" i="1"/>
  <c r="R45" i="1"/>
  <c r="V45" i="1"/>
  <c r="U44" i="1"/>
  <c r="T44" i="1"/>
  <c r="S44" i="1"/>
  <c r="R44" i="1"/>
  <c r="V44" i="1"/>
  <c r="U43" i="1"/>
  <c r="T43" i="1"/>
  <c r="S43" i="1"/>
  <c r="R43" i="1"/>
  <c r="V43" i="1"/>
  <c r="U42" i="1"/>
  <c r="T42" i="1"/>
  <c r="S42" i="1"/>
  <c r="R42" i="1"/>
  <c r="V42" i="1"/>
  <c r="U41" i="1"/>
  <c r="T41" i="1"/>
  <c r="S41" i="1"/>
  <c r="R41" i="1"/>
  <c r="V41" i="1"/>
  <c r="U40" i="1"/>
  <c r="T40" i="1"/>
  <c r="S40" i="1"/>
  <c r="R40" i="1"/>
  <c r="V40" i="1"/>
  <c r="U39" i="1"/>
  <c r="T39" i="1"/>
  <c r="S39" i="1"/>
  <c r="R39" i="1"/>
  <c r="V39" i="1"/>
  <c r="U38" i="1"/>
  <c r="T38" i="1"/>
  <c r="S38" i="1"/>
  <c r="R38" i="1"/>
  <c r="V38" i="1"/>
  <c r="U37" i="1"/>
  <c r="T37" i="1"/>
  <c r="S37" i="1"/>
  <c r="R37" i="1"/>
  <c r="V37" i="1"/>
  <c r="U36" i="1"/>
  <c r="T36" i="1"/>
  <c r="S36" i="1"/>
  <c r="R36" i="1"/>
  <c r="V36" i="1"/>
  <c r="U35" i="1"/>
  <c r="T35" i="1"/>
  <c r="S35" i="1"/>
  <c r="R35" i="1"/>
  <c r="V35" i="1"/>
  <c r="U34" i="1"/>
  <c r="T34" i="1"/>
  <c r="S34" i="1"/>
  <c r="R34" i="1"/>
  <c r="V34" i="1"/>
  <c r="U33" i="1"/>
  <c r="T33" i="1"/>
  <c r="S33" i="1"/>
  <c r="R33" i="1"/>
  <c r="V33" i="1"/>
  <c r="U32" i="1"/>
  <c r="T32" i="1"/>
  <c r="S32" i="1"/>
  <c r="R32" i="1"/>
  <c r="V32" i="1"/>
  <c r="U31" i="1"/>
  <c r="T31" i="1"/>
  <c r="S31" i="1"/>
  <c r="R31" i="1"/>
  <c r="V31" i="1"/>
  <c r="U30" i="1"/>
  <c r="T30" i="1"/>
  <c r="S30" i="1"/>
  <c r="R30" i="1"/>
  <c r="V30" i="1"/>
  <c r="U29" i="1"/>
  <c r="T29" i="1"/>
  <c r="S29" i="1"/>
  <c r="R29" i="1"/>
  <c r="V29" i="1"/>
  <c r="U28" i="1"/>
  <c r="T28" i="1"/>
  <c r="S28" i="1"/>
  <c r="R28" i="1"/>
  <c r="V28" i="1"/>
  <c r="U27" i="1"/>
  <c r="T27" i="1"/>
  <c r="S27" i="1"/>
  <c r="R27" i="1"/>
  <c r="V27" i="1"/>
  <c r="U26" i="1"/>
  <c r="T26" i="1"/>
  <c r="S26" i="1"/>
  <c r="R26" i="1"/>
  <c r="V26" i="1"/>
  <c r="U25" i="1"/>
  <c r="T25" i="1"/>
  <c r="S25" i="1"/>
  <c r="R25" i="1"/>
  <c r="V25" i="1"/>
  <c r="U24" i="1"/>
  <c r="T24" i="1"/>
  <c r="S24" i="1"/>
  <c r="R24" i="1"/>
  <c r="V24" i="1"/>
  <c r="U23" i="1"/>
  <c r="T23" i="1"/>
  <c r="S23" i="1"/>
  <c r="R23" i="1"/>
  <c r="V23" i="1"/>
  <c r="U22" i="1"/>
  <c r="T22" i="1"/>
  <c r="S22" i="1"/>
  <c r="R22" i="1"/>
  <c r="V22" i="1"/>
  <c r="U21" i="1"/>
  <c r="T21" i="1"/>
  <c r="S21" i="1"/>
  <c r="R21" i="1"/>
  <c r="V21" i="1"/>
  <c r="U20" i="1"/>
  <c r="T20" i="1"/>
  <c r="S20" i="1"/>
  <c r="R20" i="1"/>
  <c r="U19" i="1"/>
  <c r="T19" i="1"/>
  <c r="S19" i="1"/>
  <c r="R19" i="1"/>
  <c r="V19" i="1"/>
  <c r="U18" i="1"/>
  <c r="T18" i="1"/>
  <c r="S18" i="1"/>
  <c r="R18" i="1"/>
  <c r="V18" i="1"/>
  <c r="U17" i="1"/>
  <c r="T17" i="1"/>
  <c r="S17" i="1"/>
  <c r="R17" i="1"/>
  <c r="V17" i="1"/>
  <c r="U16" i="1"/>
  <c r="T16" i="1"/>
  <c r="S16" i="1"/>
  <c r="R16" i="1"/>
  <c r="V16" i="1"/>
  <c r="U15" i="1"/>
  <c r="T15" i="1"/>
  <c r="S15" i="1"/>
  <c r="R15" i="1"/>
  <c r="V15" i="1"/>
  <c r="U14" i="1"/>
  <c r="T14" i="1"/>
  <c r="S14" i="1"/>
  <c r="R14" i="1"/>
  <c r="V14" i="1"/>
  <c r="U13" i="1"/>
  <c r="T13" i="1"/>
  <c r="S13" i="1"/>
  <c r="R13" i="1"/>
  <c r="V13" i="1"/>
  <c r="U12" i="1"/>
  <c r="T12" i="1"/>
  <c r="S12" i="1"/>
  <c r="R12" i="1"/>
  <c r="V12" i="1"/>
  <c r="U11" i="1"/>
  <c r="T11" i="1"/>
  <c r="S11" i="1"/>
  <c r="R11" i="1"/>
  <c r="V11" i="1"/>
  <c r="U10" i="1"/>
  <c r="T10" i="1"/>
  <c r="S10" i="1"/>
  <c r="R10" i="1"/>
  <c r="V10" i="1"/>
  <c r="U9" i="1"/>
  <c r="T9" i="1"/>
  <c r="S9" i="1"/>
  <c r="R9" i="1"/>
  <c r="V9" i="1"/>
  <c r="U8" i="1"/>
  <c r="U59" i="1"/>
  <c r="T8" i="1"/>
  <c r="T59" i="1"/>
  <c r="S8" i="1"/>
  <c r="S59" i="1"/>
  <c r="R8" i="1"/>
  <c r="R59" i="1"/>
  <c r="AE24" i="1"/>
  <c r="V54" i="1"/>
  <c r="AG54" i="1"/>
  <c r="AH54" i="1"/>
  <c r="AA59" i="1"/>
  <c r="V20" i="1"/>
  <c r="AE8" i="1"/>
  <c r="AF8" i="1"/>
  <c r="V8" i="1"/>
  <c r="E57" i="36"/>
  <c r="F57" i="36" s="1"/>
  <c r="B57" i="36"/>
  <c r="C56" i="36" s="1"/>
  <c r="D58" i="1"/>
  <c r="E58" i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AE59" i="1"/>
  <c r="AG58" i="1"/>
  <c r="AH58" i="1"/>
  <c r="AF58" i="1"/>
  <c r="AG57" i="1"/>
  <c r="AH57" i="1"/>
  <c r="AF57" i="1"/>
  <c r="AG56" i="1"/>
  <c r="AH56" i="1"/>
  <c r="AF56" i="1"/>
  <c r="AG55" i="1"/>
  <c r="AH55" i="1"/>
  <c r="AF55" i="1"/>
  <c r="AF54" i="1"/>
  <c r="AG53" i="1"/>
  <c r="AH53" i="1"/>
  <c r="AF53" i="1"/>
  <c r="AG52" i="1"/>
  <c r="AH52" i="1"/>
  <c r="AF52" i="1"/>
  <c r="AG51" i="1"/>
  <c r="AH51" i="1"/>
  <c r="AF51" i="1"/>
  <c r="AG50" i="1"/>
  <c r="AH50" i="1"/>
  <c r="AF50" i="1"/>
  <c r="AG49" i="1"/>
  <c r="AH49" i="1"/>
  <c r="AF49" i="1"/>
  <c r="AG48" i="1"/>
  <c r="AH48" i="1"/>
  <c r="AF48" i="1"/>
  <c r="AG47" i="1"/>
  <c r="AH47" i="1"/>
  <c r="AF47" i="1"/>
  <c r="AG46" i="1"/>
  <c r="AH46" i="1"/>
  <c r="AF46" i="1"/>
  <c r="AG45" i="1"/>
  <c r="AH45" i="1"/>
  <c r="AF45" i="1"/>
  <c r="AG44" i="1"/>
  <c r="AH44" i="1"/>
  <c r="AF44" i="1"/>
  <c r="AG43" i="1"/>
  <c r="AH43" i="1"/>
  <c r="AF43" i="1"/>
  <c r="AG42" i="1"/>
  <c r="AH42" i="1"/>
  <c r="AF42" i="1"/>
  <c r="AG41" i="1"/>
  <c r="AH41" i="1"/>
  <c r="AF41" i="1"/>
  <c r="AG40" i="1"/>
  <c r="AH40" i="1"/>
  <c r="AF40" i="1"/>
  <c r="AG39" i="1"/>
  <c r="AH39" i="1"/>
  <c r="AF39" i="1"/>
  <c r="AG38" i="1"/>
  <c r="AH38" i="1"/>
  <c r="AF38" i="1"/>
  <c r="AG37" i="1"/>
  <c r="AH37" i="1"/>
  <c r="AF37" i="1"/>
  <c r="AG36" i="1"/>
  <c r="AH36" i="1"/>
  <c r="AF36" i="1"/>
  <c r="AG35" i="1"/>
  <c r="AH35" i="1"/>
  <c r="AF35" i="1"/>
  <c r="AG34" i="1"/>
  <c r="AH34" i="1"/>
  <c r="AF34" i="1"/>
  <c r="AG33" i="1"/>
  <c r="AH33" i="1"/>
  <c r="AF33" i="1"/>
  <c r="AG32" i="1"/>
  <c r="AH32" i="1"/>
  <c r="AF32" i="1"/>
  <c r="AG31" i="1"/>
  <c r="AH31" i="1"/>
  <c r="AF31" i="1"/>
  <c r="AG30" i="1"/>
  <c r="AH30" i="1"/>
  <c r="AF30" i="1"/>
  <c r="AG29" i="1"/>
  <c r="AH29" i="1"/>
  <c r="AF29" i="1"/>
  <c r="AG28" i="1"/>
  <c r="AH28" i="1"/>
  <c r="AF28" i="1"/>
  <c r="AG27" i="1"/>
  <c r="AH27" i="1"/>
  <c r="AF27" i="1"/>
  <c r="AG26" i="1"/>
  <c r="AH26" i="1"/>
  <c r="AF26" i="1"/>
  <c r="AG25" i="1"/>
  <c r="AH25" i="1"/>
  <c r="AF25" i="1"/>
  <c r="AG24" i="1"/>
  <c r="AH24" i="1"/>
  <c r="AF24" i="1"/>
  <c r="AG23" i="1"/>
  <c r="AH23" i="1"/>
  <c r="AF23" i="1"/>
  <c r="AG22" i="1"/>
  <c r="AH22" i="1"/>
  <c r="AF22" i="1"/>
  <c r="AG21" i="1"/>
  <c r="AH21" i="1"/>
  <c r="AF21" i="1"/>
  <c r="AG20" i="1"/>
  <c r="AH20" i="1"/>
  <c r="AF20" i="1"/>
  <c r="AG19" i="1"/>
  <c r="AH19" i="1"/>
  <c r="AF19" i="1"/>
  <c r="AG18" i="1"/>
  <c r="AH18" i="1"/>
  <c r="AF18" i="1"/>
  <c r="AG17" i="1"/>
  <c r="AH17" i="1"/>
  <c r="AF17" i="1"/>
  <c r="AG16" i="1"/>
  <c r="AH16" i="1"/>
  <c r="AF16" i="1"/>
  <c r="AG15" i="1"/>
  <c r="AH15" i="1"/>
  <c r="AF15" i="1"/>
  <c r="AG14" i="1"/>
  <c r="AH14" i="1"/>
  <c r="AF14" i="1"/>
  <c r="AG13" i="1"/>
  <c r="AH13" i="1"/>
  <c r="AF13" i="1"/>
  <c r="AG12" i="1"/>
  <c r="AH12" i="1"/>
  <c r="AF12" i="1"/>
  <c r="AG11" i="1"/>
  <c r="AH11" i="1"/>
  <c r="AF11" i="1"/>
  <c r="AG10" i="1"/>
  <c r="AH10" i="1"/>
  <c r="AF10" i="1"/>
  <c r="AG9" i="1"/>
  <c r="AH9" i="1"/>
  <c r="AF9" i="1"/>
  <c r="AG8" i="1"/>
  <c r="AH8" i="1"/>
  <c r="V59" i="1"/>
  <c r="F15" i="36"/>
  <c r="F6" i="36"/>
  <c r="C14" i="36"/>
  <c r="C9" i="36"/>
  <c r="C43" i="36"/>
  <c r="C30" i="36"/>
  <c r="AH59" i="1"/>
  <c r="AI9" i="1"/>
  <c r="AJ9" i="1"/>
  <c r="AK9" i="1" s="1"/>
  <c r="C37" i="36"/>
  <c r="C47" i="36"/>
  <c r="AI11" i="1"/>
  <c r="AJ11" i="1"/>
  <c r="AK11" i="1" s="1"/>
  <c r="AF59" i="1"/>
  <c r="D8" i="1"/>
  <c r="E8" i="1" s="1"/>
  <c r="AI30" i="1"/>
  <c r="AJ30" i="1"/>
  <c r="AK30" i="1" s="1"/>
  <c r="AI8" i="1"/>
  <c r="AJ8" i="1"/>
  <c r="AI18" i="1"/>
  <c r="AJ18" i="1"/>
  <c r="AK18" i="1"/>
  <c r="AI39" i="1"/>
  <c r="AJ39" i="1"/>
  <c r="AK39" i="1" s="1"/>
  <c r="AI50" i="1"/>
  <c r="AJ50" i="1"/>
  <c r="AK50" i="1"/>
  <c r="AI55" i="1"/>
  <c r="AJ55" i="1"/>
  <c r="AK55" i="1" s="1"/>
  <c r="AI46" i="1"/>
  <c r="AJ46" i="1"/>
  <c r="AK46" i="1"/>
  <c r="AI14" i="1"/>
  <c r="AJ14" i="1"/>
  <c r="AK14" i="1" s="1"/>
  <c r="AI43" i="1"/>
  <c r="AJ43" i="1"/>
  <c r="AK43" i="1"/>
  <c r="AI34" i="1"/>
  <c r="AJ34" i="1"/>
  <c r="AK34" i="1" s="1"/>
  <c r="AI51" i="1"/>
  <c r="AJ51" i="1"/>
  <c r="AK51" i="1"/>
  <c r="AI58" i="1"/>
  <c r="AJ58" i="1"/>
  <c r="AK58" i="1" s="1"/>
  <c r="AI42" i="1"/>
  <c r="AJ42" i="1"/>
  <c r="AK42" i="1"/>
  <c r="AI26" i="1"/>
  <c r="AJ26" i="1"/>
  <c r="AK26" i="1" s="1"/>
  <c r="AI10" i="1"/>
  <c r="AJ10" i="1"/>
  <c r="AK10" i="1"/>
  <c r="AI47" i="1"/>
  <c r="AJ47" i="1"/>
  <c r="AK47" i="1" s="1"/>
  <c r="AI54" i="1"/>
  <c r="AJ54" i="1"/>
  <c r="AK54" i="1"/>
  <c r="AI38" i="1"/>
  <c r="AJ38" i="1"/>
  <c r="AK38" i="1" s="1"/>
  <c r="AI22" i="1"/>
  <c r="AJ22" i="1"/>
  <c r="AK22" i="1"/>
  <c r="AI27" i="1"/>
  <c r="AJ27" i="1"/>
  <c r="AK27" i="1"/>
  <c r="AI29" i="1"/>
  <c r="AJ29" i="1"/>
  <c r="AK29" i="1" s="1"/>
  <c r="AI19" i="1"/>
  <c r="AJ19" i="1"/>
  <c r="AK19" i="1"/>
  <c r="AI33" i="1"/>
  <c r="AJ33" i="1"/>
  <c r="AK33" i="1" s="1"/>
  <c r="AI23" i="1"/>
  <c r="AJ23" i="1"/>
  <c r="AK23" i="1"/>
  <c r="AI13" i="1"/>
  <c r="AJ13" i="1"/>
  <c r="AK13" i="1" s="1"/>
  <c r="AI57" i="1"/>
  <c r="AJ57" i="1"/>
  <c r="AK57" i="1"/>
  <c r="AI53" i="1"/>
  <c r="AJ53" i="1"/>
  <c r="AK53" i="1" s="1"/>
  <c r="AI49" i="1"/>
  <c r="AJ49" i="1"/>
  <c r="AK49" i="1"/>
  <c r="AI45" i="1"/>
  <c r="AJ45" i="1"/>
  <c r="AK45" i="1" s="1"/>
  <c r="AI41" i="1"/>
  <c r="AJ41" i="1"/>
  <c r="AK41" i="1"/>
  <c r="AI37" i="1"/>
  <c r="AJ37" i="1"/>
  <c r="AK37" i="1" s="1"/>
  <c r="AI56" i="1"/>
  <c r="AJ56" i="1"/>
  <c r="AK56" i="1"/>
  <c r="AI52" i="1"/>
  <c r="AJ52" i="1"/>
  <c r="AK52" i="1" s="1"/>
  <c r="AI48" i="1"/>
  <c r="AJ48" i="1"/>
  <c r="AK48" i="1"/>
  <c r="AI44" i="1"/>
  <c r="AJ44" i="1"/>
  <c r="AK44" i="1" s="1"/>
  <c r="AI40" i="1"/>
  <c r="AJ40" i="1"/>
  <c r="AK40" i="1"/>
  <c r="AI36" i="1"/>
  <c r="AJ36" i="1"/>
  <c r="AK36" i="1" s="1"/>
  <c r="AI32" i="1"/>
  <c r="AJ32" i="1"/>
  <c r="AK32" i="1"/>
  <c r="AI28" i="1"/>
  <c r="AJ28" i="1"/>
  <c r="AK28" i="1" s="1"/>
  <c r="AI24" i="1"/>
  <c r="AJ24" i="1"/>
  <c r="AK24" i="1"/>
  <c r="AI20" i="1"/>
  <c r="AJ20" i="1"/>
  <c r="AK20" i="1" s="1"/>
  <c r="AI16" i="1"/>
  <c r="AJ16" i="1"/>
  <c r="AK16" i="1"/>
  <c r="AI12" i="1"/>
  <c r="AJ12" i="1"/>
  <c r="AK12" i="1" s="1"/>
  <c r="AI21" i="1"/>
  <c r="AJ21" i="1"/>
  <c r="AK21" i="1"/>
  <c r="AI15" i="1"/>
  <c r="AJ15" i="1"/>
  <c r="AK15" i="1" s="1"/>
  <c r="AI35" i="1"/>
  <c r="AJ35" i="1"/>
  <c r="AK35" i="1"/>
  <c r="AI31" i="1"/>
  <c r="AJ31" i="1"/>
  <c r="AK31" i="1" s="1"/>
  <c r="AI25" i="1"/>
  <c r="AJ25" i="1"/>
  <c r="AK25" i="1"/>
  <c r="AI17" i="1"/>
  <c r="AJ17" i="1"/>
  <c r="AK17" i="1" s="1"/>
  <c r="AI59" i="1"/>
  <c r="AK8" i="1"/>
  <c r="AK59" i="1" s="1"/>
  <c r="J59" i="1"/>
  <c r="K19" i="1"/>
  <c r="L19" i="1"/>
  <c r="G59" i="1"/>
  <c r="H11" i="1" s="1"/>
  <c r="I11" i="1" s="1"/>
  <c r="H47" i="1"/>
  <c r="I47" i="1" s="1"/>
  <c r="H25" i="1"/>
  <c r="I25" i="1" s="1"/>
  <c r="H55" i="1"/>
  <c r="I55" i="1" s="1"/>
  <c r="H39" i="1"/>
  <c r="I39" i="1" s="1"/>
  <c r="H10" i="1"/>
  <c r="K59" i="1"/>
  <c r="K27" i="1"/>
  <c r="L27" i="1"/>
  <c r="K43" i="1"/>
  <c r="L43" i="1"/>
  <c r="K11" i="1"/>
  <c r="L11" i="1"/>
  <c r="H34" i="1"/>
  <c r="I34" i="1" s="1"/>
  <c r="H48" i="1"/>
  <c r="I48" i="1" s="1"/>
  <c r="H17" i="1"/>
  <c r="I17" i="1" s="1"/>
  <c r="H57" i="1"/>
  <c r="I57" i="1" s="1"/>
  <c r="H49" i="1"/>
  <c r="I49" i="1" s="1"/>
  <c r="H45" i="1"/>
  <c r="I45" i="1" s="1"/>
  <c r="H41" i="1"/>
  <c r="I41" i="1" s="1"/>
  <c r="H37" i="1"/>
  <c r="I37" i="1" s="1"/>
  <c r="H29" i="1"/>
  <c r="I29" i="1" s="1"/>
  <c r="H21" i="1"/>
  <c r="I21" i="1" s="1"/>
  <c r="H14" i="1"/>
  <c r="I14" i="1" s="1"/>
  <c r="H51" i="1"/>
  <c r="I51" i="1" s="1"/>
  <c r="H52" i="1"/>
  <c r="I52" i="1" s="1"/>
  <c r="H42" i="1"/>
  <c r="I42" i="1" s="1"/>
  <c r="H26" i="1"/>
  <c r="I26" i="1" s="1"/>
  <c r="H9" i="1"/>
  <c r="I9" i="1" s="1"/>
  <c r="K51" i="1"/>
  <c r="L51" i="1"/>
  <c r="K35" i="1"/>
  <c r="L35" i="1"/>
  <c r="H35" i="1"/>
  <c r="I35" i="1" s="1"/>
  <c r="M35" i="1" s="1"/>
  <c r="H31" i="1"/>
  <c r="I31" i="1" s="1"/>
  <c r="H27" i="1"/>
  <c r="I27" i="1" s="1"/>
  <c r="M27" i="1" s="1"/>
  <c r="H23" i="1"/>
  <c r="I23" i="1" s="1"/>
  <c r="H19" i="1"/>
  <c r="K8" i="1"/>
  <c r="L8" i="1"/>
  <c r="L59" i="1" s="1"/>
  <c r="K55" i="1"/>
  <c r="L55" i="1"/>
  <c r="K47" i="1"/>
  <c r="L47" i="1"/>
  <c r="K39" i="1"/>
  <c r="L39" i="1"/>
  <c r="K31" i="1"/>
  <c r="L31" i="1"/>
  <c r="K23" i="1"/>
  <c r="L23" i="1"/>
  <c r="K15" i="1"/>
  <c r="L15" i="1"/>
  <c r="K57" i="1"/>
  <c r="L57" i="1"/>
  <c r="K53" i="1"/>
  <c r="L53" i="1"/>
  <c r="K49" i="1"/>
  <c r="L49" i="1"/>
  <c r="K45" i="1"/>
  <c r="L45" i="1"/>
  <c r="K41" i="1"/>
  <c r="L41" i="1"/>
  <c r="K37" i="1"/>
  <c r="L37" i="1"/>
  <c r="K33" i="1"/>
  <c r="L33" i="1"/>
  <c r="K29" i="1"/>
  <c r="L29" i="1"/>
  <c r="K25" i="1"/>
  <c r="L25" i="1"/>
  <c r="K21" i="1"/>
  <c r="L21" i="1"/>
  <c r="K17" i="1"/>
  <c r="L17" i="1"/>
  <c r="K13" i="1"/>
  <c r="L13" i="1"/>
  <c r="K9" i="1"/>
  <c r="L9" i="1"/>
  <c r="I10" i="1"/>
  <c r="I19" i="1"/>
  <c r="M19" i="1" s="1"/>
  <c r="K58" i="1"/>
  <c r="L58" i="1"/>
  <c r="K56" i="1"/>
  <c r="L56" i="1"/>
  <c r="K54" i="1"/>
  <c r="L54" i="1"/>
  <c r="K52" i="1"/>
  <c r="L52" i="1"/>
  <c r="K50" i="1"/>
  <c r="L50" i="1"/>
  <c r="K48" i="1"/>
  <c r="L48" i="1"/>
  <c r="K46" i="1"/>
  <c r="L46" i="1"/>
  <c r="K44" i="1"/>
  <c r="L44" i="1"/>
  <c r="K42" i="1"/>
  <c r="L42" i="1"/>
  <c r="K40" i="1"/>
  <c r="L40" i="1"/>
  <c r="K38" i="1"/>
  <c r="L38" i="1"/>
  <c r="K36" i="1"/>
  <c r="L36" i="1"/>
  <c r="K34" i="1"/>
  <c r="L34" i="1"/>
  <c r="K32" i="1"/>
  <c r="L32" i="1"/>
  <c r="K30" i="1"/>
  <c r="L30" i="1"/>
  <c r="K28" i="1"/>
  <c r="L28" i="1"/>
  <c r="K26" i="1"/>
  <c r="L26" i="1"/>
  <c r="K24" i="1"/>
  <c r="L24" i="1"/>
  <c r="K22" i="1"/>
  <c r="L22" i="1"/>
  <c r="K20" i="1"/>
  <c r="L20" i="1"/>
  <c r="K18" i="1"/>
  <c r="L18" i="1"/>
  <c r="K16" i="1"/>
  <c r="L16" i="1"/>
  <c r="K14" i="1"/>
  <c r="L14" i="1"/>
  <c r="K12" i="1"/>
  <c r="L12" i="1"/>
  <c r="K10" i="1"/>
  <c r="L10" i="1"/>
  <c r="M10" i="1"/>
  <c r="C48" i="36" l="1"/>
  <c r="C38" i="36"/>
  <c r="C22" i="36"/>
  <c r="C19" i="36"/>
  <c r="J19" i="36" s="1"/>
  <c r="C17" i="36"/>
  <c r="C52" i="36"/>
  <c r="J52" i="36" s="1"/>
  <c r="C55" i="36"/>
  <c r="C42" i="36"/>
  <c r="J42" i="36" s="1"/>
  <c r="C45" i="36"/>
  <c r="J45" i="36" s="1"/>
  <c r="C33" i="36"/>
  <c r="J33" i="36" s="1"/>
  <c r="C39" i="36"/>
  <c r="C26" i="36"/>
  <c r="C18" i="36"/>
  <c r="C27" i="36"/>
  <c r="C13" i="36"/>
  <c r="J13" i="36" s="1"/>
  <c r="C36" i="36"/>
  <c r="C8" i="36"/>
  <c r="J8" i="36" s="1"/>
  <c r="C21" i="36"/>
  <c r="C10" i="36"/>
  <c r="J10" i="36" s="1"/>
  <c r="C54" i="36"/>
  <c r="J54" i="36" s="1"/>
  <c r="C50" i="36"/>
  <c r="J50" i="36" s="1"/>
  <c r="C46" i="36"/>
  <c r="J46" i="36" s="1"/>
  <c r="C51" i="36"/>
  <c r="J51" i="36" s="1"/>
  <c r="C44" i="36"/>
  <c r="J44" i="36" s="1"/>
  <c r="C40" i="36"/>
  <c r="J40" i="36" s="1"/>
  <c r="C53" i="36"/>
  <c r="C41" i="36"/>
  <c r="J41" i="36" s="1"/>
  <c r="C35" i="36"/>
  <c r="J35" i="36" s="1"/>
  <c r="C31" i="36"/>
  <c r="J31" i="36" s="1"/>
  <c r="C49" i="36"/>
  <c r="C34" i="36"/>
  <c r="J34" i="36" s="1"/>
  <c r="C28" i="36"/>
  <c r="C24" i="36"/>
  <c r="J24" i="36" s="1"/>
  <c r="C20" i="36"/>
  <c r="J20" i="36" s="1"/>
  <c r="C16" i="36"/>
  <c r="J16" i="36" s="1"/>
  <c r="C32" i="36"/>
  <c r="J32" i="36" s="1"/>
  <c r="C23" i="36"/>
  <c r="J23" i="36" s="1"/>
  <c r="C15" i="36"/>
  <c r="C11" i="36"/>
  <c r="J11" i="36" s="1"/>
  <c r="C7" i="36"/>
  <c r="J7" i="36" s="1"/>
  <c r="C25" i="36"/>
  <c r="C12" i="36"/>
  <c r="C29" i="36"/>
  <c r="J29" i="36" s="1"/>
  <c r="C6" i="36"/>
  <c r="M23" i="1"/>
  <c r="M31" i="1"/>
  <c r="M9" i="1"/>
  <c r="M42" i="1"/>
  <c r="M51" i="1"/>
  <c r="M21" i="1"/>
  <c r="M37" i="1"/>
  <c r="M45" i="1"/>
  <c r="M57" i="1"/>
  <c r="M48" i="1"/>
  <c r="M39" i="1"/>
  <c r="M25" i="1"/>
  <c r="M11" i="1"/>
  <c r="AJ59" i="1"/>
  <c r="M26" i="1"/>
  <c r="M52" i="1"/>
  <c r="M14" i="1"/>
  <c r="M29" i="1"/>
  <c r="M41" i="1"/>
  <c r="M49" i="1"/>
  <c r="M17" i="1"/>
  <c r="M34" i="1"/>
  <c r="M55" i="1"/>
  <c r="M47" i="1"/>
  <c r="Q56" i="44"/>
  <c r="F26" i="36"/>
  <c r="F21" i="36"/>
  <c r="F42" i="36"/>
  <c r="F53" i="36"/>
  <c r="F27" i="36"/>
  <c r="F50" i="36"/>
  <c r="F34" i="36"/>
  <c r="F18" i="36"/>
  <c r="F37" i="36"/>
  <c r="F9" i="36"/>
  <c r="F39" i="36"/>
  <c r="F54" i="36"/>
  <c r="F46" i="36"/>
  <c r="F38" i="36"/>
  <c r="F30" i="36"/>
  <c r="F22" i="36"/>
  <c r="F14" i="36"/>
  <c r="F47" i="36"/>
  <c r="F49" i="36"/>
  <c r="F45" i="36"/>
  <c r="F29" i="36"/>
  <c r="F13" i="36"/>
  <c r="F43" i="36"/>
  <c r="F12" i="36"/>
  <c r="F10" i="36"/>
  <c r="F56" i="36"/>
  <c r="F52" i="36"/>
  <c r="F48" i="36"/>
  <c r="F44" i="36"/>
  <c r="F40" i="36"/>
  <c r="F36" i="36"/>
  <c r="F32" i="36"/>
  <c r="F28" i="36"/>
  <c r="F24" i="36"/>
  <c r="F20" i="36"/>
  <c r="F16" i="36"/>
  <c r="F55" i="36"/>
  <c r="F51" i="36"/>
  <c r="F41" i="36"/>
  <c r="F33" i="36"/>
  <c r="F25" i="36"/>
  <c r="F17" i="36"/>
  <c r="F11" i="36"/>
  <c r="F7" i="36"/>
  <c r="F35" i="36"/>
  <c r="F19" i="36"/>
  <c r="F8" i="36"/>
  <c r="F23" i="36"/>
  <c r="F31" i="36"/>
  <c r="H15" i="1"/>
  <c r="I15" i="1" s="1"/>
  <c r="M15" i="1" s="1"/>
  <c r="H20" i="1"/>
  <c r="I20" i="1" s="1"/>
  <c r="M20" i="1" s="1"/>
  <c r="H24" i="1"/>
  <c r="I24" i="1" s="1"/>
  <c r="M24" i="1" s="1"/>
  <c r="H28" i="1"/>
  <c r="I28" i="1" s="1"/>
  <c r="M28" i="1" s="1"/>
  <c r="H32" i="1"/>
  <c r="I32" i="1" s="1"/>
  <c r="M32" i="1" s="1"/>
  <c r="H36" i="1"/>
  <c r="I36" i="1" s="1"/>
  <c r="M36" i="1" s="1"/>
  <c r="H40" i="1"/>
  <c r="I40" i="1" s="1"/>
  <c r="M40" i="1" s="1"/>
  <c r="H44" i="1"/>
  <c r="I44" i="1" s="1"/>
  <c r="M44" i="1" s="1"/>
  <c r="H13" i="1"/>
  <c r="I13" i="1" s="1"/>
  <c r="M13" i="1" s="1"/>
  <c r="H22" i="1"/>
  <c r="I22" i="1" s="1"/>
  <c r="M22" i="1" s="1"/>
  <c r="H30" i="1"/>
  <c r="I30" i="1" s="1"/>
  <c r="M30" i="1" s="1"/>
  <c r="H38" i="1"/>
  <c r="I38" i="1" s="1"/>
  <c r="M38" i="1" s="1"/>
  <c r="H46" i="1"/>
  <c r="I46" i="1" s="1"/>
  <c r="M46" i="1" s="1"/>
  <c r="H50" i="1"/>
  <c r="I50" i="1" s="1"/>
  <c r="M50" i="1" s="1"/>
  <c r="H54" i="1"/>
  <c r="I54" i="1" s="1"/>
  <c r="M54" i="1" s="1"/>
  <c r="H58" i="1"/>
  <c r="I58" i="1" s="1"/>
  <c r="M58" i="1" s="1"/>
  <c r="H8" i="1"/>
  <c r="H12" i="1"/>
  <c r="I12" i="1" s="1"/>
  <c r="M12" i="1" s="1"/>
  <c r="H16" i="1"/>
  <c r="I16" i="1" s="1"/>
  <c r="M16" i="1" s="1"/>
  <c r="H56" i="1"/>
  <c r="I56" i="1" s="1"/>
  <c r="M56" i="1" s="1"/>
  <c r="H18" i="1"/>
  <c r="I18" i="1" s="1"/>
  <c r="M18" i="1" s="1"/>
  <c r="H33" i="1"/>
  <c r="I33" i="1" s="1"/>
  <c r="M33" i="1" s="1"/>
  <c r="H43" i="1"/>
  <c r="I43" i="1" s="1"/>
  <c r="M43" i="1" s="1"/>
  <c r="H53" i="1"/>
  <c r="I53" i="1" s="1"/>
  <c r="M53" i="1" s="1"/>
  <c r="J30" i="36"/>
  <c r="J17" i="36"/>
  <c r="J49" i="36"/>
  <c r="J14" i="36"/>
  <c r="J9" i="36"/>
  <c r="J25" i="36"/>
  <c r="J6" i="36"/>
  <c r="J22" i="36"/>
  <c r="J38" i="36"/>
  <c r="AM6" i="1"/>
  <c r="J56" i="36"/>
  <c r="J48" i="36"/>
  <c r="J36" i="36"/>
  <c r="J28" i="36"/>
  <c r="J12" i="36"/>
  <c r="J55" i="36"/>
  <c r="J47" i="36"/>
  <c r="J43" i="36"/>
  <c r="J39" i="36"/>
  <c r="J27" i="36"/>
  <c r="J15" i="36"/>
  <c r="K4" i="36"/>
  <c r="L4" i="36"/>
  <c r="J21" i="36"/>
  <c r="J37" i="36"/>
  <c r="J53" i="36"/>
  <c r="J18" i="36"/>
  <c r="J26" i="36"/>
  <c r="D59" i="1"/>
  <c r="E59" i="1"/>
  <c r="F8" i="1"/>
  <c r="F9" i="1"/>
  <c r="F10" i="1"/>
  <c r="F11" i="1"/>
  <c r="F14" i="1"/>
  <c r="F16" i="1"/>
  <c r="F17" i="1"/>
  <c r="F18" i="1"/>
  <c r="F19" i="1"/>
  <c r="F26" i="1"/>
  <c r="F27" i="1"/>
  <c r="F28" i="1"/>
  <c r="F29" i="1"/>
  <c r="F32" i="1"/>
  <c r="F33" i="1"/>
  <c r="F34" i="1"/>
  <c r="F35" i="1"/>
  <c r="F40" i="1"/>
  <c r="F41" i="1"/>
  <c r="F44" i="1"/>
  <c r="F46" i="1"/>
  <c r="F49" i="1"/>
  <c r="F50" i="1"/>
  <c r="F51" i="1"/>
  <c r="F52" i="1"/>
  <c r="C57" i="36" l="1"/>
  <c r="I8" i="1"/>
  <c r="H59" i="1"/>
  <c r="AO6" i="1"/>
  <c r="AO56" i="1" s="1"/>
  <c r="AN6" i="1"/>
  <c r="AN37" i="1" s="1"/>
  <c r="AM49" i="1"/>
  <c r="AM40" i="1"/>
  <c r="AM32" i="1"/>
  <c r="AM18" i="1"/>
  <c r="AM51" i="1"/>
  <c r="AM44" i="1"/>
  <c r="AM34" i="1"/>
  <c r="AM28" i="1"/>
  <c r="AM26" i="1"/>
  <c r="AM16" i="1"/>
  <c r="AM11" i="1"/>
  <c r="AM9" i="1"/>
  <c r="J57" i="36"/>
  <c r="AM52" i="1"/>
  <c r="AM50" i="1"/>
  <c r="AM46" i="1"/>
  <c r="AM41" i="1"/>
  <c r="AM35" i="1"/>
  <c r="AM33" i="1"/>
  <c r="AM29" i="1"/>
  <c r="AM27" i="1"/>
  <c r="AM19" i="1"/>
  <c r="AM17" i="1"/>
  <c r="AM14" i="1"/>
  <c r="AM10" i="1"/>
  <c r="K12" i="36"/>
  <c r="K49" i="36"/>
  <c r="K8" i="36"/>
  <c r="K7" i="36"/>
  <c r="K11" i="36"/>
  <c r="K19" i="36"/>
  <c r="K53" i="36"/>
  <c r="K55" i="36"/>
  <c r="K14" i="36"/>
  <c r="K16" i="36"/>
  <c r="K18" i="36"/>
  <c r="K20" i="36"/>
  <c r="K22" i="36"/>
  <c r="K24" i="36"/>
  <c r="K26" i="36"/>
  <c r="K28" i="36"/>
  <c r="K30" i="36"/>
  <c r="K32" i="36"/>
  <c r="K34" i="36"/>
  <c r="K36" i="36"/>
  <c r="K38" i="36"/>
  <c r="K40" i="36"/>
  <c r="K42" i="36"/>
  <c r="K44" i="36"/>
  <c r="K46" i="36"/>
  <c r="K48" i="36"/>
  <c r="K50" i="36"/>
  <c r="K52" i="36"/>
  <c r="K54" i="36"/>
  <c r="K56" i="36"/>
  <c r="K27" i="36"/>
  <c r="K35" i="36"/>
  <c r="K43" i="36"/>
  <c r="K17" i="36"/>
  <c r="K21" i="36"/>
  <c r="K25" i="36"/>
  <c r="K29" i="36"/>
  <c r="K33" i="36"/>
  <c r="K37" i="36"/>
  <c r="K41" i="36"/>
  <c r="K45" i="36"/>
  <c r="K47" i="36"/>
  <c r="K51" i="36"/>
  <c r="K6" i="36"/>
  <c r="K9" i="36"/>
  <c r="K31" i="36"/>
  <c r="K15" i="36"/>
  <c r="K23" i="36"/>
  <c r="K39" i="36"/>
  <c r="K10" i="36"/>
  <c r="K13" i="36"/>
  <c r="AM8" i="1"/>
  <c r="F58" i="1"/>
  <c r="AM58" i="1" s="1"/>
  <c r="F38" i="1"/>
  <c r="AM38" i="1" s="1"/>
  <c r="F54" i="1"/>
  <c r="AM54" i="1" s="1"/>
  <c r="F22" i="1"/>
  <c r="AM22" i="1" s="1"/>
  <c r="F39" i="1"/>
  <c r="AM39" i="1" s="1"/>
  <c r="F55" i="1"/>
  <c r="AM55" i="1" s="1"/>
  <c r="F43" i="1"/>
  <c r="AM43" i="1" s="1"/>
  <c r="F24" i="1"/>
  <c r="AM24" i="1" s="1"/>
  <c r="F56" i="1"/>
  <c r="AM56" i="1" s="1"/>
  <c r="F47" i="1"/>
  <c r="AM47" i="1" s="1"/>
  <c r="F37" i="1"/>
  <c r="AM37" i="1" s="1"/>
  <c r="F30" i="1"/>
  <c r="AM30" i="1" s="1"/>
  <c r="F15" i="1"/>
  <c r="AM15" i="1" s="1"/>
  <c r="F45" i="1"/>
  <c r="AM45" i="1" s="1"/>
  <c r="F31" i="1"/>
  <c r="AM31" i="1" s="1"/>
  <c r="F21" i="1"/>
  <c r="AM21" i="1" s="1"/>
  <c r="F42" i="1"/>
  <c r="AM42" i="1" s="1"/>
  <c r="F20" i="1"/>
  <c r="AM20" i="1" s="1"/>
  <c r="F23" i="1"/>
  <c r="AM23" i="1" s="1"/>
  <c r="F13" i="1"/>
  <c r="AM13" i="1" s="1"/>
  <c r="F57" i="1"/>
  <c r="AM57" i="1" s="1"/>
  <c r="F53" i="1"/>
  <c r="AM53" i="1" s="1"/>
  <c r="F48" i="1"/>
  <c r="AM48" i="1" s="1"/>
  <c r="F12" i="1"/>
  <c r="AM12" i="1" s="1"/>
  <c r="F25" i="1"/>
  <c r="AM25" i="1" s="1"/>
  <c r="F36" i="1"/>
  <c r="AM36" i="1" s="1"/>
  <c r="M8" i="1" l="1"/>
  <c r="M59" i="1" s="1"/>
  <c r="I59" i="1"/>
  <c r="AO15" i="1"/>
  <c r="AO46" i="1"/>
  <c r="AO36" i="1"/>
  <c r="AN55" i="1"/>
  <c r="AO21" i="1"/>
  <c r="AO32" i="1"/>
  <c r="AO11" i="1"/>
  <c r="AN17" i="1"/>
  <c r="AN54" i="1"/>
  <c r="AN25" i="1"/>
  <c r="AN13" i="1"/>
  <c r="AN36" i="1"/>
  <c r="AN49" i="1"/>
  <c r="AN10" i="1"/>
  <c r="AN27" i="1"/>
  <c r="AN16" i="1"/>
  <c r="AN47" i="1"/>
  <c r="AN48" i="1"/>
  <c r="AO51" i="1"/>
  <c r="AO29" i="1"/>
  <c r="AO47" i="1"/>
  <c r="AP47" i="1" s="1"/>
  <c r="K46" i="28" s="1"/>
  <c r="AO43" i="1"/>
  <c r="AO22" i="1"/>
  <c r="AO49" i="1"/>
  <c r="AN22" i="1"/>
  <c r="AN12" i="1"/>
  <c r="AN39" i="1"/>
  <c r="AN35" i="1"/>
  <c r="AN11" i="1"/>
  <c r="AN41" i="1"/>
  <c r="AN23" i="1"/>
  <c r="AN51" i="1"/>
  <c r="AN44" i="1"/>
  <c r="AN9" i="1"/>
  <c r="AN26" i="1"/>
  <c r="AN18" i="1"/>
  <c r="AN52" i="1"/>
  <c r="AO53" i="1"/>
  <c r="AO18" i="1"/>
  <c r="AO28" i="1"/>
  <c r="AO41" i="1"/>
  <c r="AO44" i="1"/>
  <c r="AO17" i="1"/>
  <c r="AO57" i="1"/>
  <c r="AO14" i="1"/>
  <c r="AO52" i="1"/>
  <c r="AO16" i="1"/>
  <c r="AO35" i="1"/>
  <c r="AO23" i="1"/>
  <c r="AO24" i="1"/>
  <c r="AN40" i="1"/>
  <c r="AN28" i="1"/>
  <c r="AN31" i="1"/>
  <c r="AN46" i="1"/>
  <c r="AP46" i="1" s="1"/>
  <c r="K45" i="28" s="1"/>
  <c r="AN43" i="1"/>
  <c r="AN20" i="1"/>
  <c r="AN33" i="1"/>
  <c r="AN42" i="1"/>
  <c r="AN21" i="1"/>
  <c r="AN53" i="1"/>
  <c r="AN38" i="1"/>
  <c r="AN45" i="1"/>
  <c r="AN57" i="1"/>
  <c r="AN30" i="1"/>
  <c r="AN56" i="1"/>
  <c r="AP56" i="1" s="1"/>
  <c r="K55" i="28" s="1"/>
  <c r="AN19" i="1"/>
  <c r="AN15" i="1"/>
  <c r="AN50" i="1"/>
  <c r="AN58" i="1"/>
  <c r="AN8" i="1"/>
  <c r="AN29" i="1"/>
  <c r="AN24" i="1"/>
  <c r="AN32" i="1"/>
  <c r="AN14" i="1"/>
  <c r="AN34" i="1"/>
  <c r="AO50" i="1"/>
  <c r="AO12" i="1"/>
  <c r="AO10" i="1"/>
  <c r="AO48" i="1"/>
  <c r="AO31" i="1"/>
  <c r="AO55" i="1"/>
  <c r="AO40" i="1"/>
  <c r="AO19" i="1"/>
  <c r="AO26" i="1"/>
  <c r="AO37" i="1"/>
  <c r="AP37" i="1" s="1"/>
  <c r="K36" i="28" s="1"/>
  <c r="AO20" i="1"/>
  <c r="AO9" i="1"/>
  <c r="AO13" i="1"/>
  <c r="AO38" i="1"/>
  <c r="AP38" i="1" s="1"/>
  <c r="K37" i="28" s="1"/>
  <c r="AO8" i="1"/>
  <c r="AO39" i="1"/>
  <c r="AO25" i="1"/>
  <c r="AO33" i="1"/>
  <c r="AP33" i="1" s="1"/>
  <c r="K32" i="28" s="1"/>
  <c r="AO54" i="1"/>
  <c r="AO42" i="1"/>
  <c r="AO58" i="1"/>
  <c r="AO34" i="1"/>
  <c r="AO27" i="1"/>
  <c r="AO30" i="1"/>
  <c r="AO45" i="1"/>
  <c r="K57" i="36"/>
  <c r="F59" i="1"/>
  <c r="AM59" i="1"/>
  <c r="AP9" i="1" l="1"/>
  <c r="K8" i="28" s="1"/>
  <c r="AP48" i="1"/>
  <c r="K47" i="28" s="1"/>
  <c r="AP55" i="1"/>
  <c r="K54" i="28" s="1"/>
  <c r="AP36" i="1"/>
  <c r="K35" i="28" s="1"/>
  <c r="AP34" i="1"/>
  <c r="K33" i="28" s="1"/>
  <c r="AP12" i="1"/>
  <c r="K11" i="28" s="1"/>
  <c r="AP32" i="1"/>
  <c r="K31" i="28" s="1"/>
  <c r="AP11" i="1"/>
  <c r="K10" i="28" s="1"/>
  <c r="AP22" i="1"/>
  <c r="K21" i="28" s="1"/>
  <c r="AP29" i="1"/>
  <c r="K28" i="28" s="1"/>
  <c r="AP15" i="1"/>
  <c r="K14" i="28" s="1"/>
  <c r="AP57" i="1"/>
  <c r="K56" i="28" s="1"/>
  <c r="AP20" i="1"/>
  <c r="K19" i="28" s="1"/>
  <c r="AP45" i="1"/>
  <c r="K44" i="28" s="1"/>
  <c r="AP21" i="1"/>
  <c r="K20" i="28" s="1"/>
  <c r="AP43" i="1"/>
  <c r="K42" i="28" s="1"/>
  <c r="AP54" i="1"/>
  <c r="K53" i="28" s="1"/>
  <c r="AP28" i="1"/>
  <c r="K27" i="28" s="1"/>
  <c r="AP25" i="1"/>
  <c r="K24" i="28" s="1"/>
  <c r="AP8" i="1"/>
  <c r="K7" i="28" s="1"/>
  <c r="AP17" i="1"/>
  <c r="K16" i="28" s="1"/>
  <c r="AP42" i="1"/>
  <c r="K41" i="28" s="1"/>
  <c r="AP39" i="1"/>
  <c r="K38" i="28" s="1"/>
  <c r="AP27" i="1"/>
  <c r="K26" i="28" s="1"/>
  <c r="AP13" i="1"/>
  <c r="K12" i="28" s="1"/>
  <c r="AP51" i="1"/>
  <c r="K50" i="28" s="1"/>
  <c r="AP41" i="1"/>
  <c r="K40" i="28" s="1"/>
  <c r="AP35" i="1"/>
  <c r="K34" i="28" s="1"/>
  <c r="AP49" i="1"/>
  <c r="K48" i="28" s="1"/>
  <c r="AP10" i="1"/>
  <c r="K9" i="28" s="1"/>
  <c r="AP24" i="1"/>
  <c r="K23" i="28" s="1"/>
  <c r="AP53" i="1"/>
  <c r="K52" i="28" s="1"/>
  <c r="AP16" i="1"/>
  <c r="K15" i="28" s="1"/>
  <c r="AP18" i="1"/>
  <c r="K17" i="28" s="1"/>
  <c r="AP52" i="1"/>
  <c r="K51" i="28" s="1"/>
  <c r="AP26" i="1"/>
  <c r="K25" i="28" s="1"/>
  <c r="AP23" i="1"/>
  <c r="K22" i="28" s="1"/>
  <c r="AP40" i="1"/>
  <c r="K39" i="28" s="1"/>
  <c r="AP14" i="1"/>
  <c r="K13" i="28" s="1"/>
  <c r="AP50" i="1"/>
  <c r="K49" i="28" s="1"/>
  <c r="AP44" i="1"/>
  <c r="K43" i="28" s="1"/>
  <c r="AP30" i="1"/>
  <c r="K29" i="28" s="1"/>
  <c r="AP19" i="1"/>
  <c r="K18" i="28" s="1"/>
  <c r="AP58" i="1"/>
  <c r="K57" i="28" s="1"/>
  <c r="AN59" i="1"/>
  <c r="AP31" i="1"/>
  <c r="K30" i="28" s="1"/>
  <c r="AO59" i="1"/>
  <c r="AP59" i="1" l="1"/>
  <c r="AQ8" i="1" s="1"/>
  <c r="H6" i="36" s="1"/>
  <c r="AQ11" i="1" l="1"/>
  <c r="H9" i="36" s="1"/>
  <c r="L9" i="36" s="1"/>
  <c r="M9" i="36" s="1"/>
  <c r="AQ35" i="1"/>
  <c r="H33" i="36" s="1"/>
  <c r="L33" i="36" s="1"/>
  <c r="M33" i="36" s="1"/>
  <c r="AQ43" i="1"/>
  <c r="H41" i="36" s="1"/>
  <c r="L41" i="36" s="1"/>
  <c r="M41" i="36" s="1"/>
  <c r="AQ45" i="1"/>
  <c r="H43" i="36" s="1"/>
  <c r="L43" i="36" s="1"/>
  <c r="M43" i="36" s="1"/>
  <c r="AQ36" i="1"/>
  <c r="H34" i="36" s="1"/>
  <c r="L34" i="36" s="1"/>
  <c r="M34" i="36" s="1"/>
  <c r="AQ48" i="1"/>
  <c r="H46" i="36" s="1"/>
  <c r="L46" i="36" s="1"/>
  <c r="M46" i="36" s="1"/>
  <c r="AQ17" i="1"/>
  <c r="H15" i="36" s="1"/>
  <c r="L15" i="36" s="1"/>
  <c r="M15" i="36" s="1"/>
  <c r="AQ22" i="1"/>
  <c r="H20" i="36" s="1"/>
  <c r="L20" i="36" s="1"/>
  <c r="M20" i="36" s="1"/>
  <c r="AQ34" i="1"/>
  <c r="H32" i="36" s="1"/>
  <c r="L32" i="36" s="1"/>
  <c r="M32" i="36" s="1"/>
  <c r="AQ37" i="1"/>
  <c r="H35" i="36" s="1"/>
  <c r="L35" i="36" s="1"/>
  <c r="M35" i="36" s="1"/>
  <c r="AQ25" i="1"/>
  <c r="H23" i="36" s="1"/>
  <c r="L23" i="36" s="1"/>
  <c r="M23" i="36" s="1"/>
  <c r="AQ55" i="1"/>
  <c r="H53" i="36" s="1"/>
  <c r="L53" i="36" s="1"/>
  <c r="M53" i="36" s="1"/>
  <c r="AQ20" i="1"/>
  <c r="H18" i="36" s="1"/>
  <c r="L18" i="36" s="1"/>
  <c r="M18" i="36" s="1"/>
  <c r="AQ32" i="1"/>
  <c r="H30" i="36" s="1"/>
  <c r="L30" i="36" s="1"/>
  <c r="M30" i="36" s="1"/>
  <c r="AQ16" i="1"/>
  <c r="H14" i="36" s="1"/>
  <c r="L14" i="36" s="1"/>
  <c r="M14" i="36" s="1"/>
  <c r="AQ49" i="1"/>
  <c r="H47" i="36" s="1"/>
  <c r="L47" i="36" s="1"/>
  <c r="M47" i="36" s="1"/>
  <c r="AQ19" i="1"/>
  <c r="H17" i="36" s="1"/>
  <c r="L17" i="36" s="1"/>
  <c r="M17" i="36" s="1"/>
  <c r="AQ46" i="1"/>
  <c r="H44" i="36" s="1"/>
  <c r="L44" i="36" s="1"/>
  <c r="M44" i="36" s="1"/>
  <c r="AQ54" i="1"/>
  <c r="H52" i="36" s="1"/>
  <c r="L52" i="36" s="1"/>
  <c r="M52" i="36" s="1"/>
  <c r="AQ15" i="1"/>
  <c r="H13" i="36" s="1"/>
  <c r="L13" i="36" s="1"/>
  <c r="M13" i="36" s="1"/>
  <c r="AQ38" i="1"/>
  <c r="H36" i="36" s="1"/>
  <c r="L36" i="36" s="1"/>
  <c r="M36" i="36" s="1"/>
  <c r="AQ47" i="1"/>
  <c r="H45" i="36" s="1"/>
  <c r="L45" i="36" s="1"/>
  <c r="M45" i="36" s="1"/>
  <c r="AQ13" i="1"/>
  <c r="H11" i="36" s="1"/>
  <c r="L11" i="36" s="1"/>
  <c r="M11" i="36" s="1"/>
  <c r="AQ40" i="1"/>
  <c r="H38" i="36" s="1"/>
  <c r="L38" i="36" s="1"/>
  <c r="M38" i="36" s="1"/>
  <c r="AQ26" i="1"/>
  <c r="H24" i="36" s="1"/>
  <c r="L24" i="36" s="1"/>
  <c r="M24" i="36" s="1"/>
  <c r="AQ51" i="1"/>
  <c r="H49" i="36" s="1"/>
  <c r="L49" i="36" s="1"/>
  <c r="M49" i="36" s="1"/>
  <c r="AQ27" i="1"/>
  <c r="H25" i="36" s="1"/>
  <c r="L25" i="36" s="1"/>
  <c r="M25" i="36" s="1"/>
  <c r="AQ52" i="1"/>
  <c r="H50" i="36" s="1"/>
  <c r="L50" i="36" s="1"/>
  <c r="M50" i="36" s="1"/>
  <c r="AQ39" i="1"/>
  <c r="H37" i="36" s="1"/>
  <c r="L37" i="36" s="1"/>
  <c r="M37" i="36" s="1"/>
  <c r="AQ23" i="1"/>
  <c r="H21" i="36" s="1"/>
  <c r="L21" i="36" s="1"/>
  <c r="M21" i="36" s="1"/>
  <c r="AQ42" i="1"/>
  <c r="H40" i="36" s="1"/>
  <c r="L40" i="36" s="1"/>
  <c r="M40" i="36" s="1"/>
  <c r="AQ30" i="1"/>
  <c r="H28" i="36" s="1"/>
  <c r="L28" i="36" s="1"/>
  <c r="M28" i="36" s="1"/>
  <c r="AQ53" i="1"/>
  <c r="H51" i="36" s="1"/>
  <c r="L51" i="36" s="1"/>
  <c r="M51" i="36" s="1"/>
  <c r="AQ9" i="1"/>
  <c r="H7" i="36" s="1"/>
  <c r="L7" i="36" s="1"/>
  <c r="M7" i="36" s="1"/>
  <c r="AQ28" i="1"/>
  <c r="H26" i="36" s="1"/>
  <c r="L26" i="36" s="1"/>
  <c r="M26" i="36" s="1"/>
  <c r="AQ10" i="1"/>
  <c r="H8" i="36" s="1"/>
  <c r="L8" i="36" s="1"/>
  <c r="M8" i="36" s="1"/>
  <c r="AQ33" i="1"/>
  <c r="H31" i="36" s="1"/>
  <c r="L31" i="36" s="1"/>
  <c r="M31" i="36" s="1"/>
  <c r="AQ58" i="1"/>
  <c r="H56" i="36" s="1"/>
  <c r="L56" i="36" s="1"/>
  <c r="M56" i="36" s="1"/>
  <c r="AQ56" i="1"/>
  <c r="H54" i="36" s="1"/>
  <c r="L54" i="36" s="1"/>
  <c r="M54" i="36" s="1"/>
  <c r="AQ57" i="1"/>
  <c r="H55" i="36" s="1"/>
  <c r="L55" i="36" s="1"/>
  <c r="M55" i="36" s="1"/>
  <c r="AQ31" i="1"/>
  <c r="H29" i="36" s="1"/>
  <c r="L29" i="36" s="1"/>
  <c r="M29" i="36" s="1"/>
  <c r="AQ24" i="1"/>
  <c r="H22" i="36" s="1"/>
  <c r="L22" i="36" s="1"/>
  <c r="M22" i="36" s="1"/>
  <c r="AQ21" i="1"/>
  <c r="H19" i="36" s="1"/>
  <c r="L19" i="36" s="1"/>
  <c r="M19" i="36" s="1"/>
  <c r="AQ12" i="1"/>
  <c r="H10" i="36" s="1"/>
  <c r="L10" i="36" s="1"/>
  <c r="M10" i="36" s="1"/>
  <c r="AQ41" i="1"/>
  <c r="H39" i="36" s="1"/>
  <c r="L39" i="36" s="1"/>
  <c r="M39" i="36" s="1"/>
  <c r="AQ18" i="1"/>
  <c r="H16" i="36" s="1"/>
  <c r="L16" i="36" s="1"/>
  <c r="M16" i="36" s="1"/>
  <c r="AQ44" i="1"/>
  <c r="H42" i="36" s="1"/>
  <c r="L42" i="36" s="1"/>
  <c r="M42" i="36" s="1"/>
  <c r="AQ14" i="1"/>
  <c r="H12" i="36" s="1"/>
  <c r="L12" i="36" s="1"/>
  <c r="M12" i="36" s="1"/>
  <c r="AQ29" i="1"/>
  <c r="H27" i="36" s="1"/>
  <c r="L27" i="36" s="1"/>
  <c r="M27" i="36" s="1"/>
  <c r="AQ50" i="1"/>
  <c r="H48" i="36" s="1"/>
  <c r="L48" i="36" s="1"/>
  <c r="M48" i="36" s="1"/>
  <c r="L6" i="36"/>
  <c r="H57" i="36" l="1"/>
  <c r="AQ59" i="1"/>
  <c r="L57" i="36"/>
  <c r="M6" i="36"/>
  <c r="M57" i="36" l="1"/>
  <c r="N6" i="36" s="1"/>
  <c r="J6" i="42" s="1"/>
  <c r="J6" i="46" s="1"/>
  <c r="V6" i="46" l="1"/>
  <c r="K58" i="28"/>
  <c r="N56" i="36"/>
  <c r="J56" i="42" s="1"/>
  <c r="J56" i="46" s="1"/>
  <c r="V56" i="46" s="1"/>
  <c r="N37" i="36"/>
  <c r="J37" i="42" s="1"/>
  <c r="J37" i="46" s="1"/>
  <c r="V37" i="46" s="1"/>
  <c r="N54" i="36"/>
  <c r="J54" i="42" s="1"/>
  <c r="J54" i="46" s="1"/>
  <c r="V54" i="46" s="1"/>
  <c r="N13" i="36"/>
  <c r="J13" i="42" s="1"/>
  <c r="J13" i="46" s="1"/>
  <c r="V13" i="46" s="1"/>
  <c r="N55" i="36"/>
  <c r="J55" i="42" s="1"/>
  <c r="J55" i="46" s="1"/>
  <c r="V55" i="46" s="1"/>
  <c r="N23" i="36"/>
  <c r="J23" i="42" s="1"/>
  <c r="J23" i="46" s="1"/>
  <c r="V23" i="46" s="1"/>
  <c r="N29" i="36"/>
  <c r="J29" i="42" s="1"/>
  <c r="J29" i="46" s="1"/>
  <c r="V29" i="46" s="1"/>
  <c r="N20" i="36"/>
  <c r="J20" i="42" s="1"/>
  <c r="J20" i="46" s="1"/>
  <c r="V20" i="46" s="1"/>
  <c r="N22" i="36"/>
  <c r="J22" i="42" s="1"/>
  <c r="J22" i="46" s="1"/>
  <c r="V22" i="46" s="1"/>
  <c r="N28" i="36"/>
  <c r="J28" i="42" s="1"/>
  <c r="J28" i="46" s="1"/>
  <c r="V28" i="46" s="1"/>
  <c r="N19" i="36"/>
  <c r="J19" i="42" s="1"/>
  <c r="J19" i="46" s="1"/>
  <c r="V19" i="46" s="1"/>
  <c r="N11" i="36"/>
  <c r="J11" i="42" s="1"/>
  <c r="J11" i="46" s="1"/>
  <c r="V11" i="46" s="1"/>
  <c r="N10" i="36"/>
  <c r="J10" i="42" s="1"/>
  <c r="J10" i="46" s="1"/>
  <c r="V10" i="46" s="1"/>
  <c r="N30" i="36"/>
  <c r="J30" i="42" s="1"/>
  <c r="J30" i="46" s="1"/>
  <c r="V30" i="46" s="1"/>
  <c r="N39" i="36"/>
  <c r="J39" i="42" s="1"/>
  <c r="J39" i="46" s="1"/>
  <c r="V39" i="46" s="1"/>
  <c r="N9" i="36"/>
  <c r="J9" i="42" s="1"/>
  <c r="J9" i="46" s="1"/>
  <c r="V9" i="46" s="1"/>
  <c r="N16" i="36"/>
  <c r="J16" i="42" s="1"/>
  <c r="J16" i="46" s="1"/>
  <c r="V16" i="46" s="1"/>
  <c r="N26" i="36"/>
  <c r="J26" i="42" s="1"/>
  <c r="J26" i="46" s="1"/>
  <c r="V26" i="46" s="1"/>
  <c r="N42" i="36"/>
  <c r="J42" i="42" s="1"/>
  <c r="J42" i="46" s="1"/>
  <c r="V42" i="46" s="1"/>
  <c r="N49" i="36"/>
  <c r="J49" i="42" s="1"/>
  <c r="J49" i="46" s="1"/>
  <c r="V49" i="46" s="1"/>
  <c r="N12" i="36"/>
  <c r="J12" i="42" s="1"/>
  <c r="J12" i="46" s="1"/>
  <c r="V12" i="46" s="1"/>
  <c r="N17" i="36"/>
  <c r="J17" i="42" s="1"/>
  <c r="J17" i="46" s="1"/>
  <c r="V17" i="46" s="1"/>
  <c r="N27" i="36"/>
  <c r="J27" i="42" s="1"/>
  <c r="J27" i="46" s="1"/>
  <c r="V27" i="46" s="1"/>
  <c r="N33" i="36"/>
  <c r="J33" i="42" s="1"/>
  <c r="J33" i="46" s="1"/>
  <c r="V33" i="46" s="1"/>
  <c r="N48" i="36"/>
  <c r="J48" i="42" s="1"/>
  <c r="J48" i="46" s="1"/>
  <c r="V48" i="46" s="1"/>
  <c r="N52" i="36"/>
  <c r="J52" i="42" s="1"/>
  <c r="J52" i="46" s="1"/>
  <c r="V52" i="46" s="1"/>
  <c r="N41" i="36"/>
  <c r="J41" i="42" s="1"/>
  <c r="J41" i="46" s="1"/>
  <c r="V41" i="46" s="1"/>
  <c r="N35" i="36"/>
  <c r="J35" i="42" s="1"/>
  <c r="J35" i="46" s="1"/>
  <c r="V35" i="46" s="1"/>
  <c r="N21" i="36"/>
  <c r="J21" i="42" s="1"/>
  <c r="J21" i="46" s="1"/>
  <c r="V21" i="46" s="1"/>
  <c r="N46" i="36"/>
  <c r="J46" i="42" s="1"/>
  <c r="J46" i="46" s="1"/>
  <c r="V46" i="46" s="1"/>
  <c r="N36" i="36"/>
  <c r="J36" i="42" s="1"/>
  <c r="J36" i="46" s="1"/>
  <c r="V36" i="46" s="1"/>
  <c r="N40" i="36"/>
  <c r="J40" i="42" s="1"/>
  <c r="J40" i="46" s="1"/>
  <c r="V40" i="46" s="1"/>
  <c r="N53" i="36"/>
  <c r="J53" i="42" s="1"/>
  <c r="J53" i="46" s="1"/>
  <c r="V53" i="46" s="1"/>
  <c r="N45" i="36"/>
  <c r="J45" i="42" s="1"/>
  <c r="J45" i="46" s="1"/>
  <c r="V45" i="46" s="1"/>
  <c r="N43" i="36"/>
  <c r="J43" i="42" s="1"/>
  <c r="J43" i="46" s="1"/>
  <c r="V43" i="46" s="1"/>
  <c r="N18" i="36"/>
  <c r="J18" i="42" s="1"/>
  <c r="J18" i="46" s="1"/>
  <c r="V18" i="46" s="1"/>
  <c r="N51" i="36"/>
  <c r="J51" i="42" s="1"/>
  <c r="J51" i="46" s="1"/>
  <c r="V51" i="46" s="1"/>
  <c r="N34" i="36"/>
  <c r="J34" i="42" s="1"/>
  <c r="J34" i="46" s="1"/>
  <c r="V34" i="46" s="1"/>
  <c r="N38" i="36"/>
  <c r="J38" i="42" s="1"/>
  <c r="J38" i="46" s="1"/>
  <c r="V38" i="46" s="1"/>
  <c r="N7" i="36"/>
  <c r="J7" i="42" s="1"/>
  <c r="J7" i="46" s="1"/>
  <c r="V7" i="46" s="1"/>
  <c r="N14" i="36"/>
  <c r="J14" i="42" s="1"/>
  <c r="J14" i="46" s="1"/>
  <c r="V14" i="46" s="1"/>
  <c r="N24" i="36"/>
  <c r="J24" i="42" s="1"/>
  <c r="J24" i="46" s="1"/>
  <c r="V24" i="46" s="1"/>
  <c r="N32" i="36"/>
  <c r="J32" i="42" s="1"/>
  <c r="J32" i="46" s="1"/>
  <c r="V32" i="46" s="1"/>
  <c r="N47" i="36"/>
  <c r="J47" i="42" s="1"/>
  <c r="J47" i="46" s="1"/>
  <c r="V47" i="46" s="1"/>
  <c r="N8" i="36"/>
  <c r="J8" i="42" s="1"/>
  <c r="J8" i="46" s="1"/>
  <c r="V8" i="46" s="1"/>
  <c r="N15" i="36"/>
  <c r="J15" i="42" s="1"/>
  <c r="J15" i="46" s="1"/>
  <c r="V15" i="46" s="1"/>
  <c r="N25" i="36"/>
  <c r="J25" i="42" s="1"/>
  <c r="J25" i="46" s="1"/>
  <c r="V25" i="46" s="1"/>
  <c r="N31" i="36"/>
  <c r="J31" i="42" s="1"/>
  <c r="J31" i="46" s="1"/>
  <c r="V31" i="46" s="1"/>
  <c r="N44" i="36"/>
  <c r="J44" i="42" s="1"/>
  <c r="J44" i="46" s="1"/>
  <c r="V44" i="46" s="1"/>
  <c r="N50" i="36"/>
  <c r="J50" i="42" s="1"/>
  <c r="J50" i="46" s="1"/>
  <c r="V50" i="46" s="1"/>
  <c r="J57" i="46" l="1"/>
  <c r="V57" i="46"/>
  <c r="J57" i="42"/>
  <c r="N57" i="36"/>
  <c r="K59" i="28"/>
  <c r="J44" i="28" l="1"/>
  <c r="J26" i="28"/>
  <c r="J14" i="28"/>
  <c r="J55" i="28"/>
  <c r="J32" i="28"/>
  <c r="J15" i="28"/>
  <c r="J8" i="28"/>
  <c r="J22" i="28"/>
  <c r="J33" i="28"/>
  <c r="J11" i="28"/>
  <c r="J17" i="28"/>
  <c r="J18" i="28"/>
  <c r="J34" i="28"/>
  <c r="J46" i="28"/>
  <c r="J54" i="28"/>
  <c r="J19" i="28"/>
  <c r="J27" i="28"/>
  <c r="J37" i="28"/>
  <c r="J45" i="28"/>
  <c r="J53" i="28"/>
  <c r="J20" i="28"/>
  <c r="J30" i="28"/>
  <c r="J42" i="28"/>
  <c r="J52" i="28"/>
  <c r="J13" i="28"/>
  <c r="J25" i="28"/>
  <c r="J35" i="28"/>
  <c r="J43" i="28"/>
  <c r="J51" i="28"/>
  <c r="J57" i="28"/>
  <c r="J38" i="28"/>
  <c r="J28" i="28"/>
  <c r="J50" i="28"/>
  <c r="J23" i="28"/>
  <c r="J41" i="28"/>
  <c r="J10" i="28"/>
  <c r="J36" i="28"/>
  <c r="J56" i="28"/>
  <c r="J29" i="28"/>
  <c r="J47" i="28"/>
  <c r="J16" i="28"/>
  <c r="J12" i="28"/>
  <c r="J40" i="28"/>
  <c r="J9" i="28"/>
  <c r="J31" i="28"/>
  <c r="J49" i="28"/>
  <c r="J24" i="28"/>
  <c r="J48" i="28"/>
  <c r="J21" i="28"/>
  <c r="J39" i="28"/>
  <c r="J7" i="28"/>
  <c r="J58" i="28" l="1"/>
  <c r="M58" i="28" s="1"/>
  <c r="P7" i="28"/>
  <c r="M7" i="28"/>
  <c r="L7" i="28"/>
  <c r="P21" i="28"/>
  <c r="Q21" i="28" s="1"/>
  <c r="M21" i="28"/>
  <c r="L21" i="28"/>
  <c r="L24" i="28"/>
  <c r="M24" i="28"/>
  <c r="P24" i="28"/>
  <c r="Q24" i="28" s="1"/>
  <c r="L31" i="28"/>
  <c r="M31" i="28"/>
  <c r="P31" i="28"/>
  <c r="Q31" i="28" s="1"/>
  <c r="P40" i="28"/>
  <c r="Q40" i="28" s="1"/>
  <c r="L40" i="28"/>
  <c r="M40" i="28"/>
  <c r="L16" i="28"/>
  <c r="P16" i="28"/>
  <c r="Q16" i="28" s="1"/>
  <c r="M16" i="28"/>
  <c r="M29" i="28"/>
  <c r="L29" i="28"/>
  <c r="P29" i="28"/>
  <c r="Q29" i="28" s="1"/>
  <c r="M36" i="28"/>
  <c r="L36" i="28"/>
  <c r="P36" i="28"/>
  <c r="Q36" i="28" s="1"/>
  <c r="P41" i="28"/>
  <c r="Q41" i="28" s="1"/>
  <c r="L41" i="28"/>
  <c r="M41" i="28"/>
  <c r="P50" i="28"/>
  <c r="Q50" i="28" s="1"/>
  <c r="M50" i="28"/>
  <c r="L50" i="28"/>
  <c r="L38" i="28"/>
  <c r="M38" i="28"/>
  <c r="P38" i="28"/>
  <c r="Q38" i="28" s="1"/>
  <c r="P51" i="28"/>
  <c r="Q51" i="28" s="1"/>
  <c r="M51" i="28"/>
  <c r="L51" i="28"/>
  <c r="L35" i="28"/>
  <c r="P35" i="28"/>
  <c r="Q35" i="28" s="1"/>
  <c r="M35" i="28"/>
  <c r="P13" i="28"/>
  <c r="Q13" i="28" s="1"/>
  <c r="M13" i="28"/>
  <c r="L13" i="28"/>
  <c r="P42" i="28"/>
  <c r="Q42" i="28" s="1"/>
  <c r="M42" i="28"/>
  <c r="L42" i="28"/>
  <c r="P20" i="28"/>
  <c r="Q20" i="28" s="1"/>
  <c r="M20" i="28"/>
  <c r="L20" i="28"/>
  <c r="P45" i="28"/>
  <c r="Q45" i="28" s="1"/>
  <c r="M45" i="28"/>
  <c r="L45" i="28"/>
  <c r="M27" i="28"/>
  <c r="P27" i="28"/>
  <c r="Q27" i="28" s="1"/>
  <c r="L27" i="28"/>
  <c r="L54" i="28"/>
  <c r="M54" i="28"/>
  <c r="P54" i="28"/>
  <c r="Q54" i="28" s="1"/>
  <c r="P34" i="28"/>
  <c r="Q34" i="28" s="1"/>
  <c r="L34" i="28"/>
  <c r="M34" i="28"/>
  <c r="M17" i="28"/>
  <c r="L17" i="28"/>
  <c r="P17" i="28"/>
  <c r="Q17" i="28" s="1"/>
  <c r="M33" i="28"/>
  <c r="P33" i="28"/>
  <c r="Q33" i="28" s="1"/>
  <c r="L33" i="28"/>
  <c r="P8" i="28"/>
  <c r="Q8" i="28" s="1"/>
  <c r="L8" i="28"/>
  <c r="M8" i="28"/>
  <c r="L32" i="28"/>
  <c r="P32" i="28"/>
  <c r="Q32" i="28" s="1"/>
  <c r="M32" i="28"/>
  <c r="L14" i="28"/>
  <c r="P14" i="28"/>
  <c r="Q14" i="28" s="1"/>
  <c r="M14" i="28"/>
  <c r="P44" i="28"/>
  <c r="Q44" i="28" s="1"/>
  <c r="M44" i="28"/>
  <c r="L44" i="28"/>
  <c r="M39" i="28"/>
  <c r="P39" i="28"/>
  <c r="Q39" i="28" s="1"/>
  <c r="L39" i="28"/>
  <c r="P48" i="28"/>
  <c r="Q48" i="28" s="1"/>
  <c r="M48" i="28"/>
  <c r="L48" i="28"/>
  <c r="M49" i="28"/>
  <c r="P49" i="28"/>
  <c r="Q49" i="28" s="1"/>
  <c r="L49" i="28"/>
  <c r="M9" i="28"/>
  <c r="P9" i="28"/>
  <c r="Q9" i="28" s="1"/>
  <c r="L9" i="28"/>
  <c r="L12" i="28"/>
  <c r="P12" i="28"/>
  <c r="Q12" i="28" s="1"/>
  <c r="M12" i="28"/>
  <c r="M47" i="28"/>
  <c r="P47" i="28"/>
  <c r="Q47" i="28" s="1"/>
  <c r="L47" i="28"/>
  <c r="P56" i="28"/>
  <c r="Q56" i="28" s="1"/>
  <c r="L56" i="28"/>
  <c r="M56" i="28"/>
  <c r="M10" i="28"/>
  <c r="P10" i="28"/>
  <c r="Q10" i="28" s="1"/>
  <c r="L10" i="28"/>
  <c r="M23" i="28"/>
  <c r="P23" i="28"/>
  <c r="Q23" i="28" s="1"/>
  <c r="L23" i="28"/>
  <c r="M28" i="28"/>
  <c r="L28" i="28"/>
  <c r="P28" i="28"/>
  <c r="Q28" i="28" s="1"/>
  <c r="M57" i="28"/>
  <c r="L57" i="28"/>
  <c r="P57" i="28"/>
  <c r="Q57" i="28" s="1"/>
  <c r="P43" i="28"/>
  <c r="Q43" i="28" s="1"/>
  <c r="M43" i="28"/>
  <c r="L43" i="28"/>
  <c r="P25" i="28"/>
  <c r="Q25" i="28" s="1"/>
  <c r="L25" i="28"/>
  <c r="M25" i="28"/>
  <c r="L52" i="28"/>
  <c r="M52" i="28"/>
  <c r="P52" i="28"/>
  <c r="Q52" i="28" s="1"/>
  <c r="L30" i="28"/>
  <c r="M30" i="28"/>
  <c r="P30" i="28"/>
  <c r="Q30" i="28" s="1"/>
  <c r="P53" i="28"/>
  <c r="Q53" i="28" s="1"/>
  <c r="L53" i="28"/>
  <c r="M53" i="28"/>
  <c r="P37" i="28"/>
  <c r="Q37" i="28" s="1"/>
  <c r="M37" i="28"/>
  <c r="L37" i="28"/>
  <c r="P19" i="28"/>
  <c r="Q19" i="28" s="1"/>
  <c r="L19" i="28"/>
  <c r="M19" i="28"/>
  <c r="P46" i="28"/>
  <c r="Q46" i="28" s="1"/>
  <c r="L46" i="28"/>
  <c r="M46" i="28"/>
  <c r="L18" i="28"/>
  <c r="M18" i="28"/>
  <c r="P18" i="28"/>
  <c r="Q18" i="28" s="1"/>
  <c r="M11" i="28"/>
  <c r="L11" i="28"/>
  <c r="P11" i="28"/>
  <c r="Q11" i="28" s="1"/>
  <c r="M22" i="28"/>
  <c r="L22" i="28"/>
  <c r="P22" i="28"/>
  <c r="Q22" i="28" s="1"/>
  <c r="P15" i="28"/>
  <c r="Q15" i="28" s="1"/>
  <c r="M15" i="28"/>
  <c r="L15" i="28"/>
  <c r="L55" i="28"/>
  <c r="M55" i="28"/>
  <c r="P55" i="28"/>
  <c r="Q55" i="28" s="1"/>
  <c r="M26" i="28"/>
  <c r="L26" i="28"/>
  <c r="P26" i="28"/>
  <c r="Q26" i="28" s="1"/>
  <c r="N15" i="28" l="1"/>
  <c r="O15" i="28" s="1"/>
  <c r="N22" i="28"/>
  <c r="O22" i="28" s="1"/>
  <c r="N19" i="28"/>
  <c r="O19" i="28" s="1"/>
  <c r="N37" i="28"/>
  <c r="O37" i="28" s="1"/>
  <c r="N53" i="28"/>
  <c r="O53" i="28" s="1"/>
  <c r="N30" i="28"/>
  <c r="O30" i="28" s="1"/>
  <c r="N28" i="28"/>
  <c r="O28" i="28" s="1"/>
  <c r="N10" i="28"/>
  <c r="O10" i="28" s="1"/>
  <c r="N47" i="28"/>
  <c r="O47" i="28" s="1"/>
  <c r="N9" i="28"/>
  <c r="O9" i="28" s="1"/>
  <c r="N32" i="28"/>
  <c r="O32" i="28" s="1"/>
  <c r="N33" i="28"/>
  <c r="O33" i="28" s="1"/>
  <c r="N34" i="28"/>
  <c r="O34" i="28" s="1"/>
  <c r="N54" i="28"/>
  <c r="O54" i="28" s="1"/>
  <c r="N27" i="28"/>
  <c r="O27" i="28" s="1"/>
  <c r="N45" i="28"/>
  <c r="O45" i="28" s="1"/>
  <c r="N42" i="28"/>
  <c r="O42" i="28" s="1"/>
  <c r="N38" i="28"/>
  <c r="O38" i="28" s="1"/>
  <c r="N36" i="28"/>
  <c r="O36" i="28" s="1"/>
  <c r="N16" i="28"/>
  <c r="O16" i="28" s="1"/>
  <c r="N24" i="28"/>
  <c r="O24" i="28" s="1"/>
  <c r="N7" i="28"/>
  <c r="O7" i="28" s="1"/>
  <c r="N26" i="28"/>
  <c r="O26" i="28" s="1"/>
  <c r="N55" i="28"/>
  <c r="O55" i="28" s="1"/>
  <c r="N11" i="28"/>
  <c r="O11" i="28" s="1"/>
  <c r="N18" i="28"/>
  <c r="O18" i="28" s="1"/>
  <c r="N46" i="28"/>
  <c r="O46" i="28" s="1"/>
  <c r="N52" i="28"/>
  <c r="O52" i="28" s="1"/>
  <c r="N25" i="28"/>
  <c r="O25" i="28" s="1"/>
  <c r="N43" i="28"/>
  <c r="O43" i="28" s="1"/>
  <c r="N57" i="28"/>
  <c r="O57" i="28" s="1"/>
  <c r="N23" i="28"/>
  <c r="O23" i="28" s="1"/>
  <c r="N56" i="28"/>
  <c r="O56" i="28" s="1"/>
  <c r="N12" i="28"/>
  <c r="O12" i="28" s="1"/>
  <c r="N49" i="28"/>
  <c r="O49" i="28" s="1"/>
  <c r="N48" i="28"/>
  <c r="O48" i="28" s="1"/>
  <c r="N39" i="28"/>
  <c r="O39" i="28" s="1"/>
  <c r="N44" i="28"/>
  <c r="O44" i="28" s="1"/>
  <c r="N14" i="28"/>
  <c r="O14" i="28" s="1"/>
  <c r="N8" i="28"/>
  <c r="O8" i="28" s="1"/>
  <c r="N17" i="28"/>
  <c r="O17" i="28" s="1"/>
  <c r="N20" i="28"/>
  <c r="O20" i="28" s="1"/>
  <c r="N13" i="28"/>
  <c r="O13" i="28" s="1"/>
  <c r="N35" i="28"/>
  <c r="O35" i="28" s="1"/>
  <c r="N51" i="28"/>
  <c r="O51" i="28" s="1"/>
  <c r="N50" i="28"/>
  <c r="O50" i="28" s="1"/>
  <c r="N41" i="28"/>
  <c r="O41" i="28" s="1"/>
  <c r="N29" i="28"/>
  <c r="O29" i="28" s="1"/>
  <c r="N40" i="28"/>
  <c r="O40" i="28" s="1"/>
  <c r="N31" i="28"/>
  <c r="O31" i="28" s="1"/>
  <c r="O21" i="28"/>
  <c r="N21" i="28"/>
  <c r="L58" i="28"/>
  <c r="Q7" i="28"/>
  <c r="P58" i="28"/>
  <c r="O58" i="28" l="1"/>
  <c r="Q58" i="28"/>
  <c r="N58" i="28"/>
  <c r="R4" i="28" l="1"/>
  <c r="R22" i="28" l="1"/>
  <c r="S22" i="28" s="1"/>
  <c r="T22" i="28" s="1"/>
  <c r="R19" i="28"/>
  <c r="S19" i="28" s="1"/>
  <c r="T19" i="28" s="1"/>
  <c r="R52" i="28"/>
  <c r="S52" i="28" s="1"/>
  <c r="R28" i="28"/>
  <c r="S28" i="28" s="1"/>
  <c r="T28" i="28" s="1"/>
  <c r="R12" i="28"/>
  <c r="S12" i="28" s="1"/>
  <c r="T12" i="28" s="1"/>
  <c r="R48" i="28"/>
  <c r="S48" i="28" s="1"/>
  <c r="T48" i="28" s="1"/>
  <c r="R44" i="28"/>
  <c r="S44" i="28" s="1"/>
  <c r="R34" i="28"/>
  <c r="S34" i="28" s="1"/>
  <c r="R13" i="28"/>
  <c r="S13" i="28" s="1"/>
  <c r="T13" i="28" s="1"/>
  <c r="R51" i="28"/>
  <c r="S51" i="28" s="1"/>
  <c r="R36" i="28"/>
  <c r="S36" i="28" s="1"/>
  <c r="R21" i="28"/>
  <c r="S21" i="28" s="1"/>
  <c r="R15" i="28"/>
  <c r="S15" i="28" s="1"/>
  <c r="T15" i="28" s="1"/>
  <c r="R46" i="28"/>
  <c r="S46" i="28" s="1"/>
  <c r="R30" i="28"/>
  <c r="S30" i="28" s="1"/>
  <c r="R57" i="28"/>
  <c r="S57" i="28" s="1"/>
  <c r="T57" i="28" s="1"/>
  <c r="R56" i="28"/>
  <c r="S56" i="28" s="1"/>
  <c r="T56" i="28" s="1"/>
  <c r="R9" i="28"/>
  <c r="S9" i="28" s="1"/>
  <c r="R8" i="28"/>
  <c r="S8" i="28" s="1"/>
  <c r="T8" i="28" s="1"/>
  <c r="R17" i="28"/>
  <c r="S17" i="28" s="1"/>
  <c r="T17" i="28" s="1"/>
  <c r="R27" i="28"/>
  <c r="S27" i="28" s="1"/>
  <c r="T27" i="28" s="1"/>
  <c r="R42" i="28"/>
  <c r="S42" i="28" s="1"/>
  <c r="T42" i="28" s="1"/>
  <c r="R41" i="28"/>
  <c r="S41" i="28" s="1"/>
  <c r="R16" i="28"/>
  <c r="S16" i="28" s="1"/>
  <c r="R24" i="28"/>
  <c r="S24" i="28" s="1"/>
  <c r="T24" i="28" s="1"/>
  <c r="R55" i="28"/>
  <c r="S55" i="28" s="1"/>
  <c r="T55" i="28" s="1"/>
  <c r="R18" i="28"/>
  <c r="S18" i="28" s="1"/>
  <c r="T18" i="28" s="1"/>
  <c r="R53" i="28"/>
  <c r="S53" i="28" s="1"/>
  <c r="T53" i="28" s="1"/>
  <c r="R43" i="28"/>
  <c r="S43" i="28" s="1"/>
  <c r="R23" i="28"/>
  <c r="S23" i="28" s="1"/>
  <c r="R49" i="28"/>
  <c r="S49" i="28" s="1"/>
  <c r="R39" i="28"/>
  <c r="S39" i="28" s="1"/>
  <c r="T39" i="28" s="1"/>
  <c r="R14" i="28"/>
  <c r="S14" i="28" s="1"/>
  <c r="R20" i="28"/>
  <c r="S20" i="28" s="1"/>
  <c r="R35" i="28"/>
  <c r="S35" i="28" s="1"/>
  <c r="T35" i="28" s="1"/>
  <c r="R50" i="28"/>
  <c r="S50" i="28" s="1"/>
  <c r="T50" i="28" s="1"/>
  <c r="R31" i="28"/>
  <c r="S31" i="28" s="1"/>
  <c r="T31" i="28" s="1"/>
  <c r="R26" i="28"/>
  <c r="S26" i="28" s="1"/>
  <c r="T26" i="28" s="1"/>
  <c r="R11" i="28"/>
  <c r="S11" i="28" s="1"/>
  <c r="R37" i="28"/>
  <c r="S37" i="28" s="1"/>
  <c r="T37" i="28" s="1"/>
  <c r="R25" i="28"/>
  <c r="S25" i="28" s="1"/>
  <c r="R10" i="28"/>
  <c r="S10" i="28" s="1"/>
  <c r="T10" i="28" s="1"/>
  <c r="R47" i="28"/>
  <c r="S47" i="28" s="1"/>
  <c r="T47" i="28" s="1"/>
  <c r="R32" i="28"/>
  <c r="S32" i="28" s="1"/>
  <c r="T32" i="28" s="1"/>
  <c r="R33" i="28"/>
  <c r="S33" i="28" s="1"/>
  <c r="T33" i="28" s="1"/>
  <c r="R54" i="28"/>
  <c r="S54" i="28" s="1"/>
  <c r="T54" i="28" s="1"/>
  <c r="R45" i="28"/>
  <c r="S45" i="28" s="1"/>
  <c r="T45" i="28" s="1"/>
  <c r="R38" i="28"/>
  <c r="S38" i="28" s="1"/>
  <c r="T38" i="28" s="1"/>
  <c r="R29" i="28"/>
  <c r="S29" i="28" s="1"/>
  <c r="R40" i="28"/>
  <c r="S40" i="28" s="1"/>
  <c r="R7" i="28"/>
  <c r="S7" i="28" s="1"/>
  <c r="T7" i="28" s="1"/>
  <c r="R58" i="28" l="1"/>
  <c r="T29" i="28"/>
  <c r="T25" i="28"/>
  <c r="T11" i="28"/>
  <c r="T14" i="28"/>
  <c r="T49" i="28"/>
  <c r="T43" i="28"/>
  <c r="T41" i="28"/>
  <c r="T30" i="28"/>
  <c r="T36" i="28"/>
  <c r="T44" i="28"/>
  <c r="T52" i="28"/>
  <c r="T40" i="28"/>
  <c r="T20" i="28"/>
  <c r="T23" i="28"/>
  <c r="T16" i="28"/>
  <c r="T9" i="28"/>
  <c r="S58" i="28"/>
  <c r="U46" i="28" s="1"/>
  <c r="H45" i="42" s="1"/>
  <c r="H45" i="46" s="1"/>
  <c r="T45" i="46" s="1"/>
  <c r="T46" i="28"/>
  <c r="T21" i="28"/>
  <c r="T51" i="28"/>
  <c r="T34" i="28"/>
  <c r="I45" i="42" l="1"/>
  <c r="I45" i="46" s="1"/>
  <c r="U45" i="46" s="1"/>
  <c r="E45" i="42"/>
  <c r="E45" i="46" s="1"/>
  <c r="Q45" i="46" s="1"/>
  <c r="G45" i="42"/>
  <c r="G45" i="46" s="1"/>
  <c r="S45" i="46" s="1"/>
  <c r="C45" i="42"/>
  <c r="C45" i="46" s="1"/>
  <c r="O45" i="46" s="1"/>
  <c r="B45" i="42"/>
  <c r="B45" i="46" s="1"/>
  <c r="U34" i="28"/>
  <c r="H33" i="42" s="1"/>
  <c r="H33" i="46" s="1"/>
  <c r="T33" i="46" s="1"/>
  <c r="U51" i="28"/>
  <c r="H50" i="42" s="1"/>
  <c r="H50" i="46" s="1"/>
  <c r="T50" i="46" s="1"/>
  <c r="U21" i="28"/>
  <c r="H20" i="42" s="1"/>
  <c r="H20" i="46" s="1"/>
  <c r="T20" i="46" s="1"/>
  <c r="F45" i="42"/>
  <c r="F45" i="46" s="1"/>
  <c r="R45" i="46" s="1"/>
  <c r="T58" i="28"/>
  <c r="U50" i="28"/>
  <c r="H49" i="42" s="1"/>
  <c r="H49" i="46" s="1"/>
  <c r="T49" i="46" s="1"/>
  <c r="U13" i="28"/>
  <c r="H12" i="42" s="1"/>
  <c r="H12" i="46" s="1"/>
  <c r="T12" i="46" s="1"/>
  <c r="U56" i="28"/>
  <c r="H55" i="42" s="1"/>
  <c r="H55" i="46" s="1"/>
  <c r="T55" i="46" s="1"/>
  <c r="U55" i="28"/>
  <c r="H54" i="42" s="1"/>
  <c r="H54" i="46" s="1"/>
  <c r="T54" i="46" s="1"/>
  <c r="U24" i="28"/>
  <c r="H23" i="42" s="1"/>
  <c r="H23" i="46" s="1"/>
  <c r="T23" i="46" s="1"/>
  <c r="U33" i="28"/>
  <c r="H32" i="42" s="1"/>
  <c r="H32" i="46" s="1"/>
  <c r="T32" i="46" s="1"/>
  <c r="U10" i="28"/>
  <c r="H9" i="42" s="1"/>
  <c r="H9" i="46" s="1"/>
  <c r="T9" i="46" s="1"/>
  <c r="U37" i="28"/>
  <c r="H36" i="42" s="1"/>
  <c r="H36" i="46" s="1"/>
  <c r="T36" i="46" s="1"/>
  <c r="U31" i="28"/>
  <c r="H30" i="42" s="1"/>
  <c r="H30" i="46" s="1"/>
  <c r="T30" i="46" s="1"/>
  <c r="U12" i="28"/>
  <c r="H11" i="42" s="1"/>
  <c r="H11" i="46" s="1"/>
  <c r="T11" i="46" s="1"/>
  <c r="U18" i="28"/>
  <c r="H17" i="42" s="1"/>
  <c r="H17" i="46" s="1"/>
  <c r="T17" i="46" s="1"/>
  <c r="U26" i="28"/>
  <c r="H25" i="42" s="1"/>
  <c r="H25" i="46" s="1"/>
  <c r="T25" i="46" s="1"/>
  <c r="U45" i="28"/>
  <c r="H44" i="42" s="1"/>
  <c r="H44" i="46" s="1"/>
  <c r="T44" i="46" s="1"/>
  <c r="U47" i="28"/>
  <c r="H46" i="42" s="1"/>
  <c r="H46" i="46" s="1"/>
  <c r="T46" i="46" s="1"/>
  <c r="U38" i="28"/>
  <c r="H37" i="42" s="1"/>
  <c r="H37" i="46" s="1"/>
  <c r="T37" i="46" s="1"/>
  <c r="U42" i="28"/>
  <c r="H41" i="42" s="1"/>
  <c r="H41" i="46" s="1"/>
  <c r="T41" i="46" s="1"/>
  <c r="U32" i="28"/>
  <c r="H31" i="42" s="1"/>
  <c r="H31" i="46" s="1"/>
  <c r="T31" i="46" s="1"/>
  <c r="U28" i="28"/>
  <c r="H27" i="42" s="1"/>
  <c r="H27" i="46" s="1"/>
  <c r="T27" i="46" s="1"/>
  <c r="U19" i="28"/>
  <c r="H18" i="42" s="1"/>
  <c r="H18" i="46" s="1"/>
  <c r="T18" i="46" s="1"/>
  <c r="U15" i="28"/>
  <c r="H14" i="42" s="1"/>
  <c r="H14" i="46" s="1"/>
  <c r="T14" i="46" s="1"/>
  <c r="U27" i="28"/>
  <c r="H26" i="42" s="1"/>
  <c r="H26" i="46" s="1"/>
  <c r="T26" i="46" s="1"/>
  <c r="U35" i="28"/>
  <c r="H34" i="42" s="1"/>
  <c r="H34" i="46" s="1"/>
  <c r="T34" i="46" s="1"/>
  <c r="U54" i="28"/>
  <c r="H53" i="42" s="1"/>
  <c r="H53" i="46" s="1"/>
  <c r="T53" i="46" s="1"/>
  <c r="U53" i="28"/>
  <c r="H52" i="42" s="1"/>
  <c r="H52" i="46" s="1"/>
  <c r="T52" i="46" s="1"/>
  <c r="U17" i="28"/>
  <c r="H16" i="42" s="1"/>
  <c r="H16" i="46" s="1"/>
  <c r="T16" i="46" s="1"/>
  <c r="U8" i="28"/>
  <c r="H7" i="42" s="1"/>
  <c r="H7" i="46" s="1"/>
  <c r="T7" i="46" s="1"/>
  <c r="U39" i="28"/>
  <c r="H38" i="42" s="1"/>
  <c r="H38" i="46" s="1"/>
  <c r="T38" i="46" s="1"/>
  <c r="U48" i="28"/>
  <c r="H47" i="42" s="1"/>
  <c r="H47" i="46" s="1"/>
  <c r="T47" i="46" s="1"/>
  <c r="U57" i="28"/>
  <c r="H56" i="42" s="1"/>
  <c r="H56" i="46" s="1"/>
  <c r="T56" i="46" s="1"/>
  <c r="U22" i="28"/>
  <c r="H21" i="42" s="1"/>
  <c r="H21" i="46" s="1"/>
  <c r="T21" i="46" s="1"/>
  <c r="U7" i="28"/>
  <c r="H6" i="42" s="1"/>
  <c r="H6" i="46" s="1"/>
  <c r="U44" i="28"/>
  <c r="H43" i="42" s="1"/>
  <c r="H43" i="46" s="1"/>
  <c r="T43" i="46" s="1"/>
  <c r="U9" i="28"/>
  <c r="H8" i="42" s="1"/>
  <c r="H8" i="46" s="1"/>
  <c r="T8" i="46" s="1"/>
  <c r="U16" i="28"/>
  <c r="H15" i="42" s="1"/>
  <c r="H15" i="46" s="1"/>
  <c r="T15" i="46" s="1"/>
  <c r="U23" i="28"/>
  <c r="H22" i="42" s="1"/>
  <c r="H22" i="46" s="1"/>
  <c r="T22" i="46" s="1"/>
  <c r="U20" i="28"/>
  <c r="H19" i="42" s="1"/>
  <c r="H19" i="46" s="1"/>
  <c r="T19" i="46" s="1"/>
  <c r="U40" i="28"/>
  <c r="H39" i="42" s="1"/>
  <c r="H39" i="46" s="1"/>
  <c r="T39" i="46" s="1"/>
  <c r="U52" i="28"/>
  <c r="H51" i="42" s="1"/>
  <c r="H51" i="46" s="1"/>
  <c r="T51" i="46" s="1"/>
  <c r="U36" i="28"/>
  <c r="H35" i="42" s="1"/>
  <c r="H35" i="46" s="1"/>
  <c r="T35" i="46" s="1"/>
  <c r="U30" i="28"/>
  <c r="H29" i="42" s="1"/>
  <c r="H29" i="46" s="1"/>
  <c r="T29" i="46" s="1"/>
  <c r="U41" i="28"/>
  <c r="H40" i="42" s="1"/>
  <c r="H40" i="46" s="1"/>
  <c r="T40" i="46" s="1"/>
  <c r="U43" i="28"/>
  <c r="H42" i="42" s="1"/>
  <c r="H42" i="46" s="1"/>
  <c r="T42" i="46" s="1"/>
  <c r="U49" i="28"/>
  <c r="H48" i="42" s="1"/>
  <c r="H48" i="46" s="1"/>
  <c r="T48" i="46" s="1"/>
  <c r="U14" i="28"/>
  <c r="H13" i="42" s="1"/>
  <c r="H13" i="46" s="1"/>
  <c r="T13" i="46" s="1"/>
  <c r="U11" i="28"/>
  <c r="H10" i="42" s="1"/>
  <c r="H10" i="46" s="1"/>
  <c r="T10" i="46" s="1"/>
  <c r="U25" i="28"/>
  <c r="H24" i="42" s="1"/>
  <c r="H24" i="46" s="1"/>
  <c r="T24" i="46" s="1"/>
  <c r="U29" i="28"/>
  <c r="H28" i="42" s="1"/>
  <c r="H28" i="46" s="1"/>
  <c r="T28" i="46" s="1"/>
  <c r="T6" i="46" l="1"/>
  <c r="T57" i="46" s="1"/>
  <c r="H57" i="46"/>
  <c r="N45" i="46"/>
  <c r="W45" i="46" s="1"/>
  <c r="K45" i="46"/>
  <c r="K45" i="42"/>
  <c r="I19" i="42"/>
  <c r="I19" i="46" s="1"/>
  <c r="U19" i="46" s="1"/>
  <c r="E19" i="42"/>
  <c r="E19" i="46" s="1"/>
  <c r="Q19" i="46" s="1"/>
  <c r="B19" i="42"/>
  <c r="B19" i="46" s="1"/>
  <c r="G19" i="42"/>
  <c r="G19" i="46" s="1"/>
  <c r="S19" i="46" s="1"/>
  <c r="C19" i="42"/>
  <c r="C19" i="46" s="1"/>
  <c r="O19" i="46" s="1"/>
  <c r="I52" i="42"/>
  <c r="I52" i="46" s="1"/>
  <c r="U52" i="46" s="1"/>
  <c r="E52" i="42"/>
  <c r="E52" i="46" s="1"/>
  <c r="Q52" i="46" s="1"/>
  <c r="G52" i="42"/>
  <c r="G52" i="46" s="1"/>
  <c r="S52" i="46" s="1"/>
  <c r="B52" i="42"/>
  <c r="B52" i="46" s="1"/>
  <c r="C52" i="42"/>
  <c r="C52" i="46" s="1"/>
  <c r="O52" i="46" s="1"/>
  <c r="I25" i="42"/>
  <c r="I25" i="46" s="1"/>
  <c r="U25" i="46" s="1"/>
  <c r="E25" i="42"/>
  <c r="E25" i="46" s="1"/>
  <c r="Q25" i="46" s="1"/>
  <c r="C25" i="42"/>
  <c r="C25" i="46" s="1"/>
  <c r="O25" i="46" s="1"/>
  <c r="B25" i="42"/>
  <c r="B25" i="46" s="1"/>
  <c r="G25" i="42"/>
  <c r="G25" i="46" s="1"/>
  <c r="S25" i="46" s="1"/>
  <c r="I54" i="42"/>
  <c r="I54" i="46" s="1"/>
  <c r="U54" i="46" s="1"/>
  <c r="E54" i="42"/>
  <c r="E54" i="46" s="1"/>
  <c r="Q54" i="46" s="1"/>
  <c r="G54" i="42"/>
  <c r="G54" i="46" s="1"/>
  <c r="S54" i="46" s="1"/>
  <c r="B54" i="42"/>
  <c r="B54" i="46" s="1"/>
  <c r="C54" i="42"/>
  <c r="C54" i="46" s="1"/>
  <c r="O54" i="46" s="1"/>
  <c r="I33" i="42"/>
  <c r="I33" i="46" s="1"/>
  <c r="U33" i="46" s="1"/>
  <c r="E33" i="42"/>
  <c r="E33" i="46" s="1"/>
  <c r="Q33" i="46" s="1"/>
  <c r="B33" i="42"/>
  <c r="B33" i="46" s="1"/>
  <c r="G33" i="42"/>
  <c r="G33" i="46" s="1"/>
  <c r="S33" i="46" s="1"/>
  <c r="C33" i="42"/>
  <c r="C33" i="46" s="1"/>
  <c r="O33" i="46" s="1"/>
  <c r="I48" i="42"/>
  <c r="I48" i="46" s="1"/>
  <c r="U48" i="46" s="1"/>
  <c r="E48" i="42"/>
  <c r="E48" i="46" s="1"/>
  <c r="Q48" i="46" s="1"/>
  <c r="C48" i="42"/>
  <c r="C48" i="46" s="1"/>
  <c r="O48" i="46" s="1"/>
  <c r="B48" i="42"/>
  <c r="B48" i="46" s="1"/>
  <c r="G48" i="42"/>
  <c r="G48" i="46" s="1"/>
  <c r="S48" i="46" s="1"/>
  <c r="I6" i="42"/>
  <c r="I6" i="46" s="1"/>
  <c r="E6" i="42"/>
  <c r="E6" i="46" s="1"/>
  <c r="G6" i="42"/>
  <c r="G6" i="46" s="1"/>
  <c r="C6" i="42"/>
  <c r="C6" i="46" s="1"/>
  <c r="B6" i="42"/>
  <c r="B6" i="46" s="1"/>
  <c r="I53" i="42"/>
  <c r="I53" i="46" s="1"/>
  <c r="U53" i="46" s="1"/>
  <c r="E53" i="42"/>
  <c r="E53" i="46" s="1"/>
  <c r="Q53" i="46" s="1"/>
  <c r="G53" i="42"/>
  <c r="G53" i="46" s="1"/>
  <c r="S53" i="46" s="1"/>
  <c r="C53" i="42"/>
  <c r="C53" i="46" s="1"/>
  <c r="O53" i="46" s="1"/>
  <c r="B53" i="42"/>
  <c r="B53" i="46" s="1"/>
  <c r="I37" i="42"/>
  <c r="I37" i="46" s="1"/>
  <c r="U37" i="46" s="1"/>
  <c r="E37" i="42"/>
  <c r="E37" i="46" s="1"/>
  <c r="Q37" i="46" s="1"/>
  <c r="C37" i="42"/>
  <c r="C37" i="46" s="1"/>
  <c r="O37" i="46" s="1"/>
  <c r="G37" i="42"/>
  <c r="G37" i="46" s="1"/>
  <c r="S37" i="46" s="1"/>
  <c r="B37" i="42"/>
  <c r="B37" i="46" s="1"/>
  <c r="I9" i="42"/>
  <c r="I9" i="46" s="1"/>
  <c r="U9" i="46" s="1"/>
  <c r="E9" i="42"/>
  <c r="E9" i="46" s="1"/>
  <c r="Q9" i="46" s="1"/>
  <c r="G9" i="42"/>
  <c r="G9" i="46" s="1"/>
  <c r="S9" i="46" s="1"/>
  <c r="C9" i="42"/>
  <c r="C9" i="46" s="1"/>
  <c r="O9" i="46" s="1"/>
  <c r="B9" i="42"/>
  <c r="B9" i="46" s="1"/>
  <c r="I55" i="42"/>
  <c r="I55" i="46" s="1"/>
  <c r="U55" i="46" s="1"/>
  <c r="E55" i="42"/>
  <c r="E55" i="46" s="1"/>
  <c r="Q55" i="46" s="1"/>
  <c r="B55" i="42"/>
  <c r="B55" i="46" s="1"/>
  <c r="G55" i="42"/>
  <c r="G55" i="46" s="1"/>
  <c r="S55" i="46" s="1"/>
  <c r="C55" i="42"/>
  <c r="C55" i="46" s="1"/>
  <c r="O55" i="46" s="1"/>
  <c r="I42" i="42"/>
  <c r="I42" i="46" s="1"/>
  <c r="U42" i="46" s="1"/>
  <c r="E42" i="42"/>
  <c r="E42" i="46" s="1"/>
  <c r="Q42" i="46" s="1"/>
  <c r="C42" i="42"/>
  <c r="C42" i="46" s="1"/>
  <c r="O42" i="46" s="1"/>
  <c r="B42" i="42"/>
  <c r="B42" i="46" s="1"/>
  <c r="G42" i="42"/>
  <c r="G42" i="46" s="1"/>
  <c r="S42" i="46" s="1"/>
  <c r="I7" i="42"/>
  <c r="I7" i="46" s="1"/>
  <c r="U7" i="46" s="1"/>
  <c r="E7" i="42"/>
  <c r="E7" i="46" s="1"/>
  <c r="Q7" i="46" s="1"/>
  <c r="B7" i="42"/>
  <c r="B7" i="46" s="1"/>
  <c r="G7" i="42"/>
  <c r="G7" i="46" s="1"/>
  <c r="S7" i="46" s="1"/>
  <c r="C7" i="42"/>
  <c r="C7" i="46" s="1"/>
  <c r="O7" i="46" s="1"/>
  <c r="I11" i="42"/>
  <c r="I11" i="46" s="1"/>
  <c r="U11" i="46" s="1"/>
  <c r="E11" i="42"/>
  <c r="E11" i="46" s="1"/>
  <c r="Q11" i="46" s="1"/>
  <c r="G11" i="42"/>
  <c r="G11" i="46" s="1"/>
  <c r="S11" i="46" s="1"/>
  <c r="C11" i="42"/>
  <c r="C11" i="46" s="1"/>
  <c r="O11" i="46" s="1"/>
  <c r="B11" i="42"/>
  <c r="B11" i="46" s="1"/>
  <c r="I20" i="42"/>
  <c r="I20" i="46" s="1"/>
  <c r="U20" i="46" s="1"/>
  <c r="E20" i="42"/>
  <c r="E20" i="46" s="1"/>
  <c r="Q20" i="46" s="1"/>
  <c r="G20" i="42"/>
  <c r="G20" i="46" s="1"/>
  <c r="S20" i="46" s="1"/>
  <c r="C20" i="42"/>
  <c r="C20" i="46" s="1"/>
  <c r="O20" i="46" s="1"/>
  <c r="B20" i="42"/>
  <c r="B20" i="46" s="1"/>
  <c r="I13" i="42"/>
  <c r="I13" i="46" s="1"/>
  <c r="U13" i="46" s="1"/>
  <c r="E13" i="42"/>
  <c r="E13" i="46" s="1"/>
  <c r="Q13" i="46" s="1"/>
  <c r="B13" i="42"/>
  <c r="B13" i="46" s="1"/>
  <c r="G13" i="42"/>
  <c r="G13" i="46" s="1"/>
  <c r="S13" i="46" s="1"/>
  <c r="C13" i="42"/>
  <c r="C13" i="46" s="1"/>
  <c r="O13" i="46" s="1"/>
  <c r="I29" i="42"/>
  <c r="I29" i="46" s="1"/>
  <c r="U29" i="46" s="1"/>
  <c r="E29" i="42"/>
  <c r="E29" i="46" s="1"/>
  <c r="Q29" i="46" s="1"/>
  <c r="G29" i="42"/>
  <c r="G29" i="46" s="1"/>
  <c r="S29" i="46" s="1"/>
  <c r="C29" i="42"/>
  <c r="C29" i="46" s="1"/>
  <c r="O29" i="46" s="1"/>
  <c r="B29" i="42"/>
  <c r="B29" i="46" s="1"/>
  <c r="I43" i="42"/>
  <c r="I43" i="46" s="1"/>
  <c r="U43" i="46" s="1"/>
  <c r="E43" i="42"/>
  <c r="E43" i="46" s="1"/>
  <c r="Q43" i="46" s="1"/>
  <c r="G43" i="42"/>
  <c r="G43" i="46" s="1"/>
  <c r="S43" i="46" s="1"/>
  <c r="C43" i="42"/>
  <c r="C43" i="46" s="1"/>
  <c r="O43" i="46" s="1"/>
  <c r="B43" i="42"/>
  <c r="B43" i="46" s="1"/>
  <c r="I47" i="42"/>
  <c r="I47" i="46" s="1"/>
  <c r="U47" i="46" s="1"/>
  <c r="E47" i="42"/>
  <c r="E47" i="46" s="1"/>
  <c r="Q47" i="46" s="1"/>
  <c r="C47" i="42"/>
  <c r="C47" i="46" s="1"/>
  <c r="O47" i="46" s="1"/>
  <c r="B47" i="42"/>
  <c r="B47" i="46" s="1"/>
  <c r="G47" i="42"/>
  <c r="G47" i="46" s="1"/>
  <c r="S47" i="46" s="1"/>
  <c r="I14" i="42"/>
  <c r="I14" i="46" s="1"/>
  <c r="U14" i="46" s="1"/>
  <c r="E14" i="42"/>
  <c r="E14" i="46" s="1"/>
  <c r="Q14" i="46" s="1"/>
  <c r="C14" i="42"/>
  <c r="C14" i="46" s="1"/>
  <c r="O14" i="46" s="1"/>
  <c r="B14" i="42"/>
  <c r="B14" i="46" s="1"/>
  <c r="G14" i="42"/>
  <c r="G14" i="46" s="1"/>
  <c r="S14" i="46" s="1"/>
  <c r="I41" i="42"/>
  <c r="I41" i="46" s="1"/>
  <c r="U41" i="46" s="1"/>
  <c r="E41" i="42"/>
  <c r="E41" i="46" s="1"/>
  <c r="Q41" i="46" s="1"/>
  <c r="C41" i="42"/>
  <c r="C41" i="46" s="1"/>
  <c r="O41" i="46" s="1"/>
  <c r="B41" i="42"/>
  <c r="B41" i="46" s="1"/>
  <c r="G41" i="42"/>
  <c r="G41" i="46" s="1"/>
  <c r="S41" i="46" s="1"/>
  <c r="I36" i="42"/>
  <c r="I36" i="46" s="1"/>
  <c r="U36" i="46" s="1"/>
  <c r="E36" i="42"/>
  <c r="E36" i="46" s="1"/>
  <c r="Q36" i="46" s="1"/>
  <c r="B36" i="42"/>
  <c r="B36" i="46" s="1"/>
  <c r="G36" i="42"/>
  <c r="G36" i="46" s="1"/>
  <c r="S36" i="46" s="1"/>
  <c r="C36" i="42"/>
  <c r="C36" i="46" s="1"/>
  <c r="O36" i="46" s="1"/>
  <c r="I28" i="42"/>
  <c r="I28" i="46" s="1"/>
  <c r="U28" i="46" s="1"/>
  <c r="E28" i="42"/>
  <c r="E28" i="46" s="1"/>
  <c r="Q28" i="46" s="1"/>
  <c r="C28" i="42"/>
  <c r="C28" i="46" s="1"/>
  <c r="O28" i="46" s="1"/>
  <c r="B28" i="42"/>
  <c r="B28" i="46" s="1"/>
  <c r="G28" i="42"/>
  <c r="G28" i="46" s="1"/>
  <c r="S28" i="46" s="1"/>
  <c r="I35" i="42"/>
  <c r="I35" i="46" s="1"/>
  <c r="U35" i="46" s="1"/>
  <c r="E35" i="42"/>
  <c r="E35" i="46" s="1"/>
  <c r="Q35" i="46" s="1"/>
  <c r="C35" i="42"/>
  <c r="C35" i="46" s="1"/>
  <c r="O35" i="46" s="1"/>
  <c r="B35" i="42"/>
  <c r="B35" i="46" s="1"/>
  <c r="G35" i="42"/>
  <c r="G35" i="46" s="1"/>
  <c r="S35" i="46" s="1"/>
  <c r="I22" i="42"/>
  <c r="I22" i="46" s="1"/>
  <c r="U22" i="46" s="1"/>
  <c r="E22" i="42"/>
  <c r="E22" i="46" s="1"/>
  <c r="Q22" i="46" s="1"/>
  <c r="G22" i="42"/>
  <c r="G22" i="46" s="1"/>
  <c r="S22" i="46" s="1"/>
  <c r="B22" i="42"/>
  <c r="B22" i="46" s="1"/>
  <c r="C22" i="42"/>
  <c r="C22" i="46" s="1"/>
  <c r="O22" i="46" s="1"/>
  <c r="I38" i="42"/>
  <c r="I38" i="46" s="1"/>
  <c r="U38" i="46" s="1"/>
  <c r="E38" i="42"/>
  <c r="E38" i="46" s="1"/>
  <c r="Q38" i="46" s="1"/>
  <c r="G38" i="42"/>
  <c r="G38" i="46" s="1"/>
  <c r="S38" i="46" s="1"/>
  <c r="B38" i="42"/>
  <c r="B38" i="46" s="1"/>
  <c r="C38" i="42"/>
  <c r="C38" i="46" s="1"/>
  <c r="O38" i="46" s="1"/>
  <c r="I18" i="42"/>
  <c r="I18" i="46" s="1"/>
  <c r="U18" i="46" s="1"/>
  <c r="E18" i="42"/>
  <c r="E18" i="46" s="1"/>
  <c r="Q18" i="46" s="1"/>
  <c r="B18" i="42"/>
  <c r="B18" i="46" s="1"/>
  <c r="G18" i="42"/>
  <c r="G18" i="46" s="1"/>
  <c r="S18" i="46" s="1"/>
  <c r="C18" i="42"/>
  <c r="C18" i="46" s="1"/>
  <c r="O18" i="46" s="1"/>
  <c r="I17" i="42"/>
  <c r="I17" i="46" s="1"/>
  <c r="U17" i="46" s="1"/>
  <c r="E17" i="42"/>
  <c r="E17" i="46" s="1"/>
  <c r="Q17" i="46" s="1"/>
  <c r="C17" i="42"/>
  <c r="C17" i="46" s="1"/>
  <c r="O17" i="46" s="1"/>
  <c r="B17" i="42"/>
  <c r="B17" i="46" s="1"/>
  <c r="G17" i="42"/>
  <c r="G17" i="46" s="1"/>
  <c r="S17" i="46" s="1"/>
  <c r="I24" i="42"/>
  <c r="I24" i="46" s="1"/>
  <c r="U24" i="46" s="1"/>
  <c r="E24" i="42"/>
  <c r="E24" i="46" s="1"/>
  <c r="Q24" i="46" s="1"/>
  <c r="G24" i="42"/>
  <c r="G24" i="46" s="1"/>
  <c r="S24" i="46" s="1"/>
  <c r="B24" i="42"/>
  <c r="B24" i="46" s="1"/>
  <c r="C24" i="42"/>
  <c r="C24" i="46" s="1"/>
  <c r="O24" i="46" s="1"/>
  <c r="I51" i="42"/>
  <c r="I51" i="46" s="1"/>
  <c r="U51" i="46" s="1"/>
  <c r="E51" i="42"/>
  <c r="E51" i="46" s="1"/>
  <c r="Q51" i="46" s="1"/>
  <c r="B51" i="42"/>
  <c r="B51" i="46" s="1"/>
  <c r="G51" i="42"/>
  <c r="G51" i="46" s="1"/>
  <c r="S51" i="46" s="1"/>
  <c r="C51" i="42"/>
  <c r="C51" i="46" s="1"/>
  <c r="O51" i="46" s="1"/>
  <c r="I15" i="42"/>
  <c r="I15" i="46" s="1"/>
  <c r="U15" i="46" s="1"/>
  <c r="E15" i="42"/>
  <c r="E15" i="46" s="1"/>
  <c r="Q15" i="46" s="1"/>
  <c r="C15" i="42"/>
  <c r="C15" i="46" s="1"/>
  <c r="O15" i="46" s="1"/>
  <c r="B15" i="42"/>
  <c r="B15" i="46" s="1"/>
  <c r="G15" i="42"/>
  <c r="G15" i="46" s="1"/>
  <c r="S15" i="46" s="1"/>
  <c r="I21" i="42"/>
  <c r="I21" i="46" s="1"/>
  <c r="U21" i="46" s="1"/>
  <c r="E21" i="42"/>
  <c r="E21" i="46" s="1"/>
  <c r="Q21" i="46" s="1"/>
  <c r="B21" i="42"/>
  <c r="B21" i="46" s="1"/>
  <c r="G21" i="42"/>
  <c r="G21" i="46" s="1"/>
  <c r="S21" i="46" s="1"/>
  <c r="C21" i="42"/>
  <c r="C21" i="46" s="1"/>
  <c r="O21" i="46" s="1"/>
  <c r="I34" i="42"/>
  <c r="I34" i="46" s="1"/>
  <c r="U34" i="46" s="1"/>
  <c r="E34" i="42"/>
  <c r="E34" i="46" s="1"/>
  <c r="Q34" i="46" s="1"/>
  <c r="G34" i="42"/>
  <c r="G34" i="46" s="1"/>
  <c r="S34" i="46" s="1"/>
  <c r="B34" i="42"/>
  <c r="B34" i="46" s="1"/>
  <c r="C34" i="42"/>
  <c r="C34" i="46" s="1"/>
  <c r="O34" i="46" s="1"/>
  <c r="I27" i="42"/>
  <c r="I27" i="46" s="1"/>
  <c r="U27" i="46" s="1"/>
  <c r="E27" i="42"/>
  <c r="E27" i="46" s="1"/>
  <c r="Q27" i="46" s="1"/>
  <c r="G27" i="42"/>
  <c r="G27" i="46" s="1"/>
  <c r="S27" i="46" s="1"/>
  <c r="C27" i="42"/>
  <c r="C27" i="46" s="1"/>
  <c r="O27" i="46" s="1"/>
  <c r="B27" i="42"/>
  <c r="B27" i="46" s="1"/>
  <c r="I46" i="42"/>
  <c r="I46" i="46" s="1"/>
  <c r="U46" i="46" s="1"/>
  <c r="E46" i="42"/>
  <c r="E46" i="46" s="1"/>
  <c r="Q46" i="46" s="1"/>
  <c r="C46" i="42"/>
  <c r="C46" i="46" s="1"/>
  <c r="O46" i="46" s="1"/>
  <c r="G46" i="42"/>
  <c r="G46" i="46" s="1"/>
  <c r="S46" i="46" s="1"/>
  <c r="B46" i="42"/>
  <c r="B46" i="46" s="1"/>
  <c r="I32" i="42"/>
  <c r="I32" i="46" s="1"/>
  <c r="U32" i="46" s="1"/>
  <c r="E32" i="42"/>
  <c r="E32" i="46" s="1"/>
  <c r="Q32" i="46" s="1"/>
  <c r="G32" i="42"/>
  <c r="G32" i="46" s="1"/>
  <c r="S32" i="46" s="1"/>
  <c r="C32" i="42"/>
  <c r="C32" i="46" s="1"/>
  <c r="O32" i="46" s="1"/>
  <c r="B32" i="42"/>
  <c r="B32" i="46" s="1"/>
  <c r="I12" i="42"/>
  <c r="I12" i="46" s="1"/>
  <c r="U12" i="46" s="1"/>
  <c r="E12" i="42"/>
  <c r="E12" i="46" s="1"/>
  <c r="Q12" i="46" s="1"/>
  <c r="C12" i="42"/>
  <c r="C12" i="46" s="1"/>
  <c r="O12" i="46" s="1"/>
  <c r="G12" i="42"/>
  <c r="G12" i="46" s="1"/>
  <c r="S12" i="46" s="1"/>
  <c r="B12" i="42"/>
  <c r="B12" i="46" s="1"/>
  <c r="I10" i="42"/>
  <c r="I10" i="46" s="1"/>
  <c r="U10" i="46" s="1"/>
  <c r="E10" i="42"/>
  <c r="E10" i="46" s="1"/>
  <c r="Q10" i="46" s="1"/>
  <c r="C10" i="42"/>
  <c r="C10" i="46" s="1"/>
  <c r="O10" i="46" s="1"/>
  <c r="B10" i="42"/>
  <c r="B10" i="46" s="1"/>
  <c r="G10" i="42"/>
  <c r="G10" i="46" s="1"/>
  <c r="S10" i="46" s="1"/>
  <c r="I40" i="42"/>
  <c r="I40" i="46" s="1"/>
  <c r="U40" i="46" s="1"/>
  <c r="E40" i="42"/>
  <c r="E40" i="46" s="1"/>
  <c r="Q40" i="46" s="1"/>
  <c r="G40" i="42"/>
  <c r="G40" i="46" s="1"/>
  <c r="S40" i="46" s="1"/>
  <c r="C40" i="42"/>
  <c r="C40" i="46" s="1"/>
  <c r="O40" i="46" s="1"/>
  <c r="B40" i="42"/>
  <c r="B40" i="46" s="1"/>
  <c r="I39" i="42"/>
  <c r="I39" i="46" s="1"/>
  <c r="U39" i="46" s="1"/>
  <c r="E39" i="42"/>
  <c r="E39" i="46" s="1"/>
  <c r="Q39" i="46" s="1"/>
  <c r="B39" i="42"/>
  <c r="B39" i="46" s="1"/>
  <c r="G39" i="42"/>
  <c r="G39" i="46" s="1"/>
  <c r="S39" i="46" s="1"/>
  <c r="C39" i="42"/>
  <c r="C39" i="46" s="1"/>
  <c r="O39" i="46" s="1"/>
  <c r="I8" i="42"/>
  <c r="I8" i="46" s="1"/>
  <c r="U8" i="46" s="1"/>
  <c r="E8" i="42"/>
  <c r="E8" i="46" s="1"/>
  <c r="Q8" i="46" s="1"/>
  <c r="G8" i="42"/>
  <c r="G8" i="46" s="1"/>
  <c r="S8" i="46" s="1"/>
  <c r="C8" i="42"/>
  <c r="C8" i="46" s="1"/>
  <c r="O8" i="46" s="1"/>
  <c r="B8" i="42"/>
  <c r="B8" i="46" s="1"/>
  <c r="I56" i="42"/>
  <c r="I56" i="46" s="1"/>
  <c r="U56" i="46" s="1"/>
  <c r="E56" i="42"/>
  <c r="E56" i="46" s="1"/>
  <c r="Q56" i="46" s="1"/>
  <c r="G56" i="42"/>
  <c r="G56" i="46" s="1"/>
  <c r="S56" i="46" s="1"/>
  <c r="B56" i="42"/>
  <c r="B56" i="46" s="1"/>
  <c r="C56" i="42"/>
  <c r="C56" i="46" s="1"/>
  <c r="O56" i="46" s="1"/>
  <c r="I16" i="42"/>
  <c r="I16" i="46" s="1"/>
  <c r="U16" i="46" s="1"/>
  <c r="E16" i="42"/>
  <c r="E16" i="46" s="1"/>
  <c r="Q16" i="46" s="1"/>
  <c r="C16" i="42"/>
  <c r="C16" i="46" s="1"/>
  <c r="O16" i="46" s="1"/>
  <c r="B16" i="42"/>
  <c r="B16" i="46" s="1"/>
  <c r="G16" i="42"/>
  <c r="G16" i="46" s="1"/>
  <c r="S16" i="46" s="1"/>
  <c r="I26" i="42"/>
  <c r="I26" i="46" s="1"/>
  <c r="U26" i="46" s="1"/>
  <c r="E26" i="42"/>
  <c r="E26" i="46" s="1"/>
  <c r="Q26" i="46" s="1"/>
  <c r="C26" i="42"/>
  <c r="C26" i="46" s="1"/>
  <c r="O26" i="46" s="1"/>
  <c r="B26" i="42"/>
  <c r="B26" i="46" s="1"/>
  <c r="G26" i="42"/>
  <c r="G26" i="46" s="1"/>
  <c r="S26" i="46" s="1"/>
  <c r="I31" i="42"/>
  <c r="I31" i="46" s="1"/>
  <c r="U31" i="46" s="1"/>
  <c r="E31" i="42"/>
  <c r="E31" i="46" s="1"/>
  <c r="Q31" i="46" s="1"/>
  <c r="C31" i="42"/>
  <c r="C31" i="46" s="1"/>
  <c r="O31" i="46" s="1"/>
  <c r="B31" i="42"/>
  <c r="B31" i="46" s="1"/>
  <c r="G31" i="42"/>
  <c r="G31" i="46" s="1"/>
  <c r="S31" i="46" s="1"/>
  <c r="I44" i="42"/>
  <c r="I44" i="46" s="1"/>
  <c r="U44" i="46" s="1"/>
  <c r="E44" i="42"/>
  <c r="E44" i="46" s="1"/>
  <c r="Q44" i="46" s="1"/>
  <c r="B44" i="42"/>
  <c r="B44" i="46" s="1"/>
  <c r="C44" i="42"/>
  <c r="C44" i="46" s="1"/>
  <c r="O44" i="46" s="1"/>
  <c r="G44" i="42"/>
  <c r="G44" i="46" s="1"/>
  <c r="S44" i="46" s="1"/>
  <c r="I30" i="42"/>
  <c r="I30" i="46" s="1"/>
  <c r="U30" i="46" s="1"/>
  <c r="E30" i="42"/>
  <c r="E30" i="46" s="1"/>
  <c r="Q30" i="46" s="1"/>
  <c r="C30" i="42"/>
  <c r="C30" i="46" s="1"/>
  <c r="O30" i="46" s="1"/>
  <c r="G30" i="42"/>
  <c r="G30" i="46" s="1"/>
  <c r="S30" i="46" s="1"/>
  <c r="B30" i="42"/>
  <c r="B30" i="46" s="1"/>
  <c r="I23" i="42"/>
  <c r="I23" i="46" s="1"/>
  <c r="U23" i="46" s="1"/>
  <c r="E23" i="42"/>
  <c r="E23" i="46" s="1"/>
  <c r="Q23" i="46" s="1"/>
  <c r="B23" i="42"/>
  <c r="B23" i="46" s="1"/>
  <c r="G23" i="42"/>
  <c r="G23" i="46" s="1"/>
  <c r="S23" i="46" s="1"/>
  <c r="C23" i="42"/>
  <c r="C23" i="46" s="1"/>
  <c r="O23" i="46" s="1"/>
  <c r="I49" i="42"/>
  <c r="I49" i="46" s="1"/>
  <c r="U49" i="46" s="1"/>
  <c r="E49" i="42"/>
  <c r="E49" i="46" s="1"/>
  <c r="Q49" i="46" s="1"/>
  <c r="B49" i="42"/>
  <c r="B49" i="46" s="1"/>
  <c r="G49" i="42"/>
  <c r="G49" i="46" s="1"/>
  <c r="S49" i="46" s="1"/>
  <c r="C49" i="42"/>
  <c r="C49" i="46" s="1"/>
  <c r="O49" i="46" s="1"/>
  <c r="I50" i="42"/>
  <c r="I50" i="46" s="1"/>
  <c r="U50" i="46" s="1"/>
  <c r="E50" i="42"/>
  <c r="E50" i="46" s="1"/>
  <c r="Q50" i="46" s="1"/>
  <c r="G50" i="42"/>
  <c r="G50" i="46" s="1"/>
  <c r="S50" i="46" s="1"/>
  <c r="B50" i="42"/>
  <c r="B50" i="46" s="1"/>
  <c r="C50" i="42"/>
  <c r="C50" i="46" s="1"/>
  <c r="O50" i="46" s="1"/>
  <c r="F33" i="42"/>
  <c r="F33" i="46" s="1"/>
  <c r="R33" i="46" s="1"/>
  <c r="F50" i="42"/>
  <c r="F50" i="46" s="1"/>
  <c r="R50" i="46" s="1"/>
  <c r="F20" i="42"/>
  <c r="F20" i="46" s="1"/>
  <c r="R20" i="46" s="1"/>
  <c r="F24" i="42"/>
  <c r="F24" i="46" s="1"/>
  <c r="R24" i="46" s="1"/>
  <c r="F13" i="42"/>
  <c r="F13" i="46" s="1"/>
  <c r="R13" i="46" s="1"/>
  <c r="F42" i="42"/>
  <c r="F42" i="46" s="1"/>
  <c r="R42" i="46" s="1"/>
  <c r="F29" i="42"/>
  <c r="F29" i="46" s="1"/>
  <c r="R29" i="46" s="1"/>
  <c r="F51" i="42"/>
  <c r="F51" i="46" s="1"/>
  <c r="R51" i="46" s="1"/>
  <c r="F19" i="42"/>
  <c r="F19" i="46" s="1"/>
  <c r="R19" i="46" s="1"/>
  <c r="F15" i="42"/>
  <c r="F15" i="46" s="1"/>
  <c r="R15" i="46" s="1"/>
  <c r="F43" i="42"/>
  <c r="F43" i="46" s="1"/>
  <c r="R43" i="46" s="1"/>
  <c r="F21" i="42"/>
  <c r="F21" i="46" s="1"/>
  <c r="R21" i="46" s="1"/>
  <c r="F47" i="42"/>
  <c r="F47" i="46" s="1"/>
  <c r="R47" i="46" s="1"/>
  <c r="F7" i="42"/>
  <c r="F7" i="46" s="1"/>
  <c r="R7" i="46" s="1"/>
  <c r="F52" i="42"/>
  <c r="F52" i="46" s="1"/>
  <c r="R52" i="46" s="1"/>
  <c r="F34" i="42"/>
  <c r="F34" i="46" s="1"/>
  <c r="R34" i="46" s="1"/>
  <c r="F14" i="42"/>
  <c r="F14" i="46" s="1"/>
  <c r="R14" i="46" s="1"/>
  <c r="F27" i="42"/>
  <c r="F27" i="46" s="1"/>
  <c r="R27" i="46" s="1"/>
  <c r="F41" i="42"/>
  <c r="F41" i="46" s="1"/>
  <c r="R41" i="46" s="1"/>
  <c r="F46" i="42"/>
  <c r="F46" i="46" s="1"/>
  <c r="R46" i="46" s="1"/>
  <c r="F25" i="42"/>
  <c r="F25" i="46" s="1"/>
  <c r="R25" i="46" s="1"/>
  <c r="F11" i="42"/>
  <c r="F11" i="46" s="1"/>
  <c r="R11" i="46" s="1"/>
  <c r="F36" i="42"/>
  <c r="F36" i="46" s="1"/>
  <c r="R36" i="46" s="1"/>
  <c r="F32" i="42"/>
  <c r="F32" i="46" s="1"/>
  <c r="R32" i="46" s="1"/>
  <c r="F54" i="42"/>
  <c r="F54" i="46" s="1"/>
  <c r="R54" i="46" s="1"/>
  <c r="F12" i="42"/>
  <c r="F12" i="46" s="1"/>
  <c r="R12" i="46" s="1"/>
  <c r="F28" i="42"/>
  <c r="F28" i="46" s="1"/>
  <c r="R28" i="46" s="1"/>
  <c r="F10" i="42"/>
  <c r="F10" i="46" s="1"/>
  <c r="R10" i="46" s="1"/>
  <c r="F48" i="42"/>
  <c r="F48" i="46" s="1"/>
  <c r="R48" i="46" s="1"/>
  <c r="F40" i="42"/>
  <c r="F40" i="46" s="1"/>
  <c r="R40" i="46" s="1"/>
  <c r="F35" i="42"/>
  <c r="F35" i="46" s="1"/>
  <c r="R35" i="46" s="1"/>
  <c r="F39" i="42"/>
  <c r="F39" i="46" s="1"/>
  <c r="R39" i="46" s="1"/>
  <c r="F22" i="42"/>
  <c r="F22" i="46" s="1"/>
  <c r="R22" i="46" s="1"/>
  <c r="F8" i="42"/>
  <c r="F8" i="46" s="1"/>
  <c r="R8" i="46" s="1"/>
  <c r="U58" i="28"/>
  <c r="F6" i="42"/>
  <c r="F6" i="46" s="1"/>
  <c r="F56" i="42"/>
  <c r="F56" i="46" s="1"/>
  <c r="R56" i="46" s="1"/>
  <c r="F38" i="42"/>
  <c r="F38" i="46" s="1"/>
  <c r="R38" i="46" s="1"/>
  <c r="F16" i="42"/>
  <c r="F16" i="46" s="1"/>
  <c r="R16" i="46" s="1"/>
  <c r="F53" i="42"/>
  <c r="F53" i="46" s="1"/>
  <c r="R53" i="46" s="1"/>
  <c r="F26" i="42"/>
  <c r="F26" i="46" s="1"/>
  <c r="R26" i="46" s="1"/>
  <c r="F18" i="42"/>
  <c r="F18" i="46" s="1"/>
  <c r="R18" i="46" s="1"/>
  <c r="F31" i="42"/>
  <c r="F31" i="46" s="1"/>
  <c r="R31" i="46" s="1"/>
  <c r="F37" i="42"/>
  <c r="F37" i="46" s="1"/>
  <c r="R37" i="46" s="1"/>
  <c r="F44" i="42"/>
  <c r="F44" i="46" s="1"/>
  <c r="R44" i="46" s="1"/>
  <c r="F17" i="42"/>
  <c r="F17" i="46" s="1"/>
  <c r="R17" i="46" s="1"/>
  <c r="F30" i="42"/>
  <c r="F30" i="46" s="1"/>
  <c r="R30" i="46" s="1"/>
  <c r="F9" i="42"/>
  <c r="F9" i="46" s="1"/>
  <c r="R9" i="46" s="1"/>
  <c r="F23" i="42"/>
  <c r="F23" i="46" s="1"/>
  <c r="R23" i="46" s="1"/>
  <c r="F55" i="42"/>
  <c r="F55" i="46" s="1"/>
  <c r="R55" i="46" s="1"/>
  <c r="F49" i="42"/>
  <c r="F49" i="46" s="1"/>
  <c r="R49" i="46" s="1"/>
  <c r="R6" i="46" l="1"/>
  <c r="R57" i="46" s="1"/>
  <c r="F57" i="46"/>
  <c r="N50" i="46"/>
  <c r="K50" i="46"/>
  <c r="N49" i="46"/>
  <c r="W49" i="46" s="1"/>
  <c r="K49" i="46"/>
  <c r="N30" i="46"/>
  <c r="W30" i="46" s="1"/>
  <c r="K30" i="46"/>
  <c r="N26" i="46"/>
  <c r="W26" i="46" s="1"/>
  <c r="K26" i="46"/>
  <c r="N56" i="46"/>
  <c r="K56" i="46"/>
  <c r="N8" i="46"/>
  <c r="W8" i="46" s="1"/>
  <c r="K8" i="46"/>
  <c r="N40" i="46"/>
  <c r="K40" i="46"/>
  <c r="N10" i="46"/>
  <c r="W10" i="46" s="1"/>
  <c r="K10" i="46"/>
  <c r="N12" i="46"/>
  <c r="W12" i="46" s="1"/>
  <c r="K12" i="46"/>
  <c r="N46" i="46"/>
  <c r="K46" i="46"/>
  <c r="W46" i="46"/>
  <c r="N17" i="46"/>
  <c r="W17" i="46" s="1"/>
  <c r="K17" i="46"/>
  <c r="N18" i="46"/>
  <c r="W18" i="46" s="1"/>
  <c r="K18" i="46"/>
  <c r="N38" i="46"/>
  <c r="W38" i="46" s="1"/>
  <c r="K38" i="46"/>
  <c r="N35" i="46"/>
  <c r="W35" i="46" s="1"/>
  <c r="K35" i="46"/>
  <c r="N14" i="46"/>
  <c r="W14" i="46" s="1"/>
  <c r="K14" i="46"/>
  <c r="N29" i="46"/>
  <c r="K29" i="46"/>
  <c r="N20" i="46"/>
  <c r="W20" i="46" s="1"/>
  <c r="K20" i="46"/>
  <c r="N7" i="46"/>
  <c r="W7" i="46" s="1"/>
  <c r="K7" i="46"/>
  <c r="N42" i="46"/>
  <c r="K42" i="46"/>
  <c r="N55" i="46"/>
  <c r="W55" i="46" s="1"/>
  <c r="K55" i="46"/>
  <c r="N37" i="46"/>
  <c r="K37" i="46"/>
  <c r="W37" i="46"/>
  <c r="N6" i="46"/>
  <c r="K6" i="46"/>
  <c r="B57" i="46"/>
  <c r="S6" i="46"/>
  <c r="S57" i="46" s="1"/>
  <c r="G57" i="46"/>
  <c r="U6" i="46"/>
  <c r="U57" i="46" s="1"/>
  <c r="I57" i="46"/>
  <c r="N48" i="46"/>
  <c r="K48" i="46"/>
  <c r="W33" i="46"/>
  <c r="N33" i="46"/>
  <c r="K33" i="46"/>
  <c r="N54" i="46"/>
  <c r="K54" i="46"/>
  <c r="N52" i="46"/>
  <c r="K52" i="46"/>
  <c r="N19" i="46"/>
  <c r="W19" i="46" s="1"/>
  <c r="K19" i="46"/>
  <c r="W50" i="46"/>
  <c r="N23" i="46"/>
  <c r="W23" i="46" s="1"/>
  <c r="K23" i="46"/>
  <c r="N44" i="46"/>
  <c r="W44" i="46" s="1"/>
  <c r="K44" i="46"/>
  <c r="N31" i="46"/>
  <c r="W31" i="46" s="1"/>
  <c r="K31" i="46"/>
  <c r="N16" i="46"/>
  <c r="W16" i="46" s="1"/>
  <c r="K16" i="46"/>
  <c r="W56" i="46"/>
  <c r="N39" i="46"/>
  <c r="W39" i="46" s="1"/>
  <c r="K39" i="46"/>
  <c r="W40" i="46"/>
  <c r="N32" i="46"/>
  <c r="W32" i="46" s="1"/>
  <c r="K32" i="46"/>
  <c r="N27" i="46"/>
  <c r="W27" i="46" s="1"/>
  <c r="K27" i="46"/>
  <c r="N34" i="46"/>
  <c r="W34" i="46" s="1"/>
  <c r="K34" i="46"/>
  <c r="N21" i="46"/>
  <c r="W21" i="46" s="1"/>
  <c r="K21" i="46"/>
  <c r="N15" i="46"/>
  <c r="W15" i="46" s="1"/>
  <c r="K15" i="46"/>
  <c r="N51" i="46"/>
  <c r="W51" i="46" s="1"/>
  <c r="K51" i="46"/>
  <c r="N24" i="46"/>
  <c r="W24" i="46" s="1"/>
  <c r="K24" i="46"/>
  <c r="N22" i="46"/>
  <c r="W22" i="46" s="1"/>
  <c r="K22" i="46"/>
  <c r="N28" i="46"/>
  <c r="W28" i="46" s="1"/>
  <c r="K28" i="46"/>
  <c r="N36" i="46"/>
  <c r="W36" i="46" s="1"/>
  <c r="K36" i="46"/>
  <c r="N41" i="46"/>
  <c r="W41" i="46" s="1"/>
  <c r="K41" i="46"/>
  <c r="N47" i="46"/>
  <c r="W47" i="46" s="1"/>
  <c r="K47" i="46"/>
  <c r="N43" i="46"/>
  <c r="W43" i="46" s="1"/>
  <c r="K43" i="46"/>
  <c r="W29" i="46"/>
  <c r="N13" i="46"/>
  <c r="W13" i="46" s="1"/>
  <c r="K13" i="46"/>
  <c r="N11" i="46"/>
  <c r="W11" i="46" s="1"/>
  <c r="K11" i="46"/>
  <c r="W42" i="46"/>
  <c r="N9" i="46"/>
  <c r="W9" i="46" s="1"/>
  <c r="K9" i="46"/>
  <c r="N53" i="46"/>
  <c r="W53" i="46" s="1"/>
  <c r="K53" i="46"/>
  <c r="O6" i="46"/>
  <c r="O57" i="46" s="1"/>
  <c r="C57" i="46"/>
  <c r="Q6" i="46"/>
  <c r="Q57" i="46" s="1"/>
  <c r="E57" i="46"/>
  <c r="W48" i="46"/>
  <c r="W54" i="46"/>
  <c r="N25" i="46"/>
  <c r="W25" i="46" s="1"/>
  <c r="K25" i="46"/>
  <c r="W52" i="46"/>
  <c r="K50" i="42"/>
  <c r="K23" i="42"/>
  <c r="K44" i="42"/>
  <c r="K31" i="42"/>
  <c r="K16" i="42"/>
  <c r="K39" i="42"/>
  <c r="K32" i="42"/>
  <c r="K27" i="42"/>
  <c r="K34" i="42"/>
  <c r="K21" i="42"/>
  <c r="K15" i="42"/>
  <c r="K51" i="42"/>
  <c r="K24" i="42"/>
  <c r="K22" i="42"/>
  <c r="K28" i="42"/>
  <c r="K36" i="42"/>
  <c r="K41" i="42"/>
  <c r="K47" i="42"/>
  <c r="K43" i="42"/>
  <c r="K13" i="42"/>
  <c r="K11" i="42"/>
  <c r="K9" i="42"/>
  <c r="K53" i="42"/>
  <c r="K25" i="42"/>
  <c r="K49" i="42"/>
  <c r="K30" i="42"/>
  <c r="K26" i="42"/>
  <c r="K56" i="42"/>
  <c r="K8" i="42"/>
  <c r="K40" i="42"/>
  <c r="K10" i="42"/>
  <c r="K12" i="42"/>
  <c r="K46" i="42"/>
  <c r="K17" i="42"/>
  <c r="K18" i="42"/>
  <c r="K38" i="42"/>
  <c r="K35" i="42"/>
  <c r="K14" i="42"/>
  <c r="K29" i="42"/>
  <c r="K20" i="42"/>
  <c r="K7" i="42"/>
  <c r="K42" i="42"/>
  <c r="K55" i="42"/>
  <c r="K37" i="42"/>
  <c r="K6" i="42"/>
  <c r="K48" i="42"/>
  <c r="K33" i="42"/>
  <c r="K54" i="42"/>
  <c r="K52" i="42"/>
  <c r="K19" i="42"/>
  <c r="C57" i="42"/>
  <c r="H57" i="42"/>
  <c r="G57" i="42"/>
  <c r="I57" i="42"/>
  <c r="E57" i="42"/>
  <c r="B57" i="42"/>
  <c r="F57" i="42"/>
  <c r="N57" i="46" l="1"/>
  <c r="W6" i="46"/>
  <c r="W57" i="46" s="1"/>
  <c r="K57" i="46"/>
  <c r="K57" i="42"/>
</calcChain>
</file>

<file path=xl/comments1.xml><?xml version="1.0" encoding="utf-8"?>
<comments xmlns="http://schemas.openxmlformats.org/spreadsheetml/2006/main">
  <authors>
    <author>cesar.rivera</author>
  </authors>
  <commentList>
    <comment ref="O58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<sst xmlns="http://schemas.openxmlformats.org/spreadsheetml/2006/main" count="774" uniqueCount="253">
  <si>
    <t>MUNICIPIO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</si>
  <si>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</si>
  <si>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</si>
  <si>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</si>
  <si>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</si>
  <si>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</si>
  <si>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</si>
  <si>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</si>
  <si>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</si>
  <si>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</si>
  <si>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</si>
  <si>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</si>
  <si>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</si>
  <si>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</si>
  <si>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</si>
  <si>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</si>
  <si>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</si>
  <si>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</si>
  <si>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</si>
  <si>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</si>
  <si>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</si>
  <si>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</si>
  <si>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</si>
  <si>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</si>
  <si>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</si>
  <si>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</si>
  <si>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</si>
  <si>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</si>
  <si>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</si>
  <si>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</si>
  <si>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</si>
  <si>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</si>
  <si>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</si>
  <si>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</si>
  <si>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</si>
  <si>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</si>
  <si>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</si>
  <si>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</si>
  <si>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</si>
  <si>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</si>
  <si>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</si>
  <si>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</si>
  <si>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</si>
  <si>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</si>
  <si>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</si>
  <si>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</si>
  <si>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</si>
  <si>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</si>
  <si>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</si>
  <si>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</si>
  <si>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</si>
  <si>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</si>
  <si>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</si>
  <si>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</si>
  <si>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</si>
  <si>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</si>
  <si>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</si>
  <si>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</si>
  <si>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</si>
  <si>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CS2</t>
  </si>
  <si>
    <t>CS1</t>
  </si>
  <si>
    <t>MS</t>
  </si>
  <si>
    <t>COEF  CARENCIA SOCIAL
2010</t>
  </si>
  <si>
    <t>COEF CARENCIA SOCIAL
2000</t>
  </si>
  <si>
    <t>APOYO</t>
  </si>
  <si>
    <t>[(CS2-CS1)/CS1]</t>
  </si>
  <si>
    <t>COEF APOYO
MEJORA SOCIAL</t>
  </si>
  <si>
    <t>CIMP=0.85(CS2/∑CS2)+0.15(MS/∑MS)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</si>
  <si>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</si>
  <si>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</si>
  <si>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</si>
  <si>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</si>
  <si>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</si>
  <si>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</si>
  <si>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</si>
  <si>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</si>
  <si>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</si>
  <si>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</si>
  <si>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</si>
  <si>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</si>
  <si>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</si>
  <si>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r>
      <t>0.85(CS2/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CS2</t>
    </r>
    <r>
      <rPr>
        <i/>
        <sz val="8"/>
        <color rgb="FFFF0000"/>
        <rFont val="Arial"/>
        <family val="2"/>
      </rPr>
      <t>)</t>
    </r>
  </si>
  <si>
    <r>
      <t>MS/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 xml:space="preserve">MS </t>
    </r>
  </si>
  <si>
    <r>
      <t>0.15(MS2/</t>
    </r>
    <r>
      <rPr>
        <sz val="8"/>
        <color rgb="FFFF0000"/>
        <rFont val="Calibri"/>
        <family val="2"/>
      </rPr>
      <t>∑M</t>
    </r>
    <r>
      <rPr>
        <sz val="8"/>
        <color rgb="FFFF0000"/>
        <rFont val="Arial"/>
        <family val="2"/>
      </rPr>
      <t>S2</t>
    </r>
    <r>
      <rPr>
        <i/>
        <sz val="8"/>
        <color rgb="FFFF0000"/>
        <rFont val="Arial"/>
        <family val="2"/>
      </rPr>
      <t>)</t>
    </r>
  </si>
  <si>
    <t>POB ING &lt; A 2 SALARIOS MIN
2000</t>
  </si>
  <si>
    <t>POB 15 AÑOS O + NO SABE LEER NI ESCRIBIR 2000</t>
  </si>
  <si>
    <t>COEF POB ING &lt; A 2 SALARIOS MIN</t>
  </si>
  <si>
    <t>R1</t>
  </si>
  <si>
    <t>R2</t>
  </si>
  <si>
    <t>R3</t>
  </si>
  <si>
    <t>R4</t>
  </si>
  <si>
    <t>BR1=R1/∑R1</t>
  </si>
  <si>
    <t>BR2=R2/∑R2</t>
  </si>
  <si>
    <t>BR3=R3/∑R3</t>
  </si>
  <si>
    <t>BR4=R4/∑R4</t>
  </si>
  <si>
    <t>POB ING &lt; A 2 SALARIOS MIN
2010</t>
  </si>
  <si>
    <t>POB 15 MAS AÑOS NO SABE LEER NI ESCRIBIR
2010</t>
  </si>
  <si>
    <t xml:space="preserve">FUENTE: </t>
  </si>
  <si>
    <t>ESTRUCTURA      %</t>
  </si>
  <si>
    <t>ESTRUCTURA     %</t>
  </si>
  <si>
    <t>COEFICIENTE  POBLACIÓN Y TERRITORIO</t>
  </si>
  <si>
    <t>POBL SIN ACCESO A DRENAJE 2000</t>
  </si>
  <si>
    <t>POB SIN ACCESO A  ELECTRICIDAD 2000</t>
  </si>
  <si>
    <t>COEFICIENTE  ÍNDICE MUNICIPAL DE POBREZA</t>
  </si>
  <si>
    <t>COEF POB 15 O + AÑOS NO SABE LEER NI ESCRIBIR</t>
  </si>
  <si>
    <t>COEF POB SIN ACCESO A  ELECTRICIDAD</t>
  </si>
  <si>
    <r>
      <t xml:space="preserve">COEF POB SIN ACCESO A  </t>
    </r>
    <r>
      <rPr>
        <b/>
        <sz val="9"/>
        <rFont val="Arial"/>
        <family val="2"/>
      </rPr>
      <t>ELECTRICIDAD</t>
    </r>
  </si>
  <si>
    <t xml:space="preserve">COEF POBL SIN ACCESO A  DRENAJE </t>
  </si>
  <si>
    <t>MEJORA SOCIAL 2010 vs 2000</t>
  </si>
  <si>
    <t>COEF POB 15  O +  AÑOS NO SABE LEER NI ESCRIBIR</t>
  </si>
  <si>
    <t xml:space="preserve">COEF POBL SIN ACCESO DRENAJE </t>
  </si>
  <si>
    <t>POB SIN ACCESO A ELECTRICIDAD
2010</t>
  </si>
  <si>
    <t>POBL SIN ACCESO A DRENAJE
2010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</si>
  <si>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</si>
  <si>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</si>
  <si>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</si>
  <si>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</si>
  <si>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</si>
  <si>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</si>
  <si>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</si>
  <si>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</si>
  <si>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</si>
  <si>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</si>
  <si>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</si>
  <si>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</si>
  <si>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</si>
  <si>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</si>
  <si>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</si>
  <si>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PROYECCIÓN DE POBLACIÓN</t>
  </si>
  <si>
    <t>$</t>
  </si>
  <si>
    <t>%</t>
  </si>
  <si>
    <t>MAE2=(PI*35%)+(PC*35%)+(CD*30%)</t>
  </si>
  <si>
    <t>FGP</t>
  </si>
  <si>
    <t>FFM</t>
  </si>
  <si>
    <t>IEPS</t>
  </si>
  <si>
    <t xml:space="preserve">  Proyecciones de la Población 2010-2030, CONSEJO NACIONAL DE POBLACIÓN</t>
  </si>
  <si>
    <t>EFECTIVIDAD RECAUDACIÓN DE PREDIAL</t>
  </si>
  <si>
    <t>CER*50%</t>
  </si>
  <si>
    <t>CEPT*25%</t>
  </si>
  <si>
    <t>MAE1=(CEPT*25%)+(CIMP*25%)+(CER*50%)</t>
  </si>
  <si>
    <t>Fondo del Estado</t>
  </si>
  <si>
    <t>Monto</t>
  </si>
  <si>
    <t>Porcentaje de distribución</t>
  </si>
  <si>
    <t>Fondo General de Participaciones (FGP)</t>
  </si>
  <si>
    <t>Impuesto Especial sobre Producción y Servicios (IEPS)</t>
  </si>
  <si>
    <t>Los montos no incluyen descuentos ni compensación alguna.</t>
  </si>
  <si>
    <t>SECRETARÍA DE FINANZAS Y TESORERÍA GENERAL DEL ESTADO</t>
  </si>
  <si>
    <t>FEXHI</t>
  </si>
  <si>
    <t>Art 19 - I</t>
  </si>
  <si>
    <t>Art 19 - II y III</t>
  </si>
  <si>
    <t>Art 19 - III y IV</t>
  </si>
  <si>
    <t>Art 19 - V</t>
  </si>
  <si>
    <t>Art 19 - VI</t>
  </si>
  <si>
    <t>Art 19 - VII</t>
  </si>
  <si>
    <t>Art 20</t>
  </si>
  <si>
    <t>FOFIR</t>
  </si>
  <si>
    <t>PROPORCION DE RECAUDACIÓN</t>
  </si>
  <si>
    <t>RECAUDACIÓN PONDERADO POR EFICIENCIA</t>
  </si>
  <si>
    <t>COEFICIENTE DE DISTRIBUCIÓN ANTES DE GARANTÍA</t>
  </si>
  <si>
    <t>Impuesto sobre la Venta Final de Gasolinas y Diesel (IEPSGD)</t>
  </si>
  <si>
    <t>POBLACIÓN  2015</t>
  </si>
  <si>
    <t xml:space="preserve">  Población 2015, Encuesta Intercensal, INEGI</t>
  </si>
  <si>
    <t>Fondo sobre Extracción de Hidrocarburos (FEXHI)</t>
  </si>
  <si>
    <t>Fondo de Fiscalización y Recaudación (FOFIR)</t>
  </si>
  <si>
    <t>Monto a distribuir</t>
  </si>
  <si>
    <t>MONTO OBS + ESTIM DE GASOLINAS</t>
  </si>
  <si>
    <t>MONTO OBS. + ESTIM. DE PARTICIPACIONES</t>
  </si>
  <si>
    <t>Fondo de Compensacion ISAN</t>
  </si>
  <si>
    <t xml:space="preserve">Impuesto sobre Adquisición de Vehículos Nuevos (ISAN) </t>
  </si>
  <si>
    <t>DETERMINACIÓN  DEL  COEFICIENTE DE PARTICIPACIÓN DE RECURSOS A MUNICIPIOS</t>
  </si>
  <si>
    <t>RECAUDACIÓN 2017</t>
  </si>
  <si>
    <t>ISAN</t>
  </si>
  <si>
    <t>COMP ISAN</t>
  </si>
  <si>
    <t>PARTICIPACIONES ESTIMADAS 2019</t>
  </si>
  <si>
    <t>COORDINACIÓN DE PLANEACIÓN HACENDARIA</t>
  </si>
  <si>
    <t xml:space="preserve"> DIFERENCIA ENTRE PARTICIPACIONES ESTIMADAS 2018 MENOS PARTICIPACIONES 2017 MÁS INFLACIÓN</t>
  </si>
  <si>
    <t>POBLACIÓN 2015</t>
  </si>
  <si>
    <t>PROYECCIÓN DE POBLACIÓN 2018</t>
  </si>
  <si>
    <t>PARTICIPACIONES DISTRIBUIDAS 2018
FGP, FFM, FOFIR, IEPS, ISAN, FEXHI</t>
  </si>
  <si>
    <r>
      <rPr>
        <b/>
        <sz val="8"/>
        <rFont val="Arial"/>
        <family val="2"/>
      </rPr>
      <t xml:space="preserve">PARTICIPACIONES </t>
    </r>
    <r>
      <rPr>
        <b/>
        <sz val="9"/>
        <rFont val="Arial"/>
        <family val="2"/>
      </rPr>
      <t>DISTRIBUIDAS 2018 MÁS INFLACIÓN</t>
    </r>
  </si>
  <si>
    <t>MONTOS 2018 MÁS INFLACIÓN DE MUNICIPIOS CON PARTICIPACIÓN INFERIOR EN 2019</t>
  </si>
  <si>
    <t>MONTO NECESARIO PARA ALCANZAR 2018 MÁS INFLACIÓN
"COMPENSACIÓN"</t>
  </si>
  <si>
    <t>MONTOS 2019 DE MUNICIPIOS CON PARTICIPACIÓN SUPERIOR A 2018 MÁS INFLACIÓN</t>
  </si>
  <si>
    <t>MONTO 2019 POR ENCIMA DE 2018 MÁS INFLACIÓN</t>
  </si>
  <si>
    <t>MONTO A DISMINUIR EN MUNICIPIOS CON CRECIMIENTO SUPERIOR A 2018 MÁS INFLACIÓN</t>
  </si>
  <si>
    <t>MONTO A DISTRIBUIR EN 2019 PARA GARANTIZAR AL MENOS EL PAGO DE 2018 MÁS INFLACIÓN</t>
  </si>
  <si>
    <t>DETERMINACIÓN INCREMENTO 2019 vs PAGO 2018 MÁS INFLACIÓN</t>
  </si>
  <si>
    <t>4.83% INFLACIÓN  2018</t>
  </si>
  <si>
    <t>FUENTE:
Facturación de Predial.- Instituto Registral y Catastral
Recaudación de Predial.- Municipios del Estado
Población.- Encuesta Intercensal 2015
Territorio.- INEGI
Vairables de Carencia Social 2000 y 2010.- Censo de población y vivienda, INEGI</t>
  </si>
  <si>
    <t>30% FFM</t>
  </si>
  <si>
    <t>70% FFM</t>
  </si>
  <si>
    <t>Fondo de Fomento Municipal (FFM) 30%</t>
  </si>
  <si>
    <t>Fondo de Fomento Municipal (FFM) 70%</t>
  </si>
  <si>
    <t>Las cifras de Recaudación y Facturación del Impuesto Predial fueron actualizadas para el Cálculo de Distribución. La población por Municipio para la entidad</t>
  </si>
  <si>
    <t>50%*CERi,t+20%*REi,t+30%*CCRi,t</t>
  </si>
  <si>
    <t>REi,t = Ri,t-1 /∑Ri,t-1</t>
  </si>
  <si>
    <t>CCRi,t=CRi,t /∑CRi,t</t>
  </si>
  <si>
    <t>CRi,t=(Ri,t-1/Ri,t-2)- 1</t>
  </si>
  <si>
    <t>Ri,t-2</t>
  </si>
  <si>
    <t>CERi,t = ERi,t-1 /∑ERi,t-1</t>
  </si>
  <si>
    <t>ERt-1 = Ri,t-1 / BGi,t-1</t>
  </si>
  <si>
    <t>Ri,t-1</t>
  </si>
  <si>
    <t>BGt-1</t>
  </si>
  <si>
    <t xml:space="preserve"> ESTIMACIÓN 30% FFM ANUAL</t>
  </si>
  <si>
    <t>DISTRIBUCIÓN POR RECAUDACION</t>
  </si>
  <si>
    <t>DISTRIBUCIÓN CRECIMIENTO RECAUDACION</t>
  </si>
  <si>
    <t xml:space="preserve">DISTRIBUCIÓN POR EFICIENCIA EN LA RECAUDACIÓN  </t>
  </si>
  <si>
    <t>COEFICIENTE  POR MONTO DE RECAUDACIÓN EN EL IMPUESTO PREDIAL</t>
  </si>
  <si>
    <t>COHEFICIENTE CRECIMIENTO RECAUDACION</t>
  </si>
  <si>
    <t>Tasa&gt;0</t>
  </si>
  <si>
    <t xml:space="preserve">TASA DE CRECIMIENTO EN LA RECAUDACIÓN EFECTIVA </t>
  </si>
  <si>
    <t>COEFICIENTE  DE EFICIENCIA RECAUDATORIA</t>
  </si>
  <si>
    <t>Eficiencia Recaudatoria</t>
  </si>
  <si>
    <t>RECAUDACIÓN 2018</t>
  </si>
  <si>
    <t>FACTURACIÓN  2018
(2014-2017)</t>
  </si>
  <si>
    <t>COEFICIENTE DE DISTRIBUCIÓN  30% FFM Art 14 Frac III</t>
  </si>
  <si>
    <t>RECAUDACIÓN EN EL IMPUESTO PREDIAL</t>
  </si>
  <si>
    <t>CRECIMIENTO RECAUDACION</t>
  </si>
  <si>
    <t xml:space="preserve"> EFICIENCIA RECAUDATORIA</t>
  </si>
  <si>
    <t>IEPSGYD</t>
  </si>
  <si>
    <t>1er Sem</t>
  </si>
  <si>
    <t>FACTURACIÓN  2017
(2013-2017)</t>
  </si>
  <si>
    <t>BGt-2</t>
  </si>
  <si>
    <t>RPt-1</t>
  </si>
  <si>
    <t>Ene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</si>
  <si>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</si>
  <si>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</si>
  <si>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</si>
  <si>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</si>
  <si>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</si>
  <si>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</si>
  <si>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</si>
  <si>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</si>
  <si>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</si>
  <si>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</si>
  <si>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</si>
  <si>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 xml:space="preserve">Participaciones Observado Ene-Jun + Estimado Jul-Dic 2019 </t>
  </si>
  <si>
    <t>10.65% DE CRECIMIENTO DE ESTIMACIÓN 2019 RESPECTO 2018</t>
  </si>
  <si>
    <t>FFM (70%)</t>
  </si>
  <si>
    <t>FFM (30%)</t>
  </si>
  <si>
    <t>IEPS GYD</t>
  </si>
  <si>
    <t>COEFICIENTE 2do SEMESTRE 2019</t>
  </si>
  <si>
    <t>FRACC I ART. 14</t>
  </si>
  <si>
    <t xml:space="preserve">Participaciones 1er Semestre de 2019 </t>
  </si>
  <si>
    <t>SALDOS DE PARTICIPACIONES DISTRIBUIDAS ENERO - JUNIO 2019</t>
  </si>
  <si>
    <t>DETERMINACIÓN DEL COEFICIENTE DE PARTICIPACIÓN DE
IEPS POR LA VENTA FINAL DE GASOLINAS Y DIESEL A MUNICIPIOS (ARTÍCULO14 FRACC II LCH)</t>
  </si>
  <si>
    <t xml:space="preserve">CÁLCULO DE DISTRIBUCIÓN DE PARTICIPACIONES 1er SEMESTRE 2019 </t>
  </si>
  <si>
    <t>CON COEFICIENTE DEL 2do SEMESTRE (VARIABLES ACTUALIZADAS)</t>
  </si>
  <si>
    <t>CON COEFICIENTE DEL 1er SEMESTRE (VARIABLES PRELIMINARES)</t>
  </si>
  <si>
    <t xml:space="preserve">CALCULO DE DISTRIBUCIÓN DE PARTICIPACIONES 1er SEMESTRE 2019 </t>
  </si>
  <si>
    <t>DIFERENCIAS POR CALCULO CON COEFICIENTE DE 1er SEMESTRE Vs CALCULO CON COEFICIENTE ACUTALIZADO</t>
  </si>
  <si>
    <t>AJUSTE MENSUAL PARA APLICAR DE JULIO A DICIEMBRE 2019</t>
  </si>
  <si>
    <t>POR DISTRIBUCIÓN DE PARTICIPACIONES EN EL 1er SEMESTRE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</si>
</sst>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0.000000000000%"/>
    <numFmt numFmtId="169" formatCode="#,##0\ &quot;$&quot;;[Red]\-#,##0\ &quot;$&quot;"/>
    <numFmt numFmtId="170" formatCode="&quot;$&quot;\ #,##0.00"/>
    <numFmt numFmtId="171" formatCode="\U\ #,##0.00"/>
    <numFmt numFmtId="172" formatCode="#,##0.000;\-#,##0.000"/>
    <numFmt numFmtId="173" formatCode="#,##0.0000000;\-#,##0.0000000"/>
    <numFmt numFmtId="174" formatCode="_(* #,##0.000000_);_(* \(#,##0.000000\);_(* &quot;-&quot;??_);_(@_)"/>
    <numFmt numFmtId="175" formatCode="0.00000000%"/>
    <numFmt numFmtId="176" formatCode="_(* #,##0.00000000_);_(* \(#,##0.00000000\);_(* &quot;-&quot;??_);_(@_)"/>
    <numFmt numFmtId="177" formatCode="0.000000"/>
    <numFmt numFmtId="178" formatCode="0.00000000"/>
    <numFmt numFmtId="179" formatCode="#,##0.00000000;\-#,##0.00000000"/>
    <numFmt numFmtId="180" formatCode="0.0000000000"/>
    <numFmt numFmtId="181" formatCode="0.000000000"/>
    <numFmt numFmtId="182" formatCode="0.0000"/>
    <numFmt numFmtId="183" formatCode="#,##0.0000;\-#,##0.0000"/>
    <numFmt numFmtId="184" formatCode="#,##0.00000000000;\-#,##0.00000000000"/>
    <numFmt numFmtId="185" formatCode="0.0000%"/>
    <numFmt numFmtId="186" formatCode="General_)"/>
    <numFmt numFmtId="187" formatCode="_-[$€-2]* #,##0.00_-;\-[$€-2]* #,##0.00_-;_-[$€-2]* &quot;-&quot;??_-"/>
    <numFmt numFmtId="188" formatCode="_-* #,##0_-;\-* #,##0_-;_-* &quot;-&quot;??_-;_-@_-"/>
    <numFmt numFmtId="189" formatCode="_-* #,##0.0000_-;\-* #,##0.0000_-;_-* &quot;-&quot;????_-;_-@_-"/>
    <numFmt numFmtId="190" formatCode="_-* #,##0.0000_-;\-* #,##0.0000_-;_-* &quot;-&quot;_-;_-@_-"/>
    <numFmt numFmtId="191" formatCode="_-* #,##0.0000_-;\-* #,##0.0000_-;_-* &quot;-&quot;??_-;_-@_-"/>
    <numFmt numFmtId="192" formatCode="#,##0_ ;[Red]\-#,##0\ "/>
  </numFmts>
  <fonts count="5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sz val="11"/>
      <color theme="1"/>
      <name val="Soberana Sans"/>
      <family val="2"/>
    </font>
    <font>
      <sz val="11"/>
      <name val="Calibri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.8"/>
      <name val="Arial"/>
      <family val="2"/>
    </font>
    <font>
      <b/>
      <sz val="16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69" fontId="4" fillId="0" borderId="0" applyFont="0" applyFill="0" applyBorder="0" applyAlignment="0" applyProtection="0"/>
    <xf numFmtId="0" fontId="18" fillId="3" borderId="0" applyNumberFormat="0" applyBorder="0" applyAlignment="0" applyProtection="0"/>
    <xf numFmtId="164" fontId="4" fillId="0" borderId="0" applyFont="0" applyFill="0" applyBorder="0" applyAlignment="0" applyProtection="0"/>
    <xf numFmtId="0" fontId="19" fillId="22" borderId="0" applyNumberFormat="0" applyBorder="0" applyAlignment="0" applyProtection="0"/>
    <xf numFmtId="0" fontId="29" fillId="0" borderId="0"/>
    <xf numFmtId="0" fontId="6" fillId="0" borderId="0"/>
    <xf numFmtId="37" fontId="5" fillId="0" borderId="0"/>
    <xf numFmtId="0" fontId="10" fillId="23" borderId="4" applyNumberFormat="0" applyFont="0" applyAlignment="0" applyProtection="0"/>
    <xf numFmtId="170" fontId="6" fillId="0" borderId="0" applyFont="0" applyFill="0" applyBorder="0" applyAlignment="0" applyProtection="0">
      <alignment horizontal="right"/>
    </xf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  <xf numFmtId="171" fontId="7" fillId="0" borderId="0" applyFont="0" applyFill="0" applyBorder="0" applyAlignment="0" applyProtection="0">
      <alignment horizontal="right"/>
    </xf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6" fontId="4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87" fontId="4" fillId="0" borderId="0" applyFont="0" applyFill="0" applyBorder="0" applyAlignment="0" applyProtection="0"/>
    <xf numFmtId="0" fontId="18" fillId="3" borderId="0" applyNumberFormat="0" applyBorder="0" applyAlignment="0" applyProtection="0"/>
    <xf numFmtId="41" fontId="4" fillId="0" borderId="0" applyFont="0" applyFill="0" applyBorder="0" applyAlignment="0" applyProtection="0"/>
    <xf numFmtId="0" fontId="19" fillId="22" borderId="0" applyNumberFormat="0" applyBorder="0" applyAlignment="0" applyProtection="0"/>
    <xf numFmtId="0" fontId="4" fillId="23" borderId="4" applyNumberFormat="0" applyFont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" fillId="0" borderId="0"/>
    <xf numFmtId="43" fontId="4" fillId="0" borderId="0" applyFont="0" applyFill="0" applyBorder="0" applyAlignment="0" applyProtection="0"/>
    <xf numFmtId="0" fontId="47" fillId="0" borderId="0"/>
    <xf numFmtId="0" fontId="2" fillId="0" borderId="0"/>
    <xf numFmtId="43" fontId="4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13">
    <xf numFmtId="0" fontId="0" fillId="0" borderId="0" xfId="0"/>
    <xf numFmtId="37" fontId="9" fillId="0" borderId="0" xfId="37" applyFont="1" applyBorder="1" applyAlignment="1" applyProtection="1">
      <alignment horizontal="center" vertical="center" wrapText="1"/>
      <protection hidden="1"/>
    </xf>
    <xf numFmtId="37" fontId="4" fillId="0" borderId="11" xfId="37" applyFont="1" applyFill="1" applyBorder="1" applyAlignment="1" applyProtection="1">
      <alignment horizontal="left"/>
      <protection hidden="1"/>
    </xf>
    <xf numFmtId="37" fontId="4" fillId="0" borderId="20" xfId="37" applyFont="1" applyFill="1" applyBorder="1" applyAlignment="1" applyProtection="1">
      <alignment horizontal="right"/>
      <protection hidden="1"/>
    </xf>
    <xf numFmtId="37" fontId="4" fillId="0" borderId="12" xfId="37" applyFont="1" applyFill="1" applyBorder="1" applyAlignment="1" applyProtection="1">
      <alignment horizontal="left"/>
      <protection hidden="1"/>
    </xf>
    <xf numFmtId="37" fontId="4" fillId="0" borderId="23" xfId="37" applyFont="1" applyFill="1" applyBorder="1" applyAlignment="1" applyProtection="1">
      <alignment horizontal="right"/>
      <protection hidden="1"/>
    </xf>
    <xf numFmtId="37" fontId="8" fillId="0" borderId="13" xfId="37" applyFont="1" applyFill="1" applyBorder="1" applyAlignment="1" applyProtection="1">
      <alignment horizontal="left"/>
      <protection hidden="1"/>
    </xf>
    <xf numFmtId="37" fontId="8" fillId="0" borderId="14" xfId="37" applyFont="1" applyFill="1" applyBorder="1" applyAlignment="1" applyProtection="1">
      <alignment horizontal="right"/>
      <protection hidden="1"/>
    </xf>
    <xf numFmtId="37" fontId="8" fillId="0" borderId="10" xfId="37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9" fontId="8" fillId="0" borderId="10" xfId="40" applyFont="1" applyFill="1" applyBorder="1" applyAlignment="1" applyProtection="1">
      <alignment horizontal="center" vertical="center" wrapText="1"/>
      <protection hidden="1"/>
    </xf>
    <xf numFmtId="37" fontId="4" fillId="0" borderId="0" xfId="37" applyFont="1" applyFill="1" applyProtection="1">
      <protection hidden="1"/>
    </xf>
    <xf numFmtId="9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8" fillId="0" borderId="10" xfId="40" applyNumberFormat="1" applyFont="1" applyFill="1" applyBorder="1" applyAlignment="1" applyProtection="1">
      <alignment horizontal="center" vertical="center" wrapText="1"/>
      <protection hidden="1"/>
    </xf>
    <xf numFmtId="37" fontId="4" fillId="0" borderId="0" xfId="37" applyFont="1" applyProtection="1">
      <protection hidden="1"/>
    </xf>
    <xf numFmtId="37" fontId="31" fillId="0" borderId="0" xfId="37" applyFont="1" applyAlignment="1" applyProtection="1">
      <alignment horizontal="center" vertical="center"/>
      <protection hidden="1"/>
    </xf>
    <xf numFmtId="37" fontId="31" fillId="0" borderId="0" xfId="37" applyFont="1" applyFill="1" applyProtection="1">
      <protection hidden="1"/>
    </xf>
    <xf numFmtId="37" fontId="31" fillId="0" borderId="0" xfId="37" applyFont="1" applyProtection="1">
      <protection hidden="1"/>
    </xf>
    <xf numFmtId="37" fontId="36" fillId="0" borderId="0" xfId="37" applyFont="1" applyFill="1" applyBorder="1" applyAlignment="1" applyProtection="1">
      <alignment horizontal="center" vertical="center" wrapText="1"/>
      <protection hidden="1"/>
    </xf>
    <xf numFmtId="37" fontId="36" fillId="0" borderId="0" xfId="37" applyFont="1" applyFill="1" applyProtection="1">
      <protection hidden="1"/>
    </xf>
    <xf numFmtId="177" fontId="36" fillId="0" borderId="0" xfId="37" applyNumberFormat="1" applyFont="1" applyFill="1" applyProtection="1">
      <protection hidden="1"/>
    </xf>
    <xf numFmtId="178" fontId="37" fillId="0" borderId="0" xfId="0" applyNumberFormat="1" applyFont="1" applyFill="1" applyAlignment="1" applyProtection="1">
      <alignment horizontal="center" vertical="center" wrapText="1"/>
      <protection hidden="1"/>
    </xf>
    <xf numFmtId="177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Alignment="1" applyProtection="1">
      <alignment horizontal="center" vertical="center" wrapText="1"/>
      <protection hidden="1"/>
    </xf>
    <xf numFmtId="37" fontId="31" fillId="0" borderId="0" xfId="37" applyFont="1" applyAlignment="1" applyProtection="1">
      <alignment horizontal="center" vertical="center" wrapText="1"/>
      <protection hidden="1"/>
    </xf>
    <xf numFmtId="37" fontId="36" fillId="0" borderId="0" xfId="37" applyFont="1" applyProtection="1">
      <protection hidden="1"/>
    </xf>
    <xf numFmtId="3" fontId="30" fillId="0" borderId="20" xfId="0" applyNumberFormat="1" applyFont="1" applyBorder="1" applyProtection="1">
      <protection hidden="1"/>
    </xf>
    <xf numFmtId="175" fontId="4" fillId="0" borderId="20" xfId="40" applyNumberFormat="1" applyFont="1" applyFill="1" applyBorder="1" applyProtection="1">
      <protection hidden="1"/>
    </xf>
    <xf numFmtId="177" fontId="4" fillId="0" borderId="20" xfId="40" applyNumberFormat="1" applyFont="1" applyFill="1" applyBorder="1" applyProtection="1">
      <protection hidden="1"/>
    </xf>
    <xf numFmtId="165" fontId="4" fillId="0" borderId="20" xfId="33" applyNumberFormat="1" applyFont="1" applyFill="1" applyBorder="1" applyProtection="1">
      <protection hidden="1"/>
    </xf>
    <xf numFmtId="177" fontId="4" fillId="0" borderId="27" xfId="40" applyNumberFormat="1" applyFont="1" applyFill="1" applyBorder="1" applyProtection="1">
      <protection hidden="1"/>
    </xf>
    <xf numFmtId="37" fontId="4" fillId="0" borderId="11" xfId="37" applyFont="1" applyFill="1" applyBorder="1" applyAlignment="1" applyProtection="1">
      <protection hidden="1"/>
    </xf>
    <xf numFmtId="37" fontId="4" fillId="0" borderId="20" xfId="37" applyFont="1" applyFill="1" applyBorder="1" applyAlignment="1" applyProtection="1">
      <protection hidden="1"/>
    </xf>
    <xf numFmtId="179" fontId="4" fillId="0" borderId="20" xfId="37" applyNumberFormat="1" applyFont="1" applyFill="1" applyBorder="1" applyAlignment="1" applyProtection="1">
      <protection hidden="1"/>
    </xf>
    <xf numFmtId="175" fontId="30" fillId="0" borderId="20" xfId="40" applyNumberFormat="1" applyFont="1" applyBorder="1" applyProtection="1">
      <protection hidden="1"/>
    </xf>
    <xf numFmtId="1" fontId="39" fillId="0" borderId="20" xfId="40" applyNumberFormat="1" applyFont="1" applyBorder="1" applyProtection="1">
      <protection hidden="1"/>
    </xf>
    <xf numFmtId="179" fontId="4" fillId="0" borderId="22" xfId="37" applyNumberFormat="1" applyFont="1" applyFill="1" applyBorder="1" applyAlignment="1" applyProtection="1">
      <protection hidden="1"/>
    </xf>
    <xf numFmtId="177" fontId="30" fillId="0" borderId="20" xfId="40" applyNumberFormat="1" applyFont="1" applyBorder="1" applyProtection="1">
      <protection hidden="1"/>
    </xf>
    <xf numFmtId="174" fontId="4" fillId="0" borderId="20" xfId="33" applyNumberFormat="1" applyFont="1" applyFill="1" applyBorder="1" applyProtection="1">
      <protection hidden="1"/>
    </xf>
    <xf numFmtId="165" fontId="4" fillId="0" borderId="27" xfId="33" applyNumberFormat="1" applyFont="1" applyFill="1" applyBorder="1" applyProtection="1">
      <protection hidden="1"/>
    </xf>
    <xf numFmtId="37" fontId="4" fillId="0" borderId="11" xfId="37" applyFont="1" applyBorder="1" applyProtection="1">
      <protection hidden="1"/>
    </xf>
    <xf numFmtId="37" fontId="4" fillId="0" borderId="20" xfId="37" applyFont="1" applyBorder="1" applyProtection="1">
      <protection hidden="1"/>
    </xf>
    <xf numFmtId="178" fontId="4" fillId="0" borderId="21" xfId="40" applyNumberFormat="1" applyFont="1" applyBorder="1" applyProtection="1">
      <protection hidden="1"/>
    </xf>
    <xf numFmtId="3" fontId="30" fillId="0" borderId="23" xfId="0" applyNumberFormat="1" applyFont="1" applyBorder="1" applyProtection="1">
      <protection hidden="1"/>
    </xf>
    <xf numFmtId="175" fontId="4" fillId="0" borderId="23" xfId="40" applyNumberFormat="1" applyFont="1" applyFill="1" applyBorder="1" applyProtection="1">
      <protection hidden="1"/>
    </xf>
    <xf numFmtId="177" fontId="4" fillId="0" borderId="23" xfId="40" applyNumberFormat="1" applyFont="1" applyFill="1" applyBorder="1" applyProtection="1">
      <protection hidden="1"/>
    </xf>
    <xf numFmtId="165" fontId="4" fillId="0" borderId="23" xfId="33" applyNumberFormat="1" applyFont="1" applyFill="1" applyBorder="1" applyProtection="1">
      <protection hidden="1"/>
    </xf>
    <xf numFmtId="177" fontId="4" fillId="0" borderId="28" xfId="40" applyNumberFormat="1" applyFont="1" applyFill="1" applyBorder="1" applyProtection="1">
      <protection hidden="1"/>
    </xf>
    <xf numFmtId="37" fontId="4" fillId="0" borderId="12" xfId="37" applyFont="1" applyFill="1" applyBorder="1" applyAlignment="1" applyProtection="1">
      <protection hidden="1"/>
    </xf>
    <xf numFmtId="37" fontId="4" fillId="0" borderId="23" xfId="37" applyFont="1" applyFill="1" applyBorder="1" applyAlignment="1" applyProtection="1">
      <protection hidden="1"/>
    </xf>
    <xf numFmtId="179" fontId="4" fillId="0" borderId="23" xfId="37" applyNumberFormat="1" applyFont="1" applyFill="1" applyBorder="1" applyAlignment="1" applyProtection="1">
      <protection hidden="1"/>
    </xf>
    <xf numFmtId="175" fontId="30" fillId="0" borderId="23" xfId="40" applyNumberFormat="1" applyFont="1" applyBorder="1" applyProtection="1">
      <protection hidden="1"/>
    </xf>
    <xf numFmtId="1" fontId="39" fillId="0" borderId="23" xfId="40" applyNumberFormat="1" applyFont="1" applyBorder="1" applyProtection="1">
      <protection hidden="1"/>
    </xf>
    <xf numFmtId="179" fontId="4" fillId="0" borderId="24" xfId="37" applyNumberFormat="1" applyFont="1" applyFill="1" applyBorder="1" applyAlignment="1" applyProtection="1">
      <protection hidden="1"/>
    </xf>
    <xf numFmtId="177" fontId="30" fillId="0" borderId="23" xfId="40" applyNumberFormat="1" applyFont="1" applyBorder="1" applyProtection="1">
      <protection hidden="1"/>
    </xf>
    <xf numFmtId="174" fontId="4" fillId="0" borderId="23" xfId="33" applyNumberFormat="1" applyFont="1" applyFill="1" applyBorder="1" applyProtection="1">
      <protection hidden="1"/>
    </xf>
    <xf numFmtId="165" fontId="4" fillId="0" borderId="28" xfId="33" applyNumberFormat="1" applyFont="1" applyFill="1" applyBorder="1" applyProtection="1">
      <protection hidden="1"/>
    </xf>
    <xf numFmtId="37" fontId="4" fillId="0" borderId="12" xfId="37" applyFont="1" applyBorder="1" applyProtection="1">
      <protection hidden="1"/>
    </xf>
    <xf numFmtId="37" fontId="4" fillId="0" borderId="23" xfId="37" applyFont="1" applyBorder="1" applyProtection="1">
      <protection hidden="1"/>
    </xf>
    <xf numFmtId="178" fontId="4" fillId="0" borderId="19" xfId="40" applyNumberFormat="1" applyFont="1" applyBorder="1" applyProtection="1">
      <protection hidden="1"/>
    </xf>
    <xf numFmtId="3" fontId="32" fillId="0" borderId="14" xfId="0" applyNumberFormat="1" applyFont="1" applyBorder="1" applyProtection="1">
      <protection hidden="1"/>
    </xf>
    <xf numFmtId="175" fontId="8" fillId="0" borderId="14" xfId="40" applyNumberFormat="1" applyFont="1" applyFill="1" applyBorder="1" applyProtection="1">
      <protection hidden="1"/>
    </xf>
    <xf numFmtId="177" fontId="8" fillId="0" borderId="14" xfId="40" applyNumberFormat="1" applyFont="1" applyFill="1" applyBorder="1" applyProtection="1">
      <protection hidden="1"/>
    </xf>
    <xf numFmtId="165" fontId="8" fillId="0" borderId="14" xfId="33" applyNumberFormat="1" applyFont="1" applyFill="1" applyBorder="1" applyProtection="1">
      <protection hidden="1"/>
    </xf>
    <xf numFmtId="177" fontId="8" fillId="0" borderId="26" xfId="40" applyNumberFormat="1" applyFont="1" applyFill="1" applyBorder="1" applyProtection="1">
      <protection hidden="1"/>
    </xf>
    <xf numFmtId="37" fontId="38" fillId="0" borderId="13" xfId="37" applyFont="1" applyFill="1" applyBorder="1" applyAlignment="1" applyProtection="1">
      <protection hidden="1"/>
    </xf>
    <xf numFmtId="37" fontId="38" fillId="0" borderId="14" xfId="37" applyFont="1" applyFill="1" applyBorder="1" applyAlignment="1" applyProtection="1">
      <protection hidden="1"/>
    </xf>
    <xf numFmtId="173" fontId="38" fillId="0" borderId="14" xfId="37" applyNumberFormat="1" applyFont="1" applyFill="1" applyBorder="1" applyAlignment="1" applyProtection="1">
      <protection hidden="1"/>
    </xf>
    <xf numFmtId="175" fontId="32" fillId="0" borderId="14" xfId="40" applyNumberFormat="1" applyFont="1" applyBorder="1" applyProtection="1">
      <protection hidden="1"/>
    </xf>
    <xf numFmtId="1" fontId="40" fillId="0" borderId="14" xfId="40" applyNumberFormat="1" applyFont="1" applyBorder="1" applyProtection="1">
      <protection hidden="1"/>
    </xf>
    <xf numFmtId="173" fontId="38" fillId="0" borderId="25" xfId="37" applyNumberFormat="1" applyFont="1" applyFill="1" applyBorder="1" applyAlignment="1" applyProtection="1">
      <protection hidden="1"/>
    </xf>
    <xf numFmtId="177" fontId="32" fillId="0" borderId="14" xfId="40" applyNumberFormat="1" applyFont="1" applyBorder="1" applyProtection="1">
      <protection hidden="1"/>
    </xf>
    <xf numFmtId="168" fontId="8" fillId="0" borderId="14" xfId="40" applyNumberFormat="1" applyFont="1" applyFill="1" applyBorder="1" applyProtection="1">
      <protection hidden="1"/>
    </xf>
    <xf numFmtId="177" fontId="8" fillId="0" borderId="14" xfId="33" applyNumberFormat="1" applyFont="1" applyFill="1" applyBorder="1" applyProtection="1">
      <protection hidden="1"/>
    </xf>
    <xf numFmtId="174" fontId="8" fillId="0" borderId="14" xfId="33" applyNumberFormat="1" applyFont="1" applyFill="1" applyBorder="1" applyProtection="1">
      <protection hidden="1"/>
    </xf>
    <xf numFmtId="165" fontId="8" fillId="0" borderId="26" xfId="40" applyNumberFormat="1" applyFont="1" applyFill="1" applyBorder="1" applyProtection="1">
      <protection hidden="1"/>
    </xf>
    <xf numFmtId="37" fontId="8" fillId="0" borderId="13" xfId="37" applyFont="1" applyBorder="1" applyProtection="1">
      <protection hidden="1"/>
    </xf>
    <xf numFmtId="37" fontId="8" fillId="0" borderId="14" xfId="37" applyFont="1" applyBorder="1" applyProtection="1">
      <protection hidden="1"/>
    </xf>
    <xf numFmtId="178" fontId="8" fillId="0" borderId="15" xfId="40" applyNumberFormat="1" applyFont="1" applyBorder="1" applyProtection="1">
      <protection hidden="1"/>
    </xf>
    <xf numFmtId="177" fontId="4" fillId="0" borderId="0" xfId="37" applyNumberFormat="1" applyFont="1" applyProtection="1">
      <protection hidden="1"/>
    </xf>
    <xf numFmtId="39" fontId="4" fillId="0" borderId="0" xfId="37" applyNumberFormat="1" applyFont="1" applyProtection="1">
      <protection hidden="1"/>
    </xf>
    <xf numFmtId="178" fontId="4" fillId="0" borderId="0" xfId="37" applyNumberFormat="1" applyFont="1" applyProtection="1">
      <protection hidden="1"/>
    </xf>
    <xf numFmtId="166" fontId="4" fillId="0" borderId="0" xfId="40" applyNumberFormat="1" applyFont="1" applyProtection="1">
      <protection hidden="1"/>
    </xf>
    <xf numFmtId="177" fontId="4" fillId="0" borderId="0" xfId="37" applyNumberFormat="1" applyFont="1" applyFill="1" applyProtection="1">
      <protection hidden="1"/>
    </xf>
    <xf numFmtId="178" fontId="4" fillId="0" borderId="0" xfId="37" applyNumberFormat="1" applyFont="1" applyFill="1" applyProtection="1">
      <protection hidden="1"/>
    </xf>
    <xf numFmtId="166" fontId="4" fillId="0" borderId="0" xfId="40" applyNumberFormat="1" applyFont="1" applyFill="1" applyProtection="1">
      <protection hidden="1"/>
    </xf>
    <xf numFmtId="39" fontId="8" fillId="0" borderId="10" xfId="37" applyNumberFormat="1" applyFont="1" applyFill="1" applyBorder="1" applyAlignment="1" applyProtection="1">
      <alignment horizontal="center" vertical="center" wrapText="1"/>
      <protection hidden="1"/>
    </xf>
    <xf numFmtId="37" fontId="33" fillId="0" borderId="0" xfId="37" applyFont="1" applyFill="1" applyBorder="1" applyAlignment="1" applyProtection="1">
      <alignment horizontal="center" vertical="center" wrapText="1"/>
      <protection hidden="1"/>
    </xf>
    <xf numFmtId="39" fontId="31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6" fillId="0" borderId="0" xfId="37" applyNumberFormat="1" applyFont="1" applyFill="1" applyProtection="1">
      <protection hidden="1"/>
    </xf>
    <xf numFmtId="39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4" fillId="0" borderId="11" xfId="37" applyNumberFormat="1" applyFont="1" applyFill="1" applyBorder="1" applyProtection="1">
      <protection hidden="1"/>
    </xf>
    <xf numFmtId="37" fontId="4" fillId="0" borderId="12" xfId="37" applyNumberFormat="1" applyFont="1" applyFill="1" applyBorder="1" applyProtection="1">
      <protection hidden="1"/>
    </xf>
    <xf numFmtId="0" fontId="31" fillId="0" borderId="0" xfId="0" applyFont="1" applyFill="1" applyBorder="1" applyAlignment="1" applyProtection="1">
      <alignment horizontal="center" vertical="center" wrapText="1"/>
      <protection hidden="1"/>
    </xf>
    <xf numFmtId="37" fontId="43" fillId="0" borderId="0" xfId="37" applyFont="1" applyAlignment="1" applyProtection="1">
      <alignment horizontal="center"/>
      <protection hidden="1"/>
    </xf>
    <xf numFmtId="37" fontId="4" fillId="0" borderId="0" xfId="37" applyFont="1" applyAlignment="1" applyProtection="1">
      <alignment wrapText="1"/>
      <protection hidden="1"/>
    </xf>
    <xf numFmtId="37" fontId="4" fillId="0" borderId="30" xfId="37" applyFont="1" applyBorder="1" applyAlignment="1" applyProtection="1">
      <alignment wrapText="1"/>
      <protection hidden="1"/>
    </xf>
    <xf numFmtId="37" fontId="46" fillId="0" borderId="0" xfId="37" applyFont="1" applyProtection="1">
      <protection hidden="1"/>
    </xf>
    <xf numFmtId="37" fontId="8" fillId="0" borderId="29" xfId="37" applyFont="1" applyFill="1" applyBorder="1" applyAlignment="1" applyProtection="1">
      <alignment horizontal="center" vertical="center" wrapText="1"/>
      <protection hidden="1"/>
    </xf>
    <xf numFmtId="0" fontId="8" fillId="0" borderId="29" xfId="0" applyFont="1" applyFill="1" applyBorder="1" applyAlignment="1" applyProtection="1">
      <alignment horizontal="center" vertical="center" wrapText="1"/>
      <protection hidden="1"/>
    </xf>
    <xf numFmtId="9" fontId="8" fillId="0" borderId="29" xfId="40" applyFont="1" applyFill="1" applyBorder="1" applyAlignment="1" applyProtection="1">
      <alignment horizontal="center" vertical="center" wrapText="1"/>
      <protection hidden="1"/>
    </xf>
    <xf numFmtId="37" fontId="8" fillId="0" borderId="0" xfId="37" applyFont="1" applyFill="1" applyBorder="1" applyAlignment="1" applyProtection="1">
      <alignment horizontal="center" vertical="center" wrapText="1"/>
      <protection hidden="1"/>
    </xf>
    <xf numFmtId="9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177" fontId="8" fillId="0" borderId="29" xfId="40" applyNumberFormat="1" applyFont="1" applyFill="1" applyBorder="1" applyAlignment="1" applyProtection="1">
      <alignment horizontal="center" vertical="center" wrapText="1"/>
      <protection hidden="1"/>
    </xf>
    <xf numFmtId="178" fontId="41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41" fillId="0" borderId="29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37" fontId="31" fillId="0" borderId="0" xfId="37" applyFont="1" applyFill="1" applyBorder="1" applyAlignment="1" applyProtection="1">
      <alignment horizontal="center" vertical="center" wrapText="1"/>
      <protection hidden="1"/>
    </xf>
    <xf numFmtId="177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3" fillId="0" borderId="0" xfId="39" applyNumberFormat="1" applyFont="1" applyFill="1" applyBorder="1" applyAlignment="1" applyProtection="1">
      <alignment horizontal="center" vertical="center" wrapText="1"/>
      <protection hidden="1"/>
    </xf>
    <xf numFmtId="178" fontId="31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170" fontId="31" fillId="0" borderId="0" xfId="39" applyFont="1" applyFill="1" applyBorder="1" applyAlignment="1" applyProtection="1">
      <alignment horizontal="center" vertical="center" wrapText="1"/>
      <protection hidden="1"/>
    </xf>
    <xf numFmtId="37" fontId="4" fillId="0" borderId="0" xfId="37" applyFont="1" applyFill="1" applyBorder="1" applyProtection="1">
      <protection hidden="1"/>
    </xf>
    <xf numFmtId="180" fontId="4" fillId="0" borderId="20" xfId="40" applyNumberFormat="1" applyFont="1" applyFill="1" applyBorder="1" applyProtection="1">
      <protection hidden="1"/>
    </xf>
    <xf numFmtId="180" fontId="4" fillId="0" borderId="23" xfId="40" applyNumberFormat="1" applyFont="1" applyFill="1" applyBorder="1" applyProtection="1">
      <protection hidden="1"/>
    </xf>
    <xf numFmtId="180" fontId="8" fillId="0" borderId="14" xfId="40" applyNumberFormat="1" applyFont="1" applyFill="1" applyBorder="1" applyProtection="1">
      <protection hidden="1"/>
    </xf>
    <xf numFmtId="181" fontId="4" fillId="0" borderId="20" xfId="40" applyNumberFormat="1" applyFont="1" applyFill="1" applyBorder="1" applyProtection="1">
      <protection hidden="1"/>
    </xf>
    <xf numFmtId="181" fontId="4" fillId="0" borderId="23" xfId="40" applyNumberFormat="1" applyFont="1" applyFill="1" applyBorder="1" applyProtection="1">
      <protection hidden="1"/>
    </xf>
    <xf numFmtId="181" fontId="8" fillId="0" borderId="14" xfId="40" applyNumberFormat="1" applyFont="1" applyFill="1" applyBorder="1" applyProtection="1">
      <protection hidden="1"/>
    </xf>
    <xf numFmtId="178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4" fillId="0" borderId="0" xfId="33" applyNumberFormat="1" applyFont="1" applyFill="1" applyBorder="1" applyAlignment="1" applyProtection="1">
      <alignment horizontal="center" vertical="center" wrapText="1"/>
      <protection hidden="1"/>
    </xf>
    <xf numFmtId="10" fontId="44" fillId="0" borderId="0" xfId="40" applyNumberFormat="1" applyFont="1" applyFill="1" applyBorder="1" applyAlignment="1" applyProtection="1">
      <alignment horizontal="center" vertical="center" wrapText="1"/>
      <protection hidden="1"/>
    </xf>
    <xf numFmtId="49" fontId="44" fillId="0" borderId="10" xfId="54" applyNumberFormat="1" applyFont="1" applyFill="1" applyBorder="1" applyAlignment="1" applyProtection="1">
      <alignment horizontal="center" vertical="center" wrapText="1"/>
      <protection hidden="1"/>
    </xf>
    <xf numFmtId="178" fontId="41" fillId="0" borderId="10" xfId="0" applyNumberFormat="1" applyFont="1" applyFill="1" applyBorder="1" applyAlignment="1" applyProtection="1">
      <alignment horizontal="center" vertical="center" wrapText="1"/>
      <protection hidden="1"/>
    </xf>
    <xf numFmtId="178" fontId="4" fillId="0" borderId="21" xfId="40" applyNumberFormat="1" applyFont="1" applyFill="1" applyBorder="1" applyProtection="1">
      <protection hidden="1"/>
    </xf>
    <xf numFmtId="178" fontId="4" fillId="0" borderId="19" xfId="40" applyNumberFormat="1" applyFont="1" applyFill="1" applyBorder="1" applyProtection="1">
      <protection hidden="1"/>
    </xf>
    <xf numFmtId="178" fontId="8" fillId="0" borderId="15" xfId="40" applyNumberFormat="1" applyFont="1" applyFill="1" applyBorder="1" applyProtection="1">
      <protection hidden="1"/>
    </xf>
    <xf numFmtId="37" fontId="43" fillId="0" borderId="0" xfId="37" applyFont="1" applyAlignment="1" applyProtection="1">
      <protection hidden="1"/>
    </xf>
    <xf numFmtId="0" fontId="41" fillId="0" borderId="10" xfId="0" applyFont="1" applyFill="1" applyBorder="1" applyAlignment="1" applyProtection="1">
      <alignment horizontal="center" vertical="center" wrapText="1"/>
      <protection hidden="1"/>
    </xf>
    <xf numFmtId="165" fontId="32" fillId="0" borderId="14" xfId="33" applyNumberFormat="1" applyFont="1" applyFill="1" applyBorder="1" applyProtection="1"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/>
    <xf numFmtId="178" fontId="8" fillId="0" borderId="31" xfId="0" applyNumberFormat="1" applyFont="1" applyFill="1" applyBorder="1" applyAlignment="1" applyProtection="1">
      <alignment horizontal="center" vertical="center" wrapText="1"/>
      <protection hidden="1"/>
    </xf>
    <xf numFmtId="37" fontId="31" fillId="0" borderId="0" xfId="37" applyFont="1" applyFill="1" applyAlignment="1" applyProtection="1">
      <alignment horizontal="center" vertical="center"/>
      <protection hidden="1"/>
    </xf>
    <xf numFmtId="178" fontId="31" fillId="0" borderId="0" xfId="37" applyNumberFormat="1" applyFont="1" applyFill="1" applyProtection="1">
      <protection hidden="1"/>
    </xf>
    <xf numFmtId="37" fontId="31" fillId="0" borderId="0" xfId="37" applyFont="1" applyFill="1" applyAlignment="1" applyProtection="1">
      <alignment horizontal="center" vertical="center" wrapText="1"/>
      <protection hidden="1"/>
    </xf>
    <xf numFmtId="178" fontId="31" fillId="0" borderId="0" xfId="37" applyNumberFormat="1" applyFont="1" applyFill="1" applyAlignment="1" applyProtection="1">
      <alignment horizontal="center" vertical="center" wrapText="1"/>
      <protection hidden="1"/>
    </xf>
    <xf numFmtId="3" fontId="30" fillId="0" borderId="20" xfId="0" applyNumberFormat="1" applyFont="1" applyFill="1" applyBorder="1" applyProtection="1">
      <protection hidden="1"/>
    </xf>
    <xf numFmtId="178" fontId="4" fillId="0" borderId="16" xfId="33" applyNumberFormat="1" applyFont="1" applyFill="1" applyBorder="1" applyProtection="1">
      <protection hidden="1"/>
    </xf>
    <xf numFmtId="37" fontId="4" fillId="0" borderId="11" xfId="37" applyFont="1" applyFill="1" applyBorder="1" applyProtection="1">
      <protection hidden="1"/>
    </xf>
    <xf numFmtId="37" fontId="4" fillId="0" borderId="20" xfId="37" applyFont="1" applyFill="1" applyBorder="1" applyProtection="1">
      <protection hidden="1"/>
    </xf>
    <xf numFmtId="178" fontId="4" fillId="0" borderId="21" xfId="37" applyNumberFormat="1" applyFont="1" applyFill="1" applyBorder="1" applyProtection="1">
      <protection hidden="1"/>
    </xf>
    <xf numFmtId="3" fontId="30" fillId="0" borderId="23" xfId="0" applyNumberFormat="1" applyFont="1" applyFill="1" applyBorder="1" applyProtection="1">
      <protection hidden="1"/>
    </xf>
    <xf numFmtId="178" fontId="4" fillId="0" borderId="17" xfId="33" applyNumberFormat="1" applyFont="1" applyFill="1" applyBorder="1" applyProtection="1">
      <protection hidden="1"/>
    </xf>
    <xf numFmtId="37" fontId="4" fillId="0" borderId="12" xfId="37" applyFont="1" applyFill="1" applyBorder="1" applyProtection="1">
      <protection hidden="1"/>
    </xf>
    <xf numFmtId="37" fontId="4" fillId="0" borderId="23" xfId="37" applyFont="1" applyFill="1" applyBorder="1" applyProtection="1">
      <protection hidden="1"/>
    </xf>
    <xf numFmtId="178" fontId="4" fillId="0" borderId="19" xfId="37" applyNumberFormat="1" applyFont="1" applyFill="1" applyBorder="1" applyProtection="1">
      <protection hidden="1"/>
    </xf>
    <xf numFmtId="3" fontId="32" fillId="0" borderId="14" xfId="0" applyNumberFormat="1" applyFont="1" applyFill="1" applyBorder="1" applyProtection="1">
      <protection hidden="1"/>
    </xf>
    <xf numFmtId="37" fontId="8" fillId="0" borderId="13" xfId="37" applyNumberFormat="1" applyFont="1" applyFill="1" applyBorder="1" applyProtection="1">
      <protection hidden="1"/>
    </xf>
    <xf numFmtId="178" fontId="8" fillId="0" borderId="18" xfId="40" applyNumberFormat="1" applyFont="1" applyFill="1" applyBorder="1" applyProtection="1">
      <protection hidden="1"/>
    </xf>
    <xf numFmtId="37" fontId="8" fillId="0" borderId="13" xfId="37" applyFont="1" applyFill="1" applyBorder="1" applyProtection="1">
      <protection hidden="1"/>
    </xf>
    <xf numFmtId="37" fontId="8" fillId="0" borderId="14" xfId="37" applyFont="1" applyFill="1" applyBorder="1" applyProtection="1">
      <protection hidden="1"/>
    </xf>
    <xf numFmtId="178" fontId="8" fillId="0" borderId="15" xfId="37" applyNumberFormat="1" applyFont="1" applyFill="1" applyBorder="1" applyProtection="1">
      <protection hidden="1"/>
    </xf>
    <xf numFmtId="10" fontId="44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/>
    <xf numFmtId="0" fontId="8" fillId="0" borderId="38" xfId="53" applyFont="1" applyBorder="1" applyAlignment="1">
      <alignment horizontal="center" vertical="center" wrapText="1"/>
    </xf>
    <xf numFmtId="0" fontId="4" fillId="0" borderId="38" xfId="53" applyFont="1" applyBorder="1" applyAlignment="1">
      <alignment vertical="center" wrapText="1"/>
    </xf>
    <xf numFmtId="3" fontId="4" fillId="0" borderId="38" xfId="53" applyNumberFormat="1" applyFont="1" applyBorder="1" applyAlignment="1">
      <alignment horizontal="center" vertical="center" wrapText="1"/>
    </xf>
    <xf numFmtId="0" fontId="4" fillId="0" borderId="38" xfId="53" applyFont="1" applyBorder="1" applyAlignment="1">
      <alignment horizontal="center" vertical="center" wrapText="1"/>
    </xf>
    <xf numFmtId="0" fontId="4" fillId="0" borderId="0" xfId="53" applyFont="1" applyBorder="1" applyAlignment="1">
      <alignment vertical="center"/>
    </xf>
    <xf numFmtId="3" fontId="4" fillId="0" borderId="0" xfId="53" applyNumberFormat="1" applyBorder="1" applyAlignment="1">
      <alignment horizontal="center" vertical="center"/>
    </xf>
    <xf numFmtId="0" fontId="4" fillId="0" borderId="0" xfId="53" applyBorder="1" applyAlignment="1">
      <alignment horizontal="center" vertical="center"/>
    </xf>
    <xf numFmtId="0" fontId="4" fillId="0" borderId="0" xfId="53" applyFont="1"/>
    <xf numFmtId="188" fontId="0" fillId="0" borderId="0" xfId="51" applyNumberFormat="1" applyFont="1"/>
    <xf numFmtId="188" fontId="4" fillId="0" borderId="0" xfId="51" applyNumberFormat="1" applyFont="1"/>
    <xf numFmtId="188" fontId="8" fillId="0" borderId="39" xfId="51" applyNumberFormat="1" applyFont="1" applyFill="1" applyBorder="1" applyAlignment="1">
      <alignment horizontal="center" vertical="center" wrapText="1"/>
    </xf>
    <xf numFmtId="188" fontId="8" fillId="0" borderId="40" xfId="51" applyNumberFormat="1" applyFont="1" applyFill="1" applyBorder="1" applyAlignment="1">
      <alignment horizontal="center" vertical="center" wrapText="1"/>
    </xf>
    <xf numFmtId="188" fontId="8" fillId="0" borderId="41" xfId="51" applyNumberFormat="1" applyFont="1" applyFill="1" applyBorder="1" applyAlignment="1">
      <alignment horizontal="center" vertical="center"/>
    </xf>
    <xf numFmtId="188" fontId="8" fillId="0" borderId="42" xfId="51" applyNumberFormat="1" applyFont="1" applyFill="1" applyBorder="1"/>
    <xf numFmtId="188" fontId="0" fillId="0" borderId="0" xfId="51" applyNumberFormat="1" applyFont="1" applyFill="1" applyBorder="1"/>
    <xf numFmtId="188" fontId="8" fillId="0" borderId="43" xfId="51" applyNumberFormat="1" applyFont="1" applyFill="1" applyBorder="1"/>
    <xf numFmtId="188" fontId="8" fillId="0" borderId="39" xfId="51" applyNumberFormat="1" applyFont="1" applyFill="1" applyBorder="1"/>
    <xf numFmtId="188" fontId="8" fillId="0" borderId="40" xfId="51" applyNumberFormat="1" applyFont="1" applyFill="1" applyBorder="1"/>
    <xf numFmtId="188" fontId="8" fillId="0" borderId="41" xfId="51" applyNumberFormat="1" applyFont="1" applyFill="1" applyBorder="1"/>
    <xf numFmtId="188" fontId="8" fillId="0" borderId="0" xfId="51" applyNumberFormat="1" applyFont="1" applyFill="1" applyBorder="1"/>
    <xf numFmtId="0" fontId="8" fillId="0" borderId="38" xfId="53" applyFont="1" applyBorder="1" applyAlignment="1">
      <alignment horizontal="center" vertical="center"/>
    </xf>
    <xf numFmtId="3" fontId="8" fillId="0" borderId="38" xfId="53" applyNumberFormat="1" applyFont="1" applyBorder="1" applyAlignment="1">
      <alignment horizontal="center" vertical="center"/>
    </xf>
    <xf numFmtId="10" fontId="44" fillId="0" borderId="33" xfId="56" applyNumberFormat="1" applyFont="1" applyFill="1" applyBorder="1" applyAlignment="1" applyProtection="1">
      <alignment horizontal="center" vertical="center" wrapText="1"/>
      <protection hidden="1"/>
    </xf>
    <xf numFmtId="182" fontId="4" fillId="0" borderId="20" xfId="40" applyNumberFormat="1" applyFont="1" applyFill="1" applyBorder="1" applyProtection="1">
      <protection hidden="1"/>
    </xf>
    <xf numFmtId="182" fontId="4" fillId="0" borderId="23" xfId="40" applyNumberFormat="1" applyFont="1" applyFill="1" applyBorder="1" applyProtection="1">
      <protection hidden="1"/>
    </xf>
    <xf numFmtId="182" fontId="8" fillId="0" borderId="14" xfId="40" applyNumberFormat="1" applyFont="1" applyFill="1" applyBorder="1" applyProtection="1">
      <protection hidden="1"/>
    </xf>
    <xf numFmtId="176" fontId="4" fillId="0" borderId="21" xfId="33" applyNumberFormat="1" applyFont="1" applyFill="1" applyBorder="1" applyProtection="1">
      <protection hidden="1"/>
    </xf>
    <xf numFmtId="176" fontId="4" fillId="0" borderId="19" xfId="33" applyNumberFormat="1" applyFont="1" applyFill="1" applyBorder="1" applyProtection="1">
      <protection hidden="1"/>
    </xf>
    <xf numFmtId="176" fontId="8" fillId="0" borderId="15" xfId="33" applyNumberFormat="1" applyFont="1" applyFill="1" applyBorder="1" applyProtection="1">
      <protection hidden="1"/>
    </xf>
    <xf numFmtId="49" fontId="44" fillId="0" borderId="32" xfId="54" applyNumberFormat="1" applyFont="1" applyFill="1" applyBorder="1" applyAlignment="1" applyProtection="1">
      <alignment horizontal="center" vertical="center" wrapText="1"/>
      <protection hidden="1"/>
    </xf>
    <xf numFmtId="167" fontId="49" fillId="0" borderId="0" xfId="40" applyNumberFormat="1" applyFont="1" applyProtection="1">
      <protection hidden="1"/>
    </xf>
    <xf numFmtId="49" fontId="8" fillId="0" borderId="0" xfId="33" applyNumberFormat="1" applyFont="1" applyFill="1" applyBorder="1" applyAlignment="1" applyProtection="1">
      <alignment horizontal="center" vertical="center" wrapText="1"/>
      <protection hidden="1"/>
    </xf>
    <xf numFmtId="37" fontId="50" fillId="0" borderId="0" xfId="37" applyFont="1" applyBorder="1" applyAlignment="1" applyProtection="1">
      <alignment horizontal="center" vertical="center" wrapText="1"/>
      <protection hidden="1"/>
    </xf>
    <xf numFmtId="183" fontId="50" fillId="0" borderId="0" xfId="37" applyNumberFormat="1" applyFont="1" applyBorder="1" applyAlignment="1" applyProtection="1">
      <alignment horizontal="center" vertical="center" wrapText="1"/>
      <protection hidden="1"/>
    </xf>
    <xf numFmtId="37" fontId="8" fillId="0" borderId="0" xfId="37" applyFont="1" applyProtection="1">
      <protection hidden="1"/>
    </xf>
    <xf numFmtId="175" fontId="4" fillId="0" borderId="0" xfId="40" applyNumberFormat="1" applyFont="1" applyProtection="1">
      <protection hidden="1"/>
    </xf>
    <xf numFmtId="37" fontId="4" fillId="0" borderId="0" xfId="37" applyFont="1" applyBorder="1" applyProtection="1">
      <protection hidden="1"/>
    </xf>
    <xf numFmtId="2" fontId="8" fillId="0" borderId="0" xfId="33" applyNumberFormat="1" applyFont="1" applyFill="1" applyBorder="1" applyProtection="1">
      <protection hidden="1"/>
    </xf>
    <xf numFmtId="164" fontId="4" fillId="0" borderId="0" xfId="33" applyFont="1" applyBorder="1" applyProtection="1">
      <protection hidden="1"/>
    </xf>
    <xf numFmtId="167" fontId="49" fillId="0" borderId="0" xfId="40" applyNumberFormat="1" applyFont="1" applyBorder="1" applyProtection="1">
      <protection hidden="1"/>
    </xf>
    <xf numFmtId="185" fontId="4" fillId="0" borderId="0" xfId="40" applyNumberFormat="1" applyFont="1" applyProtection="1">
      <protection hidden="1"/>
    </xf>
    <xf numFmtId="172" fontId="4" fillId="0" borderId="0" xfId="37" applyNumberFormat="1" applyFont="1" applyProtection="1">
      <protection hidden="1"/>
    </xf>
    <xf numFmtId="184" fontId="4" fillId="0" borderId="0" xfId="37" applyNumberFormat="1" applyFont="1" applyProtection="1">
      <protection hidden="1"/>
    </xf>
    <xf numFmtId="37" fontId="4" fillId="0" borderId="0" xfId="37" applyNumberFormat="1" applyFont="1" applyProtection="1">
      <protection hidden="1"/>
    </xf>
    <xf numFmtId="183" fontId="4" fillId="0" borderId="0" xfId="37" applyNumberFormat="1" applyFont="1" applyProtection="1">
      <protection hidden="1"/>
    </xf>
    <xf numFmtId="37" fontId="4" fillId="0" borderId="24" xfId="37" applyFont="1" applyFill="1" applyBorder="1" applyAlignment="1" applyProtection="1">
      <protection hidden="1"/>
    </xf>
    <xf numFmtId="165" fontId="4" fillId="0" borderId="38" xfId="33" applyNumberFormat="1" applyFont="1" applyFill="1" applyBorder="1" applyAlignment="1">
      <alignment vertical="center" wrapText="1"/>
    </xf>
    <xf numFmtId="165" fontId="8" fillId="0" borderId="38" xfId="33" applyNumberFormat="1" applyFont="1" applyBorder="1" applyAlignment="1">
      <alignment horizontal="center" vertical="center"/>
    </xf>
    <xf numFmtId="188" fontId="8" fillId="24" borderId="40" xfId="51" applyNumberFormat="1" applyFont="1" applyFill="1" applyBorder="1" applyAlignment="1">
      <alignment horizontal="center" vertical="center" wrapText="1"/>
    </xf>
    <xf numFmtId="38" fontId="0" fillId="0" borderId="0" xfId="51" applyNumberFormat="1" applyFont="1" applyFill="1" applyBorder="1"/>
    <xf numFmtId="38" fontId="8" fillId="0" borderId="40" xfId="51" applyNumberFormat="1" applyFont="1" applyFill="1" applyBorder="1"/>
    <xf numFmtId="0" fontId="4" fillId="25" borderId="0" xfId="106" applyFill="1"/>
    <xf numFmtId="188" fontId="0" fillId="25" borderId="0" xfId="51" applyNumberFormat="1" applyFont="1" applyFill="1"/>
    <xf numFmtId="189" fontId="8" fillId="25" borderId="46" xfId="106" applyNumberFormat="1" applyFont="1" applyFill="1" applyBorder="1"/>
    <xf numFmtId="188" fontId="8" fillId="25" borderId="47" xfId="51" applyNumberFormat="1" applyFont="1" applyFill="1" applyBorder="1"/>
    <xf numFmtId="188" fontId="8" fillId="25" borderId="48" xfId="106" applyNumberFormat="1" applyFont="1" applyFill="1" applyBorder="1"/>
    <xf numFmtId="188" fontId="8" fillId="25" borderId="49" xfId="106" applyNumberFormat="1" applyFont="1" applyFill="1" applyBorder="1"/>
    <xf numFmtId="188" fontId="8" fillId="25" borderId="50" xfId="106" applyNumberFormat="1" applyFont="1" applyFill="1" applyBorder="1"/>
    <xf numFmtId="0" fontId="8" fillId="25" borderId="51" xfId="106" applyFont="1" applyFill="1" applyBorder="1"/>
    <xf numFmtId="190" fontId="8" fillId="25" borderId="47" xfId="106" applyNumberFormat="1" applyFont="1" applyFill="1" applyBorder="1"/>
    <xf numFmtId="191" fontId="8" fillId="25" borderId="49" xfId="51" applyNumberFormat="1" applyFont="1" applyFill="1" applyBorder="1"/>
    <xf numFmtId="191" fontId="8" fillId="25" borderId="49" xfId="106" applyNumberFormat="1" applyFont="1" applyFill="1" applyBorder="1"/>
    <xf numFmtId="191" fontId="8" fillId="25" borderId="48" xfId="51" applyNumberFormat="1" applyFont="1" applyFill="1" applyBorder="1"/>
    <xf numFmtId="191" fontId="8" fillId="25" borderId="49" xfId="107" applyNumberFormat="1" applyFont="1" applyFill="1" applyBorder="1"/>
    <xf numFmtId="188" fontId="8" fillId="25" borderId="49" xfId="51" applyNumberFormat="1" applyFont="1" applyFill="1" applyBorder="1"/>
    <xf numFmtId="188" fontId="8" fillId="25" borderId="50" xfId="51" applyNumberFormat="1" applyFont="1" applyFill="1" applyBorder="1"/>
    <xf numFmtId="189" fontId="4" fillId="25" borderId="43" xfId="106" applyNumberFormat="1" applyFill="1" applyBorder="1"/>
    <xf numFmtId="41" fontId="4" fillId="25" borderId="52" xfId="106" applyNumberFormat="1" applyFill="1" applyBorder="1"/>
    <xf numFmtId="188" fontId="0" fillId="25" borderId="53" xfId="51" applyNumberFormat="1" applyFont="1" applyFill="1" applyBorder="1"/>
    <xf numFmtId="188" fontId="0" fillId="25" borderId="0" xfId="51" applyNumberFormat="1" applyFont="1" applyFill="1" applyBorder="1"/>
    <xf numFmtId="188" fontId="0" fillId="25" borderId="54" xfId="51" applyNumberFormat="1" applyFont="1" applyFill="1" applyBorder="1"/>
    <xf numFmtId="0" fontId="8" fillId="25" borderId="42" xfId="106" applyFont="1" applyFill="1" applyBorder="1"/>
    <xf numFmtId="190" fontId="4" fillId="25" borderId="52" xfId="106" applyNumberFormat="1" applyFill="1" applyBorder="1"/>
    <xf numFmtId="191" fontId="0" fillId="25" borderId="0" xfId="51" applyNumberFormat="1" applyFont="1" applyFill="1" applyBorder="1"/>
    <xf numFmtId="191" fontId="4" fillId="25" borderId="0" xfId="106" applyNumberFormat="1" applyFill="1" applyBorder="1"/>
    <xf numFmtId="191" fontId="0" fillId="25" borderId="53" xfId="51" applyNumberFormat="1" applyFont="1" applyFill="1" applyBorder="1"/>
    <xf numFmtId="191" fontId="0" fillId="25" borderId="0" xfId="107" applyNumberFormat="1" applyFont="1" applyFill="1" applyBorder="1"/>
    <xf numFmtId="189" fontId="4" fillId="25" borderId="55" xfId="106" applyNumberFormat="1" applyFill="1" applyBorder="1"/>
    <xf numFmtId="41" fontId="0" fillId="25" borderId="56" xfId="51" applyNumberFormat="1" applyFont="1" applyFill="1" applyBorder="1"/>
    <xf numFmtId="188" fontId="0" fillId="25" borderId="57" xfId="51" applyNumberFormat="1" applyFont="1" applyFill="1" applyBorder="1"/>
    <xf numFmtId="188" fontId="0" fillId="25" borderId="58" xfId="51" applyNumberFormat="1" applyFont="1" applyFill="1" applyBorder="1"/>
    <xf numFmtId="188" fontId="0" fillId="25" borderId="59" xfId="51" applyNumberFormat="1" applyFont="1" applyFill="1" applyBorder="1"/>
    <xf numFmtId="0" fontId="8" fillId="25" borderId="60" xfId="106" applyFont="1" applyFill="1" applyBorder="1"/>
    <xf numFmtId="190" fontId="4" fillId="25" borderId="56" xfId="106" applyNumberFormat="1" applyFill="1" applyBorder="1"/>
    <xf numFmtId="191" fontId="0" fillId="25" borderId="58" xfId="51" applyNumberFormat="1" applyFont="1" applyFill="1" applyBorder="1"/>
    <xf numFmtId="191" fontId="4" fillId="25" borderId="58" xfId="106" applyNumberFormat="1" applyFill="1" applyBorder="1"/>
    <xf numFmtId="191" fontId="0" fillId="25" borderId="57" xfId="51" applyNumberFormat="1" applyFont="1" applyFill="1" applyBorder="1"/>
    <xf numFmtId="191" fontId="0" fillId="25" borderId="58" xfId="107" applyNumberFormat="1" applyFont="1" applyFill="1" applyBorder="1"/>
    <xf numFmtId="0" fontId="51" fillId="25" borderId="0" xfId="106" applyFont="1" applyFill="1"/>
    <xf numFmtId="9" fontId="51" fillId="25" borderId="0" xfId="107" applyFont="1" applyFill="1" applyAlignment="1">
      <alignment horizontal="center" vertical="center"/>
    </xf>
    <xf numFmtId="0" fontId="8" fillId="25" borderId="0" xfId="106" applyFont="1" applyFill="1"/>
    <xf numFmtId="0" fontId="8" fillId="0" borderId="0" xfId="106" applyFont="1"/>
    <xf numFmtId="188" fontId="51" fillId="25" borderId="0" xfId="51" applyNumberFormat="1" applyFont="1" applyFill="1" applyAlignment="1">
      <alignment horizontal="center" vertical="center"/>
    </xf>
    <xf numFmtId="0" fontId="31" fillId="25" borderId="0" xfId="106" applyFont="1" applyFill="1" applyAlignment="1">
      <alignment horizontal="center" vertical="center" wrapText="1"/>
    </xf>
    <xf numFmtId="0" fontId="8" fillId="25" borderId="41" xfId="106" applyFont="1" applyFill="1" applyBorder="1" applyAlignment="1">
      <alignment horizontal="center" vertical="center" wrapText="1"/>
    </xf>
    <xf numFmtId="0" fontId="8" fillId="25" borderId="61" xfId="106" applyFont="1" applyFill="1" applyBorder="1" applyAlignment="1">
      <alignment horizontal="center" vertical="center" wrapText="1"/>
    </xf>
    <xf numFmtId="0" fontId="8" fillId="25" borderId="62" xfId="106" applyFont="1" applyFill="1" applyBorder="1" applyAlignment="1">
      <alignment horizontal="center" vertical="center" wrapText="1"/>
    </xf>
    <xf numFmtId="0" fontId="8" fillId="25" borderId="40" xfId="106" applyFont="1" applyFill="1" applyBorder="1" applyAlignment="1">
      <alignment horizontal="center" vertical="center" wrapText="1"/>
    </xf>
    <xf numFmtId="0" fontId="8" fillId="25" borderId="63" xfId="106" applyFont="1" applyFill="1" applyBorder="1" applyAlignment="1">
      <alignment horizontal="center" vertical="center" wrapText="1"/>
    </xf>
    <xf numFmtId="0" fontId="8" fillId="25" borderId="39" xfId="106" applyFont="1" applyFill="1" applyBorder="1" applyAlignment="1">
      <alignment horizontal="center" vertical="center"/>
    </xf>
    <xf numFmtId="0" fontId="8" fillId="25" borderId="0" xfId="106" applyFont="1" applyFill="1" applyAlignment="1"/>
    <xf numFmtId="0" fontId="8" fillId="25" borderId="0" xfId="106" applyFont="1" applyFill="1" applyAlignment="1">
      <alignment horizontal="center" vertical="center" wrapText="1"/>
    </xf>
    <xf numFmtId="0" fontId="4" fillId="0" borderId="65" xfId="53" applyFont="1" applyBorder="1" applyAlignment="1">
      <alignment vertical="center" wrapText="1"/>
    </xf>
    <xf numFmtId="0" fontId="8" fillId="0" borderId="65" xfId="53" applyFont="1" applyBorder="1" applyAlignment="1">
      <alignment horizontal="center" vertical="center"/>
    </xf>
    <xf numFmtId="192" fontId="52" fillId="0" borderId="66" xfId="33" applyNumberFormat="1" applyFont="1" applyFill="1" applyBorder="1" applyAlignment="1">
      <alignment horizontal="center" vertical="center" wrapText="1"/>
    </xf>
    <xf numFmtId="3" fontId="8" fillId="0" borderId="65" xfId="53" applyNumberFormat="1" applyFont="1" applyBorder="1" applyAlignment="1">
      <alignment horizontal="center" vertical="center"/>
    </xf>
    <xf numFmtId="192" fontId="4" fillId="0" borderId="0" xfId="53" applyNumberFormat="1"/>
    <xf numFmtId="0" fontId="8" fillId="26" borderId="65" xfId="53" applyFont="1" applyFill="1" applyBorder="1" applyAlignment="1">
      <alignment horizontal="center" vertical="center" wrapText="1"/>
    </xf>
    <xf numFmtId="0" fontId="8" fillId="27" borderId="65" xfId="53" applyFont="1" applyFill="1" applyBorder="1" applyAlignment="1">
      <alignment horizontal="center" vertical="center" wrapText="1"/>
    </xf>
    <xf numFmtId="192" fontId="52" fillId="0" borderId="65" xfId="33" applyNumberFormat="1" applyFont="1" applyFill="1" applyBorder="1" applyAlignment="1">
      <alignment horizontal="center" vertical="center" wrapText="1"/>
    </xf>
    <xf numFmtId="192" fontId="0" fillId="0" borderId="0" xfId="51" applyNumberFormat="1" applyFont="1"/>
    <xf numFmtId="192" fontId="8" fillId="0" borderId="39" xfId="51" applyNumberFormat="1" applyFont="1" applyFill="1" applyBorder="1" applyAlignment="1">
      <alignment horizontal="center" vertical="center" wrapText="1"/>
    </xf>
    <xf numFmtId="192" fontId="8" fillId="0" borderId="40" xfId="51" applyNumberFormat="1" applyFont="1" applyFill="1" applyBorder="1" applyAlignment="1">
      <alignment horizontal="center" vertical="center" wrapText="1"/>
    </xf>
    <xf numFmtId="192" fontId="8" fillId="0" borderId="41" xfId="51" applyNumberFormat="1" applyFont="1" applyFill="1" applyBorder="1" applyAlignment="1">
      <alignment horizontal="center" vertical="center"/>
    </xf>
    <xf numFmtId="192" fontId="8" fillId="0" borderId="42" xfId="51" applyNumberFormat="1" applyFont="1" applyFill="1" applyBorder="1"/>
    <xf numFmtId="192" fontId="0" fillId="0" borderId="0" xfId="51" applyNumberFormat="1" applyFont="1" applyFill="1" applyBorder="1"/>
    <xf numFmtId="192" fontId="8" fillId="0" borderId="43" xfId="51" applyNumberFormat="1" applyFont="1" applyFill="1" applyBorder="1"/>
    <xf numFmtId="192" fontId="8" fillId="0" borderId="39" xfId="51" applyNumberFormat="1" applyFont="1" applyFill="1" applyBorder="1"/>
    <xf numFmtId="192" fontId="8" fillId="0" borderId="40" xfId="51" applyNumberFormat="1" applyFont="1" applyFill="1" applyBorder="1"/>
    <xf numFmtId="192" fontId="8" fillId="0" borderId="41" xfId="51" applyNumberFormat="1" applyFont="1" applyFill="1" applyBorder="1"/>
    <xf numFmtId="192" fontId="8" fillId="0" borderId="0" xfId="51" applyNumberFormat="1" applyFont="1" applyFill="1" applyBorder="1"/>
    <xf numFmtId="192" fontId="4" fillId="0" borderId="0" xfId="53" applyNumberFormat="1" applyFont="1"/>
    <xf numFmtId="192" fontId="4" fillId="0" borderId="0" xfId="51" applyNumberFormat="1" applyFont="1"/>
    <xf numFmtId="178" fontId="42" fillId="0" borderId="0" xfId="37" applyNumberFormat="1" applyFont="1" applyAlignment="1" applyProtection="1">
      <alignment horizontal="center" vertical="center" wrapText="1"/>
      <protection hidden="1"/>
    </xf>
    <xf numFmtId="0" fontId="8" fillId="0" borderId="0" xfId="53" applyFont="1" applyAlignment="1">
      <alignment horizontal="center" vertical="center"/>
    </xf>
    <xf numFmtId="192" fontId="8" fillId="0" borderId="0" xfId="51" applyNumberFormat="1" applyFont="1" applyAlignment="1">
      <alignment horizontal="center"/>
    </xf>
    <xf numFmtId="192" fontId="4" fillId="0" borderId="64" xfId="51" applyNumberFormat="1" applyFont="1" applyBorder="1" applyAlignment="1">
      <alignment horizontal="center"/>
    </xf>
    <xf numFmtId="188" fontId="8" fillId="0" borderId="0" xfId="51" applyNumberFormat="1" applyFont="1" applyAlignment="1">
      <alignment horizontal="center"/>
    </xf>
    <xf numFmtId="188" fontId="4" fillId="0" borderId="64" xfId="51" applyNumberFormat="1" applyFont="1" applyBorder="1" applyAlignment="1">
      <alignment horizontal="center"/>
    </xf>
    <xf numFmtId="37" fontId="4" fillId="0" borderId="0" xfId="37" applyFont="1" applyAlignment="1" applyProtection="1">
      <alignment horizontal="left" vertical="top" wrapText="1"/>
      <protection hidden="1"/>
    </xf>
    <xf numFmtId="0" fontId="42" fillId="0" borderId="30" xfId="0" applyFont="1" applyBorder="1" applyAlignment="1">
      <alignment horizontal="center"/>
    </xf>
    <xf numFmtId="37" fontId="42" fillId="0" borderId="30" xfId="37" applyFont="1" applyBorder="1" applyAlignment="1" applyProtection="1">
      <alignment horizontal="center"/>
      <protection hidden="1"/>
    </xf>
    <xf numFmtId="37" fontId="8" fillId="0" borderId="29" xfId="37" applyFont="1" applyFill="1" applyBorder="1" applyAlignment="1" applyProtection="1">
      <alignment horizontal="center" vertical="center" wrapText="1"/>
      <protection hidden="1"/>
    </xf>
    <xf numFmtId="37" fontId="8" fillId="0" borderId="0" xfId="37" applyFont="1" applyFill="1" applyBorder="1" applyAlignment="1" applyProtection="1">
      <alignment horizontal="center" vertical="center" wrapText="1"/>
      <protection hidden="1"/>
    </xf>
    <xf numFmtId="37" fontId="8" fillId="0" borderId="35" xfId="37" applyFont="1" applyFill="1" applyBorder="1" applyAlignment="1" applyProtection="1">
      <alignment horizontal="center" vertical="center" wrapText="1"/>
      <protection hidden="1"/>
    </xf>
    <xf numFmtId="37" fontId="8" fillId="0" borderId="45" xfId="37" applyFont="1" applyFill="1" applyBorder="1" applyAlignment="1" applyProtection="1">
      <alignment horizontal="center" vertical="center" wrapText="1"/>
      <protection hidden="1"/>
    </xf>
    <xf numFmtId="37" fontId="45" fillId="0" borderId="0" xfId="37" applyFont="1" applyAlignment="1" applyProtection="1">
      <alignment horizontal="center" vertical="center" wrapText="1"/>
      <protection hidden="1"/>
    </xf>
    <xf numFmtId="37" fontId="4" fillId="0" borderId="0" xfId="37" applyFont="1" applyAlignment="1" applyProtection="1">
      <alignment horizontal="center" vertical="center" wrapText="1"/>
      <protection hidden="1"/>
    </xf>
    <xf numFmtId="49" fontId="44" fillId="0" borderId="32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3" xfId="54" applyNumberFormat="1" applyFont="1" applyFill="1" applyBorder="1" applyAlignment="1" applyProtection="1">
      <alignment horizontal="center" vertical="center" wrapText="1"/>
      <protection hidden="1"/>
    </xf>
    <xf numFmtId="37" fontId="8" fillId="0" borderId="32" xfId="37" applyFont="1" applyFill="1" applyBorder="1" applyAlignment="1" applyProtection="1">
      <alignment horizontal="center" vertical="center" wrapText="1"/>
      <protection hidden="1"/>
    </xf>
    <xf numFmtId="37" fontId="8" fillId="0" borderId="33" xfId="37" applyFont="1" applyFill="1" applyBorder="1" applyAlignment="1" applyProtection="1">
      <alignment horizontal="center" vertical="center" wrapText="1"/>
      <protection hidden="1"/>
    </xf>
    <xf numFmtId="49" fontId="8" fillId="0" borderId="33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4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5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6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7" xfId="54" applyNumberFormat="1" applyFont="1" applyFill="1" applyBorder="1" applyAlignment="1" applyProtection="1">
      <alignment horizontal="center" vertical="center" wrapText="1"/>
      <protection hidden="1"/>
    </xf>
    <xf numFmtId="37" fontId="8" fillId="0" borderId="34" xfId="37" applyFont="1" applyFill="1" applyBorder="1" applyAlignment="1" applyProtection="1">
      <alignment horizontal="center" vertical="center" wrapText="1"/>
      <protection hidden="1"/>
    </xf>
    <xf numFmtId="37" fontId="8" fillId="0" borderId="44" xfId="37" applyFont="1" applyFill="1" applyBorder="1" applyAlignment="1" applyProtection="1">
      <alignment horizontal="center" vertical="center" wrapText="1"/>
      <protection hidden="1"/>
    </xf>
    <xf numFmtId="37" fontId="53" fillId="0" borderId="0" xfId="37" applyFont="1" applyAlignment="1" applyProtection="1">
      <alignment horizontal="center" wrapText="1"/>
      <protection hidden="1"/>
    </xf>
    <xf numFmtId="37" fontId="42" fillId="0" borderId="30" xfId="37" applyFont="1" applyBorder="1" applyAlignment="1" applyProtection="1">
      <alignment horizontal="center" vertical="center"/>
      <protection hidden="1"/>
    </xf>
    <xf numFmtId="37" fontId="4" fillId="0" borderId="30" xfId="37" applyFont="1" applyBorder="1" applyAlignment="1" applyProtection="1">
      <alignment horizontal="center" vertical="center"/>
      <protection hidden="1"/>
    </xf>
    <xf numFmtId="37" fontId="42" fillId="0" borderId="30" xfId="37" applyFont="1" applyBorder="1" applyAlignment="1" applyProtection="1">
      <alignment horizontal="center" vertical="center" wrapText="1"/>
      <protection hidden="1"/>
    </xf>
    <xf numFmtId="0" fontId="8" fillId="25" borderId="64" xfId="106" applyFont="1" applyFill="1" applyBorder="1" applyAlignment="1">
      <alignment horizontal="center" vertical="center"/>
    </xf>
    <xf numFmtId="0" fontId="8" fillId="25" borderId="64" xfId="106" applyFont="1" applyFill="1" applyBorder="1" applyAlignment="1">
      <alignment horizontal="center"/>
    </xf>
    <xf numFmtId="0" fontId="4" fillId="25" borderId="0" xfId="106" applyFill="1" applyAlignment="1">
      <alignment horizontal="center" vertical="center"/>
    </xf>
  </cellXfs>
  <cellStyles count="109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" xfId="19" builtinId="26" customBuiltin="1"/>
    <cellStyle name="Buena 2" xfId="76"/>
    <cellStyle name="Cálculo" xfId="20" builtinId="22" customBuiltin="1"/>
    <cellStyle name="Cálculo 2" xfId="77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1" xfId="46" builtinId="16" customBuiltin="1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12" xfId="105"/>
    <cellStyle name="Millares 2" xfId="51"/>
    <cellStyle name="Millares 2 2" xfId="54"/>
    <cellStyle name="Millares 2 2 2" xfId="102"/>
    <cellStyle name="Millares 3" xfId="52"/>
    <cellStyle name="Millares 4" xfId="108"/>
    <cellStyle name="Neutral" xfId="34" builtinId="28" customBuiltin="1"/>
    <cellStyle name="Neutral 2" xfId="91"/>
    <cellStyle name="Normal" xfId="0" builtinId="0"/>
    <cellStyle name="Normal 2" xfId="35"/>
    <cellStyle name="Normal 2 2" xfId="103"/>
    <cellStyle name="Normal 2 3" xfId="106"/>
    <cellStyle name="Normal 3" xfId="36"/>
    <cellStyle name="Normal 4" xfId="53"/>
    <cellStyle name="Normal 5" xfId="101"/>
    <cellStyle name="Normal 6" xfId="104"/>
    <cellStyle name="Normal_FGPAGO95" xfId="37"/>
    <cellStyle name="Notas" xfId="38" builtinId="10" customBuiltin="1"/>
    <cellStyle name="Notas 2" xfId="92"/>
    <cellStyle name="PESOS" xfId="39"/>
    <cellStyle name="Porcentaje" xfId="40" builtinId="5"/>
    <cellStyle name="Porcentaje 2" xfId="107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UDI´s" xfId="50"/>
  </cellStyles>
  <dxfs count="1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C.Lotus.Notes.Data/CUADERNOS/2002/SEPTIEMBRE/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Base%20de%20formatos%202019_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PREDIAL2018INFORMACIONCOMPLETARORDEN%20NL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. LLegadas"/>
      <sheetName val="SumP"/>
      <sheetName val="SumA"/>
      <sheetName val="FORMATO 002"/>
      <sheetName val="Formato 001"/>
      <sheetName val="FORMATO 002 (2)"/>
      <sheetName val="datos predial"/>
      <sheetName val="FORMATO 002 (3)"/>
      <sheetName val="FORMATO 009 (3)"/>
      <sheetName val="FORMATO 009 (2)"/>
      <sheetName val="FORMATO 003"/>
      <sheetName val="FORMATO 004"/>
      <sheetName val="FORMATO 004 (2)"/>
      <sheetName val="FORMATO 005"/>
      <sheetName val="FORMATO 006"/>
      <sheetName val="FORMATO 007"/>
      <sheetName val="FORMATO 009"/>
      <sheetName val="FORMATO 008"/>
      <sheetName val="datos agua"/>
      <sheetName val="FORMATO 010"/>
      <sheetName val="FORMATO 011"/>
      <sheetName val="FORMATO 011 (2)"/>
      <sheetName val="FORMATO 012"/>
      <sheetName val="FORMATO 013"/>
      <sheetName val="FORMATO 014"/>
      <sheetName val="Compendio de nomb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C2" t="str">
            <v>Aguascalientes</v>
          </cell>
        </row>
        <row r="3">
          <cell r="C3" t="str">
            <v>Baja California</v>
          </cell>
        </row>
        <row r="4">
          <cell r="C4" t="str">
            <v>Baja California Sur</v>
          </cell>
        </row>
        <row r="5">
          <cell r="C5" t="str">
            <v>Campeche</v>
          </cell>
        </row>
        <row r="6">
          <cell r="C6" t="str">
            <v>Chiapas</v>
          </cell>
        </row>
        <row r="7">
          <cell r="C7" t="str">
            <v>Chihuahua</v>
          </cell>
        </row>
        <row r="8">
          <cell r="C8" t="str">
            <v>Ciudad de México</v>
          </cell>
        </row>
        <row r="9">
          <cell r="C9" t="str">
            <v>Coahuila de Zaragoza</v>
          </cell>
        </row>
        <row r="10">
          <cell r="C10" t="str">
            <v>Colima</v>
          </cell>
        </row>
        <row r="11">
          <cell r="C11" t="str">
            <v>Durango</v>
          </cell>
        </row>
        <row r="12">
          <cell r="C12" t="str">
            <v>Guanajuato</v>
          </cell>
        </row>
        <row r="13">
          <cell r="C13" t="str">
            <v>Guerrero</v>
          </cell>
        </row>
        <row r="14">
          <cell r="C14" t="str">
            <v>Hidalgo</v>
          </cell>
        </row>
        <row r="15">
          <cell r="C15" t="str">
            <v>Jalisco</v>
          </cell>
        </row>
        <row r="16">
          <cell r="C16" t="str">
            <v>México</v>
          </cell>
        </row>
        <row r="17">
          <cell r="C17" t="str">
            <v>Michoacán de Ocampo</v>
          </cell>
        </row>
        <row r="18">
          <cell r="C18" t="str">
            <v>Morelos</v>
          </cell>
        </row>
        <row r="19">
          <cell r="C19" t="str">
            <v>Nayarit</v>
          </cell>
        </row>
        <row r="20">
          <cell r="C20" t="str">
            <v>Nuevo León</v>
          </cell>
        </row>
        <row r="21">
          <cell r="C21" t="str">
            <v>Oaxaca</v>
          </cell>
        </row>
        <row r="22">
          <cell r="C22" t="str">
            <v>Puebla</v>
          </cell>
        </row>
        <row r="23">
          <cell r="C23" t="str">
            <v>Querétaro</v>
          </cell>
        </row>
        <row r="24">
          <cell r="C24" t="str">
            <v>Quintana Roo</v>
          </cell>
        </row>
        <row r="25">
          <cell r="C25" t="str">
            <v>San Luis Potosí</v>
          </cell>
        </row>
        <row r="26">
          <cell r="C26" t="str">
            <v>Sinaloa</v>
          </cell>
        </row>
        <row r="27">
          <cell r="C27" t="str">
            <v>Sonora</v>
          </cell>
        </row>
        <row r="28">
          <cell r="C28" t="str">
            <v>Tabasco</v>
          </cell>
        </row>
        <row r="29">
          <cell r="C29" t="str">
            <v>Tamaulipas</v>
          </cell>
        </row>
        <row r="30">
          <cell r="C30" t="str">
            <v>Tlaxcala</v>
          </cell>
        </row>
        <row r="31">
          <cell r="C31" t="str">
            <v>Veracruz de Ignacio de la Llave</v>
          </cell>
        </row>
        <row r="32">
          <cell r="C32" t="str">
            <v>Yucatán</v>
          </cell>
        </row>
        <row r="33">
          <cell r="C33" t="str">
            <v>Zacatecas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H - 1-2-3"/>
      <sheetName val="IMPORTE"/>
      <sheetName val="DESCUENTOS"/>
      <sheetName val="NETO"/>
      <sheetName val="EXPEDIENTES"/>
      <sheetName val="fact 2018"/>
      <sheetName val="AÑO ANT"/>
      <sheetName val="COMP NOMINAL"/>
      <sheetName val="COMP %"/>
      <sheetName val="seleccion"/>
      <sheetName val="FACTURACIÓN"/>
    </sheetNames>
    <sheetDataSet>
      <sheetData sheetId="0" refreshError="1"/>
      <sheetData sheetId="1">
        <row r="3">
          <cell r="A3" t="str">
            <v>ABASOLO</v>
          </cell>
        </row>
        <row r="4">
          <cell r="A4" t="str">
            <v>AGUALEGUAS</v>
          </cell>
        </row>
        <row r="5">
          <cell r="A5" t="str">
            <v>ALDAMAS, LOS</v>
          </cell>
        </row>
        <row r="6">
          <cell r="A6" t="str">
            <v>ALLENDE</v>
          </cell>
        </row>
        <row r="7">
          <cell r="A7" t="str">
            <v>ANAHUAC</v>
          </cell>
        </row>
        <row r="8">
          <cell r="A8" t="str">
            <v>APODACA</v>
          </cell>
        </row>
        <row r="9">
          <cell r="A9" t="str">
            <v>ARAMBERRI</v>
          </cell>
        </row>
        <row r="10">
          <cell r="A10" t="str">
            <v>BUSTAMANTE</v>
          </cell>
        </row>
        <row r="11">
          <cell r="A11" t="str">
            <v>CADEREYTA JIMENEZ</v>
          </cell>
        </row>
        <row r="12">
          <cell r="A12" t="str">
            <v>CARMEN</v>
          </cell>
        </row>
        <row r="13">
          <cell r="A13" t="str">
            <v xml:space="preserve">CERRALVO </v>
          </cell>
        </row>
        <row r="14">
          <cell r="A14" t="str">
            <v>CHINA</v>
          </cell>
        </row>
        <row r="15">
          <cell r="A15" t="str">
            <v>CIENEGA DE FLORES</v>
          </cell>
        </row>
        <row r="16">
          <cell r="A16" t="str">
            <v>DOCTOR ARROYO</v>
          </cell>
        </row>
        <row r="17">
          <cell r="A17" t="str">
            <v>DOCTOR COSS</v>
          </cell>
        </row>
        <row r="18">
          <cell r="A18" t="str">
            <v>DOCTOR GONZALEZ</v>
          </cell>
        </row>
        <row r="19">
          <cell r="A19" t="str">
            <v>GALEANA</v>
          </cell>
        </row>
        <row r="20">
          <cell r="A20" t="str">
            <v>GARCIA</v>
          </cell>
        </row>
        <row r="21">
          <cell r="A21" t="str">
            <v>GENERAL BRAVO</v>
          </cell>
        </row>
        <row r="22">
          <cell r="A22" t="str">
            <v>GENERAL ESCOBEDO</v>
          </cell>
        </row>
        <row r="23">
          <cell r="A23" t="str">
            <v>GENERAL TERAN</v>
          </cell>
        </row>
        <row r="24">
          <cell r="A24" t="str">
            <v>GENERAL TREVIÑO</v>
          </cell>
        </row>
        <row r="25">
          <cell r="A25" t="str">
            <v>GENERAL ZARAGOZA</v>
          </cell>
        </row>
        <row r="26">
          <cell r="A26" t="str">
            <v>GENERAL ZUAZUA</v>
          </cell>
        </row>
        <row r="27">
          <cell r="A27" t="str">
            <v>GUADALUPE</v>
          </cell>
        </row>
        <row r="28">
          <cell r="A28" t="str">
            <v>HERRERAS</v>
          </cell>
        </row>
        <row r="29">
          <cell r="A29" t="str">
            <v>HIDALGO</v>
          </cell>
        </row>
        <row r="30">
          <cell r="A30" t="str">
            <v>HIGUERAS</v>
          </cell>
        </row>
        <row r="31">
          <cell r="A31" t="str">
            <v>HUALAHUISES</v>
          </cell>
        </row>
        <row r="32">
          <cell r="A32" t="str">
            <v>ITURBIDE</v>
          </cell>
        </row>
        <row r="33">
          <cell r="A33" t="str">
            <v>JUAREZ</v>
          </cell>
        </row>
        <row r="34">
          <cell r="A34" t="str">
            <v>LAMPAZOS DE NARANJO</v>
          </cell>
        </row>
        <row r="35">
          <cell r="A35" t="str">
            <v>LINARES</v>
          </cell>
        </row>
        <row r="36">
          <cell r="A36" t="str">
            <v>MARIN</v>
          </cell>
        </row>
        <row r="37">
          <cell r="A37" t="str">
            <v>MELCHOR OCAMPO</v>
          </cell>
        </row>
        <row r="38">
          <cell r="A38" t="str">
            <v>MIER Y NORIEGA</v>
          </cell>
        </row>
        <row r="39">
          <cell r="A39" t="str">
            <v>MINA</v>
          </cell>
        </row>
        <row r="40">
          <cell r="A40" t="str">
            <v>MONTEMORELOS</v>
          </cell>
        </row>
        <row r="41">
          <cell r="A41" t="str">
            <v>MONTERREY</v>
          </cell>
        </row>
        <row r="42">
          <cell r="A42" t="str">
            <v>PARAS</v>
          </cell>
        </row>
        <row r="43">
          <cell r="A43" t="str">
            <v>PESQUERIA</v>
          </cell>
        </row>
        <row r="44">
          <cell r="A44" t="str">
            <v>RAMONES</v>
          </cell>
        </row>
        <row r="45">
          <cell r="A45" t="str">
            <v>RAYONES</v>
          </cell>
        </row>
        <row r="46">
          <cell r="A46" t="str">
            <v>SABINAS HIDALGO</v>
          </cell>
        </row>
        <row r="47">
          <cell r="A47" t="str">
            <v>SALINAS VICTORIA</v>
          </cell>
        </row>
        <row r="48">
          <cell r="A48" t="str">
            <v>SAN NICOLAS DE LOS GARZA</v>
          </cell>
        </row>
        <row r="49">
          <cell r="A49" t="str">
            <v>SAN PEDRO GARZA GARCIA</v>
          </cell>
        </row>
        <row r="50">
          <cell r="A50" t="str">
            <v>SANTA CATARINA</v>
          </cell>
        </row>
        <row r="51">
          <cell r="A51" t="str">
            <v>SANTIAGO</v>
          </cell>
        </row>
        <row r="52">
          <cell r="A52" t="str">
            <v>VALLECILLO</v>
          </cell>
        </row>
        <row r="53">
          <cell r="A53" t="str">
            <v>VILLALDAMA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zoomScale="120" zoomScaleNormal="120" zoomScaleSheetLayoutView="100" workbookViewId="0">
      <selection activeCell="A12" sqref="A12"/>
    </sheetView>
  </sheetViews>
  <sheetFormatPr baseColWidth="10" defaultColWidth="11.44140625" defaultRowHeight="13.2"/>
  <cols>
    <col min="1" max="1" width="50.5546875" style="156" customWidth="1"/>
    <col min="2" max="7" width="14.44140625" style="156" customWidth="1"/>
    <col min="8" max="8" width="14.77734375" style="156" bestFit="1" customWidth="1"/>
    <col min="9" max="10" width="17.33203125" style="156" customWidth="1"/>
    <col min="11" max="16384" width="11.44140625" style="156"/>
  </cols>
  <sheetData>
    <row r="1" spans="1:10" ht="27.75" customHeight="1">
      <c r="A1" s="281" t="s">
        <v>243</v>
      </c>
      <c r="B1" s="281"/>
      <c r="C1" s="281"/>
      <c r="D1" s="281"/>
      <c r="E1" s="281"/>
      <c r="F1" s="281"/>
      <c r="G1" s="281"/>
      <c r="H1" s="281"/>
      <c r="I1" s="281"/>
      <c r="J1" s="281"/>
    </row>
    <row r="3" spans="1:10" ht="26.4">
      <c r="A3" s="157" t="s">
        <v>140</v>
      </c>
      <c r="B3" s="264" t="s">
        <v>224</v>
      </c>
      <c r="C3" s="264" t="s">
        <v>225</v>
      </c>
      <c r="D3" s="264" t="s">
        <v>226</v>
      </c>
      <c r="E3" s="264" t="s">
        <v>227</v>
      </c>
      <c r="F3" s="264" t="s">
        <v>228</v>
      </c>
      <c r="G3" s="264" t="s">
        <v>229</v>
      </c>
      <c r="H3" s="157" t="s">
        <v>220</v>
      </c>
      <c r="I3" s="157" t="s">
        <v>142</v>
      </c>
      <c r="J3" s="157" t="s">
        <v>164</v>
      </c>
    </row>
    <row r="4" spans="1:10" ht="25.5" customHeight="1">
      <c r="A4" s="158" t="s">
        <v>143</v>
      </c>
      <c r="B4" s="261">
        <v>2352188364.0836253</v>
      </c>
      <c r="C4" s="261">
        <v>3248834707.2591658</v>
      </c>
      <c r="D4" s="261">
        <v>2345869573.8403292</v>
      </c>
      <c r="E4" s="261">
        <v>2604411750.8578014</v>
      </c>
      <c r="F4" s="261">
        <v>3169097754.425601</v>
      </c>
      <c r="G4" s="261">
        <v>2894674830.4264283</v>
      </c>
      <c r="H4" s="203">
        <f t="shared" ref="H4:H12" si="0">SUM(B4:G4)</f>
        <v>16615076980.89295</v>
      </c>
      <c r="I4" s="160">
        <v>20</v>
      </c>
      <c r="J4" s="159">
        <f>+I4/100*H4</f>
        <v>3323015396.1785903</v>
      </c>
    </row>
    <row r="5" spans="1:10" ht="25.5" customHeight="1">
      <c r="A5" s="158" t="s">
        <v>192</v>
      </c>
      <c r="B5" s="261">
        <v>64734976.441389382</v>
      </c>
      <c r="C5" s="261">
        <v>93636113.101100847</v>
      </c>
      <c r="D5" s="261">
        <v>64491307.855542019</v>
      </c>
      <c r="E5" s="261">
        <v>73525816.344770119</v>
      </c>
      <c r="F5" s="261">
        <v>85436822.69936341</v>
      </c>
      <c r="G5" s="261">
        <v>70891088.991146848</v>
      </c>
      <c r="H5" s="203">
        <f t="shared" si="0"/>
        <v>452716125.43331265</v>
      </c>
      <c r="I5" s="160">
        <v>100</v>
      </c>
      <c r="J5" s="159">
        <f t="shared" ref="J5:J11" si="1">+I5/100*H5</f>
        <v>452716125.43331265</v>
      </c>
    </row>
    <row r="6" spans="1:10" ht="25.5" customHeight="1">
      <c r="A6" s="158" t="s">
        <v>191</v>
      </c>
      <c r="B6" s="261"/>
      <c r="C6" s="261"/>
      <c r="D6" s="261"/>
      <c r="E6" s="261"/>
      <c r="F6" s="261"/>
      <c r="G6" s="261">
        <v>129111803.34040377</v>
      </c>
      <c r="H6" s="203">
        <f t="shared" si="0"/>
        <v>129111803.34040377</v>
      </c>
      <c r="I6" s="160">
        <v>100</v>
      </c>
      <c r="J6" s="159">
        <f t="shared" ref="J6" si="2">+I6/100*H6</f>
        <v>129111803.34040377</v>
      </c>
    </row>
    <row r="7" spans="1:10" ht="25.5" customHeight="1">
      <c r="A7" s="158" t="s">
        <v>144</v>
      </c>
      <c r="B7" s="261">
        <v>86046527.332024768</v>
      </c>
      <c r="C7" s="261">
        <v>150000594.39680597</v>
      </c>
      <c r="D7" s="261">
        <v>128896265.35191464</v>
      </c>
      <c r="E7" s="261">
        <v>78386629.076240808</v>
      </c>
      <c r="F7" s="261">
        <v>80161656.602071047</v>
      </c>
      <c r="G7" s="261">
        <v>-17527243.803861707</v>
      </c>
      <c r="H7" s="203">
        <f t="shared" si="0"/>
        <v>505964428.95519555</v>
      </c>
      <c r="I7" s="160">
        <v>20</v>
      </c>
      <c r="J7" s="159">
        <f t="shared" si="1"/>
        <v>101192885.79103911</v>
      </c>
    </row>
    <row r="8" spans="1:10" ht="25.5" customHeight="1">
      <c r="A8" s="158" t="s">
        <v>163</v>
      </c>
      <c r="B8" s="261">
        <v>175534286.37741974</v>
      </c>
      <c r="C8" s="261">
        <v>75298111</v>
      </c>
      <c r="D8" s="261">
        <v>75298111</v>
      </c>
      <c r="E8" s="261">
        <v>228560494.11011884</v>
      </c>
      <c r="F8" s="261">
        <v>76015926.428190231</v>
      </c>
      <c r="G8" s="261">
        <v>75298110.874602646</v>
      </c>
      <c r="H8" s="203">
        <f t="shared" si="0"/>
        <v>706005039.79033148</v>
      </c>
      <c r="I8" s="160">
        <v>20</v>
      </c>
      <c r="J8" s="159">
        <f t="shared" si="1"/>
        <v>141201007.95806631</v>
      </c>
    </row>
    <row r="9" spans="1:10" ht="25.5" customHeight="1">
      <c r="A9" s="158" t="s">
        <v>162</v>
      </c>
      <c r="B9" s="261">
        <v>10847516.510172199</v>
      </c>
      <c r="C9" s="261">
        <v>8839735.7330775112</v>
      </c>
      <c r="D9" s="261">
        <v>10368130.059400821</v>
      </c>
      <c r="E9" s="261">
        <v>9214976.3235891033</v>
      </c>
      <c r="F9" s="261">
        <v>5847672.9860091917</v>
      </c>
      <c r="G9" s="261">
        <v>9680967.1520517804</v>
      </c>
      <c r="H9" s="203">
        <f t="shared" si="0"/>
        <v>54798998.7643006</v>
      </c>
      <c r="I9" s="160">
        <v>20</v>
      </c>
      <c r="J9" s="159">
        <f t="shared" si="1"/>
        <v>10959799.752860121</v>
      </c>
    </row>
    <row r="10" spans="1:10" ht="25.5" customHeight="1">
      <c r="A10" s="158" t="s">
        <v>168</v>
      </c>
      <c r="B10" s="261">
        <v>86149845</v>
      </c>
      <c r="C10" s="261">
        <v>91221010</v>
      </c>
      <c r="D10" s="261">
        <v>78467945</v>
      </c>
      <c r="E10" s="261">
        <v>57066011</v>
      </c>
      <c r="F10" s="261">
        <v>90132884</v>
      </c>
      <c r="G10" s="261">
        <v>76998845</v>
      </c>
      <c r="H10" s="203">
        <f t="shared" si="0"/>
        <v>480036540</v>
      </c>
      <c r="I10" s="160">
        <v>20</v>
      </c>
      <c r="J10" s="159">
        <f t="shared" si="1"/>
        <v>96007308</v>
      </c>
    </row>
    <row r="11" spans="1:10" ht="25.5" customHeight="1">
      <c r="A11" s="158" t="s">
        <v>167</v>
      </c>
      <c r="B11" s="261">
        <v>15217522</v>
      </c>
      <c r="C11" s="261">
        <v>15217522</v>
      </c>
      <c r="D11" s="261">
        <v>15217522</v>
      </c>
      <c r="E11" s="261">
        <v>15217522</v>
      </c>
      <c r="F11" s="261">
        <v>15217522</v>
      </c>
      <c r="G11" s="261">
        <v>15217522</v>
      </c>
      <c r="H11" s="203">
        <f t="shared" si="0"/>
        <v>91305132</v>
      </c>
      <c r="I11" s="160">
        <v>20</v>
      </c>
      <c r="J11" s="159">
        <f t="shared" si="1"/>
        <v>18261026.400000002</v>
      </c>
    </row>
    <row r="12" spans="1:10" ht="25.5" customHeight="1">
      <c r="A12" s="259" t="s">
        <v>159</v>
      </c>
      <c r="B12" s="261">
        <v>98845712.181818172</v>
      </c>
      <c r="C12" s="261">
        <v>119968288</v>
      </c>
      <c r="D12" s="261">
        <v>68708737.63636364</v>
      </c>
      <c r="E12" s="261">
        <v>81878351</v>
      </c>
      <c r="F12" s="261">
        <v>94978635.545454532</v>
      </c>
      <c r="G12" s="261">
        <v>96704582</v>
      </c>
      <c r="H12" s="203">
        <f t="shared" si="0"/>
        <v>561084306.36363637</v>
      </c>
      <c r="I12" s="160">
        <v>20</v>
      </c>
      <c r="J12" s="159">
        <f t="shared" ref="J12" si="3">+I12/100*H12</f>
        <v>112216861.27272728</v>
      </c>
    </row>
    <row r="13" spans="1:10" ht="25.5" customHeight="1">
      <c r="A13" s="177" t="s">
        <v>53</v>
      </c>
      <c r="B13" s="262">
        <f t="shared" ref="B13:G13" si="4">SUM(B4:B12)</f>
        <v>2889564749.9264498</v>
      </c>
      <c r="C13" s="262">
        <f t="shared" si="4"/>
        <v>3803016081.49015</v>
      </c>
      <c r="D13" s="262">
        <f t="shared" si="4"/>
        <v>2787317592.7435503</v>
      </c>
      <c r="E13" s="262">
        <f t="shared" si="4"/>
        <v>3148261550.7125206</v>
      </c>
      <c r="F13" s="262">
        <f t="shared" si="4"/>
        <v>3616888874.6866894</v>
      </c>
      <c r="G13" s="262">
        <f t="shared" si="4"/>
        <v>3351050505.980772</v>
      </c>
      <c r="H13" s="204">
        <f>SUM(H4:H12)</f>
        <v>19596099355.540134</v>
      </c>
      <c r="I13" s="177"/>
      <c r="J13" s="178">
        <f>SUM(J4:J12)</f>
        <v>4384682214.1269999</v>
      </c>
    </row>
    <row r="14" spans="1:10">
      <c r="A14" s="161"/>
      <c r="B14" s="161"/>
      <c r="C14" s="161"/>
      <c r="D14" s="161"/>
      <c r="E14" s="161"/>
      <c r="F14" s="161"/>
      <c r="G14" s="161"/>
      <c r="H14" s="162"/>
      <c r="I14" s="163"/>
      <c r="J14" s="162"/>
    </row>
    <row r="15" spans="1:10">
      <c r="A15" s="164" t="s">
        <v>145</v>
      </c>
      <c r="B15" s="164"/>
      <c r="C15" s="164"/>
      <c r="D15" s="164"/>
      <c r="E15" s="164"/>
      <c r="F15" s="164"/>
      <c r="G15" s="164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showGridLines="0" tabSelected="1" zoomScale="130" zoomScaleNormal="130" zoomScaleSheetLayoutView="100" workbookViewId="0">
      <selection sqref="A1:K1"/>
    </sheetView>
  </sheetViews>
  <sheetFormatPr baseColWidth="10" defaultColWidth="11.44140625" defaultRowHeight="13.2"/>
  <cols>
    <col min="1" max="1" width="28" style="267" customWidth="1"/>
    <col min="2" max="2" width="13.77734375" style="267" bestFit="1" customWidth="1"/>
    <col min="3" max="3" width="12.44140625" style="267" bestFit="1" customWidth="1"/>
    <col min="4" max="4" width="16.44140625" style="267" customWidth="1"/>
    <col min="5" max="6" width="12.21875" style="267" bestFit="1" customWidth="1"/>
    <col min="7" max="7" width="11.21875" style="267" bestFit="1" customWidth="1"/>
    <col min="8" max="8" width="11.44140625" style="267" bestFit="1" customWidth="1"/>
    <col min="9" max="9" width="11.77734375" style="267" bestFit="1" customWidth="1"/>
    <col min="10" max="10" width="12.21875" style="267" bestFit="1" customWidth="1"/>
    <col min="11" max="11" width="15.33203125" style="267" customWidth="1"/>
    <col min="12" max="12" width="11.44140625" style="267"/>
    <col min="13" max="13" width="27.77734375" style="267" bestFit="1" customWidth="1"/>
    <col min="14" max="16384" width="11.44140625" style="267"/>
  </cols>
  <sheetData>
    <row r="1" spans="1:23">
      <c r="A1" s="282" t="s">
        <v>146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M1" s="282" t="s">
        <v>146</v>
      </c>
      <c r="N1" s="282"/>
      <c r="O1" s="282"/>
      <c r="P1" s="282"/>
      <c r="Q1" s="282"/>
      <c r="R1" s="282"/>
      <c r="S1" s="282"/>
      <c r="T1" s="282"/>
      <c r="U1" s="282"/>
      <c r="V1" s="282"/>
      <c r="W1" s="282"/>
    </row>
    <row r="2" spans="1:23">
      <c r="A2" s="282" t="s">
        <v>174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M2" s="282" t="s">
        <v>174</v>
      </c>
      <c r="N2" s="282"/>
      <c r="O2" s="282"/>
      <c r="P2" s="282"/>
      <c r="Q2" s="282"/>
      <c r="R2" s="282"/>
      <c r="S2" s="282"/>
      <c r="T2" s="282"/>
      <c r="U2" s="282"/>
      <c r="V2" s="282"/>
      <c r="W2" s="282"/>
    </row>
    <row r="3" spans="1:23">
      <c r="A3" s="282" t="s">
        <v>244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M3" s="282" t="s">
        <v>251</v>
      </c>
      <c r="N3" s="282"/>
      <c r="O3" s="282"/>
      <c r="P3" s="282"/>
      <c r="Q3" s="282"/>
      <c r="R3" s="282"/>
      <c r="S3" s="282"/>
      <c r="T3" s="282"/>
      <c r="U3" s="282"/>
      <c r="V3" s="282"/>
      <c r="W3" s="282"/>
    </row>
    <row r="4" spans="1:23" ht="13.5" customHeight="1" thickBot="1">
      <c r="A4" s="283" t="s">
        <v>250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M4" s="283" t="s">
        <v>252</v>
      </c>
      <c r="N4" s="283"/>
      <c r="O4" s="283"/>
      <c r="P4" s="283"/>
      <c r="Q4" s="283"/>
      <c r="R4" s="283"/>
      <c r="S4" s="283"/>
      <c r="T4" s="283"/>
      <c r="U4" s="283"/>
      <c r="V4" s="283"/>
      <c r="W4" s="283"/>
    </row>
    <row r="5" spans="1:23" ht="14.4" thickTop="1" thickBot="1">
      <c r="A5" s="268" t="s">
        <v>0</v>
      </c>
      <c r="B5" s="269" t="s">
        <v>132</v>
      </c>
      <c r="C5" s="269" t="s">
        <v>238</v>
      </c>
      <c r="D5" s="269" t="s">
        <v>239</v>
      </c>
      <c r="E5" s="269" t="s">
        <v>134</v>
      </c>
      <c r="F5" s="269" t="s">
        <v>155</v>
      </c>
      <c r="G5" s="269" t="s">
        <v>147</v>
      </c>
      <c r="H5" s="269" t="s">
        <v>171</v>
      </c>
      <c r="I5" s="269" t="s">
        <v>172</v>
      </c>
      <c r="J5" s="269" t="s">
        <v>240</v>
      </c>
      <c r="K5" s="270" t="s">
        <v>53</v>
      </c>
      <c r="M5" s="268" t="s">
        <v>0</v>
      </c>
      <c r="N5" s="269" t="s">
        <v>132</v>
      </c>
      <c r="O5" s="269" t="s">
        <v>238</v>
      </c>
      <c r="P5" s="269" t="s">
        <v>239</v>
      </c>
      <c r="Q5" s="269" t="s">
        <v>134</v>
      </c>
      <c r="R5" s="269" t="s">
        <v>155</v>
      </c>
      <c r="S5" s="269" t="s">
        <v>147</v>
      </c>
      <c r="T5" s="269" t="s">
        <v>171</v>
      </c>
      <c r="U5" s="269" t="s">
        <v>172</v>
      </c>
      <c r="V5" s="269" t="s">
        <v>240</v>
      </c>
      <c r="W5" s="270" t="s">
        <v>53</v>
      </c>
    </row>
    <row r="6" spans="1:23" ht="13.8" thickTop="1">
      <c r="A6" s="271" t="s">
        <v>1</v>
      </c>
      <c r="B6" s="272">
        <f>+'Calculo Coef Actualizado'!B6-'pagado 1er Sem'!B6</f>
        <v>-11699.884602804203</v>
      </c>
      <c r="C6" s="272">
        <f>+'Calculo Coef Actualizado'!C6-'pagado 1er Sem'!C6</f>
        <v>-1593.9515572020318</v>
      </c>
      <c r="D6" s="272">
        <f>+'Calculo Coef Actualizado'!D6-'pagado 1er Sem'!D6</f>
        <v>0</v>
      </c>
      <c r="E6" s="272">
        <f>+'Calculo Coef Actualizado'!E6-'pagado 1er Sem'!E6</f>
        <v>-356.28538017139363</v>
      </c>
      <c r="F6" s="272">
        <f>+'Calculo Coef Actualizado'!F6-'pagado 1er Sem'!F6</f>
        <v>-497.15031003361219</v>
      </c>
      <c r="G6" s="272">
        <f>+'Calculo Coef Actualizado'!G6-'pagado 1er Sem'!G6</f>
        <v>-38.587955285391217</v>
      </c>
      <c r="H6" s="272">
        <f>+'Calculo Coef Actualizado'!H6-'pagado 1er Sem'!H6</f>
        <v>-338.02858164913778</v>
      </c>
      <c r="I6" s="272">
        <f>+'Calculo Coef Actualizado'!I6-'pagado 1er Sem'!I6</f>
        <v>-64.294589552649995</v>
      </c>
      <c r="J6" s="272">
        <f>+'Calculo Coef Actualizado'!J6-'pagado 1er Sem'!J6</f>
        <v>54.97913781911484</v>
      </c>
      <c r="K6" s="273">
        <f>SUM(B6:J6)</f>
        <v>-14533.203838879304</v>
      </c>
      <c r="M6" s="271" t="s">
        <v>1</v>
      </c>
      <c r="N6" s="272">
        <f>+B6/6</f>
        <v>-1949.9807671340338</v>
      </c>
      <c r="O6" s="272">
        <f t="shared" ref="O6:V21" si="0">+C6/6</f>
        <v>-265.65859286700532</v>
      </c>
      <c r="P6" s="272">
        <f t="shared" si="0"/>
        <v>0</v>
      </c>
      <c r="Q6" s="272">
        <f t="shared" si="0"/>
        <v>-59.380896695232273</v>
      </c>
      <c r="R6" s="272">
        <f t="shared" si="0"/>
        <v>-82.858385005602031</v>
      </c>
      <c r="S6" s="272">
        <f t="shared" si="0"/>
        <v>-6.4313258808985365</v>
      </c>
      <c r="T6" s="272">
        <f t="shared" si="0"/>
        <v>-56.338096941522963</v>
      </c>
      <c r="U6" s="272">
        <f t="shared" si="0"/>
        <v>-10.715764925441666</v>
      </c>
      <c r="V6" s="272">
        <f t="shared" si="0"/>
        <v>9.1631896365191405</v>
      </c>
      <c r="W6" s="273">
        <f>SUM(N6:V6)</f>
        <v>-2422.2006398132175</v>
      </c>
    </row>
    <row r="7" spans="1:23">
      <c r="A7" s="271" t="s">
        <v>2</v>
      </c>
      <c r="B7" s="272">
        <f>+'Calculo Coef Actualizado'!B7-'pagado 1er Sem'!B7</f>
        <v>-23174.907054270618</v>
      </c>
      <c r="C7" s="272">
        <f>+'Calculo Coef Actualizado'!C7-'pagado 1er Sem'!C7</f>
        <v>-3157.26888268115</v>
      </c>
      <c r="D7" s="272">
        <f>+'Calculo Coef Actualizado'!D7-'pagado 1er Sem'!D7</f>
        <v>0</v>
      </c>
      <c r="E7" s="272">
        <f>+'Calculo Coef Actualizado'!E7-'pagado 1er Sem'!E7</f>
        <v>-705.72403162374394</v>
      </c>
      <c r="F7" s="272">
        <f>+'Calculo Coef Actualizado'!F7-'pagado 1er Sem'!F7</f>
        <v>-984.74517167499289</v>
      </c>
      <c r="G7" s="272">
        <f>+'Calculo Coef Actualizado'!G7-'pagado 1er Sem'!G7</f>
        <v>-76.434287286101608</v>
      </c>
      <c r="H7" s="272">
        <f>+'Calculo Coef Actualizado'!H7-'pagado 1er Sem'!H7</f>
        <v>-669.56059027853189</v>
      </c>
      <c r="I7" s="272">
        <f>+'Calculo Coef Actualizado'!I7-'pagado 1er Sem'!I7</f>
        <v>-127.35348778400657</v>
      </c>
      <c r="J7" s="272">
        <f>+'Calculo Coef Actualizado'!J7-'pagado 1er Sem'!J7</f>
        <v>-431.07132525490306</v>
      </c>
      <c r="K7" s="273">
        <f t="shared" ref="K7:K56" si="1">SUM(B7:J7)</f>
        <v>-29327.064830854048</v>
      </c>
      <c r="M7" s="271" t="s">
        <v>2</v>
      </c>
      <c r="N7" s="272">
        <f t="shared" ref="N7:N56" si="2">+B7/6</f>
        <v>-3862.4845090451031</v>
      </c>
      <c r="O7" s="272">
        <f t="shared" si="0"/>
        <v>-526.21148044685833</v>
      </c>
      <c r="P7" s="272">
        <f t="shared" si="0"/>
        <v>0</v>
      </c>
      <c r="Q7" s="272">
        <f t="shared" si="0"/>
        <v>-117.62067193729065</v>
      </c>
      <c r="R7" s="272">
        <f t="shared" si="0"/>
        <v>-164.12419527916549</v>
      </c>
      <c r="S7" s="272">
        <f t="shared" si="0"/>
        <v>-12.739047881016935</v>
      </c>
      <c r="T7" s="272">
        <f t="shared" si="0"/>
        <v>-111.59343171308865</v>
      </c>
      <c r="U7" s="272">
        <f t="shared" si="0"/>
        <v>-21.225581297334429</v>
      </c>
      <c r="V7" s="272">
        <f t="shared" si="0"/>
        <v>-71.845220875817176</v>
      </c>
      <c r="W7" s="273">
        <f t="shared" ref="W7:W56" si="3">SUM(N7:V7)</f>
        <v>-4887.8441384756743</v>
      </c>
    </row>
    <row r="8" spans="1:23">
      <c r="A8" s="271" t="s">
        <v>3</v>
      </c>
      <c r="B8" s="272">
        <f>+'Calculo Coef Actualizado'!B8-'pagado 1er Sem'!B8</f>
        <v>51188.014869855717</v>
      </c>
      <c r="C8" s="272">
        <f>+'Calculo Coef Actualizado'!C8-'pagado 1er Sem'!C8</f>
        <v>6973.6780768691096</v>
      </c>
      <c r="D8" s="272">
        <f>+'Calculo Coef Actualizado'!D8-'pagado 1er Sem'!D8</f>
        <v>0</v>
      </c>
      <c r="E8" s="272">
        <f>+'Calculo Coef Actualizado'!E8-'pagado 1er Sem'!E8</f>
        <v>1558.7837487790675</v>
      </c>
      <c r="F8" s="272">
        <f>+'Calculo Coef Actualizado'!F8-'pagado 1er Sem'!F8</f>
        <v>2175.0725987456972</v>
      </c>
      <c r="G8" s="272">
        <f>+'Calculo Coef Actualizado'!G8-'pagado 1er Sem'!G8</f>
        <v>168.82569655338739</v>
      </c>
      <c r="H8" s="272">
        <f>+'Calculo Coef Actualizado'!H8-'pagado 1er Sem'!H8</f>
        <v>1478.9048147864814</v>
      </c>
      <c r="I8" s="272">
        <f>+'Calculo Coef Actualizado'!I8-'pagado 1er Sem'!I8</f>
        <v>281.29442118595762</v>
      </c>
      <c r="J8" s="272">
        <f>+'Calculo Coef Actualizado'!J8-'pagado 1er Sem'!J8</f>
        <v>134.65279174003808</v>
      </c>
      <c r="K8" s="273">
        <f t="shared" si="1"/>
        <v>63959.227018515456</v>
      </c>
      <c r="M8" s="271" t="s">
        <v>3</v>
      </c>
      <c r="N8" s="272">
        <f t="shared" si="2"/>
        <v>8531.3358116426189</v>
      </c>
      <c r="O8" s="272">
        <f t="shared" si="0"/>
        <v>1162.279679478185</v>
      </c>
      <c r="P8" s="272">
        <f t="shared" si="0"/>
        <v>0</v>
      </c>
      <c r="Q8" s="272">
        <f t="shared" si="0"/>
        <v>259.79729146317794</v>
      </c>
      <c r="R8" s="272">
        <f t="shared" si="0"/>
        <v>362.51209979094955</v>
      </c>
      <c r="S8" s="272">
        <f t="shared" si="0"/>
        <v>28.13761609223123</v>
      </c>
      <c r="T8" s="272">
        <f t="shared" si="0"/>
        <v>246.48413579774692</v>
      </c>
      <c r="U8" s="272">
        <f t="shared" si="0"/>
        <v>46.882403530992939</v>
      </c>
      <c r="V8" s="272">
        <f t="shared" si="0"/>
        <v>22.442131956673013</v>
      </c>
      <c r="W8" s="273">
        <f t="shared" si="3"/>
        <v>10659.871169752576</v>
      </c>
    </row>
    <row r="9" spans="1:23">
      <c r="A9" s="271" t="s">
        <v>4</v>
      </c>
      <c r="B9" s="272">
        <f>+'Calculo Coef Actualizado'!B9-'pagado 1er Sem'!B9</f>
        <v>720380.744391229</v>
      </c>
      <c r="C9" s="272">
        <f>+'Calculo Coef Actualizado'!C9-'pagado 1er Sem'!C9</f>
        <v>98142.181217295118</v>
      </c>
      <c r="D9" s="272">
        <f>+'Calculo Coef Actualizado'!D9-'pagado 1er Sem'!D9</f>
        <v>0</v>
      </c>
      <c r="E9" s="272">
        <f>+'Calculo Coef Actualizado'!E9-'pagado 1er Sem'!E9</f>
        <v>21937.125409921864</v>
      </c>
      <c r="F9" s="272">
        <f>+'Calculo Coef Actualizado'!F9-'pagado 1er Sem'!F9</f>
        <v>30610.296921208734</v>
      </c>
      <c r="G9" s="272">
        <f>+'Calculo Coef Actualizado'!G9-'pagado 1er Sem'!G9</f>
        <v>2375.9229966552812</v>
      </c>
      <c r="H9" s="272">
        <f>+'Calculo Coef Actualizado'!H9-'pagado 1er Sem'!H9</f>
        <v>20812.968852391699</v>
      </c>
      <c r="I9" s="272">
        <f>+'Calculo Coef Actualizado'!I9-'pagado 1er Sem'!I9</f>
        <v>3958.721289434543</v>
      </c>
      <c r="J9" s="272">
        <f>+'Calculo Coef Actualizado'!J9-'pagado 1er Sem'!J9</f>
        <v>11579.127956448239</v>
      </c>
      <c r="K9" s="273">
        <f t="shared" si="1"/>
        <v>909797.08903458458</v>
      </c>
      <c r="M9" s="271" t="s">
        <v>4</v>
      </c>
      <c r="N9" s="272">
        <f t="shared" si="2"/>
        <v>120063.45739853817</v>
      </c>
      <c r="O9" s="272">
        <f t="shared" si="0"/>
        <v>16357.030202882519</v>
      </c>
      <c r="P9" s="272">
        <f t="shared" si="0"/>
        <v>0</v>
      </c>
      <c r="Q9" s="272">
        <f t="shared" si="0"/>
        <v>3656.1875683203107</v>
      </c>
      <c r="R9" s="272">
        <f t="shared" si="0"/>
        <v>5101.7161535347886</v>
      </c>
      <c r="S9" s="272">
        <f t="shared" si="0"/>
        <v>395.98716610921355</v>
      </c>
      <c r="T9" s="272">
        <f t="shared" si="0"/>
        <v>3468.8281420652834</v>
      </c>
      <c r="U9" s="272">
        <f t="shared" si="0"/>
        <v>659.78688157242379</v>
      </c>
      <c r="V9" s="272">
        <f t="shared" si="0"/>
        <v>1929.8546594080399</v>
      </c>
      <c r="W9" s="273">
        <f t="shared" si="3"/>
        <v>151632.84817243076</v>
      </c>
    </row>
    <row r="10" spans="1:23">
      <c r="A10" s="271" t="s">
        <v>5</v>
      </c>
      <c r="B10" s="272">
        <f>+'Calculo Coef Actualizado'!B10-'pagado 1er Sem'!B10</f>
        <v>-84219.583477541804</v>
      </c>
      <c r="C10" s="272">
        <f>+'Calculo Coef Actualizado'!C10-'pagado 1er Sem'!C10</f>
        <v>-11473.78517355537</v>
      </c>
      <c r="D10" s="272">
        <f>+'Calculo Coef Actualizado'!D10-'pagado 1er Sem'!D10</f>
        <v>0</v>
      </c>
      <c r="E10" s="272">
        <f>+'Calculo Coef Actualizado'!E10-'pagado 1er Sem'!E10</f>
        <v>-2564.6668794848956</v>
      </c>
      <c r="F10" s="272">
        <f>+'Calculo Coef Actualizado'!F10-'pagado 1er Sem'!F10</f>
        <v>-3578.6431230811868</v>
      </c>
      <c r="G10" s="272">
        <f>+'Calculo Coef Actualizado'!G10-'pagado 1er Sem'!G10</f>
        <v>-277.76874127869087</v>
      </c>
      <c r="H10" s="272">
        <f>+'Calculo Coef Actualizado'!H10-'pagado 1er Sem'!H10</f>
        <v>-2433.2405616901815</v>
      </c>
      <c r="I10" s="272">
        <f>+'Calculo Coef Actualizado'!I10-'pagado 1er Sem'!I10</f>
        <v>-462.81339089068933</v>
      </c>
      <c r="J10" s="272">
        <f>+'Calculo Coef Actualizado'!J10-'pagado 1er Sem'!J10</f>
        <v>-5245.3443104187027</v>
      </c>
      <c r="K10" s="273">
        <f t="shared" si="1"/>
        <v>-110255.84565794152</v>
      </c>
      <c r="M10" s="271" t="s">
        <v>5</v>
      </c>
      <c r="N10" s="272">
        <f t="shared" si="2"/>
        <v>-14036.597246256968</v>
      </c>
      <c r="O10" s="272">
        <f t="shared" si="0"/>
        <v>-1912.297528925895</v>
      </c>
      <c r="P10" s="272">
        <f t="shared" si="0"/>
        <v>0</v>
      </c>
      <c r="Q10" s="272">
        <f t="shared" si="0"/>
        <v>-427.44447991414927</v>
      </c>
      <c r="R10" s="272">
        <f t="shared" si="0"/>
        <v>-596.44052051353117</v>
      </c>
      <c r="S10" s="272">
        <f t="shared" si="0"/>
        <v>-46.294790213115142</v>
      </c>
      <c r="T10" s="272">
        <f t="shared" si="0"/>
        <v>-405.54009361503023</v>
      </c>
      <c r="U10" s="272">
        <f t="shared" si="0"/>
        <v>-77.135565148448222</v>
      </c>
      <c r="V10" s="272">
        <f t="shared" si="0"/>
        <v>-874.22405173645041</v>
      </c>
      <c r="W10" s="273">
        <f t="shared" si="3"/>
        <v>-18375.974276323588</v>
      </c>
    </row>
    <row r="11" spans="1:23">
      <c r="A11" s="271" t="s">
        <v>6</v>
      </c>
      <c r="B11" s="272">
        <f>+'Calculo Coef Actualizado'!B11-'pagado 1er Sem'!B11</f>
        <v>-10964856.499224335</v>
      </c>
      <c r="C11" s="272">
        <f>+'Calculo Coef Actualizado'!C11-'pagado 1er Sem'!C11</f>
        <v>-1493814.1289668866</v>
      </c>
      <c r="D11" s="272">
        <f>+'Calculo Coef Actualizado'!D11-'pagado 1er Sem'!D11</f>
        <v>0</v>
      </c>
      <c r="E11" s="272">
        <f>+'Calculo Coef Actualizado'!E11-'pagado 1er Sem'!E11</f>
        <v>-333903.19832422864</v>
      </c>
      <c r="F11" s="272">
        <f>+'Calculo Coef Actualizado'!F11-'pagado 1er Sem'!F11</f>
        <v>-465916.82772672735</v>
      </c>
      <c r="G11" s="272">
        <f>+'Calculo Coef Actualizado'!G11-'pagado 1er Sem'!G11</f>
        <v>-36163.729987709783</v>
      </c>
      <c r="H11" s="272">
        <f>+'Calculo Coef Actualizado'!H11-'pagado 1er Sem'!H11</f>
        <v>-316792.50000356417</v>
      </c>
      <c r="I11" s="272">
        <f>+'Calculo Coef Actualizado'!I11-'pagado 1er Sem'!I11</f>
        <v>-60255.373550829478</v>
      </c>
      <c r="J11" s="272">
        <f>+'Calculo Coef Actualizado'!J11-'pagado 1er Sem'!J11</f>
        <v>-221764.56027352996</v>
      </c>
      <c r="K11" s="273">
        <f t="shared" si="1"/>
        <v>-13893466.818057811</v>
      </c>
      <c r="M11" s="271" t="s">
        <v>6</v>
      </c>
      <c r="N11" s="272">
        <f t="shared" si="2"/>
        <v>-1827476.0832040559</v>
      </c>
      <c r="O11" s="272">
        <f t="shared" si="0"/>
        <v>-248969.0214944811</v>
      </c>
      <c r="P11" s="272">
        <f t="shared" si="0"/>
        <v>0</v>
      </c>
      <c r="Q11" s="272">
        <f t="shared" si="0"/>
        <v>-55650.533054038104</v>
      </c>
      <c r="R11" s="272">
        <f t="shared" si="0"/>
        <v>-77652.80462112122</v>
      </c>
      <c r="S11" s="272">
        <f t="shared" si="0"/>
        <v>-6027.2883312849635</v>
      </c>
      <c r="T11" s="272">
        <f t="shared" si="0"/>
        <v>-52798.750000594031</v>
      </c>
      <c r="U11" s="272">
        <f t="shared" si="0"/>
        <v>-10042.56225847158</v>
      </c>
      <c r="V11" s="272">
        <f t="shared" si="0"/>
        <v>-36960.760045588329</v>
      </c>
      <c r="W11" s="273">
        <f t="shared" si="3"/>
        <v>-2315577.8030096358</v>
      </c>
    </row>
    <row r="12" spans="1:23">
      <c r="A12" s="271" t="s">
        <v>7</v>
      </c>
      <c r="B12" s="272">
        <f>+'Calculo Coef Actualizado'!B12-'pagado 1er Sem'!B12</f>
        <v>-92650.946893058717</v>
      </c>
      <c r="C12" s="272">
        <f>+'Calculo Coef Actualizado'!C12-'pagado 1er Sem'!C12</f>
        <v>-12622.444431550801</v>
      </c>
      <c r="D12" s="272">
        <f>+'Calculo Coef Actualizado'!D12-'pagado 1er Sem'!D12</f>
        <v>0</v>
      </c>
      <c r="E12" s="272">
        <f>+'Calculo Coef Actualizado'!E12-'pagado 1er Sem'!E12</f>
        <v>-2821.4177837172756</v>
      </c>
      <c r="F12" s="272">
        <f>+'Calculo Coef Actualizado'!F12-'pagado 1er Sem'!F12</f>
        <v>-3936.9088306531776</v>
      </c>
      <c r="G12" s="272">
        <f>+'Calculo Coef Actualizado'!G12-'pagado 1er Sem'!G12</f>
        <v>-305.57661948511668</v>
      </c>
      <c r="H12" s="272">
        <f>+'Calculo Coef Actualizado'!H12-'pagado 1er Sem'!H12</f>
        <v>-2676.8361832554219</v>
      </c>
      <c r="I12" s="272">
        <f>+'Calculo Coef Actualizado'!I12-'pagado 1er Sem'!I12</f>
        <v>-509.14642006080248</v>
      </c>
      <c r="J12" s="272">
        <f>+'Calculo Coef Actualizado'!J12-'pagado 1er Sem'!J12</f>
        <v>-2679.2372061002534</v>
      </c>
      <c r="K12" s="273">
        <f t="shared" si="1"/>
        <v>-118202.51436788157</v>
      </c>
      <c r="M12" s="271" t="s">
        <v>7</v>
      </c>
      <c r="N12" s="272">
        <f t="shared" si="2"/>
        <v>-15441.824482176453</v>
      </c>
      <c r="O12" s="272">
        <f t="shared" si="0"/>
        <v>-2103.7407385918</v>
      </c>
      <c r="P12" s="272">
        <f t="shared" si="0"/>
        <v>0</v>
      </c>
      <c r="Q12" s="272">
        <f t="shared" si="0"/>
        <v>-470.23629728621262</v>
      </c>
      <c r="R12" s="272">
        <f t="shared" si="0"/>
        <v>-656.15147177552956</v>
      </c>
      <c r="S12" s="272">
        <f t="shared" si="0"/>
        <v>-50.92943658085278</v>
      </c>
      <c r="T12" s="272">
        <f t="shared" si="0"/>
        <v>-446.13936387590365</v>
      </c>
      <c r="U12" s="272">
        <f t="shared" si="0"/>
        <v>-84.857736676800414</v>
      </c>
      <c r="V12" s="272">
        <f t="shared" si="0"/>
        <v>-446.53953435004223</v>
      </c>
      <c r="W12" s="273">
        <f t="shared" si="3"/>
        <v>-19700.419061313598</v>
      </c>
    </row>
    <row r="13" spans="1:23">
      <c r="A13" s="271" t="s">
        <v>8</v>
      </c>
      <c r="B13" s="272">
        <f>+'Calculo Coef Actualizado'!B13-'pagado 1er Sem'!B13</f>
        <v>-15286.31935476698</v>
      </c>
      <c r="C13" s="272">
        <f>+'Calculo Coef Actualizado'!C13-'pagado 1er Sem'!C13</f>
        <v>-2082.5553287831135</v>
      </c>
      <c r="D13" s="272">
        <f>+'Calculo Coef Actualizado'!D13-'pagado 1er Sem'!D13</f>
        <v>0</v>
      </c>
      <c r="E13" s="272">
        <f>+'Calculo Coef Actualizado'!E13-'pagado 1er Sem'!E13</f>
        <v>-465.50110628156108</v>
      </c>
      <c r="F13" s="272">
        <f>+'Calculo Coef Actualizado'!F13-'pagado 1er Sem'!F13</f>
        <v>-649.54355676737032</v>
      </c>
      <c r="G13" s="272">
        <f>+'Calculo Coef Actualizado'!G13-'pagado 1er Sem'!G13</f>
        <v>-50.416559393448551</v>
      </c>
      <c r="H13" s="272">
        <f>+'Calculo Coef Actualizado'!H13-'pagado 1er Sem'!H13</f>
        <v>-441.64658844901714</v>
      </c>
      <c r="I13" s="272">
        <f>+'Calculo Coef Actualizado'!I13-'pagado 1er Sem'!I13</f>
        <v>-84.003185774643498</v>
      </c>
      <c r="J13" s="272">
        <f>+'Calculo Coef Actualizado'!J13-'pagado 1er Sem'!J13</f>
        <v>201.7918158852699</v>
      </c>
      <c r="K13" s="273">
        <f t="shared" si="1"/>
        <v>-18858.193864330864</v>
      </c>
      <c r="M13" s="271" t="s">
        <v>8</v>
      </c>
      <c r="N13" s="272">
        <f t="shared" si="2"/>
        <v>-2547.7198924611635</v>
      </c>
      <c r="O13" s="272">
        <f t="shared" si="0"/>
        <v>-347.09255479718558</v>
      </c>
      <c r="P13" s="272">
        <f t="shared" si="0"/>
        <v>0</v>
      </c>
      <c r="Q13" s="272">
        <f t="shared" si="0"/>
        <v>-77.583517713593508</v>
      </c>
      <c r="R13" s="272">
        <f t="shared" si="0"/>
        <v>-108.25725946122839</v>
      </c>
      <c r="S13" s="272">
        <f t="shared" si="0"/>
        <v>-8.4027598989080925</v>
      </c>
      <c r="T13" s="272">
        <f t="shared" si="0"/>
        <v>-73.607764741502862</v>
      </c>
      <c r="U13" s="272">
        <f t="shared" si="0"/>
        <v>-14.000530962440584</v>
      </c>
      <c r="V13" s="272">
        <f t="shared" si="0"/>
        <v>33.631969314211652</v>
      </c>
      <c r="W13" s="273">
        <f t="shared" si="3"/>
        <v>-3143.032310721811</v>
      </c>
    </row>
    <row r="14" spans="1:23">
      <c r="A14" s="271" t="s">
        <v>9</v>
      </c>
      <c r="B14" s="272">
        <f>+'Calculo Coef Actualizado'!B14-'pagado 1er Sem'!B14</f>
        <v>-151948.9824988097</v>
      </c>
      <c r="C14" s="272">
        <f>+'Calculo Coef Actualizado'!C14-'pagado 1er Sem'!C14</f>
        <v>-20701.00421625562</v>
      </c>
      <c r="D14" s="272">
        <f>+'Calculo Coef Actualizado'!D14-'pagado 1er Sem'!D14</f>
        <v>0</v>
      </c>
      <c r="E14" s="272">
        <f>+'Calculo Coef Actualizado'!E14-'pagado 1er Sem'!E14</f>
        <v>-4627.1709343662951</v>
      </c>
      <c r="F14" s="272">
        <f>+'Calculo Coef Actualizado'!F14-'pagado 1er Sem'!F14</f>
        <v>-6456.5894340113737</v>
      </c>
      <c r="G14" s="272">
        <f>+'Calculo Coef Actualizado'!G14-'pagado 1er Sem'!G14</f>
        <v>-501.15038653236115</v>
      </c>
      <c r="H14" s="272">
        <f>+'Calculo Coef Actualizado'!H14-'pagado 1er Sem'!H14</f>
        <v>-4390.0528095865157</v>
      </c>
      <c r="I14" s="272">
        <f>+'Calculo Coef Actualizado'!I14-'pagado 1er Sem'!I14</f>
        <v>-835.00797859812155</v>
      </c>
      <c r="J14" s="272">
        <f>+'Calculo Coef Actualizado'!J14-'pagado 1er Sem'!J14</f>
        <v>-18738.511950049549</v>
      </c>
      <c r="K14" s="273">
        <f t="shared" si="1"/>
        <v>-208198.47020820953</v>
      </c>
      <c r="M14" s="271" t="s">
        <v>9</v>
      </c>
      <c r="N14" s="272">
        <f t="shared" si="2"/>
        <v>-25324.830416468281</v>
      </c>
      <c r="O14" s="272">
        <f t="shared" si="0"/>
        <v>-3450.1673693759367</v>
      </c>
      <c r="P14" s="272">
        <f t="shared" si="0"/>
        <v>0</v>
      </c>
      <c r="Q14" s="272">
        <f t="shared" si="0"/>
        <v>-771.19515572771581</v>
      </c>
      <c r="R14" s="272">
        <f t="shared" si="0"/>
        <v>-1076.0982390018955</v>
      </c>
      <c r="S14" s="272">
        <f t="shared" si="0"/>
        <v>-83.525064422060197</v>
      </c>
      <c r="T14" s="272">
        <f t="shared" si="0"/>
        <v>-731.67546826441924</v>
      </c>
      <c r="U14" s="272">
        <f t="shared" si="0"/>
        <v>-139.16799643302025</v>
      </c>
      <c r="V14" s="272">
        <f t="shared" si="0"/>
        <v>-3123.0853250082582</v>
      </c>
      <c r="W14" s="273">
        <f t="shared" si="3"/>
        <v>-34699.745034701591</v>
      </c>
    </row>
    <row r="15" spans="1:23">
      <c r="A15" s="271" t="s">
        <v>10</v>
      </c>
      <c r="B15" s="272">
        <f>+'Calculo Coef Actualizado'!B15-'pagado 1er Sem'!B15</f>
        <v>258018.42079637758</v>
      </c>
      <c r="C15" s="272">
        <f>+'Calculo Coef Actualizado'!C15-'pagado 1er Sem'!C15</f>
        <v>35151.53733386891</v>
      </c>
      <c r="D15" s="272">
        <f>+'Calculo Coef Actualizado'!D15-'pagado 1er Sem'!D15</f>
        <v>0</v>
      </c>
      <c r="E15" s="272">
        <f>+'Calculo Coef Actualizado'!E15-'pagado 1er Sem'!E15</f>
        <v>7857.2096422475879</v>
      </c>
      <c r="F15" s="272">
        <f>+'Calculo Coef Actualizado'!F15-'pagado 1er Sem'!F15</f>
        <v>10963.675073662191</v>
      </c>
      <c r="G15" s="272">
        <f>+'Calculo Coef Actualizado'!G15-'pagado 1er Sem'!G15</f>
        <v>850.98318470039521</v>
      </c>
      <c r="H15" s="272">
        <f>+'Calculo Coef Actualizado'!H15-'pagado 1er Sem'!H15</f>
        <v>7454.5709374021681</v>
      </c>
      <c r="I15" s="272">
        <f>+'Calculo Coef Actualizado'!I15-'pagado 1er Sem'!I15</f>
        <v>1417.8932782548072</v>
      </c>
      <c r="J15" s="272">
        <f>+'Calculo Coef Actualizado'!J15-'pagado 1er Sem'!J15</f>
        <v>2083.4287344003096</v>
      </c>
      <c r="K15" s="273">
        <f t="shared" si="1"/>
        <v>323797.71898091398</v>
      </c>
      <c r="M15" s="271" t="s">
        <v>10</v>
      </c>
      <c r="N15" s="272">
        <f t="shared" si="2"/>
        <v>43003.070132729597</v>
      </c>
      <c r="O15" s="272">
        <f t="shared" si="0"/>
        <v>5858.5895556448186</v>
      </c>
      <c r="P15" s="272">
        <f t="shared" si="0"/>
        <v>0</v>
      </c>
      <c r="Q15" s="272">
        <f t="shared" si="0"/>
        <v>1309.5349403745979</v>
      </c>
      <c r="R15" s="272">
        <f t="shared" si="0"/>
        <v>1827.2791789436985</v>
      </c>
      <c r="S15" s="272">
        <f t="shared" si="0"/>
        <v>141.83053078339921</v>
      </c>
      <c r="T15" s="272">
        <f t="shared" si="0"/>
        <v>1242.428489567028</v>
      </c>
      <c r="U15" s="272">
        <f t="shared" si="0"/>
        <v>236.3155463758012</v>
      </c>
      <c r="V15" s="272">
        <f t="shared" si="0"/>
        <v>347.23812240005162</v>
      </c>
      <c r="W15" s="273">
        <f t="shared" si="3"/>
        <v>53966.28649681899</v>
      </c>
    </row>
    <row r="16" spans="1:23">
      <c r="A16" s="271" t="s">
        <v>11</v>
      </c>
      <c r="B16" s="272">
        <f>+'Calculo Coef Actualizado'!B16-'pagado 1er Sem'!B16</f>
        <v>-975082.05648127198</v>
      </c>
      <c r="C16" s="272">
        <f>+'Calculo Coef Actualizado'!C16-'pagado 1er Sem'!C16</f>
        <v>-132841.80721395276</v>
      </c>
      <c r="D16" s="272">
        <f>+'Calculo Coef Actualizado'!D16-'pagado 1er Sem'!D16</f>
        <v>0</v>
      </c>
      <c r="E16" s="272">
        <f>+'Calculo Coef Actualizado'!E16-'pagado 1er Sem'!E16</f>
        <v>-29693.322347665846</v>
      </c>
      <c r="F16" s="272">
        <f>+'Calculo Coef Actualizado'!F16-'pagado 1er Sem'!F16</f>
        <v>-41433.021724070655</v>
      </c>
      <c r="G16" s="272">
        <f>+'Calculo Coef Actualizado'!G16-'pagado 1er Sem'!G16</f>
        <v>-3215.9658649045159</v>
      </c>
      <c r="H16" s="272">
        <f>+'Calculo Coef Actualizado'!H16-'pagado 1er Sem'!H16</f>
        <v>-28171.703158642573</v>
      </c>
      <c r="I16" s="272">
        <f>+'Calculo Coef Actualizado'!I16-'pagado 1er Sem'!I16</f>
        <v>-5358.3859995439998</v>
      </c>
      <c r="J16" s="272">
        <f>+'Calculo Coef Actualizado'!J16-'pagado 1er Sem'!J16</f>
        <v>-22152.207369899406</v>
      </c>
      <c r="K16" s="273">
        <f t="shared" si="1"/>
        <v>-1237948.4701599518</v>
      </c>
      <c r="M16" s="271" t="s">
        <v>11</v>
      </c>
      <c r="N16" s="272">
        <f t="shared" si="2"/>
        <v>-162513.676080212</v>
      </c>
      <c r="O16" s="272">
        <f t="shared" si="0"/>
        <v>-22140.30120232546</v>
      </c>
      <c r="P16" s="272">
        <f t="shared" si="0"/>
        <v>0</v>
      </c>
      <c r="Q16" s="272">
        <f t="shared" si="0"/>
        <v>-4948.8870579443073</v>
      </c>
      <c r="R16" s="272">
        <f t="shared" si="0"/>
        <v>-6905.5036206784425</v>
      </c>
      <c r="S16" s="272">
        <f t="shared" si="0"/>
        <v>-535.99431081741932</v>
      </c>
      <c r="T16" s="272">
        <f t="shared" si="0"/>
        <v>-4695.2838597737618</v>
      </c>
      <c r="U16" s="272">
        <f t="shared" si="0"/>
        <v>-893.06433325733326</v>
      </c>
      <c r="V16" s="272">
        <f t="shared" si="0"/>
        <v>-3692.0345616499012</v>
      </c>
      <c r="W16" s="273">
        <f t="shared" si="3"/>
        <v>-206324.74502665864</v>
      </c>
    </row>
    <row r="17" spans="1:23">
      <c r="A17" s="271" t="s">
        <v>12</v>
      </c>
      <c r="B17" s="272">
        <f>+'Calculo Coef Actualizado'!B17-'pagado 1er Sem'!B17</f>
        <v>-77141.082179311663</v>
      </c>
      <c r="C17" s="272">
        <f>+'Calculo Coef Actualizado'!C17-'pagado 1er Sem'!C17</f>
        <v>-10509.434380260296</v>
      </c>
      <c r="D17" s="272">
        <f>+'Calculo Coef Actualizado'!D17-'pagado 1er Sem'!D17</f>
        <v>0</v>
      </c>
      <c r="E17" s="272">
        <f>+'Calculo Coef Actualizado'!E17-'pagado 1er Sem'!E17</f>
        <v>-2349.1104828738607</v>
      </c>
      <c r="F17" s="272">
        <f>+'Calculo Coef Actualizado'!F17-'pagado 1er Sem'!F17</f>
        <v>-3277.8654291371349</v>
      </c>
      <c r="G17" s="272">
        <f>+'Calculo Coef Actualizado'!G17-'pagado 1er Sem'!G17</f>
        <v>-254.42278281354811</v>
      </c>
      <c r="H17" s="272">
        <f>+'Calculo Coef Actualizado'!H17-'pagado 1er Sem'!H17</f>
        <v>-2228.731098319171</v>
      </c>
      <c r="I17" s="272">
        <f>+'Calculo Coef Actualizado'!I17-'pagado 1er Sem'!I17</f>
        <v>-423.91477791647776</v>
      </c>
      <c r="J17" s="272">
        <f>+'Calculo Coef Actualizado'!J17-'pagado 1er Sem'!J17</f>
        <v>264.62469824712025</v>
      </c>
      <c r="K17" s="273">
        <f t="shared" si="1"/>
        <v>-95919.936432385031</v>
      </c>
      <c r="M17" s="271" t="s">
        <v>12</v>
      </c>
      <c r="N17" s="272">
        <f t="shared" si="2"/>
        <v>-12856.847029885277</v>
      </c>
      <c r="O17" s="272">
        <f t="shared" si="0"/>
        <v>-1751.5723967100494</v>
      </c>
      <c r="P17" s="272">
        <f t="shared" si="0"/>
        <v>0</v>
      </c>
      <c r="Q17" s="272">
        <f t="shared" si="0"/>
        <v>-391.51841381231014</v>
      </c>
      <c r="R17" s="272">
        <f t="shared" si="0"/>
        <v>-546.31090485618915</v>
      </c>
      <c r="S17" s="272">
        <f t="shared" si="0"/>
        <v>-42.403797135591354</v>
      </c>
      <c r="T17" s="272">
        <f t="shared" si="0"/>
        <v>-371.45518305319519</v>
      </c>
      <c r="U17" s="272">
        <f t="shared" si="0"/>
        <v>-70.652462986079627</v>
      </c>
      <c r="V17" s="272">
        <f t="shared" si="0"/>
        <v>44.104116374520039</v>
      </c>
      <c r="W17" s="273">
        <f t="shared" si="3"/>
        <v>-15986.656072064172</v>
      </c>
    </row>
    <row r="18" spans="1:23">
      <c r="A18" s="271" t="s">
        <v>13</v>
      </c>
      <c r="B18" s="272">
        <f>+'Calculo Coef Actualizado'!B18-'pagado 1er Sem'!B18</f>
        <v>-39250.154281612486</v>
      </c>
      <c r="C18" s="272">
        <f>+'Calculo Coef Actualizado'!C18-'pagado 1er Sem'!C18</f>
        <v>-5347.3055190630257</v>
      </c>
      <c r="D18" s="272">
        <f>+'Calculo Coef Actualizado'!D18-'pagado 1er Sem'!D18</f>
        <v>0</v>
      </c>
      <c r="E18" s="272">
        <f>+'Calculo Coef Actualizado'!E18-'pagado 1er Sem'!E18</f>
        <v>-1195.2515878343256</v>
      </c>
      <c r="F18" s="272">
        <f>+'Calculo Coef Actualizado'!F18-'pagado 1er Sem'!F18</f>
        <v>-1667.810177869047</v>
      </c>
      <c r="G18" s="272">
        <f>+'Calculo Coef Actualizado'!G18-'pagado 1er Sem'!G18</f>
        <v>-129.45286167566519</v>
      </c>
      <c r="H18" s="272">
        <f>+'Calculo Coef Actualizado'!H18-'pagado 1er Sem'!H18</f>
        <v>-1134.000727664039</v>
      </c>
      <c r="I18" s="272">
        <f>+'Calculo Coef Actualizado'!I18-'pagado 1er Sem'!I18</f>
        <v>-215.69207764285966</v>
      </c>
      <c r="J18" s="272">
        <f>+'Calculo Coef Actualizado'!J18-'pagado 1er Sem'!J18</f>
        <v>2066.5334588172846</v>
      </c>
      <c r="K18" s="273">
        <f t="shared" si="1"/>
        <v>-46873.133774544163</v>
      </c>
      <c r="M18" s="271" t="s">
        <v>13</v>
      </c>
      <c r="N18" s="272">
        <f t="shared" si="2"/>
        <v>-6541.6923802687479</v>
      </c>
      <c r="O18" s="272">
        <f t="shared" si="0"/>
        <v>-891.21758651050425</v>
      </c>
      <c r="P18" s="272">
        <f t="shared" si="0"/>
        <v>0</v>
      </c>
      <c r="Q18" s="272">
        <f t="shared" si="0"/>
        <v>-199.20859797238759</v>
      </c>
      <c r="R18" s="272">
        <f t="shared" si="0"/>
        <v>-277.96836297817453</v>
      </c>
      <c r="S18" s="272">
        <f t="shared" si="0"/>
        <v>-21.5754769459442</v>
      </c>
      <c r="T18" s="272">
        <f t="shared" si="0"/>
        <v>-189.00012127733984</v>
      </c>
      <c r="U18" s="272">
        <f t="shared" si="0"/>
        <v>-35.948679607143276</v>
      </c>
      <c r="V18" s="272">
        <f t="shared" si="0"/>
        <v>344.42224313621409</v>
      </c>
      <c r="W18" s="273">
        <f t="shared" si="3"/>
        <v>-7812.1889624240284</v>
      </c>
    </row>
    <row r="19" spans="1:23">
      <c r="A19" s="271" t="s">
        <v>14</v>
      </c>
      <c r="B19" s="272">
        <f>+'Calculo Coef Actualizado'!B19-'pagado 1er Sem'!B19</f>
        <v>312815.71495585144</v>
      </c>
      <c r="C19" s="272">
        <f>+'Calculo Coef Actualizado'!C19-'pagado 1er Sem'!C19</f>
        <v>42616.931296061724</v>
      </c>
      <c r="D19" s="272">
        <f>+'Calculo Coef Actualizado'!D19-'pagado 1er Sem'!D19</f>
        <v>0</v>
      </c>
      <c r="E19" s="272">
        <f>+'Calculo Coef Actualizado'!E19-'pagado 1er Sem'!E19</f>
        <v>9525.9042205857113</v>
      </c>
      <c r="F19" s="272">
        <f>+'Calculo Coef Actualizado'!F19-'pagado 1er Sem'!F19</f>
        <v>13292.112076028716</v>
      </c>
      <c r="G19" s="272">
        <f>+'Calculo Coef Actualizado'!G19-'pagado 1er Sem'!G19</f>
        <v>1031.7128261412727</v>
      </c>
      <c r="H19" s="272">
        <f>+'Calculo Coef Actualizado'!H19-'pagado 1er Sem'!H19</f>
        <v>9037.7537331283092</v>
      </c>
      <c r="I19" s="272">
        <f>+'Calculo Coef Actualizado'!I19-'pagado 1er Sem'!I19</f>
        <v>1719.0218352637603</v>
      </c>
      <c r="J19" s="272">
        <f>+'Calculo Coef Actualizado'!J19-'pagado 1er Sem'!J19</f>
        <v>-15.112295849481598</v>
      </c>
      <c r="K19" s="273">
        <f t="shared" si="1"/>
        <v>390024.03864721145</v>
      </c>
      <c r="M19" s="271" t="s">
        <v>14</v>
      </c>
      <c r="N19" s="272">
        <f t="shared" si="2"/>
        <v>52135.952492641904</v>
      </c>
      <c r="O19" s="272">
        <f t="shared" si="0"/>
        <v>7102.8218826769544</v>
      </c>
      <c r="P19" s="272">
        <f t="shared" si="0"/>
        <v>0</v>
      </c>
      <c r="Q19" s="272">
        <f t="shared" si="0"/>
        <v>1587.6507034309518</v>
      </c>
      <c r="R19" s="272">
        <f t="shared" si="0"/>
        <v>2215.3520126714525</v>
      </c>
      <c r="S19" s="272">
        <f t="shared" si="0"/>
        <v>171.95213769021211</v>
      </c>
      <c r="T19" s="272">
        <f t="shared" si="0"/>
        <v>1506.2922888547182</v>
      </c>
      <c r="U19" s="272">
        <f t="shared" si="0"/>
        <v>286.50363921062672</v>
      </c>
      <c r="V19" s="272">
        <f t="shared" si="0"/>
        <v>-2.5187159749135994</v>
      </c>
      <c r="W19" s="273">
        <f t="shared" si="3"/>
        <v>65004.006441201906</v>
      </c>
    </row>
    <row r="20" spans="1:23">
      <c r="A20" s="271" t="s">
        <v>15</v>
      </c>
      <c r="B20" s="272">
        <f>+'Calculo Coef Actualizado'!B20-'pagado 1er Sem'!B20</f>
        <v>74578.960335588083</v>
      </c>
      <c r="C20" s="272">
        <f>+'Calculo Coef Actualizado'!C20-'pagado 1er Sem'!C20</f>
        <v>10160.379619568586</v>
      </c>
      <c r="D20" s="272">
        <f>+'Calculo Coef Actualizado'!D20-'pagado 1er Sem'!D20</f>
        <v>0</v>
      </c>
      <c r="E20" s="272">
        <f>+'Calculo Coef Actualizado'!E20-'pagado 1er Sem'!E20</f>
        <v>2271.0878841916565</v>
      </c>
      <c r="F20" s="272">
        <f>+'Calculo Coef Actualizado'!F20-'pagado 1er Sem'!F20</f>
        <v>3168.9966146089137</v>
      </c>
      <c r="G20" s="272">
        <f>+'Calculo Coef Actualizado'!G20-'pagado 1er Sem'!G20</f>
        <v>245.97251957645858</v>
      </c>
      <c r="H20" s="272">
        <f>+'Calculo Coef Actualizado'!H20-'pagado 1er Sem'!H20</f>
        <v>2154.7071999387699</v>
      </c>
      <c r="I20" s="272">
        <f>+'Calculo Coef Actualizado'!I20-'pagado 1er Sem'!I20</f>
        <v>409.83510510942142</v>
      </c>
      <c r="J20" s="272">
        <f>+'Calculo Coef Actualizado'!J20-'pagado 1er Sem'!J20</f>
        <v>414.12603157079138</v>
      </c>
      <c r="K20" s="273">
        <f t="shared" si="1"/>
        <v>93404.065310152684</v>
      </c>
      <c r="M20" s="271" t="s">
        <v>15</v>
      </c>
      <c r="N20" s="272">
        <f t="shared" si="2"/>
        <v>12429.826722598014</v>
      </c>
      <c r="O20" s="272">
        <f t="shared" si="0"/>
        <v>1693.396603261431</v>
      </c>
      <c r="P20" s="272">
        <f t="shared" si="0"/>
        <v>0</v>
      </c>
      <c r="Q20" s="272">
        <f t="shared" si="0"/>
        <v>378.51464736527606</v>
      </c>
      <c r="R20" s="272">
        <f t="shared" si="0"/>
        <v>528.16610243481898</v>
      </c>
      <c r="S20" s="272">
        <f t="shared" si="0"/>
        <v>40.995419929409763</v>
      </c>
      <c r="T20" s="272">
        <f t="shared" si="0"/>
        <v>359.11786665646167</v>
      </c>
      <c r="U20" s="272">
        <f t="shared" si="0"/>
        <v>68.305850851570241</v>
      </c>
      <c r="V20" s="272">
        <f t="shared" si="0"/>
        <v>69.021005261798564</v>
      </c>
      <c r="W20" s="273">
        <f t="shared" si="3"/>
        <v>15567.344218358781</v>
      </c>
    </row>
    <row r="21" spans="1:23">
      <c r="A21" s="271" t="s">
        <v>16</v>
      </c>
      <c r="B21" s="272">
        <f>+'Calculo Coef Actualizado'!B21-'pagado 1er Sem'!B21</f>
        <v>-19112.333942952566</v>
      </c>
      <c r="C21" s="272">
        <f>+'Calculo Coef Actualizado'!C21-'pagado 1er Sem'!C21</f>
        <v>-2603.7984878171701</v>
      </c>
      <c r="D21" s="272">
        <f>+'Calculo Coef Actualizado'!D21-'pagado 1er Sem'!D21</f>
        <v>0</v>
      </c>
      <c r="E21" s="272">
        <f>+'Calculo Coef Actualizado'!E21-'pagado 1er Sem'!E21</f>
        <v>-582.01201019098517</v>
      </c>
      <c r="F21" s="272">
        <f>+'Calculo Coef Actualizado'!F21-'pagado 1er Sem'!F21</f>
        <v>-812.11742108874023</v>
      </c>
      <c r="G21" s="272">
        <f>+'Calculo Coef Actualizado'!G21-'pagado 1er Sem'!G21</f>
        <v>-63.035329743415787</v>
      </c>
      <c r="H21" s="272">
        <f>+'Calculo Coef Actualizado'!H21-'pagado 1er Sem'!H21</f>
        <v>-552.18640567158582</v>
      </c>
      <c r="I21" s="272">
        <f>+'Calculo Coef Actualizado'!I21-'pagado 1er Sem'!I21</f>
        <v>-105.02835092294117</v>
      </c>
      <c r="J21" s="272">
        <f>+'Calculo Coef Actualizado'!J21-'pagado 1er Sem'!J21</f>
        <v>411.24992166849552</v>
      </c>
      <c r="K21" s="273">
        <f t="shared" si="1"/>
        <v>-23419.262026718909</v>
      </c>
      <c r="M21" s="271" t="s">
        <v>16</v>
      </c>
      <c r="N21" s="272">
        <f t="shared" si="2"/>
        <v>-3185.3889904920943</v>
      </c>
      <c r="O21" s="272">
        <f t="shared" si="0"/>
        <v>-433.966414636195</v>
      </c>
      <c r="P21" s="272">
        <f t="shared" si="0"/>
        <v>0</v>
      </c>
      <c r="Q21" s="272">
        <f t="shared" si="0"/>
        <v>-97.002001698497523</v>
      </c>
      <c r="R21" s="272">
        <f t="shared" si="0"/>
        <v>-135.35290351479003</v>
      </c>
      <c r="S21" s="272">
        <f t="shared" si="0"/>
        <v>-10.505888290569297</v>
      </c>
      <c r="T21" s="272">
        <f t="shared" si="0"/>
        <v>-92.031067611930965</v>
      </c>
      <c r="U21" s="272">
        <f t="shared" si="0"/>
        <v>-17.504725153823529</v>
      </c>
      <c r="V21" s="272">
        <f t="shared" si="0"/>
        <v>68.541653611415924</v>
      </c>
      <c r="W21" s="273">
        <f t="shared" si="3"/>
        <v>-3903.2103377864851</v>
      </c>
    </row>
    <row r="22" spans="1:23">
      <c r="A22" s="271" t="s">
        <v>17</v>
      </c>
      <c r="B22" s="272">
        <f>+'Calculo Coef Actualizado'!B22-'pagado 1er Sem'!B22</f>
        <v>-167617.33348269761</v>
      </c>
      <c r="C22" s="272">
        <f>+'Calculo Coef Actualizado'!C22-'pagado 1er Sem'!C22</f>
        <v>-22835.605635646731</v>
      </c>
      <c r="D22" s="272">
        <f>+'Calculo Coef Actualizado'!D22-'pagado 1er Sem'!D22</f>
        <v>0</v>
      </c>
      <c r="E22" s="272">
        <f>+'Calculo Coef Actualizado'!E22-'pagado 1er Sem'!E22</f>
        <v>-5104.3035126121249</v>
      </c>
      <c r="F22" s="272">
        <f>+'Calculo Coef Actualizado'!F22-'pagado 1er Sem'!F22</f>
        <v>-7122.3679833388887</v>
      </c>
      <c r="G22" s="272">
        <f>+'Calculo Coef Actualizado'!G22-'pagado 1er Sem'!G22</f>
        <v>-552.82692779946956</v>
      </c>
      <c r="H22" s="272">
        <f>+'Calculo Coef Actualizado'!H22-'pagado 1er Sem'!H22</f>
        <v>-4842.7367484017741</v>
      </c>
      <c r="I22" s="272">
        <f>+'Calculo Coef Actualizado'!I22-'pagado 1er Sem'!I22</f>
        <v>-921.11055595701328</v>
      </c>
      <c r="J22" s="272">
        <f>+'Calculo Coef Actualizado'!J22-'pagado 1er Sem'!J22</f>
        <v>432.44447891646996</v>
      </c>
      <c r="K22" s="273">
        <f t="shared" si="1"/>
        <v>-208563.84036753714</v>
      </c>
      <c r="M22" s="271" t="s">
        <v>17</v>
      </c>
      <c r="N22" s="272">
        <f t="shared" si="2"/>
        <v>-27936.222247116268</v>
      </c>
      <c r="O22" s="272">
        <f t="shared" ref="O22:O56" si="4">+C22/6</f>
        <v>-3805.9342726077884</v>
      </c>
      <c r="P22" s="272">
        <f t="shared" ref="P22:P56" si="5">+D22/6</f>
        <v>0</v>
      </c>
      <c r="Q22" s="272">
        <f t="shared" ref="Q22:Q56" si="6">+E22/6</f>
        <v>-850.71725210202078</v>
      </c>
      <c r="R22" s="272">
        <f t="shared" ref="R22:R56" si="7">+F22/6</f>
        <v>-1187.0613305564814</v>
      </c>
      <c r="S22" s="272">
        <f t="shared" ref="S22:S56" si="8">+G22/6</f>
        <v>-92.137821299911593</v>
      </c>
      <c r="T22" s="272">
        <f t="shared" ref="T22:T56" si="9">+H22/6</f>
        <v>-807.12279140029568</v>
      </c>
      <c r="U22" s="272">
        <f t="shared" ref="U22:U56" si="10">+I22/6</f>
        <v>-153.51842599283555</v>
      </c>
      <c r="V22" s="272">
        <f t="shared" ref="V22:V56" si="11">+J22/6</f>
        <v>72.074079819411665</v>
      </c>
      <c r="W22" s="273">
        <f t="shared" si="3"/>
        <v>-34760.640061256192</v>
      </c>
    </row>
    <row r="23" spans="1:23">
      <c r="A23" s="271" t="s">
        <v>18</v>
      </c>
      <c r="B23" s="272">
        <f>+'Calculo Coef Actualizado'!B23-'pagado 1er Sem'!B23</f>
        <v>4539955.1079355627</v>
      </c>
      <c r="C23" s="272">
        <f>+'Calculo Coef Actualizado'!C23-'pagado 1er Sem'!C23</f>
        <v>618507.78318293206</v>
      </c>
      <c r="D23" s="272">
        <f>+'Calculo Coef Actualizado'!D23-'pagado 1er Sem'!D23</f>
        <v>0</v>
      </c>
      <c r="E23" s="272">
        <f>+'Calculo Coef Actualizado'!E23-'pagado 1er Sem'!E23</f>
        <v>138251.28812804678</v>
      </c>
      <c r="F23" s="272">
        <f>+'Calculo Coef Actualizado'!F23-'pagado 1er Sem'!F23</f>
        <v>192911.00422090292</v>
      </c>
      <c r="G23" s="272">
        <f>+'Calculo Coef Actualizado'!G23-'pagado 1er Sem'!G23</f>
        <v>14973.448190748459</v>
      </c>
      <c r="H23" s="272">
        <f>+'Calculo Coef Actualizado'!H23-'pagado 1er Sem'!H23</f>
        <v>131166.67135339347</v>
      </c>
      <c r="I23" s="272">
        <f>+'Calculo Coef Actualizado'!I23-'pagado 1er Sem'!I23</f>
        <v>24948.49713168072</v>
      </c>
      <c r="J23" s="272">
        <f>+'Calculo Coef Actualizado'!J23-'pagado 1er Sem'!J23</f>
        <v>65928.368661358021</v>
      </c>
      <c r="K23" s="273">
        <f t="shared" si="1"/>
        <v>5726642.168804625</v>
      </c>
      <c r="M23" s="271" t="s">
        <v>18</v>
      </c>
      <c r="N23" s="272">
        <f t="shared" si="2"/>
        <v>756659.18465592712</v>
      </c>
      <c r="O23" s="272">
        <f t="shared" si="4"/>
        <v>103084.63053048868</v>
      </c>
      <c r="P23" s="272">
        <f t="shared" si="5"/>
        <v>0</v>
      </c>
      <c r="Q23" s="272">
        <f t="shared" si="6"/>
        <v>23041.881354674464</v>
      </c>
      <c r="R23" s="272">
        <f t="shared" si="7"/>
        <v>32151.834036817152</v>
      </c>
      <c r="S23" s="272">
        <f t="shared" si="8"/>
        <v>2495.5746984580765</v>
      </c>
      <c r="T23" s="272">
        <f t="shared" si="9"/>
        <v>21861.111892232246</v>
      </c>
      <c r="U23" s="272">
        <f t="shared" si="10"/>
        <v>4158.0828552801204</v>
      </c>
      <c r="V23" s="272">
        <f t="shared" si="11"/>
        <v>10988.061443559671</v>
      </c>
      <c r="W23" s="273">
        <f t="shared" si="3"/>
        <v>954440.36146743759</v>
      </c>
    </row>
    <row r="24" spans="1:23">
      <c r="A24" s="271" t="s">
        <v>19</v>
      </c>
      <c r="B24" s="272">
        <f>+'Calculo Coef Actualizado'!B24-'pagado 1er Sem'!B24</f>
        <v>-32216.110512141138</v>
      </c>
      <c r="C24" s="272">
        <f>+'Calculo Coef Actualizado'!C24-'pagado 1er Sem'!C24</f>
        <v>-4389.011447590543</v>
      </c>
      <c r="D24" s="272">
        <f>+'Calculo Coef Actualizado'!D24-'pagado 1er Sem'!D24</f>
        <v>0</v>
      </c>
      <c r="E24" s="272">
        <f>+'Calculo Coef Actualizado'!E24-'pagado 1er Sem'!E24</f>
        <v>-981.04894826019881</v>
      </c>
      <c r="F24" s="272">
        <f>+'Calculo Coef Actualizado'!F24-'pagado 1er Sem'!F24</f>
        <v>-1368.9216213223408</v>
      </c>
      <c r="G24" s="272">
        <f>+'Calculo Coef Actualizado'!G24-'pagado 1er Sem'!G24</f>
        <v>-106.25353028021345</v>
      </c>
      <c r="H24" s="272">
        <f>+'Calculo Coef Actualizado'!H24-'pagado 1er Sem'!H24</f>
        <v>-930.77570931595983</v>
      </c>
      <c r="I24" s="272">
        <f>+'Calculo Coef Actualizado'!I24-'pagado 1er Sem'!I24</f>
        <v>-177.03777312533202</v>
      </c>
      <c r="J24" s="272">
        <f>+'Calculo Coef Actualizado'!J24-'pagado 1er Sem'!J24</f>
        <v>568.11118283352698</v>
      </c>
      <c r="K24" s="273">
        <f t="shared" si="1"/>
        <v>-39601.048359202199</v>
      </c>
      <c r="M24" s="271" t="s">
        <v>19</v>
      </c>
      <c r="N24" s="272">
        <f t="shared" si="2"/>
        <v>-5369.3517520235227</v>
      </c>
      <c r="O24" s="272">
        <f t="shared" si="4"/>
        <v>-731.50190793175716</v>
      </c>
      <c r="P24" s="272">
        <f t="shared" si="5"/>
        <v>0</v>
      </c>
      <c r="Q24" s="272">
        <f t="shared" si="6"/>
        <v>-163.50815804336648</v>
      </c>
      <c r="R24" s="272">
        <f t="shared" si="7"/>
        <v>-228.15360355372346</v>
      </c>
      <c r="S24" s="272">
        <f t="shared" si="8"/>
        <v>-17.708921713368909</v>
      </c>
      <c r="T24" s="272">
        <f t="shared" si="9"/>
        <v>-155.12928488599331</v>
      </c>
      <c r="U24" s="272">
        <f t="shared" si="10"/>
        <v>-29.506295520888671</v>
      </c>
      <c r="V24" s="272">
        <f t="shared" si="11"/>
        <v>94.685197138921168</v>
      </c>
      <c r="W24" s="273">
        <f t="shared" si="3"/>
        <v>-6600.174726533699</v>
      </c>
    </row>
    <row r="25" spans="1:23">
      <c r="A25" s="271" t="s">
        <v>20</v>
      </c>
      <c r="B25" s="272">
        <f>+'Calculo Coef Actualizado'!B25-'pagado 1er Sem'!B25</f>
        <v>-440375.32654562593</v>
      </c>
      <c r="C25" s="272">
        <f>+'Calculo Coef Actualizado'!C25-'pagado 1er Sem'!C25</f>
        <v>-59995.211880680174</v>
      </c>
      <c r="D25" s="272">
        <f>+'Calculo Coef Actualizado'!D25-'pagado 1er Sem'!D25</f>
        <v>0</v>
      </c>
      <c r="E25" s="272">
        <f>+'Calculo Coef Actualizado'!E25-'pagado 1er Sem'!E25</f>
        <v>-13410.366614587605</v>
      </c>
      <c r="F25" s="272">
        <f>+'Calculo Coef Actualizado'!F25-'pagado 1er Sem'!F25</f>
        <v>-18712.352751324885</v>
      </c>
      <c r="G25" s="272">
        <f>+'Calculo Coef Actualizado'!G25-'pagado 1er Sem'!G25</f>
        <v>-1452.4234322392731</v>
      </c>
      <c r="H25" s="272">
        <f>+'Calculo Coef Actualizado'!H25-'pagado 1er Sem'!H25</f>
        <v>-12723.158009249717</v>
      </c>
      <c r="I25" s="272">
        <f>+'Calculo Coef Actualizado'!I25-'pagado 1er Sem'!I25</f>
        <v>-2420.002465251484</v>
      </c>
      <c r="J25" s="272">
        <f>+'Calculo Coef Actualizado'!J25-'pagado 1er Sem'!J25</f>
        <v>50565.557431400754</v>
      </c>
      <c r="K25" s="273">
        <f t="shared" si="1"/>
        <v>-498523.28426755837</v>
      </c>
      <c r="M25" s="271" t="s">
        <v>20</v>
      </c>
      <c r="N25" s="272">
        <f t="shared" si="2"/>
        <v>-73395.887757604316</v>
      </c>
      <c r="O25" s="272">
        <f t="shared" si="4"/>
        <v>-9999.2019801133629</v>
      </c>
      <c r="P25" s="272">
        <f t="shared" si="5"/>
        <v>0</v>
      </c>
      <c r="Q25" s="272">
        <f t="shared" si="6"/>
        <v>-2235.0611024312675</v>
      </c>
      <c r="R25" s="272">
        <f t="shared" si="7"/>
        <v>-3118.7254585541473</v>
      </c>
      <c r="S25" s="272">
        <f t="shared" si="8"/>
        <v>-242.07057203987884</v>
      </c>
      <c r="T25" s="272">
        <f t="shared" si="9"/>
        <v>-2120.5263348749527</v>
      </c>
      <c r="U25" s="272">
        <f t="shared" si="10"/>
        <v>-403.33374420858064</v>
      </c>
      <c r="V25" s="272">
        <f t="shared" si="11"/>
        <v>8427.5929052334595</v>
      </c>
      <c r="W25" s="273">
        <f t="shared" si="3"/>
        <v>-83087.214044593056</v>
      </c>
    </row>
    <row r="26" spans="1:23">
      <c r="A26" s="271" t="s">
        <v>21</v>
      </c>
      <c r="B26" s="272">
        <f>+'Calculo Coef Actualizado'!B26-'pagado 1er Sem'!B26</f>
        <v>-65019.715127136558</v>
      </c>
      <c r="C26" s="272">
        <f>+'Calculo Coef Actualizado'!C26-'pagado 1er Sem'!C26</f>
        <v>-8858.060991411563</v>
      </c>
      <c r="D26" s="272">
        <f>+'Calculo Coef Actualizado'!D26-'pagado 1er Sem'!D26</f>
        <v>0</v>
      </c>
      <c r="E26" s="272">
        <f>+'Calculo Coef Actualizado'!E26-'pagado 1er Sem'!E26</f>
        <v>-1979.9880795917707</v>
      </c>
      <c r="F26" s="272">
        <f>+'Calculo Coef Actualizado'!F26-'pagado 1er Sem'!F26</f>
        <v>-2762.807152827736</v>
      </c>
      <c r="G26" s="272">
        <f>+'Calculo Coef Actualizado'!G26-'pagado 1er Sem'!G26</f>
        <v>-214.44470179842028</v>
      </c>
      <c r="H26" s="272">
        <f>+'Calculo Coef Actualizado'!H26-'pagado 1er Sem'!H26</f>
        <v>-1878.5250573433004</v>
      </c>
      <c r="I26" s="272">
        <f>+'Calculo Coef Actualizado'!I26-'pagado 1er Sem'!I26</f>
        <v>-357.30401392982458</v>
      </c>
      <c r="J26" s="272">
        <f>+'Calculo Coef Actualizado'!J26-'pagado 1er Sem'!J26</f>
        <v>-1482.5730313969543</v>
      </c>
      <c r="K26" s="273">
        <f t="shared" si="1"/>
        <v>-82553.418155436128</v>
      </c>
      <c r="M26" s="271" t="s">
        <v>21</v>
      </c>
      <c r="N26" s="272">
        <f t="shared" si="2"/>
        <v>-10836.619187856093</v>
      </c>
      <c r="O26" s="272">
        <f t="shared" si="4"/>
        <v>-1476.3434985685938</v>
      </c>
      <c r="P26" s="272">
        <f t="shared" si="5"/>
        <v>0</v>
      </c>
      <c r="Q26" s="272">
        <f t="shared" si="6"/>
        <v>-329.99801326529513</v>
      </c>
      <c r="R26" s="272">
        <f t="shared" si="7"/>
        <v>-460.46785880462267</v>
      </c>
      <c r="S26" s="272">
        <f t="shared" si="8"/>
        <v>-35.740783633070045</v>
      </c>
      <c r="T26" s="272">
        <f t="shared" si="9"/>
        <v>-313.08750955721672</v>
      </c>
      <c r="U26" s="272">
        <f t="shared" si="10"/>
        <v>-59.550668988304096</v>
      </c>
      <c r="V26" s="272">
        <f t="shared" si="11"/>
        <v>-247.09550523282573</v>
      </c>
      <c r="W26" s="273">
        <f t="shared" si="3"/>
        <v>-13758.903025906022</v>
      </c>
    </row>
    <row r="27" spans="1:23">
      <c r="A27" s="271" t="s">
        <v>22</v>
      </c>
      <c r="B27" s="272">
        <f>+'Calculo Coef Actualizado'!B27-'pagado 1er Sem'!B27</f>
        <v>-10429.135156124365</v>
      </c>
      <c r="C27" s="272">
        <f>+'Calculo Coef Actualizado'!C27-'pagado 1er Sem'!C27</f>
        <v>-1420.8290055355174</v>
      </c>
      <c r="D27" s="272">
        <f>+'Calculo Coef Actualizado'!D27-'pagado 1er Sem'!D27</f>
        <v>0</v>
      </c>
      <c r="E27" s="272">
        <f>+'Calculo Coef Actualizado'!E27-'pagado 1er Sem'!E27</f>
        <v>-317.58819771921844</v>
      </c>
      <c r="F27" s="272">
        <f>+'Calculo Coef Actualizado'!F27-'pagado 1er Sem'!F27</f>
        <v>-443.15396747773048</v>
      </c>
      <c r="G27" s="272">
        <f>+'Calculo Coef Actualizado'!G27-'pagado 1er Sem'!G27</f>
        <v>-34.396833217650055</v>
      </c>
      <c r="H27" s="272">
        <f>+'Calculo Coef Actualizado'!H27-'pagado 1er Sem'!H27</f>
        <v>-301.31455591056147</v>
      </c>
      <c r="I27" s="272">
        <f>+'Calculo Coef Actualizado'!I27-'pagado 1er Sem'!I27</f>
        <v>-57.311417669148796</v>
      </c>
      <c r="J27" s="272">
        <f>+'Calculo Coef Actualizado'!J27-'pagado 1er Sem'!J27</f>
        <v>90.508521382667823</v>
      </c>
      <c r="K27" s="273">
        <f t="shared" si="1"/>
        <v>-12913.220612271523</v>
      </c>
      <c r="M27" s="271" t="s">
        <v>22</v>
      </c>
      <c r="N27" s="272">
        <f t="shared" si="2"/>
        <v>-1738.1891926873941</v>
      </c>
      <c r="O27" s="272">
        <f t="shared" si="4"/>
        <v>-236.80483425591956</v>
      </c>
      <c r="P27" s="272">
        <f t="shared" si="5"/>
        <v>0</v>
      </c>
      <c r="Q27" s="272">
        <f t="shared" si="6"/>
        <v>-52.931366286536409</v>
      </c>
      <c r="R27" s="272">
        <f t="shared" si="7"/>
        <v>-73.858994579621751</v>
      </c>
      <c r="S27" s="272">
        <f t="shared" si="8"/>
        <v>-5.7328055362750092</v>
      </c>
      <c r="T27" s="272">
        <f t="shared" si="9"/>
        <v>-50.219092651760242</v>
      </c>
      <c r="U27" s="272">
        <f t="shared" si="10"/>
        <v>-9.5519029448581332</v>
      </c>
      <c r="V27" s="272">
        <f t="shared" si="11"/>
        <v>15.084753563777971</v>
      </c>
      <c r="W27" s="273">
        <f t="shared" si="3"/>
        <v>-2152.2034353785871</v>
      </c>
    </row>
    <row r="28" spans="1:23">
      <c r="A28" s="271" t="s">
        <v>23</v>
      </c>
      <c r="B28" s="272">
        <f>+'Calculo Coef Actualizado'!B28-'pagado 1er Sem'!B28</f>
        <v>-161.30489013344049</v>
      </c>
      <c r="C28" s="272">
        <f>+'Calculo Coef Actualizado'!C28-'pagado 1er Sem'!C28</f>
        <v>-21.975458719301969</v>
      </c>
      <c r="D28" s="272">
        <f>+'Calculo Coef Actualizado'!D28-'pagado 1er Sem'!D28</f>
        <v>0</v>
      </c>
      <c r="E28" s="272">
        <f>+'Calculo Coef Actualizado'!E28-'pagado 1er Sem'!E28</f>
        <v>-4.9114599120221101</v>
      </c>
      <c r="F28" s="272">
        <f>+'Calculo Coef Actualizado'!F28-'pagado 1er Sem'!F28</f>
        <v>-6.854635501280427</v>
      </c>
      <c r="G28" s="272">
        <f>+'Calculo Coef Actualizado'!G28-'pagado 1er Sem'!G28</f>
        <v>-0.53200325807119953</v>
      </c>
      <c r="H28" s="272">
        <f>+'Calculo Coef Actualizado'!H28-'pagado 1er Sem'!H28</f>
        <v>-4.6603143087122589</v>
      </c>
      <c r="I28" s="272">
        <f>+'Calculo Coef Actualizado'!I28-'pagado 1er Sem'!I28</f>
        <v>-0.88642343053652439</v>
      </c>
      <c r="J28" s="272">
        <f>+'Calculo Coef Actualizado'!J28-'pagado 1er Sem'!J28</f>
        <v>6.3360800294321962</v>
      </c>
      <c r="K28" s="273">
        <f t="shared" si="1"/>
        <v>-194.78910523393279</v>
      </c>
      <c r="M28" s="271" t="s">
        <v>23</v>
      </c>
      <c r="N28" s="272">
        <f t="shared" si="2"/>
        <v>-26.884148355573416</v>
      </c>
      <c r="O28" s="272">
        <f t="shared" si="4"/>
        <v>-3.6625764532169947</v>
      </c>
      <c r="P28" s="272">
        <f t="shared" si="5"/>
        <v>0</v>
      </c>
      <c r="Q28" s="272">
        <f t="shared" si="6"/>
        <v>-0.81857665200368501</v>
      </c>
      <c r="R28" s="272">
        <f t="shared" si="7"/>
        <v>-1.1424392502134044</v>
      </c>
      <c r="S28" s="272">
        <f t="shared" si="8"/>
        <v>-8.8667209678533254E-2</v>
      </c>
      <c r="T28" s="272">
        <f t="shared" si="9"/>
        <v>-0.77671905145204312</v>
      </c>
      <c r="U28" s="272">
        <f t="shared" si="10"/>
        <v>-0.14773723842275407</v>
      </c>
      <c r="V28" s="272">
        <f t="shared" si="11"/>
        <v>1.0560133382386994</v>
      </c>
      <c r="W28" s="273">
        <f t="shared" si="3"/>
        <v>-32.464850872322131</v>
      </c>
    </row>
    <row r="29" spans="1:23">
      <c r="A29" s="271" t="s">
        <v>24</v>
      </c>
      <c r="B29" s="272">
        <f>+'Calculo Coef Actualizado'!B29-'pagado 1er Sem'!B29</f>
        <v>298189.27227227949</v>
      </c>
      <c r="C29" s="272">
        <f>+'Calculo Coef Actualizado'!C29-'pagado 1er Sem'!C29</f>
        <v>40624.275181454141</v>
      </c>
      <c r="D29" s="272">
        <f>+'Calculo Coef Actualizado'!D29-'pagado 1er Sem'!D29</f>
        <v>0</v>
      </c>
      <c r="E29" s="272">
        <f>+'Calculo Coef Actualizado'!E29-'pagado 1er Sem'!E29</f>
        <v>9080.4973751645884</v>
      </c>
      <c r="F29" s="272">
        <f>+'Calculo Coef Actualizado'!F29-'pagado 1er Sem'!F29</f>
        <v>12670.608197932481</v>
      </c>
      <c r="G29" s="272">
        <f>+'Calculo Coef Actualizado'!G29-'pagado 1er Sem'!G29</f>
        <v>983.47263560504507</v>
      </c>
      <c r="H29" s="272">
        <f>+'Calculo Coef Actualizado'!H29-'pagado 1er Sem'!H29</f>
        <v>8615.1720239693532</v>
      </c>
      <c r="I29" s="272">
        <f>+'Calculo Coef Actualizado'!I29-'pagado 1er Sem'!I29</f>
        <v>1638.6448827583226</v>
      </c>
      <c r="J29" s="272">
        <f>+'Calculo Coef Actualizado'!J29-'pagado 1er Sem'!J29</f>
        <v>8895.4922985048033</v>
      </c>
      <c r="K29" s="273">
        <f t="shared" si="1"/>
        <v>380697.4348676682</v>
      </c>
      <c r="M29" s="271" t="s">
        <v>24</v>
      </c>
      <c r="N29" s="272">
        <f t="shared" si="2"/>
        <v>49698.212045379914</v>
      </c>
      <c r="O29" s="272">
        <f t="shared" si="4"/>
        <v>6770.7125302423565</v>
      </c>
      <c r="P29" s="272">
        <f t="shared" si="5"/>
        <v>0</v>
      </c>
      <c r="Q29" s="272">
        <f t="shared" si="6"/>
        <v>1513.4162291940982</v>
      </c>
      <c r="R29" s="272">
        <f t="shared" si="7"/>
        <v>2111.7680329887467</v>
      </c>
      <c r="S29" s="272">
        <f t="shared" si="8"/>
        <v>163.91210593417418</v>
      </c>
      <c r="T29" s="272">
        <f t="shared" si="9"/>
        <v>1435.8620039948921</v>
      </c>
      <c r="U29" s="272">
        <f t="shared" si="10"/>
        <v>273.10748045972042</v>
      </c>
      <c r="V29" s="272">
        <f t="shared" si="11"/>
        <v>1482.5820497508005</v>
      </c>
      <c r="W29" s="273">
        <f t="shared" si="3"/>
        <v>63449.572477944712</v>
      </c>
    </row>
    <row r="30" spans="1:23">
      <c r="A30" s="271" t="s">
        <v>25</v>
      </c>
      <c r="B30" s="272">
        <f>+'Calculo Coef Actualizado'!B30-'pagado 1er Sem'!B30</f>
        <v>2874852.1211022437</v>
      </c>
      <c r="C30" s="272">
        <f>+'Calculo Coef Actualizado'!C30-'pagado 1er Sem'!C30</f>
        <v>391659.9104623422</v>
      </c>
      <c r="D30" s="272">
        <f>+'Calculo Coef Actualizado'!D30-'pagado 1er Sem'!D30</f>
        <v>0</v>
      </c>
      <c r="E30" s="272">
        <f>+'Calculo Coef Actualizado'!E30-'pagado 1er Sem'!E30</f>
        <v>87545.359902266413</v>
      </c>
      <c r="F30" s="272">
        <f>+'Calculo Coef Actualizado'!F30-'pagado 1er Sem'!F30</f>
        <v>122157.73075775988</v>
      </c>
      <c r="G30" s="272">
        <f>+'Calculo Coef Actualizado'!G30-'pagado 1er Sem'!G30</f>
        <v>9481.6905085560866</v>
      </c>
      <c r="H30" s="272">
        <f>+'Calculo Coef Actualizado'!H30-'pagado 1er Sem'!H30</f>
        <v>83059.143541781232</v>
      </c>
      <c r="I30" s="272">
        <f>+'Calculo Coef Actualizado'!I30-'pagado 1er Sem'!I30</f>
        <v>15798.226679902989</v>
      </c>
      <c r="J30" s="272">
        <f>+'Calculo Coef Actualizado'!J30-'pagado 1er Sem'!J30</f>
        <v>183621.11616004072</v>
      </c>
      <c r="K30" s="273">
        <f t="shared" si="1"/>
        <v>3768175.2991148932</v>
      </c>
      <c r="M30" s="271" t="s">
        <v>25</v>
      </c>
      <c r="N30" s="272">
        <f t="shared" si="2"/>
        <v>479142.0201837073</v>
      </c>
      <c r="O30" s="272">
        <f t="shared" si="4"/>
        <v>65276.651743723698</v>
      </c>
      <c r="P30" s="272">
        <f t="shared" si="5"/>
        <v>0</v>
      </c>
      <c r="Q30" s="272">
        <f t="shared" si="6"/>
        <v>14590.893317044402</v>
      </c>
      <c r="R30" s="272">
        <f t="shared" si="7"/>
        <v>20359.621792959981</v>
      </c>
      <c r="S30" s="272">
        <f t="shared" si="8"/>
        <v>1580.2817514260144</v>
      </c>
      <c r="T30" s="272">
        <f t="shared" si="9"/>
        <v>13843.190590296872</v>
      </c>
      <c r="U30" s="272">
        <f t="shared" si="10"/>
        <v>2633.0377799838316</v>
      </c>
      <c r="V30" s="272">
        <f t="shared" si="11"/>
        <v>30603.519360006787</v>
      </c>
      <c r="W30" s="273">
        <f t="shared" si="3"/>
        <v>628029.2165191489</v>
      </c>
    </row>
    <row r="31" spans="1:23">
      <c r="A31" s="271" t="s">
        <v>26</v>
      </c>
      <c r="B31" s="272">
        <f>+'Calculo Coef Actualizado'!B31-'pagado 1er Sem'!B31</f>
        <v>-19394.129288918339</v>
      </c>
      <c r="C31" s="272">
        <f>+'Calculo Coef Actualizado'!C31-'pagado 1er Sem'!C31</f>
        <v>-2642.1893434793456</v>
      </c>
      <c r="D31" s="272">
        <f>+'Calculo Coef Actualizado'!D31-'pagado 1er Sem'!D31</f>
        <v>0</v>
      </c>
      <c r="E31" s="272">
        <f>+'Calculo Coef Actualizado'!E31-'pagado 1er Sem'!E31</f>
        <v>-590.59340094469371</v>
      </c>
      <c r="F31" s="272">
        <f>+'Calculo Coef Actualizado'!F31-'pagado 1er Sem'!F31</f>
        <v>-824.09132235025754</v>
      </c>
      <c r="G31" s="272">
        <f>+'Calculo Coef Actualizado'!G31-'pagado 1er Sem'!G31</f>
        <v>-63.964733626697125</v>
      </c>
      <c r="H31" s="272">
        <f>+'Calculo Coef Actualizado'!H31-'pagado 1er Sem'!H31</f>
        <v>-560.32793970202329</v>
      </c>
      <c r="I31" s="272">
        <f>+'Calculo Coef Actualizado'!I31-'pagado 1er Sem'!I31</f>
        <v>-106.57690561521304</v>
      </c>
      <c r="J31" s="272">
        <f>+'Calculo Coef Actualizado'!J31-'pagado 1er Sem'!J31</f>
        <v>179.64277754590148</v>
      </c>
      <c r="K31" s="273">
        <f t="shared" si="1"/>
        <v>-24002.230157090667</v>
      </c>
      <c r="M31" s="271" t="s">
        <v>26</v>
      </c>
      <c r="N31" s="272">
        <f t="shared" si="2"/>
        <v>-3232.3548814863898</v>
      </c>
      <c r="O31" s="272">
        <f t="shared" si="4"/>
        <v>-440.36489057989093</v>
      </c>
      <c r="P31" s="272">
        <f t="shared" si="5"/>
        <v>0</v>
      </c>
      <c r="Q31" s="272">
        <f t="shared" si="6"/>
        <v>-98.432233490782281</v>
      </c>
      <c r="R31" s="272">
        <f t="shared" si="7"/>
        <v>-137.34855372504293</v>
      </c>
      <c r="S31" s="272">
        <f t="shared" si="8"/>
        <v>-10.660788937782854</v>
      </c>
      <c r="T31" s="272">
        <f t="shared" si="9"/>
        <v>-93.387989950337214</v>
      </c>
      <c r="U31" s="272">
        <f t="shared" si="10"/>
        <v>-17.762817602535506</v>
      </c>
      <c r="V31" s="272">
        <f t="shared" si="11"/>
        <v>29.940462924316915</v>
      </c>
      <c r="W31" s="273">
        <f t="shared" si="3"/>
        <v>-4000.371692848445</v>
      </c>
    </row>
    <row r="32" spans="1:23">
      <c r="A32" s="271" t="s">
        <v>27</v>
      </c>
      <c r="B32" s="272">
        <f>+'Calculo Coef Actualizado'!B32-'pagado 1er Sem'!B32</f>
        <v>-33383.908822448924</v>
      </c>
      <c r="C32" s="272">
        <f>+'Calculo Coef Actualizado'!C32-'pagado 1er Sem'!C32</f>
        <v>-4548.1082636860665</v>
      </c>
      <c r="D32" s="272">
        <f>+'Calculo Coef Actualizado'!D32-'pagado 1er Sem'!D32</f>
        <v>0</v>
      </c>
      <c r="E32" s="272">
        <f>+'Calculo Coef Actualizado'!E32-'pagado 1er Sem'!E32</f>
        <v>-1016.6109397708788</v>
      </c>
      <c r="F32" s="272">
        <f>+'Calculo Coef Actualizado'!F32-'pagado 1er Sem'!F32</f>
        <v>-1418.54346984328</v>
      </c>
      <c r="G32" s="272">
        <f>+'Calculo Coef Actualizado'!G32-'pagado 1er Sem'!G32</f>
        <v>-110.10510339999018</v>
      </c>
      <c r="H32" s="272">
        <f>+'Calculo Coef Actualizado'!H32-'pagado 1er Sem'!H32</f>
        <v>-964.51530148618622</v>
      </c>
      <c r="I32" s="272">
        <f>+'Calculo Coef Actualizado'!I32-'pagado 1er Sem'!I32</f>
        <v>-183.4551960871031</v>
      </c>
      <c r="J32" s="272">
        <f>+'Calculo Coef Actualizado'!J32-'pagado 1er Sem'!J32</f>
        <v>-279.15068721020361</v>
      </c>
      <c r="K32" s="273">
        <f t="shared" si="1"/>
        <v>-41904.397783932633</v>
      </c>
      <c r="M32" s="271" t="s">
        <v>27</v>
      </c>
      <c r="N32" s="272">
        <f t="shared" si="2"/>
        <v>-5563.9848037414877</v>
      </c>
      <c r="O32" s="272">
        <f t="shared" si="4"/>
        <v>-758.01804394767771</v>
      </c>
      <c r="P32" s="272">
        <f t="shared" si="5"/>
        <v>0</v>
      </c>
      <c r="Q32" s="272">
        <f t="shared" si="6"/>
        <v>-169.4351566284798</v>
      </c>
      <c r="R32" s="272">
        <f t="shared" si="7"/>
        <v>-236.42391164054666</v>
      </c>
      <c r="S32" s="272">
        <f t="shared" si="8"/>
        <v>-18.350850566665031</v>
      </c>
      <c r="T32" s="272">
        <f t="shared" si="9"/>
        <v>-160.75255024769771</v>
      </c>
      <c r="U32" s="272">
        <f t="shared" si="10"/>
        <v>-30.575866014517185</v>
      </c>
      <c r="V32" s="272">
        <f t="shared" si="11"/>
        <v>-46.525114535033936</v>
      </c>
      <c r="W32" s="273">
        <f t="shared" si="3"/>
        <v>-6984.066297322106</v>
      </c>
    </row>
    <row r="33" spans="1:23">
      <c r="A33" s="271" t="s">
        <v>28</v>
      </c>
      <c r="B33" s="272">
        <f>+'Calculo Coef Actualizado'!B33-'pagado 1er Sem'!B33</f>
        <v>2036.7241564942524</v>
      </c>
      <c r="C33" s="272">
        <f>+'Calculo Coef Actualizado'!C33-'pagado 1er Sem'!C33</f>
        <v>277.47619337122887</v>
      </c>
      <c r="D33" s="272">
        <f>+'Calculo Coef Actualizado'!D33-'pagado 1er Sem'!D33</f>
        <v>0</v>
      </c>
      <c r="E33" s="272">
        <f>+'Calculo Coef Actualizado'!E33-'pagado 1er Sem'!E33</f>
        <v>62.022345340956235</v>
      </c>
      <c r="F33" s="272">
        <f>+'Calculo Coef Actualizado'!F33-'pagado 1er Sem'!F33</f>
        <v>86.544328264717478</v>
      </c>
      <c r="G33" s="272">
        <f>+'Calculo Coef Actualizado'!G33-'pagado 1er Sem'!G33</f>
        <v>6.7174179981739144</v>
      </c>
      <c r="H33" s="272">
        <f>+'Calculo Coef Actualizado'!H33-'pagado 1er Sem'!H33</f>
        <v>58.84424890083028</v>
      </c>
      <c r="I33" s="272">
        <f>+'Calculo Coef Actualizado'!I33-'pagado 1er Sem'!I33</f>
        <v>11.192447641966282</v>
      </c>
      <c r="J33" s="272">
        <f>+'Calculo Coef Actualizado'!J33-'pagado 1er Sem'!J33</f>
        <v>-551.72841549666191</v>
      </c>
      <c r="K33" s="273">
        <f t="shared" si="1"/>
        <v>1987.7927225154635</v>
      </c>
      <c r="M33" s="271" t="s">
        <v>28</v>
      </c>
      <c r="N33" s="272">
        <f t="shared" si="2"/>
        <v>339.45402608237538</v>
      </c>
      <c r="O33" s="272">
        <f t="shared" si="4"/>
        <v>46.246032228538148</v>
      </c>
      <c r="P33" s="272">
        <f t="shared" si="5"/>
        <v>0</v>
      </c>
      <c r="Q33" s="272">
        <f t="shared" si="6"/>
        <v>10.337057556826039</v>
      </c>
      <c r="R33" s="272">
        <f t="shared" si="7"/>
        <v>14.424054710786246</v>
      </c>
      <c r="S33" s="272">
        <f t="shared" si="8"/>
        <v>1.1195696663623191</v>
      </c>
      <c r="T33" s="272">
        <f t="shared" si="9"/>
        <v>9.8073748168050461</v>
      </c>
      <c r="U33" s="272">
        <f t="shared" si="10"/>
        <v>1.8654079403277137</v>
      </c>
      <c r="V33" s="272">
        <f t="shared" si="11"/>
        <v>-91.954735916110323</v>
      </c>
      <c r="W33" s="273">
        <f t="shared" si="3"/>
        <v>331.29878708591059</v>
      </c>
    </row>
    <row r="34" spans="1:23">
      <c r="A34" s="271" t="s">
        <v>29</v>
      </c>
      <c r="B34" s="272">
        <f>+'Calculo Coef Actualizado'!B34-'pagado 1er Sem'!B34</f>
        <v>-26725.810092989355</v>
      </c>
      <c r="C34" s="272">
        <f>+'Calculo Coef Actualizado'!C34-'pagado 1er Sem'!C34</f>
        <v>-3641.0317889060825</v>
      </c>
      <c r="D34" s="272">
        <f>+'Calculo Coef Actualizado'!D34-'pagado 1er Sem'!D34</f>
        <v>0</v>
      </c>
      <c r="E34" s="272">
        <f>+'Calculo Coef Actualizado'!E34-'pagado 1er Sem'!E34</f>
        <v>-813.85717804875458</v>
      </c>
      <c r="F34" s="272">
        <f>+'Calculo Coef Actualizado'!F34-'pagado 1er Sem'!F34</f>
        <v>-1135.6290632435121</v>
      </c>
      <c r="G34" s="272">
        <f>+'Calculo Coef Actualizado'!G34-'pagado 1er Sem'!G34</f>
        <v>-88.14569858781033</v>
      </c>
      <c r="H34" s="272">
        <f>+'Calculo Coef Actualizado'!H34-'pagado 1er Sem'!H34</f>
        <v>-772.15198642679024</v>
      </c>
      <c r="I34" s="272">
        <f>+'Calculo Coef Actualizado'!I34-'pagado 1er Sem'!I34</f>
        <v>-146.86682754936919</v>
      </c>
      <c r="J34" s="272">
        <f>+'Calculo Coef Actualizado'!J34-'pagado 1er Sem'!J34</f>
        <v>363.3312341136334</v>
      </c>
      <c r="K34" s="273">
        <f t="shared" si="1"/>
        <v>-32960.161401638041</v>
      </c>
      <c r="M34" s="271" t="s">
        <v>29</v>
      </c>
      <c r="N34" s="272">
        <f t="shared" si="2"/>
        <v>-4454.3016821648926</v>
      </c>
      <c r="O34" s="272">
        <f t="shared" si="4"/>
        <v>-606.83863148434705</v>
      </c>
      <c r="P34" s="272">
        <f t="shared" si="5"/>
        <v>0</v>
      </c>
      <c r="Q34" s="272">
        <f t="shared" si="6"/>
        <v>-135.64286300812577</v>
      </c>
      <c r="R34" s="272">
        <f t="shared" si="7"/>
        <v>-189.27151054058535</v>
      </c>
      <c r="S34" s="272">
        <f t="shared" si="8"/>
        <v>-14.690949764635056</v>
      </c>
      <c r="T34" s="272">
        <f t="shared" si="9"/>
        <v>-128.69199773779837</v>
      </c>
      <c r="U34" s="272">
        <f t="shared" si="10"/>
        <v>-24.477804591561533</v>
      </c>
      <c r="V34" s="272">
        <f t="shared" si="11"/>
        <v>60.555205685605564</v>
      </c>
      <c r="W34" s="273">
        <f t="shared" si="3"/>
        <v>-5493.3602336063395</v>
      </c>
    </row>
    <row r="35" spans="1:23">
      <c r="A35" s="271" t="s">
        <v>30</v>
      </c>
      <c r="B35" s="272">
        <f>+'Calculo Coef Actualizado'!B35-'pagado 1er Sem'!B35</f>
        <v>20381.375488869846</v>
      </c>
      <c r="C35" s="272">
        <f>+'Calculo Coef Actualizado'!C35-'pagado 1er Sem'!C35</f>
        <v>2776.688219064381</v>
      </c>
      <c r="D35" s="272">
        <f>+'Calculo Coef Actualizado'!D35-'pagado 1er Sem'!D35</f>
        <v>0</v>
      </c>
      <c r="E35" s="272">
        <f>+'Calculo Coef Actualizado'!E35-'pagado 1er Sem'!E35</f>
        <v>620.65664173045661</v>
      </c>
      <c r="F35" s="272">
        <f>+'Calculo Coef Actualizado'!F35-'pagado 1er Sem'!F35</f>
        <v>866.04162673396058</v>
      </c>
      <c r="G35" s="272">
        <f>+'Calculo Coef Actualizado'!G35-'pagado 1er Sem'!G35</f>
        <v>67.220815128028335</v>
      </c>
      <c r="H35" s="272">
        <f>+'Calculo Coef Actualizado'!H35-'pagado 1er Sem'!H35</f>
        <v>588.85104720984236</v>
      </c>
      <c r="I35" s="272">
        <f>+'Calculo Coef Actualizado'!I35-'pagado 1er Sem'!I35</f>
        <v>112.00213889413862</v>
      </c>
      <c r="J35" s="272">
        <f>+'Calculo Coef Actualizado'!J35-'pagado 1er Sem'!J35</f>
        <v>146.9525712292525</v>
      </c>
      <c r="K35" s="273">
        <f t="shared" si="1"/>
        <v>25559.788548859906</v>
      </c>
      <c r="M35" s="271" t="s">
        <v>30</v>
      </c>
      <c r="N35" s="272">
        <f t="shared" si="2"/>
        <v>3396.895914811641</v>
      </c>
      <c r="O35" s="272">
        <f t="shared" si="4"/>
        <v>462.78136984406348</v>
      </c>
      <c r="P35" s="272">
        <f t="shared" si="5"/>
        <v>0</v>
      </c>
      <c r="Q35" s="272">
        <f t="shared" si="6"/>
        <v>103.44277362174277</v>
      </c>
      <c r="R35" s="272">
        <f t="shared" si="7"/>
        <v>144.34027112232675</v>
      </c>
      <c r="S35" s="272">
        <f t="shared" si="8"/>
        <v>11.203469188004723</v>
      </c>
      <c r="T35" s="272">
        <f t="shared" si="9"/>
        <v>98.141841201640389</v>
      </c>
      <c r="U35" s="272">
        <f t="shared" si="10"/>
        <v>18.667023149023105</v>
      </c>
      <c r="V35" s="272">
        <f t="shared" si="11"/>
        <v>24.492095204875415</v>
      </c>
      <c r="W35" s="273">
        <f t="shared" si="3"/>
        <v>4259.9647581433173</v>
      </c>
    </row>
    <row r="36" spans="1:23">
      <c r="A36" s="271" t="s">
        <v>31</v>
      </c>
      <c r="B36" s="272">
        <f>+'Calculo Coef Actualizado'!B36-'pagado 1er Sem'!B36</f>
        <v>-233678.4050501734</v>
      </c>
      <c r="C36" s="272">
        <f>+'Calculo Coef Actualizado'!C36-'pagado 1er Sem'!C36</f>
        <v>-31835.537757409737</v>
      </c>
      <c r="D36" s="272">
        <f>+'Calculo Coef Actualizado'!D36-'pagado 1er Sem'!D36</f>
        <v>0</v>
      </c>
      <c r="E36" s="272">
        <f>+'Calculo Coef Actualizado'!E36-'pagado 1er Sem'!E36</f>
        <v>-7116.0043710912578</v>
      </c>
      <c r="F36" s="272">
        <f>+'Calculo Coef Actualizado'!F36-'pagado 1er Sem'!F36</f>
        <v>-9929.4232656862587</v>
      </c>
      <c r="G36" s="272">
        <f>+'Calculo Coef Actualizado'!G36-'pagado 1er Sem'!G36</f>
        <v>-770.70618703047512</v>
      </c>
      <c r="H36" s="272">
        <f>+'Calculo Coef Actualizado'!H36-'pagado 1er Sem'!H36</f>
        <v>-6751.3483769088052</v>
      </c>
      <c r="I36" s="272">
        <f>+'Calculo Coef Actualizado'!I36-'pagado 1er Sem'!I36</f>
        <v>-1284.1371511059115</v>
      </c>
      <c r="J36" s="272">
        <f>+'Calculo Coef Actualizado'!J36-'pagado 1er Sem'!J36</f>
        <v>15685.283442550339</v>
      </c>
      <c r="K36" s="273">
        <f t="shared" si="1"/>
        <v>-275680.27871685551</v>
      </c>
      <c r="M36" s="271" t="s">
        <v>31</v>
      </c>
      <c r="N36" s="272">
        <f t="shared" si="2"/>
        <v>-38946.400841695569</v>
      </c>
      <c r="O36" s="272">
        <f t="shared" si="4"/>
        <v>-5305.9229595682891</v>
      </c>
      <c r="P36" s="272">
        <f t="shared" si="5"/>
        <v>0</v>
      </c>
      <c r="Q36" s="272">
        <f t="shared" si="6"/>
        <v>-1186.0007285152096</v>
      </c>
      <c r="R36" s="272">
        <f t="shared" si="7"/>
        <v>-1654.9038776143764</v>
      </c>
      <c r="S36" s="272">
        <f t="shared" si="8"/>
        <v>-128.45103117174585</v>
      </c>
      <c r="T36" s="272">
        <f t="shared" si="9"/>
        <v>-1125.2247294848009</v>
      </c>
      <c r="U36" s="272">
        <f t="shared" si="10"/>
        <v>-214.02285851765191</v>
      </c>
      <c r="V36" s="272">
        <f t="shared" si="11"/>
        <v>2614.2139070917233</v>
      </c>
      <c r="W36" s="273">
        <f t="shared" si="3"/>
        <v>-45946.71311947592</v>
      </c>
    </row>
    <row r="37" spans="1:23">
      <c r="A37" s="271" t="s">
        <v>32</v>
      </c>
      <c r="B37" s="272">
        <f>+'Calculo Coef Actualizado'!B37-'pagado 1er Sem'!B37</f>
        <v>-45538.545834396034</v>
      </c>
      <c r="C37" s="272">
        <f>+'Calculo Coef Actualizado'!C37-'pagado 1er Sem'!C37</f>
        <v>-6204.0136200138368</v>
      </c>
      <c r="D37" s="272">
        <f>+'Calculo Coef Actualizado'!D37-'pagado 1er Sem'!D37</f>
        <v>0</v>
      </c>
      <c r="E37" s="272">
        <f>+'Calculo Coef Actualizado'!E37-'pagado 1er Sem'!E37</f>
        <v>-1386.7441299586208</v>
      </c>
      <c r="F37" s="272">
        <f>+'Calculo Coef Actualizado'!F37-'pagado 1er Sem'!F37</f>
        <v>-1935.0173377221217</v>
      </c>
      <c r="G37" s="272">
        <f>+'Calculo Coef Actualizado'!G37-'pagado 1er Sem'!G37</f>
        <v>-150.19289730574383</v>
      </c>
      <c r="H37" s="272">
        <f>+'Calculo Coef Actualizado'!H37-'pagado 1er Sem'!H37</f>
        <v>-1315.6823910025414</v>
      </c>
      <c r="I37" s="272">
        <f>+'Calculo Coef Actualizado'!I37-'pagado 1er Sem'!I37</f>
        <v>-250.24879579988192</v>
      </c>
      <c r="J37" s="272">
        <f>+'Calculo Coef Actualizado'!J37-'pagado 1er Sem'!J37</f>
        <v>-277.87433786861948</v>
      </c>
      <c r="K37" s="273">
        <f t="shared" si="1"/>
        <v>-57058.3193440674</v>
      </c>
      <c r="M37" s="271" t="s">
        <v>32</v>
      </c>
      <c r="N37" s="272">
        <f t="shared" si="2"/>
        <v>-7589.757639066006</v>
      </c>
      <c r="O37" s="272">
        <f t="shared" si="4"/>
        <v>-1034.0022700023062</v>
      </c>
      <c r="P37" s="272">
        <f t="shared" si="5"/>
        <v>0</v>
      </c>
      <c r="Q37" s="272">
        <f t="shared" si="6"/>
        <v>-231.12402165977014</v>
      </c>
      <c r="R37" s="272">
        <f t="shared" si="7"/>
        <v>-322.50288962035364</v>
      </c>
      <c r="S37" s="272">
        <f t="shared" si="8"/>
        <v>-25.032149550957303</v>
      </c>
      <c r="T37" s="272">
        <f t="shared" si="9"/>
        <v>-219.28039850042356</v>
      </c>
      <c r="U37" s="272">
        <f t="shared" si="10"/>
        <v>-41.708132633313653</v>
      </c>
      <c r="V37" s="272">
        <f t="shared" si="11"/>
        <v>-46.312389644769915</v>
      </c>
      <c r="W37" s="273">
        <f t="shared" si="3"/>
        <v>-9509.7198906779013</v>
      </c>
    </row>
    <row r="38" spans="1:23">
      <c r="A38" s="271" t="s">
        <v>33</v>
      </c>
      <c r="B38" s="272">
        <f>+'Calculo Coef Actualizado'!B38-'pagado 1er Sem'!B38</f>
        <v>-166963.20400995016</v>
      </c>
      <c r="C38" s="272">
        <f>+'Calculo Coef Actualizado'!C38-'pagado 1er Sem'!C38</f>
        <v>-22746.489873726852</v>
      </c>
      <c r="D38" s="272">
        <f>+'Calculo Coef Actualizado'!D38-'pagado 1er Sem'!D38</f>
        <v>0</v>
      </c>
      <c r="E38" s="272">
        <f>+'Calculo Coef Actualizado'!E38-'pagado 1er Sem'!E38</f>
        <v>-5084.3860746133141</v>
      </c>
      <c r="F38" s="272">
        <f>+'Calculo Coef Actualizado'!F38-'pagado 1er Sem'!F38</f>
        <v>-7094.5710616949946</v>
      </c>
      <c r="G38" s="272">
        <f>+'Calculo Coef Actualizado'!G38-'pagado 1er Sem'!G38</f>
        <v>-550.66952665147255</v>
      </c>
      <c r="H38" s="272">
        <f>+'Calculo Coef Actualizado'!H38-'pagado 1er Sem'!H38</f>
        <v>-4823.8380491263233</v>
      </c>
      <c r="I38" s="272">
        <f>+'Calculo Coef Actualizado'!I38-'pagado 1er Sem'!I38</f>
        <v>-917.51590021135053</v>
      </c>
      <c r="J38" s="272">
        <f>+'Calculo Coef Actualizado'!J38-'pagado 1er Sem'!J38</f>
        <v>-957.88280380982906</v>
      </c>
      <c r="K38" s="273">
        <f t="shared" si="1"/>
        <v>-209138.5572997843</v>
      </c>
      <c r="M38" s="271" t="s">
        <v>33</v>
      </c>
      <c r="N38" s="272">
        <f t="shared" si="2"/>
        <v>-27827.200668325026</v>
      </c>
      <c r="O38" s="272">
        <f t="shared" si="4"/>
        <v>-3791.0816456211419</v>
      </c>
      <c r="P38" s="272">
        <f t="shared" si="5"/>
        <v>0</v>
      </c>
      <c r="Q38" s="272">
        <f t="shared" si="6"/>
        <v>-847.39767910221906</v>
      </c>
      <c r="R38" s="272">
        <f t="shared" si="7"/>
        <v>-1182.428510282499</v>
      </c>
      <c r="S38" s="272">
        <f t="shared" si="8"/>
        <v>-91.778254441912097</v>
      </c>
      <c r="T38" s="272">
        <f t="shared" si="9"/>
        <v>-803.97300818772055</v>
      </c>
      <c r="U38" s="272">
        <f t="shared" si="10"/>
        <v>-152.91931670189174</v>
      </c>
      <c r="V38" s="272">
        <f t="shared" si="11"/>
        <v>-159.64713396830484</v>
      </c>
      <c r="W38" s="273">
        <f t="shared" si="3"/>
        <v>-34856.426216630709</v>
      </c>
    </row>
    <row r="39" spans="1:23">
      <c r="A39" s="271" t="s">
        <v>34</v>
      </c>
      <c r="B39" s="272">
        <f>+'Calculo Coef Actualizado'!B39-'pagado 1er Sem'!B39</f>
        <v>9153.6283309906721</v>
      </c>
      <c r="C39" s="272">
        <f>+'Calculo Coef Actualizado'!C39-'pagado 1er Sem'!C39</f>
        <v>1247.0585556707811</v>
      </c>
      <c r="D39" s="272">
        <f>+'Calculo Coef Actualizado'!D39-'pagado 1er Sem'!D39</f>
        <v>0</v>
      </c>
      <c r="E39" s="272">
        <f>+'Calculo Coef Actualizado'!E39-'pagado 1er Sem'!E39</f>
        <v>278.74702308553969</v>
      </c>
      <c r="F39" s="272">
        <f>+'Calculo Coef Actualizado'!F39-'pagado 1er Sem'!F39</f>
        <v>388.95476858329494</v>
      </c>
      <c r="G39" s="272">
        <f>+'Calculo Coef Actualizado'!G39-'pagado 1er Sem'!G39</f>
        <v>30.190026735581341</v>
      </c>
      <c r="H39" s="272">
        <f>+'Calculo Coef Actualizado'!H39-'pagado 1er Sem'!H39</f>
        <v>264.46314706088742</v>
      </c>
      <c r="I39" s="272">
        <f>+'Calculo Coef Actualizado'!I39-'pagado 1er Sem'!I39</f>
        <v>50.302099967069807</v>
      </c>
      <c r="J39" s="272">
        <f>+'Calculo Coef Actualizado'!J39-'pagado 1er Sem'!J39</f>
        <v>-1097.9422373570851</v>
      </c>
      <c r="K39" s="273">
        <f t="shared" si="1"/>
        <v>10315.401714736741</v>
      </c>
      <c r="M39" s="271" t="s">
        <v>34</v>
      </c>
      <c r="N39" s="272">
        <f t="shared" si="2"/>
        <v>1525.6047218317788</v>
      </c>
      <c r="O39" s="272">
        <f t="shared" si="4"/>
        <v>207.84309261179683</v>
      </c>
      <c r="P39" s="272">
        <f t="shared" si="5"/>
        <v>0</v>
      </c>
      <c r="Q39" s="272">
        <f t="shared" si="6"/>
        <v>46.457837180923285</v>
      </c>
      <c r="R39" s="272">
        <f t="shared" si="7"/>
        <v>64.825794763882485</v>
      </c>
      <c r="S39" s="272">
        <f t="shared" si="8"/>
        <v>5.0316711225968902</v>
      </c>
      <c r="T39" s="272">
        <f t="shared" si="9"/>
        <v>44.077191176814573</v>
      </c>
      <c r="U39" s="272">
        <f t="shared" si="10"/>
        <v>8.3836833278449685</v>
      </c>
      <c r="V39" s="272">
        <f t="shared" si="11"/>
        <v>-182.99037289284752</v>
      </c>
      <c r="W39" s="273">
        <f t="shared" si="3"/>
        <v>1719.2336191227901</v>
      </c>
    </row>
    <row r="40" spans="1:23">
      <c r="A40" s="271" t="s">
        <v>35</v>
      </c>
      <c r="B40" s="272">
        <f>+'Calculo Coef Actualizado'!B40-'pagado 1er Sem'!B40</f>
        <v>111884.95209882222</v>
      </c>
      <c r="C40" s="272">
        <f>+'Calculo Coef Actualizado'!C40-'pagado 1er Sem'!C40</f>
        <v>15242.818953747163</v>
      </c>
      <c r="D40" s="272">
        <f>+'Calculo Coef Actualizado'!D40-'pagado 1er Sem'!D40</f>
        <v>0</v>
      </c>
      <c r="E40" s="272">
        <f>+'Calculo Coef Actualizado'!E40-'pagado 1er Sem'!E40</f>
        <v>3407.1347987759509</v>
      </c>
      <c r="F40" s="272">
        <f>+'Calculo Coef Actualizado'!F40-'pagado 1er Sem'!F40</f>
        <v>4754.1964019408915</v>
      </c>
      <c r="G40" s="272">
        <f>+'Calculo Coef Actualizado'!G40-'pagado 1er Sem'!G40</f>
        <v>369.01323817511002</v>
      </c>
      <c r="H40" s="272">
        <f>+'Calculo Coef Actualizado'!H40-'pagado 1er Sem'!H40</f>
        <v>3232.5378585124854</v>
      </c>
      <c r="I40" s="272">
        <f>+'Calculo Coef Actualizado'!I40-'pagado 1er Sem'!I40</f>
        <v>614.84339367767097</v>
      </c>
      <c r="J40" s="272">
        <f>+'Calculo Coef Actualizado'!J40-'pagado 1er Sem'!J40</f>
        <v>375.28106199661852</v>
      </c>
      <c r="K40" s="273">
        <f t="shared" si="1"/>
        <v>139880.7778056481</v>
      </c>
      <c r="M40" s="271" t="s">
        <v>35</v>
      </c>
      <c r="N40" s="272">
        <f t="shared" si="2"/>
        <v>18647.492016470369</v>
      </c>
      <c r="O40" s="272">
        <f t="shared" si="4"/>
        <v>2540.4698256245269</v>
      </c>
      <c r="P40" s="272">
        <f t="shared" si="5"/>
        <v>0</v>
      </c>
      <c r="Q40" s="272">
        <f t="shared" si="6"/>
        <v>567.85579979599186</v>
      </c>
      <c r="R40" s="272">
        <f t="shared" si="7"/>
        <v>792.36606699014862</v>
      </c>
      <c r="S40" s="272">
        <f t="shared" si="8"/>
        <v>61.502206362518336</v>
      </c>
      <c r="T40" s="272">
        <f t="shared" si="9"/>
        <v>538.75630975208094</v>
      </c>
      <c r="U40" s="272">
        <f t="shared" si="10"/>
        <v>102.4738989462785</v>
      </c>
      <c r="V40" s="272">
        <f t="shared" si="11"/>
        <v>62.546843666103086</v>
      </c>
      <c r="W40" s="273">
        <f t="shared" si="3"/>
        <v>23313.462967608015</v>
      </c>
    </row>
    <row r="41" spans="1:23">
      <c r="A41" s="271" t="s">
        <v>36</v>
      </c>
      <c r="B41" s="272">
        <f>+'Calculo Coef Actualizado'!B41-'pagado 1er Sem'!B41</f>
        <v>-35953.957889193669</v>
      </c>
      <c r="C41" s="272">
        <f>+'Calculo Coef Actualizado'!C41-'pagado 1er Sem'!C41</f>
        <v>-4898.2432428291067</v>
      </c>
      <c r="D41" s="272">
        <f>+'Calculo Coef Actualizado'!D41-'pagado 1er Sem'!D41</f>
        <v>0</v>
      </c>
      <c r="E41" s="272">
        <f>+'Calculo Coef Actualizado'!E41-'pagado 1er Sem'!E41</f>
        <v>-1094.875859102176</v>
      </c>
      <c r="F41" s="272">
        <f>+'Calculo Coef Actualizado'!F41-'pagado 1er Sem'!F41</f>
        <v>-1527.7483880670043</v>
      </c>
      <c r="G41" s="272">
        <f>+'Calculo Coef Actualizado'!G41-'pagado 1er Sem'!G41</f>
        <v>-118.58151820457715</v>
      </c>
      <c r="H41" s="272">
        <f>+'Calculo Coef Actualizado'!H41-'pagado 1er Sem'!H41</f>
        <v>-1038.7682984262938</v>
      </c>
      <c r="I41" s="272">
        <f>+'Calculo Coef Actualizado'!I41-'pagado 1er Sem'!I41</f>
        <v>-197.57842888130108</v>
      </c>
      <c r="J41" s="272">
        <f>+'Calculo Coef Actualizado'!J41-'pagado 1er Sem'!J41</f>
        <v>27.327585319755599</v>
      </c>
      <c r="K41" s="273">
        <f t="shared" si="1"/>
        <v>-44802.426039384372</v>
      </c>
      <c r="M41" s="271" t="s">
        <v>36</v>
      </c>
      <c r="N41" s="272">
        <f t="shared" si="2"/>
        <v>-5992.3263148656115</v>
      </c>
      <c r="O41" s="272">
        <f t="shared" si="4"/>
        <v>-816.37387380485109</v>
      </c>
      <c r="P41" s="272">
        <f t="shared" si="5"/>
        <v>0</v>
      </c>
      <c r="Q41" s="272">
        <f t="shared" si="6"/>
        <v>-182.47930985036268</v>
      </c>
      <c r="R41" s="272">
        <f t="shared" si="7"/>
        <v>-254.6247313445007</v>
      </c>
      <c r="S41" s="272">
        <f t="shared" si="8"/>
        <v>-19.763586367429525</v>
      </c>
      <c r="T41" s="272">
        <f t="shared" si="9"/>
        <v>-173.12804973771563</v>
      </c>
      <c r="U41" s="272">
        <f t="shared" si="10"/>
        <v>-32.929738146883516</v>
      </c>
      <c r="V41" s="272">
        <f t="shared" si="11"/>
        <v>4.5545975532925995</v>
      </c>
      <c r="W41" s="273">
        <f t="shared" si="3"/>
        <v>-7467.0710065640624</v>
      </c>
    </row>
    <row r="42" spans="1:23">
      <c r="A42" s="271" t="s">
        <v>37</v>
      </c>
      <c r="B42" s="272">
        <f>+'Calculo Coef Actualizado'!B42-'pagado 1er Sem'!B42</f>
        <v>-50642.558191213757</v>
      </c>
      <c r="C42" s="272">
        <f>+'Calculo Coef Actualizado'!C42-'pagado 1er Sem'!C42</f>
        <v>-6899.3667350243777</v>
      </c>
      <c r="D42" s="272">
        <f>+'Calculo Coef Actualizado'!D42-'pagado 1er Sem'!D42</f>
        <v>0</v>
      </c>
      <c r="E42" s="272">
        <f>+'Calculo Coef Actualizado'!E42-'pagado 1er Sem'!E42</f>
        <v>-1542.1726301423041</v>
      </c>
      <c r="F42" s="272">
        <f>+'Calculo Coef Actualizado'!F42-'pagado 1er Sem'!F42</f>
        <v>-2151.8957903661067</v>
      </c>
      <c r="G42" s="272">
        <f>+'Calculo Coef Actualizado'!G42-'pagado 1er Sem'!G42</f>
        <v>-167.02669358943967</v>
      </c>
      <c r="H42" s="272">
        <f>+'Calculo Coef Actualizado'!H42-'pagado 1er Sem'!H42</f>
        <v>-1463.1456265353481</v>
      </c>
      <c r="I42" s="272">
        <f>+'Calculo Coef Actualizado'!I42-'pagado 1er Sem'!I42</f>
        <v>-278.29696555896953</v>
      </c>
      <c r="J42" s="272">
        <f>+'Calculo Coef Actualizado'!J42-'pagado 1er Sem'!J42</f>
        <v>-137.30761919092038</v>
      </c>
      <c r="K42" s="273">
        <f t="shared" si="1"/>
        <v>-63281.770251621223</v>
      </c>
      <c r="M42" s="271" t="s">
        <v>37</v>
      </c>
      <c r="N42" s="272">
        <f t="shared" si="2"/>
        <v>-8440.4263652022928</v>
      </c>
      <c r="O42" s="272">
        <f t="shared" si="4"/>
        <v>-1149.8944558373962</v>
      </c>
      <c r="P42" s="272">
        <f t="shared" si="5"/>
        <v>0</v>
      </c>
      <c r="Q42" s="272">
        <f t="shared" si="6"/>
        <v>-257.02877169038402</v>
      </c>
      <c r="R42" s="272">
        <f t="shared" si="7"/>
        <v>-358.64929839435109</v>
      </c>
      <c r="S42" s="272">
        <f t="shared" si="8"/>
        <v>-27.837782264906611</v>
      </c>
      <c r="T42" s="272">
        <f t="shared" si="9"/>
        <v>-243.85760442255801</v>
      </c>
      <c r="U42" s="272">
        <f t="shared" si="10"/>
        <v>-46.382827593161586</v>
      </c>
      <c r="V42" s="272">
        <f t="shared" si="11"/>
        <v>-22.88460319848673</v>
      </c>
      <c r="W42" s="273">
        <f t="shared" si="3"/>
        <v>-10546.961708603538</v>
      </c>
    </row>
    <row r="43" spans="1:23">
      <c r="A43" s="271" t="s">
        <v>38</v>
      </c>
      <c r="B43" s="272">
        <f>+'Calculo Coef Actualizado'!B43-'pagado 1er Sem'!B43</f>
        <v>-118812.20397248864</v>
      </c>
      <c r="C43" s="272">
        <f>+'Calculo Coef Actualizado'!C43-'pagado 1er Sem'!C43</f>
        <v>-16186.563617320731</v>
      </c>
      <c r="D43" s="272">
        <f>+'Calculo Coef Actualizado'!D43-'pagado 1er Sem'!D43</f>
        <v>0</v>
      </c>
      <c r="E43" s="272">
        <f>+'Calculo Coef Actualizado'!E43-'pagado 1er Sem'!E43</f>
        <v>-3618.0836829820182</v>
      </c>
      <c r="F43" s="272">
        <f>+'Calculo Coef Actualizado'!F43-'pagado 1er Sem'!F43</f>
        <v>-5048.5485522744711</v>
      </c>
      <c r="G43" s="272">
        <f>+'Calculo Coef Actualizado'!G43-'pagado 1er Sem'!G43</f>
        <v>-391.86034204892348</v>
      </c>
      <c r="H43" s="272">
        <f>+'Calculo Coef Actualizado'!H43-'pagado 1er Sem'!H43</f>
        <v>-3432.6773584736511</v>
      </c>
      <c r="I43" s="272">
        <f>+'Calculo Coef Actualizado'!I43-'pagado 1er Sem'!I43</f>
        <v>-652.91084765852429</v>
      </c>
      <c r="J43" s="272">
        <f>+'Calculo Coef Actualizado'!J43-'pagado 1er Sem'!J43</f>
        <v>-2274.5845288543496</v>
      </c>
      <c r="K43" s="273">
        <f t="shared" si="1"/>
        <v>-150417.43290210131</v>
      </c>
      <c r="M43" s="271" t="s">
        <v>38</v>
      </c>
      <c r="N43" s="272">
        <f t="shared" si="2"/>
        <v>-19802.033995414775</v>
      </c>
      <c r="O43" s="272">
        <f t="shared" si="4"/>
        <v>-2697.7606028867885</v>
      </c>
      <c r="P43" s="272">
        <f t="shared" si="5"/>
        <v>0</v>
      </c>
      <c r="Q43" s="272">
        <f t="shared" si="6"/>
        <v>-603.01394716366974</v>
      </c>
      <c r="R43" s="272">
        <f t="shared" si="7"/>
        <v>-841.42475871241186</v>
      </c>
      <c r="S43" s="272">
        <f t="shared" si="8"/>
        <v>-65.310057008153919</v>
      </c>
      <c r="T43" s="272">
        <f t="shared" si="9"/>
        <v>-572.11289307894185</v>
      </c>
      <c r="U43" s="272">
        <f t="shared" si="10"/>
        <v>-108.81847460975405</v>
      </c>
      <c r="V43" s="272">
        <f t="shared" si="11"/>
        <v>-379.09742147572496</v>
      </c>
      <c r="W43" s="273">
        <f t="shared" si="3"/>
        <v>-25069.572150350221</v>
      </c>
    </row>
    <row r="44" spans="1:23">
      <c r="A44" s="271" t="s">
        <v>39</v>
      </c>
      <c r="B44" s="272">
        <f>+'Calculo Coef Actualizado'!B44-'pagado 1er Sem'!B44</f>
        <v>-10591153.474052906</v>
      </c>
      <c r="C44" s="272">
        <f>+'Calculo Coef Actualizado'!C44-'pagado 1er Sem'!C44</f>
        <v>-1442902.1209789366</v>
      </c>
      <c r="D44" s="272">
        <f>+'Calculo Coef Actualizado'!D44-'pagado 1er Sem'!D44</f>
        <v>0</v>
      </c>
      <c r="E44" s="272">
        <f>+'Calculo Coef Actualizado'!E44-'pagado 1er Sem'!E44</f>
        <v>-322523.14557120577</v>
      </c>
      <c r="F44" s="272">
        <f>+'Calculo Coef Actualizado'!F44-'pagado 1er Sem'!F44</f>
        <v>-450037.50272750854</v>
      </c>
      <c r="G44" s="272">
        <f>+'Calculo Coef Actualizado'!G44-'pagado 1er Sem'!G44</f>
        <v>-34931.201739947312</v>
      </c>
      <c r="H44" s="272">
        <f>+'Calculo Coef Actualizado'!H44-'pagado 1er Sem'!H44</f>
        <v>-305995.6130258292</v>
      </c>
      <c r="I44" s="272">
        <f>+'Calculo Coef Actualizado'!I44-'pagado 1er Sem'!I44</f>
        <v>-58201.756583597511</v>
      </c>
      <c r="J44" s="272">
        <f>+'Calculo Coef Actualizado'!J44-'pagado 1er Sem'!J44</f>
        <v>-370321.47548832372</v>
      </c>
      <c r="K44" s="273">
        <f t="shared" si="1"/>
        <v>-13576066.290168256</v>
      </c>
      <c r="M44" s="271" t="s">
        <v>39</v>
      </c>
      <c r="N44" s="272">
        <f t="shared" si="2"/>
        <v>-1765192.2456754844</v>
      </c>
      <c r="O44" s="272">
        <f t="shared" si="4"/>
        <v>-240483.68682982275</v>
      </c>
      <c r="P44" s="272">
        <f t="shared" si="5"/>
        <v>0</v>
      </c>
      <c r="Q44" s="272">
        <f t="shared" si="6"/>
        <v>-53753.857595200963</v>
      </c>
      <c r="R44" s="272">
        <f t="shared" si="7"/>
        <v>-75006.250454584762</v>
      </c>
      <c r="S44" s="272">
        <f t="shared" si="8"/>
        <v>-5821.8669566578856</v>
      </c>
      <c r="T44" s="272">
        <f t="shared" si="9"/>
        <v>-50999.268837638199</v>
      </c>
      <c r="U44" s="272">
        <f t="shared" si="10"/>
        <v>-9700.2927639329191</v>
      </c>
      <c r="V44" s="272">
        <f t="shared" si="11"/>
        <v>-61720.245914720617</v>
      </c>
      <c r="W44" s="273">
        <f t="shared" si="3"/>
        <v>-2262677.7150280424</v>
      </c>
    </row>
    <row r="45" spans="1:23">
      <c r="A45" s="271" t="s">
        <v>40</v>
      </c>
      <c r="B45" s="272">
        <f>+'Calculo Coef Actualizado'!B45-'pagado 1er Sem'!B45</f>
        <v>-12698.964123046957</v>
      </c>
      <c r="C45" s="272">
        <f>+'Calculo Coef Actualizado'!C45-'pagado 1er Sem'!C45</f>
        <v>-1730.0630137681728</v>
      </c>
      <c r="D45" s="272">
        <f>+'Calculo Coef Actualizado'!D45-'pagado 1er Sem'!D45</f>
        <v>0</v>
      </c>
      <c r="E45" s="272">
        <f>+'Calculo Coef Actualizado'!E45-'pagado 1er Sem'!E45</f>
        <v>-386.71068960847333</v>
      </c>
      <c r="F45" s="272">
        <f>+'Calculo Coef Actualizado'!F45-'pagado 1er Sem'!F45</f>
        <v>-539.60205381264677</v>
      </c>
      <c r="G45" s="272">
        <f>+'Calculo Coef Actualizado'!G45-'pagado 1er Sem'!G45</f>
        <v>-41.883076808720944</v>
      </c>
      <c r="H45" s="272">
        <f>+'Calculo Coef Actualizado'!H45-'pagado 1er Sem'!H45</f>
        <v>-366.89370046673866</v>
      </c>
      <c r="I45" s="272">
        <f>+'Calculo Coef Actualizado'!I45-'pagado 1er Sem'!I45</f>
        <v>-69.784845785718062</v>
      </c>
      <c r="J45" s="272">
        <f>+'Calculo Coef Actualizado'!J45-'pagado 1er Sem'!J45</f>
        <v>338.53520193377335</v>
      </c>
      <c r="K45" s="273">
        <f t="shared" si="1"/>
        <v>-15495.366301363654</v>
      </c>
      <c r="M45" s="271" t="s">
        <v>40</v>
      </c>
      <c r="N45" s="272">
        <f t="shared" si="2"/>
        <v>-2116.494020507826</v>
      </c>
      <c r="O45" s="272">
        <f t="shared" si="4"/>
        <v>-288.34383562802878</v>
      </c>
      <c r="P45" s="272">
        <f t="shared" si="5"/>
        <v>0</v>
      </c>
      <c r="Q45" s="272">
        <f t="shared" si="6"/>
        <v>-64.451781601412222</v>
      </c>
      <c r="R45" s="272">
        <f t="shared" si="7"/>
        <v>-89.933675635441134</v>
      </c>
      <c r="S45" s="272">
        <f t="shared" si="8"/>
        <v>-6.9805128014534903</v>
      </c>
      <c r="T45" s="272">
        <f t="shared" si="9"/>
        <v>-61.148950077789777</v>
      </c>
      <c r="U45" s="272">
        <f t="shared" si="10"/>
        <v>-11.63080763095301</v>
      </c>
      <c r="V45" s="272">
        <f t="shared" si="11"/>
        <v>56.422533655628889</v>
      </c>
      <c r="W45" s="273">
        <f t="shared" si="3"/>
        <v>-2582.5610502272757</v>
      </c>
    </row>
    <row r="46" spans="1:23">
      <c r="A46" s="271" t="s">
        <v>41</v>
      </c>
      <c r="B46" s="272">
        <f>+'Calculo Coef Actualizado'!B46-'pagado 1er Sem'!B46</f>
        <v>1524572.1376891881</v>
      </c>
      <c r="C46" s="272">
        <f>+'Calculo Coef Actualizado'!C46-'pagado 1er Sem'!C46</f>
        <v>207702.43545274762</v>
      </c>
      <c r="D46" s="272">
        <f>+'Calculo Coef Actualizado'!D46-'pagado 1er Sem'!D46</f>
        <v>0</v>
      </c>
      <c r="E46" s="272">
        <f>+'Calculo Coef Actualizado'!E46-'pagado 1er Sem'!E46</f>
        <v>46426.463536446798</v>
      </c>
      <c r="F46" s="272">
        <f>+'Calculo Coef Actualizado'!F46-'pagado 1er Sem'!F46</f>
        <v>64781.861578884069</v>
      </c>
      <c r="G46" s="272">
        <f>+'Calculo Coef Actualizado'!G46-'pagado 1er Sem'!G46</f>
        <v>5028.265998859024</v>
      </c>
      <c r="H46" s="272">
        <f>+'Calculo Coef Actualizado'!H46-'pagado 1er Sem'!H46</f>
        <v>44047.363391395076</v>
      </c>
      <c r="I46" s="272">
        <f>+'Calculo Coef Actualizado'!I46-'pagado 1er Sem'!I46</f>
        <v>8378.0087477673951</v>
      </c>
      <c r="J46" s="272">
        <f>+'Calculo Coef Actualizado'!J46-'pagado 1er Sem'!J46</f>
        <v>13463.954265302978</v>
      </c>
      <c r="K46" s="273">
        <f t="shared" si="1"/>
        <v>1914400.4906605913</v>
      </c>
      <c r="M46" s="271" t="s">
        <v>41</v>
      </c>
      <c r="N46" s="272">
        <f t="shared" si="2"/>
        <v>254095.35628153136</v>
      </c>
      <c r="O46" s="272">
        <f t="shared" si="4"/>
        <v>34617.07257545794</v>
      </c>
      <c r="P46" s="272">
        <f t="shared" si="5"/>
        <v>0</v>
      </c>
      <c r="Q46" s="272">
        <f t="shared" si="6"/>
        <v>7737.7439227411332</v>
      </c>
      <c r="R46" s="272">
        <f t="shared" si="7"/>
        <v>10796.976929814011</v>
      </c>
      <c r="S46" s="272">
        <f t="shared" si="8"/>
        <v>838.04433314317066</v>
      </c>
      <c r="T46" s="272">
        <f t="shared" si="9"/>
        <v>7341.2272318991791</v>
      </c>
      <c r="U46" s="272">
        <f t="shared" si="10"/>
        <v>1396.3347912945658</v>
      </c>
      <c r="V46" s="272">
        <f t="shared" si="11"/>
        <v>2243.9923775504963</v>
      </c>
      <c r="W46" s="273">
        <f t="shared" si="3"/>
        <v>319066.74844343192</v>
      </c>
    </row>
    <row r="47" spans="1:23">
      <c r="A47" s="271" t="s">
        <v>42</v>
      </c>
      <c r="B47" s="272">
        <f>+'Calculo Coef Actualizado'!B47-'pagado 1er Sem'!B47</f>
        <v>-26934.144113015383</v>
      </c>
      <c r="C47" s="272">
        <f>+'Calculo Coef Actualizado'!C47-'pagado 1er Sem'!C47</f>
        <v>-3669.4149098400958</v>
      </c>
      <c r="D47" s="272">
        <f>+'Calculo Coef Actualizado'!D47-'pagado 1er Sem'!D47</f>
        <v>0</v>
      </c>
      <c r="E47" s="272">
        <f>+'Calculo Coef Actualizado'!E47-'pagado 1er Sem'!E47</f>
        <v>-820.20297421573196</v>
      </c>
      <c r="F47" s="272">
        <f>+'Calculo Coef Actualizado'!F47-'pagado 1er Sem'!F47</f>
        <v>-1144.4802868646802</v>
      </c>
      <c r="G47" s="272">
        <f>+'Calculo Coef Actualizado'!G47-'pagado 1er Sem'!G47</f>
        <v>-88.832826235313405</v>
      </c>
      <c r="H47" s="272">
        <f>+'Calculo Coef Actualizado'!H47-'pagado 1er Sem'!H47</f>
        <v>-778.17121173243504</v>
      </c>
      <c r="I47" s="272">
        <f>+'Calculo Coef Actualizado'!I47-'pagado 1er Sem'!I47</f>
        <v>-148.01168473043072</v>
      </c>
      <c r="J47" s="272">
        <f>+'Calculo Coef Actualizado'!J47-'pagado 1er Sem'!J47</f>
        <v>-418.87953233541339</v>
      </c>
      <c r="K47" s="273">
        <f t="shared" si="1"/>
        <v>-34002.137538969488</v>
      </c>
      <c r="M47" s="271" t="s">
        <v>42</v>
      </c>
      <c r="N47" s="272">
        <f t="shared" si="2"/>
        <v>-4489.0240188358976</v>
      </c>
      <c r="O47" s="272">
        <f t="shared" si="4"/>
        <v>-611.569151640016</v>
      </c>
      <c r="P47" s="272">
        <f t="shared" si="5"/>
        <v>0</v>
      </c>
      <c r="Q47" s="272">
        <f t="shared" si="6"/>
        <v>-136.70049570262199</v>
      </c>
      <c r="R47" s="272">
        <f t="shared" si="7"/>
        <v>-190.74671447744672</v>
      </c>
      <c r="S47" s="272">
        <f t="shared" si="8"/>
        <v>-14.805471039218901</v>
      </c>
      <c r="T47" s="272">
        <f t="shared" si="9"/>
        <v>-129.69520195540585</v>
      </c>
      <c r="U47" s="272">
        <f t="shared" si="10"/>
        <v>-24.668614121738454</v>
      </c>
      <c r="V47" s="272">
        <f t="shared" si="11"/>
        <v>-69.813255389235565</v>
      </c>
      <c r="W47" s="273">
        <f t="shared" si="3"/>
        <v>-5667.0229231615804</v>
      </c>
    </row>
    <row r="48" spans="1:23">
      <c r="A48" s="271" t="s">
        <v>43</v>
      </c>
      <c r="B48" s="272">
        <f>+'Calculo Coef Actualizado'!B48-'pagado 1er Sem'!B48</f>
        <v>145015.47120597214</v>
      </c>
      <c r="C48" s="272">
        <f>+'Calculo Coef Actualizado'!C48-'pagado 1er Sem'!C48</f>
        <v>19756.406436773483</v>
      </c>
      <c r="D48" s="272">
        <f>+'Calculo Coef Actualizado'!D48-'pagado 1er Sem'!D48</f>
        <v>0</v>
      </c>
      <c r="E48" s="272">
        <f>+'Calculo Coef Actualizado'!E48-'pagado 1er Sem'!E48</f>
        <v>4416.0300852900837</v>
      </c>
      <c r="F48" s="272">
        <f>+'Calculo Coef Actualizado'!F48-'pagado 1er Sem'!F48</f>
        <v>6161.9723951815977</v>
      </c>
      <c r="G48" s="272">
        <f>+'Calculo Coef Actualizado'!G48-'pagado 1er Sem'!G48</f>
        <v>478.28262874567736</v>
      </c>
      <c r="H48" s="272">
        <f>+'Calculo Coef Actualizado'!H48-'pagado 1er Sem'!H48</f>
        <v>4189.732364556985</v>
      </c>
      <c r="I48" s="272">
        <f>+'Calculo Coef Actualizado'!I48-'pagado 1er Sem'!I48</f>
        <v>796.90613097640016</v>
      </c>
      <c r="J48" s="272">
        <f>+'Calculo Coef Actualizado'!J48-'pagado 1er Sem'!J48</f>
        <v>2141.0200773708348</v>
      </c>
      <c r="K48" s="273">
        <f t="shared" si="1"/>
        <v>182955.8213248672</v>
      </c>
      <c r="M48" s="271" t="s">
        <v>43</v>
      </c>
      <c r="N48" s="272">
        <f t="shared" si="2"/>
        <v>24169.245200995356</v>
      </c>
      <c r="O48" s="272">
        <f t="shared" si="4"/>
        <v>3292.7344061289136</v>
      </c>
      <c r="P48" s="272">
        <f t="shared" si="5"/>
        <v>0</v>
      </c>
      <c r="Q48" s="272">
        <f t="shared" si="6"/>
        <v>736.00501421501394</v>
      </c>
      <c r="R48" s="272">
        <f t="shared" si="7"/>
        <v>1026.995399196933</v>
      </c>
      <c r="S48" s="272">
        <f t="shared" si="8"/>
        <v>79.713771457612893</v>
      </c>
      <c r="T48" s="272">
        <f t="shared" si="9"/>
        <v>698.2887274261642</v>
      </c>
      <c r="U48" s="272">
        <f t="shared" si="10"/>
        <v>132.81768849606669</v>
      </c>
      <c r="V48" s="272">
        <f t="shared" si="11"/>
        <v>356.83667956180579</v>
      </c>
      <c r="W48" s="273">
        <f t="shared" si="3"/>
        <v>30492.636887477867</v>
      </c>
    </row>
    <row r="49" spans="1:23">
      <c r="A49" s="271" t="s">
        <v>44</v>
      </c>
      <c r="B49" s="272">
        <f>+'Calculo Coef Actualizado'!B49-'pagado 1er Sem'!B49</f>
        <v>-86837.373428590596</v>
      </c>
      <c r="C49" s="272">
        <f>+'Calculo Coef Actualizado'!C49-'pagado 1er Sem'!C49</f>
        <v>-11830.423575786874</v>
      </c>
      <c r="D49" s="272">
        <f>+'Calculo Coef Actualizado'!D49-'pagado 1er Sem'!D49</f>
        <v>0</v>
      </c>
      <c r="E49" s="272">
        <f>+'Calculo Coef Actualizado'!E49-'pagado 1er Sem'!E49</f>
        <v>-2644.383206140832</v>
      </c>
      <c r="F49" s="272">
        <f>+'Calculo Coef Actualizado'!F49-'pagado 1er Sem'!F49</f>
        <v>-3689.8785691014491</v>
      </c>
      <c r="G49" s="272">
        <f>+'Calculo Coef Actualizado'!G49-'pagado 1er Sem'!G49</f>
        <v>-286.40259589029301</v>
      </c>
      <c r="H49" s="272">
        <f>+'Calculo Coef Actualizado'!H49-'pagado 1er Sem'!H49</f>
        <v>-2508.8726919577457</v>
      </c>
      <c r="I49" s="272">
        <f>+'Calculo Coef Actualizado'!I49-'pagado 1er Sem'!I49</f>
        <v>-477.19898188608931</v>
      </c>
      <c r="J49" s="272">
        <f>+'Calculo Coef Actualizado'!J49-'pagado 1er Sem'!J49</f>
        <v>-1011.5520972297527</v>
      </c>
      <c r="K49" s="273">
        <f t="shared" si="1"/>
        <v>-109286.08514658363</v>
      </c>
      <c r="M49" s="271" t="s">
        <v>44</v>
      </c>
      <c r="N49" s="272">
        <f t="shared" si="2"/>
        <v>-14472.895571431765</v>
      </c>
      <c r="O49" s="272">
        <f t="shared" si="4"/>
        <v>-1971.7372626311455</v>
      </c>
      <c r="P49" s="272">
        <f t="shared" si="5"/>
        <v>0</v>
      </c>
      <c r="Q49" s="272">
        <f t="shared" si="6"/>
        <v>-440.73053435680532</v>
      </c>
      <c r="R49" s="272">
        <f t="shared" si="7"/>
        <v>-614.97976151690818</v>
      </c>
      <c r="S49" s="272">
        <f t="shared" si="8"/>
        <v>-47.7337659817155</v>
      </c>
      <c r="T49" s="272">
        <f t="shared" si="9"/>
        <v>-418.14544865962426</v>
      </c>
      <c r="U49" s="272">
        <f t="shared" si="10"/>
        <v>-79.533163647681548</v>
      </c>
      <c r="V49" s="272">
        <f t="shared" si="11"/>
        <v>-168.59201620495878</v>
      </c>
      <c r="W49" s="273">
        <f t="shared" si="3"/>
        <v>-18214.347524430603</v>
      </c>
    </row>
    <row r="50" spans="1:23">
      <c r="A50" s="271" t="s">
        <v>45</v>
      </c>
      <c r="B50" s="272">
        <f>+'Calculo Coef Actualizado'!B50-'pagado 1er Sem'!B50</f>
        <v>-184236.86453019828</v>
      </c>
      <c r="C50" s="272">
        <f>+'Calculo Coef Actualizado'!C50-'pagado 1er Sem'!C50</f>
        <v>-25099.793344078586</v>
      </c>
      <c r="D50" s="272">
        <f>+'Calculo Coef Actualizado'!D50-'pagado 1er Sem'!D50</f>
        <v>0</v>
      </c>
      <c r="E50" s="272">
        <f>+'Calculo Coef Actualizado'!E50-'pagado 1er Sem'!E50</f>
        <v>-5610.4046255869325</v>
      </c>
      <c r="F50" s="272">
        <f>+'Calculo Coef Actualizado'!F50-'pagado 1er Sem'!F50</f>
        <v>-7828.5614429851994</v>
      </c>
      <c r="G50" s="272">
        <f>+'Calculo Coef Actualizado'!G50-'pagado 1er Sem'!G50</f>
        <v>-607.64062403792923</v>
      </c>
      <c r="H50" s="272">
        <f>+'Calculo Coef Actualizado'!H50-'pagado 1er Sem'!H50</f>
        <v>-5322.9020513565047</v>
      </c>
      <c r="I50" s="272">
        <f>+'Calculo Coef Actualizado'!I50-'pagado 1er Sem'!I50</f>
        <v>-1012.4401614788803</v>
      </c>
      <c r="J50" s="272">
        <f>+'Calculo Coef Actualizado'!J50-'pagado 1er Sem'!J50</f>
        <v>-4446.7548399108928</v>
      </c>
      <c r="K50" s="273">
        <f t="shared" si="1"/>
        <v>-234165.36161963322</v>
      </c>
      <c r="M50" s="271" t="s">
        <v>45</v>
      </c>
      <c r="N50" s="272">
        <f t="shared" si="2"/>
        <v>-30706.144088366378</v>
      </c>
      <c r="O50" s="272">
        <f t="shared" si="4"/>
        <v>-4183.2988906797646</v>
      </c>
      <c r="P50" s="272">
        <f t="shared" si="5"/>
        <v>0</v>
      </c>
      <c r="Q50" s="272">
        <f t="shared" si="6"/>
        <v>-935.06743759782205</v>
      </c>
      <c r="R50" s="272">
        <f t="shared" si="7"/>
        <v>-1304.7602404975332</v>
      </c>
      <c r="S50" s="272">
        <f t="shared" si="8"/>
        <v>-101.27343733965488</v>
      </c>
      <c r="T50" s="272">
        <f t="shared" si="9"/>
        <v>-887.15034189275082</v>
      </c>
      <c r="U50" s="272">
        <f t="shared" si="10"/>
        <v>-168.74002691314672</v>
      </c>
      <c r="V50" s="272">
        <f t="shared" si="11"/>
        <v>-741.12580665181542</v>
      </c>
      <c r="W50" s="273">
        <f t="shared" si="3"/>
        <v>-39027.560269938862</v>
      </c>
    </row>
    <row r="51" spans="1:23">
      <c r="A51" s="271" t="s">
        <v>46</v>
      </c>
      <c r="B51" s="272">
        <f>+'Calculo Coef Actualizado'!B51-'pagado 1er Sem'!B51</f>
        <v>-676180.80870911479</v>
      </c>
      <c r="C51" s="272">
        <f>+'Calculo Coef Actualizado'!C51-'pagado 1er Sem'!C51</f>
        <v>-92120.534584000707</v>
      </c>
      <c r="D51" s="272">
        <f>+'Calculo Coef Actualizado'!D51-'pagado 1er Sem'!D51</f>
        <v>0</v>
      </c>
      <c r="E51" s="272">
        <f>+'Calculo Coef Actualizado'!E51-'pagado 1er Sem'!E51</f>
        <v>-20591.142397311516</v>
      </c>
      <c r="F51" s="272">
        <f>+'Calculo Coef Actualizado'!F51-'pagado 1er Sem'!F51</f>
        <v>-28732.161513373256</v>
      </c>
      <c r="G51" s="272">
        <f>+'Calculo Coef Actualizado'!G51-'pagado 1er Sem'!G51</f>
        <v>-2230.1450182516128</v>
      </c>
      <c r="H51" s="272">
        <f>+'Calculo Coef Actualizado'!H51-'pagado 1er Sem'!H51</f>
        <v>-19535.96090260148</v>
      </c>
      <c r="I51" s="272">
        <f>+'Calculo Coef Actualizado'!I51-'pagado 1er Sem'!I51</f>
        <v>-3715.8285890033003</v>
      </c>
      <c r="J51" s="272">
        <f>+'Calculo Coef Actualizado'!J51-'pagado 1er Sem'!J51</f>
        <v>222010.28292764537</v>
      </c>
      <c r="K51" s="273">
        <f t="shared" si="1"/>
        <v>-621096.29878601129</v>
      </c>
      <c r="M51" s="271" t="s">
        <v>46</v>
      </c>
      <c r="N51" s="272">
        <f t="shared" si="2"/>
        <v>-112696.80145151913</v>
      </c>
      <c r="O51" s="272">
        <f t="shared" si="4"/>
        <v>-15353.422430666784</v>
      </c>
      <c r="P51" s="272">
        <f t="shared" si="5"/>
        <v>0</v>
      </c>
      <c r="Q51" s="272">
        <f t="shared" si="6"/>
        <v>-3431.8570662185862</v>
      </c>
      <c r="R51" s="272">
        <f t="shared" si="7"/>
        <v>-4788.6935855622096</v>
      </c>
      <c r="S51" s="272">
        <f t="shared" si="8"/>
        <v>-371.69083637526882</v>
      </c>
      <c r="T51" s="272">
        <f t="shared" si="9"/>
        <v>-3255.9934837669134</v>
      </c>
      <c r="U51" s="272">
        <f t="shared" si="10"/>
        <v>-619.30476483388338</v>
      </c>
      <c r="V51" s="272">
        <f t="shared" si="11"/>
        <v>37001.713821274228</v>
      </c>
      <c r="W51" s="273">
        <f t="shared" si="3"/>
        <v>-103516.04979766853</v>
      </c>
    </row>
    <row r="52" spans="1:23">
      <c r="A52" s="271" t="s">
        <v>47</v>
      </c>
      <c r="B52" s="272">
        <f>+'Calculo Coef Actualizado'!B52-'pagado 1er Sem'!B52</f>
        <v>14687897.799952507</v>
      </c>
      <c r="C52" s="272">
        <f>+'Calculo Coef Actualizado'!C52-'pagado 1er Sem'!C52</f>
        <v>2001028.4003705606</v>
      </c>
      <c r="D52" s="272">
        <f>+'Calculo Coef Actualizado'!D52-'pagado 1er Sem'!D52</f>
        <v>0</v>
      </c>
      <c r="E52" s="272">
        <f>+'Calculo Coef Actualizado'!E52-'pagado 1er Sem'!E52</f>
        <v>447277.72425689921</v>
      </c>
      <c r="F52" s="272">
        <f>+'Calculo Coef Actualizado'!F52-'pagado 1er Sem'!F52</f>
        <v>624115.66823643073</v>
      </c>
      <c r="G52" s="272">
        <f>+'Calculo Coef Actualizado'!G52-'pagado 1er Sem'!G52</f>
        <v>48442.874763547443</v>
      </c>
      <c r="H52" s="272">
        <f>+'Calculo Coef Actualizado'!H52-'pagado 1er Sem'!H52</f>
        <v>424357.20566824824</v>
      </c>
      <c r="I52" s="272">
        <f>+'Calculo Coef Actualizado'!I52-'pagado 1er Sem'!I52</f>
        <v>80714.669512312859</v>
      </c>
      <c r="J52" s="272">
        <f>+'Calculo Coef Actualizado'!J52-'pagado 1er Sem'!J52</f>
        <v>156962.16469191108</v>
      </c>
      <c r="K52" s="273">
        <f t="shared" si="1"/>
        <v>18470796.507452417</v>
      </c>
      <c r="M52" s="271" t="s">
        <v>47</v>
      </c>
      <c r="N52" s="272">
        <f t="shared" si="2"/>
        <v>2447982.966658751</v>
      </c>
      <c r="O52" s="272">
        <f t="shared" si="4"/>
        <v>333504.73339509341</v>
      </c>
      <c r="P52" s="272">
        <f t="shared" si="5"/>
        <v>0</v>
      </c>
      <c r="Q52" s="272">
        <f t="shared" si="6"/>
        <v>74546.287376149863</v>
      </c>
      <c r="R52" s="272">
        <f t="shared" si="7"/>
        <v>104019.27803940512</v>
      </c>
      <c r="S52" s="272">
        <f t="shared" si="8"/>
        <v>8073.8124605912408</v>
      </c>
      <c r="T52" s="272">
        <f t="shared" si="9"/>
        <v>70726.200944708035</v>
      </c>
      <c r="U52" s="272">
        <f t="shared" si="10"/>
        <v>13452.444918718809</v>
      </c>
      <c r="V52" s="272">
        <f t="shared" si="11"/>
        <v>26160.360781985179</v>
      </c>
      <c r="W52" s="273">
        <f t="shared" si="3"/>
        <v>3078466.084575403</v>
      </c>
    </row>
    <row r="53" spans="1:23">
      <c r="A53" s="271" t="s">
        <v>48</v>
      </c>
      <c r="B53" s="272">
        <f>+'Calculo Coef Actualizado'!B53-'pagado 1er Sem'!B53</f>
        <v>-352070.27842140198</v>
      </c>
      <c r="C53" s="272">
        <f>+'Calculo Coef Actualizado'!C53-'pagado 1er Sem'!C53</f>
        <v>-47964.837146110833</v>
      </c>
      <c r="D53" s="272">
        <f>+'Calculo Coef Actualizado'!D53-'pagado 1er Sem'!D53</f>
        <v>0</v>
      </c>
      <c r="E53" s="272">
        <f>+'Calculo Coef Actualizado'!E53-'pagado 1er Sem'!E53</f>
        <v>-10721.288699650206</v>
      </c>
      <c r="F53" s="272">
        <f>+'Calculo Coef Actualizado'!F53-'pagado 1er Sem'!F53</f>
        <v>-14960.110714393668</v>
      </c>
      <c r="G53" s="272">
        <f>+'Calculo Coef Actualizado'!G53-'pagado 1er Sem'!G53</f>
        <v>-1161.1802203684347</v>
      </c>
      <c r="H53" s="272">
        <f>+'Calculo Coef Actualizado'!H53-'pagado 1er Sem'!H53</f>
        <v>-10171.881747087929</v>
      </c>
      <c r="I53" s="272">
        <f>+'Calculo Coef Actualizado'!I53-'pagado 1er Sem'!I53</f>
        <v>-1934.7381467055529</v>
      </c>
      <c r="J53" s="272">
        <f>+'Calculo Coef Actualizado'!J53-'pagado 1er Sem'!J53</f>
        <v>-74802.044698106125</v>
      </c>
      <c r="K53" s="273">
        <f t="shared" si="1"/>
        <v>-513786.35979382473</v>
      </c>
      <c r="M53" s="271" t="s">
        <v>48</v>
      </c>
      <c r="N53" s="272">
        <f t="shared" si="2"/>
        <v>-58678.37973690033</v>
      </c>
      <c r="O53" s="272">
        <f t="shared" si="4"/>
        <v>-7994.1395243518054</v>
      </c>
      <c r="P53" s="272">
        <f t="shared" si="5"/>
        <v>0</v>
      </c>
      <c r="Q53" s="272">
        <f t="shared" si="6"/>
        <v>-1786.881449941701</v>
      </c>
      <c r="R53" s="272">
        <f t="shared" si="7"/>
        <v>-2493.3517857322781</v>
      </c>
      <c r="S53" s="272">
        <f t="shared" si="8"/>
        <v>-193.53003672807245</v>
      </c>
      <c r="T53" s="272">
        <f t="shared" si="9"/>
        <v>-1695.313624514655</v>
      </c>
      <c r="U53" s="272">
        <f t="shared" si="10"/>
        <v>-322.45635778425884</v>
      </c>
      <c r="V53" s="272">
        <f t="shared" si="11"/>
        <v>-12467.007449684354</v>
      </c>
      <c r="W53" s="273">
        <f t="shared" si="3"/>
        <v>-85631.059965637469</v>
      </c>
    </row>
    <row r="54" spans="1:23">
      <c r="A54" s="271" t="s">
        <v>49</v>
      </c>
      <c r="B54" s="272">
        <f>+'Calculo Coef Actualizado'!B54-'pagado 1er Sem'!B54</f>
        <v>254138.90663390607</v>
      </c>
      <c r="C54" s="272">
        <f>+'Calculo Coef Actualizado'!C54-'pagado 1er Sem'!C54</f>
        <v>34623.005847820081</v>
      </c>
      <c r="D54" s="272">
        <f>+'Calculo Coef Actualizado'!D54-'pagado 1er Sem'!D54</f>
        <v>0</v>
      </c>
      <c r="E54" s="272">
        <f>+'Calculo Coef Actualizado'!E54-'pagado 1er Sem'!E54</f>
        <v>7739.070592924254</v>
      </c>
      <c r="F54" s="272">
        <f>+'Calculo Coef Actualizado'!F54-'pagado 1er Sem'!F54</f>
        <v>10798.827087200247</v>
      </c>
      <c r="G54" s="272">
        <f>+'Calculo Coef Actualizado'!G54-'pagado 1er Sem'!G54</f>
        <v>838.18797196040396</v>
      </c>
      <c r="H54" s="272">
        <f>+'Calculo Coef Actualizado'!H54-'pagado 1er Sem'!H54</f>
        <v>7342.4855070691556</v>
      </c>
      <c r="I54" s="272">
        <f>+'Calculo Coef Actualizado'!I54-'pagado 1er Sem'!I54</f>
        <v>1396.5741129918606</v>
      </c>
      <c r="J54" s="272">
        <f>+'Calculo Coef Actualizado'!J54-'pagado 1er Sem'!J54</f>
        <v>-9774.9338372640777</v>
      </c>
      <c r="K54" s="273">
        <f t="shared" si="1"/>
        <v>307102.12391660799</v>
      </c>
      <c r="M54" s="271" t="s">
        <v>49</v>
      </c>
      <c r="N54" s="272">
        <f t="shared" si="2"/>
        <v>42356.484438984342</v>
      </c>
      <c r="O54" s="272">
        <f t="shared" si="4"/>
        <v>5770.5009746366804</v>
      </c>
      <c r="P54" s="272">
        <f t="shared" si="5"/>
        <v>0</v>
      </c>
      <c r="Q54" s="272">
        <f t="shared" si="6"/>
        <v>1289.8450988207089</v>
      </c>
      <c r="R54" s="272">
        <f t="shared" si="7"/>
        <v>1799.8045145333745</v>
      </c>
      <c r="S54" s="272">
        <f t="shared" si="8"/>
        <v>139.697995326734</v>
      </c>
      <c r="T54" s="272">
        <f t="shared" si="9"/>
        <v>1223.7475845115259</v>
      </c>
      <c r="U54" s="272">
        <f t="shared" si="10"/>
        <v>232.76235216531009</v>
      </c>
      <c r="V54" s="272">
        <f t="shared" si="11"/>
        <v>-1629.155639544013</v>
      </c>
      <c r="W54" s="273">
        <f t="shared" si="3"/>
        <v>51183.687319434663</v>
      </c>
    </row>
    <row r="55" spans="1:23">
      <c r="A55" s="271" t="s">
        <v>50</v>
      </c>
      <c r="B55" s="272">
        <f>+'Calculo Coef Actualizado'!B55-'pagado 1er Sem'!B55</f>
        <v>-22548.135894376785</v>
      </c>
      <c r="C55" s="272">
        <f>+'Calculo Coef Actualizado'!C55-'pagado 1er Sem'!C55</f>
        <v>-3071.8798786879051</v>
      </c>
      <c r="D55" s="272">
        <f>+'Calculo Coef Actualizado'!D55-'pagado 1er Sem'!D55</f>
        <v>0</v>
      </c>
      <c r="E55" s="272">
        <f>+'Calculo Coef Actualizado'!E55-'pagado 1er Sem'!E55</f>
        <v>-686.63801777281333</v>
      </c>
      <c r="F55" s="272">
        <f>+'Calculo Coef Actualizado'!F55-'pagado 1er Sem'!F55</f>
        <v>-958.11211543309037</v>
      </c>
      <c r="G55" s="272">
        <f>+'Calculo Coef Actualizado'!G55-'pagado 1er Sem'!G55</f>
        <v>-74.367106128680462</v>
      </c>
      <c r="H55" s="272">
        <f>+'Calculo Coef Actualizado'!H55-'pagado 1er Sem'!H55</f>
        <v>-651.45219137883396</v>
      </c>
      <c r="I55" s="272">
        <f>+'Calculo Coef Actualizado'!I55-'pagado 1er Sem'!I55</f>
        <v>-123.90917950309813</v>
      </c>
      <c r="J55" s="272">
        <f>+'Calculo Coef Actualizado'!J55-'pagado 1er Sem'!J55</f>
        <v>-103.55260168923996</v>
      </c>
      <c r="K55" s="273">
        <f t="shared" si="1"/>
        <v>-28218.046984970446</v>
      </c>
      <c r="M55" s="271" t="s">
        <v>50</v>
      </c>
      <c r="N55" s="272">
        <f t="shared" si="2"/>
        <v>-3758.0226490627974</v>
      </c>
      <c r="O55" s="272">
        <f t="shared" si="4"/>
        <v>-511.97997978131752</v>
      </c>
      <c r="P55" s="272">
        <f t="shared" si="5"/>
        <v>0</v>
      </c>
      <c r="Q55" s="272">
        <f t="shared" si="6"/>
        <v>-114.43966962880222</v>
      </c>
      <c r="R55" s="272">
        <f t="shared" si="7"/>
        <v>-159.68535257218173</v>
      </c>
      <c r="S55" s="272">
        <f t="shared" si="8"/>
        <v>-12.39451768811341</v>
      </c>
      <c r="T55" s="272">
        <f t="shared" si="9"/>
        <v>-108.57536522980566</v>
      </c>
      <c r="U55" s="272">
        <f t="shared" si="10"/>
        <v>-20.651529917183023</v>
      </c>
      <c r="V55" s="272">
        <f t="shared" si="11"/>
        <v>-17.258766948206659</v>
      </c>
      <c r="W55" s="273">
        <f t="shared" si="3"/>
        <v>-4703.0078308284074</v>
      </c>
    </row>
    <row r="56" spans="1:23" ht="13.8" thickBot="1">
      <c r="A56" s="271" t="s">
        <v>51</v>
      </c>
      <c r="B56" s="272">
        <f>+'Calculo Coef Actualizado'!B56-'pagado 1er Sem'!B56</f>
        <v>-31064.9100871142</v>
      </c>
      <c r="C56" s="272">
        <f>+'Calculo Coef Actualizado'!C56-'pagado 1er Sem'!C56</f>
        <v>-4232.1761489589699</v>
      </c>
      <c r="D56" s="272">
        <f>+'Calculo Coef Actualizado'!D56-'pagado 1er Sem'!D56</f>
        <v>0</v>
      </c>
      <c r="E56" s="272">
        <f>+'Calculo Coef Actualizado'!E56-'pagado 1er Sem'!E56</f>
        <v>-945.99346243962646</v>
      </c>
      <c r="F56" s="272">
        <f>+'Calculo Coef Actualizado'!F56-'pagado 1er Sem'!F56</f>
        <v>-1320.0041924450779</v>
      </c>
      <c r="G56" s="272">
        <f>+'Calculo Coef Actualizado'!G56-'pagado 1er Sem'!G56</f>
        <v>-102.45670687279198</v>
      </c>
      <c r="H56" s="272">
        <f>+'Calculo Coef Actualizado'!H56-'pagado 1er Sem'!H56</f>
        <v>-897.51573595957598</v>
      </c>
      <c r="I56" s="272">
        <f>+'Calculo Coef Actualizado'!I56-'pagado 1er Sem'!I56</f>
        <v>-170.71155778378306</v>
      </c>
      <c r="J56" s="272">
        <f>+'Calculo Coef Actualizado'!J56-'pagado 1er Sem'!J56</f>
        <v>-47.957892700418597</v>
      </c>
      <c r="K56" s="273">
        <f t="shared" si="1"/>
        <v>-38781.725784274444</v>
      </c>
      <c r="M56" s="271" t="s">
        <v>51</v>
      </c>
      <c r="N56" s="272">
        <f t="shared" si="2"/>
        <v>-5177.485014519033</v>
      </c>
      <c r="O56" s="272">
        <f t="shared" si="4"/>
        <v>-705.36269149316161</v>
      </c>
      <c r="P56" s="272">
        <f t="shared" si="5"/>
        <v>0</v>
      </c>
      <c r="Q56" s="272">
        <f t="shared" si="6"/>
        <v>-157.66557707327107</v>
      </c>
      <c r="R56" s="272">
        <f t="shared" si="7"/>
        <v>-220.00069874084633</v>
      </c>
      <c r="S56" s="272">
        <f t="shared" si="8"/>
        <v>-17.076117812131997</v>
      </c>
      <c r="T56" s="272">
        <f t="shared" si="9"/>
        <v>-149.58595599326267</v>
      </c>
      <c r="U56" s="272">
        <f t="shared" si="10"/>
        <v>-28.451926297297177</v>
      </c>
      <c r="V56" s="272">
        <f t="shared" si="11"/>
        <v>-7.9929821167364326</v>
      </c>
      <c r="W56" s="273">
        <f t="shared" si="3"/>
        <v>-6463.62096404574</v>
      </c>
    </row>
    <row r="57" spans="1:23" ht="14.4" thickTop="1" thickBot="1">
      <c r="A57" s="274" t="s">
        <v>52</v>
      </c>
      <c r="B57" s="275">
        <f t="shared" ref="B57:E57" si="12">SUM(B6:B56)</f>
        <v>-3.9674341678619385E-7</v>
      </c>
      <c r="C57" s="275">
        <f t="shared" si="12"/>
        <v>-9.5460563898086548E-9</v>
      </c>
      <c r="D57" s="275">
        <f t="shared" si="12"/>
        <v>0</v>
      </c>
      <c r="E57" s="275">
        <f t="shared" si="12"/>
        <v>-1.0710209608078003E-8</v>
      </c>
      <c r="F57" s="275">
        <f>SUM(F6:F56)</f>
        <v>-4.1909515857696533E-9</v>
      </c>
      <c r="G57" s="275">
        <f t="shared" ref="G57:K57" si="13">SUM(G6:G56)</f>
        <v>-1.5279510989785194E-9</v>
      </c>
      <c r="H57" s="275">
        <f t="shared" si="13"/>
        <v>-1.3824319466948509E-8</v>
      </c>
      <c r="I57" s="275">
        <f t="shared" si="13"/>
        <v>-2.1100277081131935E-9</v>
      </c>
      <c r="J57" s="275">
        <f t="shared" si="13"/>
        <v>-1.4181863953126594E-2</v>
      </c>
      <c r="K57" s="276">
        <f t="shared" si="13"/>
        <v>-1.4182298888044897E-2</v>
      </c>
      <c r="M57" s="274" t="s">
        <v>52</v>
      </c>
      <c r="N57" s="275">
        <f t="shared" ref="N57:Q57" si="14">SUM(N6:N56)</f>
        <v>-6.5349922806490213E-8</v>
      </c>
      <c r="O57" s="275">
        <f t="shared" si="14"/>
        <v>-1.5712657841504551E-9</v>
      </c>
      <c r="P57" s="275">
        <f t="shared" si="14"/>
        <v>0</v>
      </c>
      <c r="Q57" s="275">
        <f t="shared" si="14"/>
        <v>-1.7754757664079079E-9</v>
      </c>
      <c r="R57" s="275">
        <f>SUM(R6:R56)</f>
        <v>-6.7925043367722537E-10</v>
      </c>
      <c r="S57" s="275">
        <f t="shared" ref="S57:W57" si="15">SUM(S6:S56)</f>
        <v>-2.5707436179800425E-10</v>
      </c>
      <c r="T57" s="275">
        <f t="shared" si="15"/>
        <v>-2.3041195618134225E-9</v>
      </c>
      <c r="U57" s="275">
        <f t="shared" si="15"/>
        <v>-3.5351988003640145E-10</v>
      </c>
      <c r="V57" s="275">
        <f t="shared" si="15"/>
        <v>-2.3636439952179344E-3</v>
      </c>
      <c r="W57" s="276">
        <f t="shared" si="15"/>
        <v>-2.3637172735107015E-3</v>
      </c>
    </row>
    <row r="58" spans="1:23" ht="13.8" thickTop="1">
      <c r="A58" s="277"/>
      <c r="B58" s="277"/>
      <c r="C58" s="277"/>
      <c r="D58" s="277"/>
      <c r="E58" s="277"/>
      <c r="F58" s="277"/>
      <c r="G58" s="277"/>
      <c r="H58" s="277"/>
      <c r="I58" s="277"/>
      <c r="J58" s="277"/>
      <c r="K58" s="277"/>
    </row>
    <row r="59" spans="1:23">
      <c r="A59" s="278" t="s">
        <v>145</v>
      </c>
      <c r="B59" s="278"/>
      <c r="C59" s="278"/>
      <c r="D59" s="278"/>
      <c r="E59" s="278"/>
    </row>
    <row r="60" spans="1:23">
      <c r="A60" s="279"/>
    </row>
    <row r="61" spans="1:23">
      <c r="A61" s="279"/>
    </row>
    <row r="62" spans="1:23" ht="16.5" customHeight="1"/>
  </sheetData>
  <mergeCells count="8">
    <mergeCell ref="A1:K1"/>
    <mergeCell ref="A2:K2"/>
    <mergeCell ref="A3:K3"/>
    <mergeCell ref="A4:K4"/>
    <mergeCell ref="M1:W1"/>
    <mergeCell ref="M2:W2"/>
    <mergeCell ref="M3:W3"/>
    <mergeCell ref="M4:W4"/>
  </mergeCells>
  <printOptions horizontalCentered="1"/>
  <pageMargins left="0.39370078740157483" right="0.39370078740157483" top="0.47244094488188981" bottom="0.15748031496062992" header="0.15748031496062992" footer="0.15748031496062992"/>
  <pageSetup scale="75" orientation="landscape" r:id="rId1"/>
  <headerFooter alignWithMargins="0">
    <oddHeader>&amp;L&amp;"Arial,Negrita"ANEXO IV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zoomScale="130" zoomScaleNormal="130" zoomScaleSheetLayoutView="100" workbookViewId="0">
      <selection activeCell="A4" sqref="A4:K4"/>
    </sheetView>
  </sheetViews>
  <sheetFormatPr baseColWidth="10" defaultColWidth="11.44140625" defaultRowHeight="13.2"/>
  <cols>
    <col min="1" max="1" width="28" style="165" customWidth="1"/>
    <col min="2" max="2" width="17.88671875" style="165" customWidth="1"/>
    <col min="3" max="4" width="12.77734375" style="165" customWidth="1"/>
    <col min="5" max="5" width="15.44140625" style="165" customWidth="1"/>
    <col min="6" max="10" width="13.44140625" style="165" customWidth="1"/>
    <col min="11" max="11" width="13.88671875" style="165" bestFit="1" customWidth="1"/>
    <col min="12" max="16384" width="11.44140625" style="165"/>
  </cols>
  <sheetData>
    <row r="1" spans="1:11">
      <c r="A1" s="284" t="s">
        <v>146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>
      <c r="A2" s="284" t="s">
        <v>174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>
      <c r="A3" s="284" t="s">
        <v>246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 ht="13.5" customHeight="1" thickBot="1">
      <c r="A4" s="285" t="s">
        <v>247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</row>
    <row r="5" spans="1:11" ht="14.4" thickTop="1" thickBot="1">
      <c r="A5" s="167" t="s">
        <v>0</v>
      </c>
      <c r="B5" s="168" t="s">
        <v>132</v>
      </c>
      <c r="C5" s="168" t="s">
        <v>190</v>
      </c>
      <c r="D5" s="205" t="s">
        <v>189</v>
      </c>
      <c r="E5" s="168" t="s">
        <v>134</v>
      </c>
      <c r="F5" s="168" t="s">
        <v>155</v>
      </c>
      <c r="G5" s="168" t="s">
        <v>147</v>
      </c>
      <c r="H5" s="168" t="s">
        <v>171</v>
      </c>
      <c r="I5" s="168" t="s">
        <v>172</v>
      </c>
      <c r="J5" s="168" t="s">
        <v>219</v>
      </c>
      <c r="K5" s="169" t="s">
        <v>53</v>
      </c>
    </row>
    <row r="6" spans="1:11" ht="13.8" thickTop="1">
      <c r="A6" s="170" t="s">
        <v>1</v>
      </c>
      <c r="B6" s="171">
        <f>'PART MES'!J$4*'CALCULO GARANTIA'!$U7</f>
        <v>4172416.8055481245</v>
      </c>
      <c r="C6" s="171">
        <f>'PART MES'!J$5*'CALCULO GARANTIA'!$U7</f>
        <v>568435.63592055929</v>
      </c>
      <c r="D6" s="171">
        <f>+'Art.14 Frac.III'!P5</f>
        <v>1825250.3145787788</v>
      </c>
      <c r="E6" s="206">
        <f>'PART MES'!J$7*'CALCULO GARANTIA'!$U7</f>
        <v>127058.96510801242</v>
      </c>
      <c r="F6" s="171">
        <f>'PART MES'!J$8*'CALCULO GARANTIA'!$U7</f>
        <v>177293.6289257287</v>
      </c>
      <c r="G6" s="171">
        <f>'PART MES'!J$9*'CALCULO GARANTIA'!$U7</f>
        <v>13761.252122654361</v>
      </c>
      <c r="H6" s="171">
        <f>('PART MES'!J$10*'CALCULO GARANTIA'!$U7)</f>
        <v>120547.8932824981</v>
      </c>
      <c r="I6" s="171">
        <f>'PART MES'!J$11*'CALCULO GARANTIA'!$U7</f>
        <v>22928.757274353331</v>
      </c>
      <c r="J6" s="171">
        <f>+'PART MES'!J$12*'COEF Art 14 F II'!N6</f>
        <v>57493.088544744911</v>
      </c>
      <c r="K6" s="172">
        <f>SUM(B6:J6)</f>
        <v>7085186.3413054552</v>
      </c>
    </row>
    <row r="7" spans="1:11">
      <c r="A7" s="170" t="s">
        <v>2</v>
      </c>
      <c r="B7" s="171">
        <f>'PART MES'!J$4*'CALCULO GARANTIA'!$U8</f>
        <v>8264628.7994829006</v>
      </c>
      <c r="C7" s="171">
        <f>'PART MES'!J$5*'CALCULO GARANTIA'!$U8</f>
        <v>1125944.4456830276</v>
      </c>
      <c r="D7" s="171">
        <f>+'Art.14 Frac.III'!P6</f>
        <v>1752398.6980281547</v>
      </c>
      <c r="E7" s="206">
        <f>'PART MES'!J$7*'CALCULO GARANTIA'!$U8</f>
        <v>251675.52313274296</v>
      </c>
      <c r="F7" s="171">
        <f>'PART MES'!J$8*'CALCULO GARANTIA'!$U8</f>
        <v>351179.20856708905</v>
      </c>
      <c r="G7" s="171">
        <f>'PART MES'!J$9*'CALCULO GARANTIA'!$U8</f>
        <v>27257.976829784548</v>
      </c>
      <c r="H7" s="171">
        <f>('PART MES'!J$10*'CALCULO GARANTIA'!$U8)</f>
        <v>238778.53938627421</v>
      </c>
      <c r="I7" s="171">
        <f>'PART MES'!J$11*'CALCULO GARANTIA'!$U8</f>
        <v>45416.763601851992</v>
      </c>
      <c r="J7" s="171">
        <f>+'PART MES'!J$12*'COEF Art 14 F II'!N7</f>
        <v>126533.35673585677</v>
      </c>
      <c r="K7" s="172">
        <f t="shared" ref="K7:K56" si="0">SUM(B7:J7)</f>
        <v>12183813.311447684</v>
      </c>
    </row>
    <row r="8" spans="1:11">
      <c r="A8" s="170" t="s">
        <v>3</v>
      </c>
      <c r="B8" s="171">
        <f>'PART MES'!J$4*'CALCULO GARANTIA'!$U9</f>
        <v>8566361.6707018353</v>
      </c>
      <c r="C8" s="171">
        <f>'PART MES'!J$5*'CALCULO GARANTIA'!$U9</f>
        <v>1167051.4885607681</v>
      </c>
      <c r="D8" s="171">
        <f>+'Art.14 Frac.III'!P7</f>
        <v>0</v>
      </c>
      <c r="E8" s="206">
        <f>'PART MES'!J$7*'CALCULO GARANTIA'!$U9</f>
        <v>260863.93074944336</v>
      </c>
      <c r="F8" s="171">
        <f>'PART MES'!J$8*'CALCULO GARANTIA'!$U9</f>
        <v>364000.39067752706</v>
      </c>
      <c r="G8" s="171">
        <f>'PART MES'!J$9*'CALCULO GARANTIA'!$U9</f>
        <v>28253.136783367059</v>
      </c>
      <c r="H8" s="171">
        <f>('PART MES'!J$10*'CALCULO GARANTIA'!$U9)</f>
        <v>247496.09174373664</v>
      </c>
      <c r="I8" s="171">
        <f>'PART MES'!J$11*'CALCULO GARANTIA'!$U9</f>
        <v>47074.881687435685</v>
      </c>
      <c r="J8" s="171">
        <f>+'PART MES'!J$12*'COEF Art 14 F II'!N8</f>
        <v>108528.18024072815</v>
      </c>
      <c r="K8" s="172">
        <f t="shared" si="0"/>
        <v>10789629.771144843</v>
      </c>
    </row>
    <row r="9" spans="1:11">
      <c r="A9" s="170" t="s">
        <v>4</v>
      </c>
      <c r="B9" s="171">
        <f>'PART MES'!J$4*'CALCULO GARANTIA'!$U10</f>
        <v>23698517.048380002</v>
      </c>
      <c r="C9" s="171">
        <f>'PART MES'!J$5*'CALCULO GARANTIA'!$U10</f>
        <v>3228604.0049635996</v>
      </c>
      <c r="D9" s="171">
        <f>+'Art.14 Frac.III'!P8</f>
        <v>3331039.6177549502</v>
      </c>
      <c r="E9" s="206">
        <f>'PART MES'!J$7*'CALCULO GARANTIA'!$U10</f>
        <v>721670.24319282675</v>
      </c>
      <c r="F9" s="171">
        <f>'PART MES'!J$8*'CALCULO GARANTIA'!$U10</f>
        <v>1006993.3766153504</v>
      </c>
      <c r="G9" s="171">
        <f>'PART MES'!J$9*'CALCULO GARANTIA'!$U10</f>
        <v>78161.239213237655</v>
      </c>
      <c r="H9" s="171">
        <f>('PART MES'!J$10*'CALCULO GARANTIA'!$U10)</f>
        <v>684688.6198672282</v>
      </c>
      <c r="I9" s="171">
        <f>'PART MES'!J$11*'CALCULO GARANTIA'!$U10</f>
        <v>130230.88787340044</v>
      </c>
      <c r="J9" s="171">
        <f>+'PART MES'!J$12*'COEF Art 14 F II'!N9</f>
        <v>780692.37252272444</v>
      </c>
      <c r="K9" s="172">
        <f t="shared" si="0"/>
        <v>33660597.410383321</v>
      </c>
    </row>
    <row r="10" spans="1:11">
      <c r="A10" s="170" t="s">
        <v>5</v>
      </c>
      <c r="B10" s="171">
        <f>'PART MES'!J$4*'CALCULO GARANTIA'!$U11</f>
        <v>30034258.880470932</v>
      </c>
      <c r="C10" s="171">
        <f>'PART MES'!J$5*'CALCULO GARANTIA'!$U11</f>
        <v>4091763.5609706077</v>
      </c>
      <c r="D10" s="171">
        <f>+'Art.14 Frac.III'!P9</f>
        <v>1118122.3341891395</v>
      </c>
      <c r="E10" s="206">
        <f>'PART MES'!J$7*'CALCULO GARANTIA'!$U11</f>
        <v>914607.05605068384</v>
      </c>
      <c r="F10" s="171">
        <f>'PART MES'!J$8*'CALCULO GARANTIA'!$U11</f>
        <v>1276210.6465329423</v>
      </c>
      <c r="G10" s="171">
        <f>'PART MES'!J$9*'CALCULO GARANTIA'!$U11</f>
        <v>99057.459509234104</v>
      </c>
      <c r="H10" s="171">
        <f>('PART MES'!J$10*'CALCULO GARANTIA'!$U11)</f>
        <v>867738.48421078408</v>
      </c>
      <c r="I10" s="171">
        <f>'PART MES'!J$11*'CALCULO GARANTIA'!$U11</f>
        <v>165047.80415746177</v>
      </c>
      <c r="J10" s="171">
        <f>+'PART MES'!J$12*'COEF Art 14 F II'!N10</f>
        <v>531427.05874314881</v>
      </c>
      <c r="K10" s="172">
        <f t="shared" si="0"/>
        <v>39098233.284834921</v>
      </c>
    </row>
    <row r="11" spans="1:11">
      <c r="A11" s="170" t="s">
        <v>6</v>
      </c>
      <c r="B11" s="171">
        <f>'PART MES'!J$4*'CALCULO GARANTIA'!$U12</f>
        <v>204216021.51751772</v>
      </c>
      <c r="C11" s="171">
        <f>'PART MES'!J$5*'CALCULO GARANTIA'!$U12</f>
        <v>27821684.521574795</v>
      </c>
      <c r="D11" s="171">
        <f>+'Art.14 Frac.III'!P10</f>
        <v>6472088.9672355419</v>
      </c>
      <c r="E11" s="206">
        <f>'PART MES'!J$7*'CALCULO GARANTIA'!$U12</f>
        <v>6218812.1565392641</v>
      </c>
      <c r="F11" s="171">
        <f>'PART MES'!J$8*'CALCULO GARANTIA'!$U12</f>
        <v>8677512.6328394357</v>
      </c>
      <c r="G11" s="171">
        <f>'PART MES'!J$9*'CALCULO GARANTIA'!$U12</f>
        <v>673534.85774746048</v>
      </c>
      <c r="H11" s="171">
        <f>('PART MES'!J$10*'CALCULO GARANTIA'!$U12)</f>
        <v>5900132.3011966096</v>
      </c>
      <c r="I11" s="171">
        <f>'PART MES'!J$11*'CALCULO GARANTIA'!$U12</f>
        <v>1122231.9837948591</v>
      </c>
      <c r="J11" s="171">
        <f>+'PART MES'!J$12*'COEF Art 14 F II'!N11</f>
        <v>11417305.601403235</v>
      </c>
      <c r="K11" s="172">
        <f t="shared" si="0"/>
        <v>272519324.53984892</v>
      </c>
    </row>
    <row r="12" spans="1:11">
      <c r="A12" s="170" t="s">
        <v>7</v>
      </c>
      <c r="B12" s="171">
        <f>'PART MES'!J$4*'CALCULO GARANTIA'!$U13</f>
        <v>34191897.357943945</v>
      </c>
      <c r="C12" s="171">
        <f>'PART MES'!J$5*'CALCULO GARANTIA'!$U13</f>
        <v>4658185.8485828079</v>
      </c>
      <c r="D12" s="171">
        <f>+'Art.14 Frac.III'!P11</f>
        <v>0</v>
      </c>
      <c r="E12" s="206">
        <f>'PART MES'!J$7*'CALCULO GARANTIA'!$U13</f>
        <v>1041215.9896400921</v>
      </c>
      <c r="F12" s="171">
        <f>'PART MES'!J$8*'CALCULO GARANTIA'!$U13</f>
        <v>1452876.3172426061</v>
      </c>
      <c r="G12" s="171">
        <f>'PART MES'!J$9*'CALCULO GARANTIA'!$U13</f>
        <v>112769.97050460643</v>
      </c>
      <c r="H12" s="171">
        <f>('PART MES'!J$10*'CALCULO GARANTIA'!$U13)</f>
        <v>987859.40761018626</v>
      </c>
      <c r="I12" s="171">
        <f>'PART MES'!J$11*'CALCULO GARANTIA'!$U13</f>
        <v>187895.34981918224</v>
      </c>
      <c r="J12" s="171">
        <f>+'PART MES'!J$12*'COEF Art 14 F II'!N12</f>
        <v>595988.08297235961</v>
      </c>
      <c r="K12" s="172">
        <f t="shared" si="0"/>
        <v>43228688.324315794</v>
      </c>
    </row>
    <row r="13" spans="1:11">
      <c r="A13" s="170" t="s">
        <v>8</v>
      </c>
      <c r="B13" s="171">
        <f>'PART MES'!J$4*'CALCULO GARANTIA'!$U14</f>
        <v>5451385.4740996398</v>
      </c>
      <c r="C13" s="171">
        <f>'PART MES'!J$5*'CALCULO GARANTIA'!$U14</f>
        <v>742677.90420589317</v>
      </c>
      <c r="D13" s="171">
        <f>+'Art.14 Frac.III'!P12</f>
        <v>1600190.3969782181</v>
      </c>
      <c r="E13" s="206">
        <f>'PART MES'!J$7*'CALCULO GARANTIA'!$U14</f>
        <v>166006.28101749768</v>
      </c>
      <c r="F13" s="171">
        <f>'PART MES'!J$8*'CALCULO GARANTIA'!$U14</f>
        <v>231639.34918749376</v>
      </c>
      <c r="G13" s="171">
        <f>'PART MES'!J$9*'CALCULO GARANTIA'!$U14</f>
        <v>17979.48129897004</v>
      </c>
      <c r="H13" s="171">
        <f>('PART MES'!J$10*'CALCULO GARANTIA'!$U14)</f>
        <v>157499.37386401513</v>
      </c>
      <c r="I13" s="171">
        <f>'PART MES'!J$11*'CALCULO GARANTIA'!$U14</f>
        <v>29957.096850525697</v>
      </c>
      <c r="J13" s="171">
        <f>+'PART MES'!J$12*'COEF Art 14 F II'!N13</f>
        <v>107467.91078494726</v>
      </c>
      <c r="K13" s="172">
        <f t="shared" si="0"/>
        <v>8504803.2682872005</v>
      </c>
    </row>
    <row r="14" spans="1:11">
      <c r="A14" s="170" t="s">
        <v>9</v>
      </c>
      <c r="B14" s="171">
        <f>'PART MES'!J$4*'CALCULO GARANTIA'!$U15</f>
        <v>54187838.322472543</v>
      </c>
      <c r="C14" s="171">
        <f>'PART MES'!J$5*'CALCULO GARANTIA'!$U15</f>
        <v>7382363.6926773144</v>
      </c>
      <c r="D14" s="171">
        <f>+'Art.14 Frac.III'!P13</f>
        <v>2534338.3956084657</v>
      </c>
      <c r="E14" s="206">
        <f>'PART MES'!J$7*'CALCULO GARANTIA'!$U15</f>
        <v>1650134.9168996022</v>
      </c>
      <c r="F14" s="171">
        <f>'PART MES'!J$8*'CALCULO GARANTIA'!$U15</f>
        <v>2302540.4573812108</v>
      </c>
      <c r="G14" s="171">
        <f>'PART MES'!J$9*'CALCULO GARANTIA'!$U15</f>
        <v>178719.56227997603</v>
      </c>
      <c r="H14" s="171">
        <f>('PART MES'!J$10*'CALCULO GARANTIA'!$U15)</f>
        <v>1565574.5951892149</v>
      </c>
      <c r="I14" s="171">
        <f>'PART MES'!J$11*'CALCULO GARANTIA'!$U15</f>
        <v>297779.40460448666</v>
      </c>
      <c r="J14" s="171">
        <f>+'PART MES'!J$12*'COEF Art 14 F II'!N14</f>
        <v>1902142.0541718814</v>
      </c>
      <c r="K14" s="172">
        <f t="shared" si="0"/>
        <v>72001431.401284665</v>
      </c>
    </row>
    <row r="15" spans="1:11">
      <c r="A15" s="170" t="s">
        <v>10</v>
      </c>
      <c r="B15" s="171">
        <f>'PART MES'!J$4*'CALCULO GARANTIA'!$U16</f>
        <v>8944436.5743900053</v>
      </c>
      <c r="C15" s="171">
        <f>'PART MES'!J$5*'CALCULO GARANTIA'!$U16</f>
        <v>1218559.1059248382</v>
      </c>
      <c r="D15" s="171">
        <f>+'Art.14 Frac.III'!P14</f>
        <v>1629269.7795048829</v>
      </c>
      <c r="E15" s="206">
        <f>'PART MES'!J$7*'CALCULO GARANTIA'!$U16</f>
        <v>272377.11560960731</v>
      </c>
      <c r="F15" s="171">
        <f>'PART MES'!J$8*'CALCULO GARANTIA'!$U16</f>
        <v>380065.48551452649</v>
      </c>
      <c r="G15" s="171">
        <f>'PART MES'!J$9*'CALCULO GARANTIA'!$U16</f>
        <v>29500.084131480256</v>
      </c>
      <c r="H15" s="171">
        <f>('PART MES'!J$10*'CALCULO GARANTIA'!$U16)</f>
        <v>258419.28932121475</v>
      </c>
      <c r="I15" s="171">
        <f>'PART MES'!J$11*'CALCULO GARANTIA'!$U16</f>
        <v>49152.523520021423</v>
      </c>
      <c r="J15" s="171">
        <f>+'PART MES'!J$12*'COEF Art 14 F II'!N15</f>
        <v>563965.70805330551</v>
      </c>
      <c r="K15" s="172">
        <f t="shared" si="0"/>
        <v>13345745.66596988</v>
      </c>
    </row>
    <row r="16" spans="1:11">
      <c r="A16" s="170" t="s">
        <v>11</v>
      </c>
      <c r="B16" s="171">
        <f>'PART MES'!J$4*'CALCULO GARANTIA'!$U17</f>
        <v>12997533.905828085</v>
      </c>
      <c r="C16" s="171">
        <f>'PART MES'!J$5*'CALCULO GARANTIA'!$U17</f>
        <v>1770739.0693408526</v>
      </c>
      <c r="D16" s="171">
        <f>+'Art.14 Frac.III'!P15</f>
        <v>6214299.553816786</v>
      </c>
      <c r="E16" s="206">
        <f>'PART MES'!J$7*'CALCULO GARANTIA'!$U17</f>
        <v>395802.54897709581</v>
      </c>
      <c r="F16" s="171">
        <f>'PART MES'!J$8*'CALCULO GARANTIA'!$U17</f>
        <v>552289.01153530343</v>
      </c>
      <c r="G16" s="171">
        <f>'PART MES'!J$9*'CALCULO GARANTIA'!$U17</f>
        <v>42867.802855412927</v>
      </c>
      <c r="H16" s="171">
        <f>('PART MES'!J$10*'CALCULO GARANTIA'!$U17)</f>
        <v>375519.84934294771</v>
      </c>
      <c r="I16" s="171">
        <f>'PART MES'!J$11*'CALCULO GARANTIA'!$U17</f>
        <v>71425.582337706961</v>
      </c>
      <c r="J16" s="171">
        <f>+'PART MES'!J$12*'COEF Art 14 F II'!N16</f>
        <v>261918.87214598156</v>
      </c>
      <c r="K16" s="172">
        <f t="shared" si="0"/>
        <v>22682396.196180169</v>
      </c>
    </row>
    <row r="17" spans="1:11">
      <c r="A17" s="170" t="s">
        <v>12</v>
      </c>
      <c r="B17" s="171">
        <f>'PART MES'!J$4*'CALCULO GARANTIA'!$U18</f>
        <v>27509950.327224106</v>
      </c>
      <c r="C17" s="171">
        <f>'PART MES'!J$5*'CALCULO GARANTIA'!$U18</f>
        <v>3747860.4936124883</v>
      </c>
      <c r="D17" s="171">
        <f>+'Art.14 Frac.III'!P16</f>
        <v>1577616.5467497921</v>
      </c>
      <c r="E17" s="206">
        <f>'PART MES'!J$7*'CALCULO GARANTIA'!$U18</f>
        <v>837736.49221766542</v>
      </c>
      <c r="F17" s="171">
        <f>'PART MES'!J$8*'CALCULO GARANTIA'!$U18</f>
        <v>1168948.1546030182</v>
      </c>
      <c r="G17" s="171">
        <f>'PART MES'!J$9*'CALCULO GARANTIA'!$U18</f>
        <v>90731.913894900645</v>
      </c>
      <c r="H17" s="171">
        <f>('PART MES'!J$10*'CALCULO GARANTIA'!$U18)</f>
        <v>794807.11319237016</v>
      </c>
      <c r="I17" s="171">
        <f>'PART MES'!J$11*'CALCULO GARANTIA'!$U18</f>
        <v>151175.92586716067</v>
      </c>
      <c r="J17" s="171">
        <f>+'PART MES'!J$12*'COEF Art 14 F II'!N17</f>
        <v>406582.51065776817</v>
      </c>
      <c r="K17" s="172">
        <f t="shared" si="0"/>
        <v>36285409.478019267</v>
      </c>
    </row>
    <row r="18" spans="1:11">
      <c r="A18" s="170" t="s">
        <v>13</v>
      </c>
      <c r="B18" s="171">
        <f>'PART MES'!J$4*'CALCULO GARANTIA'!$U19</f>
        <v>13997325.505141925</v>
      </c>
      <c r="C18" s="171">
        <f>'PART MES'!J$5*'CALCULO GARANTIA'!$U19</f>
        <v>1906947.2192045709</v>
      </c>
      <c r="D18" s="171">
        <f>+'Art.14 Frac.III'!P17</f>
        <v>1976796.4040928064</v>
      </c>
      <c r="E18" s="206">
        <f>'PART MES'!J$7*'CALCULO GARANTIA'!$U19</f>
        <v>426248.32940909482</v>
      </c>
      <c r="F18" s="171">
        <f>'PART MES'!J$8*'CALCULO GARANTIA'!$U19</f>
        <v>594771.98700796172</v>
      </c>
      <c r="G18" s="171">
        <f>'PART MES'!J$9*'CALCULO GARANTIA'!$U19</f>
        <v>46165.264472856048</v>
      </c>
      <c r="H18" s="171">
        <f>('PART MES'!J$10*'CALCULO GARANTIA'!$U19)</f>
        <v>404405.45129397092</v>
      </c>
      <c r="I18" s="171">
        <f>'PART MES'!J$11*'CALCULO GARANTIA'!$U19</f>
        <v>76919.755133464612</v>
      </c>
      <c r="J18" s="171">
        <f>+'PART MES'!J$12*'COEF Art 14 F II'!N18</f>
        <v>717780.2018125481</v>
      </c>
      <c r="K18" s="172">
        <f t="shared" si="0"/>
        <v>20147360.117569201</v>
      </c>
    </row>
    <row r="19" spans="1:11">
      <c r="A19" s="170" t="s">
        <v>14</v>
      </c>
      <c r="B19" s="171">
        <f>'PART MES'!J$4*'CALCULO GARANTIA'!$U20</f>
        <v>76409881.513862506</v>
      </c>
      <c r="C19" s="171">
        <f>'PART MES'!J$5*'CALCULO GARANTIA'!$U20</f>
        <v>10409818.005524294</v>
      </c>
      <c r="D19" s="171">
        <f>+'Art.14 Frac.III'!P18</f>
        <v>472852.995014227</v>
      </c>
      <c r="E19" s="206">
        <f>'PART MES'!J$7*'CALCULO GARANTIA'!$U20</f>
        <v>2326843.3911654279</v>
      </c>
      <c r="F19" s="171">
        <f>'PART MES'!J$8*'CALCULO GARANTIA'!$U20</f>
        <v>3246795.7566856719</v>
      </c>
      <c r="G19" s="171">
        <f>'PART MES'!J$9*'CALCULO GARANTIA'!$U20</f>
        <v>252011.17078625018</v>
      </c>
      <c r="H19" s="171">
        <f>('PART MES'!J$10*'CALCULO GARANTIA'!$U20)</f>
        <v>2207605.4890329638</v>
      </c>
      <c r="I19" s="171">
        <f>'PART MES'!J$11*'CALCULO GARANTIA'!$U20</f>
        <v>419896.59907989361</v>
      </c>
      <c r="J19" s="171">
        <f>+'PART MES'!J$12*'COEF Art 14 F II'!N19</f>
        <v>1336713.3975178518</v>
      </c>
      <c r="K19" s="172">
        <f t="shared" si="0"/>
        <v>97082418.318669081</v>
      </c>
    </row>
    <row r="20" spans="1:11">
      <c r="A20" s="170" t="s">
        <v>15</v>
      </c>
      <c r="B20" s="171">
        <f>'PART MES'!J$4*'CALCULO GARANTIA'!$U21</f>
        <v>9751324.8425944839</v>
      </c>
      <c r="C20" s="171">
        <f>'PART MES'!J$5*'CALCULO GARANTIA'!$U21</f>
        <v>1328486.7730849739</v>
      </c>
      <c r="D20" s="171">
        <f>+'Art.14 Frac.III'!P19</f>
        <v>4795115.7932481514</v>
      </c>
      <c r="E20" s="206">
        <f>'PART MES'!J$7*'CALCULO GARANTIA'!$U21</f>
        <v>296948.57936642366</v>
      </c>
      <c r="F20" s="171">
        <f>'PART MES'!J$8*'CALCULO GARANTIA'!$U21</f>
        <v>414351.64528105431</v>
      </c>
      <c r="G20" s="171">
        <f>'PART MES'!J$9*'CALCULO GARANTIA'!$U21</f>
        <v>32161.321829211916</v>
      </c>
      <c r="H20" s="171">
        <f>('PART MES'!J$10*'CALCULO GARANTIA'!$U21)</f>
        <v>281731.60095726064</v>
      </c>
      <c r="I20" s="171">
        <f>'PART MES'!J$11*'CALCULO GARANTIA'!$U21</f>
        <v>53586.631163481878</v>
      </c>
      <c r="J20" s="171">
        <f>+'PART MES'!J$12*'COEF Art 14 F II'!N20</f>
        <v>127874.65330769862</v>
      </c>
      <c r="K20" s="172">
        <f t="shared" si="0"/>
        <v>17081581.84083274</v>
      </c>
    </row>
    <row r="21" spans="1:11">
      <c r="A21" s="170" t="s">
        <v>16</v>
      </c>
      <c r="B21" s="171">
        <f>'PART MES'!J$4*'CALCULO GARANTIA'!$U22</f>
        <v>6815802.6986598717</v>
      </c>
      <c r="C21" s="171">
        <f>'PART MES'!J$5*'CALCULO GARANTIA'!$U22</f>
        <v>928561.3882510527</v>
      </c>
      <c r="D21" s="171">
        <f>+'Art.14 Frac.III'!P20</f>
        <v>3070172.1378524406</v>
      </c>
      <c r="E21" s="206">
        <f>'PART MES'!J$7*'CALCULO GARANTIA'!$U22</f>
        <v>207555.68717884965</v>
      </c>
      <c r="F21" s="171">
        <f>'PART MES'!J$8*'CALCULO GARANTIA'!$U22</f>
        <v>289615.93503323023</v>
      </c>
      <c r="G21" s="171">
        <f>'PART MES'!J$9*'CALCULO GARANTIA'!$U22</f>
        <v>22479.532540902255</v>
      </c>
      <c r="H21" s="171">
        <f>('PART MES'!J$10*'CALCULO GARANTIA'!$U22)</f>
        <v>196919.60191035527</v>
      </c>
      <c r="I21" s="171">
        <f>'PART MES'!J$11*'CALCULO GARANTIA'!$U22</f>
        <v>37455.00341664083</v>
      </c>
      <c r="J21" s="171">
        <f>+'PART MES'!J$12*'COEF Art 14 F II'!N21</f>
        <v>87026.81940917013</v>
      </c>
      <c r="K21" s="172">
        <f t="shared" si="0"/>
        <v>11655588.804252511</v>
      </c>
    </row>
    <row r="22" spans="1:11">
      <c r="A22" s="170" t="s">
        <v>17</v>
      </c>
      <c r="B22" s="171">
        <f>'PART MES'!J$4*'CALCULO GARANTIA'!$U23</f>
        <v>59775503.964001849</v>
      </c>
      <c r="C22" s="171">
        <f>'PART MES'!J$5*'CALCULO GARANTIA'!$U23</f>
        <v>8143607.935589646</v>
      </c>
      <c r="D22" s="171">
        <f>+'Art.14 Frac.III'!P21</f>
        <v>3238311.4999087411</v>
      </c>
      <c r="E22" s="206">
        <f>'PART MES'!J$7*'CALCULO GARANTIA'!$U23</f>
        <v>1820291.2188391071</v>
      </c>
      <c r="F22" s="171">
        <f>'PART MES'!J$8*'CALCULO GARANTIA'!$U23</f>
        <v>2539970.6003844333</v>
      </c>
      <c r="G22" s="171">
        <f>'PART MES'!J$9*'CALCULO GARANTIA'!$U23</f>
        <v>197148.51587059812</v>
      </c>
      <c r="H22" s="171">
        <f>('PART MES'!J$10*'CALCULO GARANTIA'!$U23)</f>
        <v>1727011.3242709511</v>
      </c>
      <c r="I22" s="171">
        <f>'PART MES'!J$11*'CALCULO GARANTIA'!$U23</f>
        <v>328485.40431537566</v>
      </c>
      <c r="J22" s="171">
        <f>+'PART MES'!J$12*'COEF Art 14 F II'!N22</f>
        <v>1220062.1181955766</v>
      </c>
      <c r="K22" s="172">
        <f t="shared" si="0"/>
        <v>78990392.581376284</v>
      </c>
    </row>
    <row r="23" spans="1:11">
      <c r="A23" s="170" t="s">
        <v>18</v>
      </c>
      <c r="B23" s="171">
        <f>'PART MES'!J$4*'CALCULO GARANTIA'!$U24</f>
        <v>72880753.207297847</v>
      </c>
      <c r="C23" s="171">
        <f>'PART MES'!J$5*'CALCULO GARANTIA'!$U24</f>
        <v>9929021.7699900568</v>
      </c>
      <c r="D23" s="171">
        <f>+'Art.14 Frac.III'!P22</f>
        <v>4292343.8347818479</v>
      </c>
      <c r="E23" s="206">
        <f>'PART MES'!J$7*'CALCULO GARANTIA'!$U24</f>
        <v>2219373.928917734</v>
      </c>
      <c r="F23" s="171">
        <f>'PART MES'!J$8*'CALCULO GARANTIA'!$U24</f>
        <v>3096836.6338139186</v>
      </c>
      <c r="G23" s="171">
        <f>'PART MES'!J$9*'CALCULO GARANTIA'!$U24</f>
        <v>240371.57995360502</v>
      </c>
      <c r="H23" s="171">
        <f>('PART MES'!J$10*'CALCULO GARANTIA'!$U24)</f>
        <v>2105643.2445337325</v>
      </c>
      <c r="I23" s="171">
        <f>'PART MES'!J$11*'CALCULO GARANTIA'!$U24</f>
        <v>400502.91668851027</v>
      </c>
      <c r="J23" s="171">
        <f>+'PART MES'!J$12*'COEF Art 14 F II'!N23</f>
        <v>4206104.6765680714</v>
      </c>
      <c r="K23" s="172">
        <f t="shared" si="0"/>
        <v>99370951.792545334</v>
      </c>
    </row>
    <row r="24" spans="1:11">
      <c r="A24" s="170" t="s">
        <v>19</v>
      </c>
      <c r="B24" s="171">
        <f>'PART MES'!J$4*'CALCULO GARANTIA'!$U25</f>
        <v>11488872.615140168</v>
      </c>
      <c r="C24" s="171">
        <f>'PART MES'!J$5*'CALCULO GARANTIA'!$U25</f>
        <v>1565204.2725725658</v>
      </c>
      <c r="D24" s="171">
        <f>+'Art.14 Frac.III'!P23</f>
        <v>2210933.4305775496</v>
      </c>
      <c r="E24" s="206">
        <f>'PART MES'!J$7*'CALCULO GARANTIA'!$U25</f>
        <v>349860.60424174875</v>
      </c>
      <c r="F24" s="171">
        <f>'PART MES'!J$8*'CALCULO GARANTIA'!$U25</f>
        <v>488183.23123785859</v>
      </c>
      <c r="G24" s="171">
        <f>'PART MES'!J$9*'CALCULO GARANTIA'!$U25</f>
        <v>37892.013197668457</v>
      </c>
      <c r="H24" s="171">
        <f>('PART MES'!J$10*'CALCULO GARANTIA'!$U25)</f>
        <v>331932.17612021189</v>
      </c>
      <c r="I24" s="171">
        <f>'PART MES'!J$11*'CALCULO GARANTIA'!$U25</f>
        <v>63135.008755173512</v>
      </c>
      <c r="J24" s="171">
        <f>+'PART MES'!J$12*'COEF Art 14 F II'!N24</f>
        <v>176946.42649786084</v>
      </c>
      <c r="K24" s="172">
        <f t="shared" si="0"/>
        <v>16712959.778340807</v>
      </c>
    </row>
    <row r="25" spans="1:11">
      <c r="A25" s="170" t="s">
        <v>20</v>
      </c>
      <c r="B25" s="171">
        <f>'PART MES'!J$4*'CALCULO GARANTIA'!$U26</f>
        <v>157046088.91139701</v>
      </c>
      <c r="C25" s="171">
        <f>'PART MES'!J$5*'CALCULO GARANTIA'!$U26</f>
        <v>21395416.03333642</v>
      </c>
      <c r="D25" s="171">
        <f>+'Art.14 Frac.III'!P24</f>
        <v>4659565.5171633009</v>
      </c>
      <c r="E25" s="206">
        <f>'PART MES'!J$7*'CALCULO GARANTIA'!$U26</f>
        <v>4782387.3935148884</v>
      </c>
      <c r="F25" s="171">
        <f>'PART MES'!J$8*'CALCULO GARANTIA'!$U26</f>
        <v>6673175.8377232617</v>
      </c>
      <c r="G25" s="171">
        <f>'PART MES'!J$9*'CALCULO GARANTIA'!$U26</f>
        <v>517961.39386477729</v>
      </c>
      <c r="H25" s="171">
        <f>('PART MES'!J$10*'CALCULO GARANTIA'!$U26)</f>
        <v>4537316.3921090532</v>
      </c>
      <c r="I25" s="171">
        <f>'PART MES'!J$11*'CALCULO GARANTIA'!$U26</f>
        <v>863018.20296280144</v>
      </c>
      <c r="J25" s="171">
        <f>+'PART MES'!J$12*'COEF Art 14 F II'!N25</f>
        <v>7956407.7766399961</v>
      </c>
      <c r="K25" s="172">
        <f t="shared" si="0"/>
        <v>208431337.45871156</v>
      </c>
    </row>
    <row r="26" spans="1:11">
      <c r="A26" s="170" t="s">
        <v>21</v>
      </c>
      <c r="B26" s="171">
        <f>'PART MES'!J$4*'CALCULO GARANTIA'!$U27</f>
        <v>23187261.476543326</v>
      </c>
      <c r="C26" s="171">
        <f>'PART MES'!J$5*'CALCULO GARANTIA'!$U27</f>
        <v>3158952.3139560102</v>
      </c>
      <c r="D26" s="171">
        <f>+'Art.14 Frac.III'!P25</f>
        <v>1438242.9255450787</v>
      </c>
      <c r="E26" s="206">
        <f>'PART MES'!J$7*'CALCULO GARANTIA'!$U27</f>
        <v>706101.42375539767</v>
      </c>
      <c r="F26" s="171">
        <f>'PART MES'!J$8*'CALCULO GARANTIA'!$U27</f>
        <v>985269.19136163965</v>
      </c>
      <c r="G26" s="171">
        <f>'PART MES'!J$9*'CALCULO GARANTIA'!$U27</f>
        <v>76475.042183784346</v>
      </c>
      <c r="H26" s="171">
        <f>('PART MES'!J$10*'CALCULO GARANTIA'!$U27)</f>
        <v>669917.61663670279</v>
      </c>
      <c r="I26" s="171">
        <f>'PART MES'!J$11*'CALCULO GARANTIA'!$U27</f>
        <v>127421.37591471589</v>
      </c>
      <c r="J26" s="171">
        <f>+'PART MES'!J$12*'COEF Art 14 F II'!N26</f>
        <v>439244.13927734585</v>
      </c>
      <c r="K26" s="172">
        <f t="shared" si="0"/>
        <v>30788885.505173996</v>
      </c>
    </row>
    <row r="27" spans="1:11">
      <c r="A27" s="170" t="s">
        <v>22</v>
      </c>
      <c r="B27" s="171">
        <f>'PART MES'!J$4*'CALCULO GARANTIA'!$U28</f>
        <v>3719246.6095629637</v>
      </c>
      <c r="C27" s="171">
        <f>'PART MES'!J$5*'CALCULO GARANTIA'!$U28</f>
        <v>506697.29563956504</v>
      </c>
      <c r="D27" s="171">
        <f>+'Art.14 Frac.III'!P26</f>
        <v>1848381.885271823</v>
      </c>
      <c r="E27" s="206">
        <f>'PART MES'!J$7*'CALCULO GARANTIA'!$U28</f>
        <v>113258.96889404223</v>
      </c>
      <c r="F27" s="171">
        <f>'PART MES'!J$8*'CALCULO GARANTIA'!$U28</f>
        <v>158037.59763461753</v>
      </c>
      <c r="G27" s="171">
        <f>'PART MES'!J$9*'CALCULO GARANTIA'!$U28</f>
        <v>12266.629314805412</v>
      </c>
      <c r="H27" s="171">
        <f>('PART MES'!J$10*'CALCULO GARANTIA'!$U28)</f>
        <v>107455.07083202114</v>
      </c>
      <c r="I27" s="171">
        <f>'PART MES'!J$11*'CALCULO GARANTIA'!$U28</f>
        <v>20438.442928505068</v>
      </c>
      <c r="J27" s="171">
        <f>+'PART MES'!J$12*'COEF Art 14 F II'!N27</f>
        <v>34830.440740685983</v>
      </c>
      <c r="K27" s="172">
        <f t="shared" si="0"/>
        <v>6520612.9408190288</v>
      </c>
    </row>
    <row r="28" spans="1:11">
      <c r="A28" s="170" t="s">
        <v>23</v>
      </c>
      <c r="B28" s="171">
        <f>'PART MES'!J$4*'CALCULO GARANTIA'!$U29</f>
        <v>17183969.138868418</v>
      </c>
      <c r="C28" s="171">
        <f>'PART MES'!J$5*'CALCULO GARANTIA'!$U29</f>
        <v>2341084.5273423563</v>
      </c>
      <c r="D28" s="171">
        <f>+'Art.14 Frac.III'!P27</f>
        <v>0</v>
      </c>
      <c r="E28" s="206">
        <f>'PART MES'!J$7*'CALCULO GARANTIA'!$U29</f>
        <v>523288.40501490055</v>
      </c>
      <c r="F28" s="171">
        <f>'PART MES'!J$8*'CALCULO GARANTIA'!$U29</f>
        <v>730178.30911010399</v>
      </c>
      <c r="G28" s="171">
        <f>'PART MES'!J$9*'CALCULO GARANTIA'!$U29</f>
        <v>56675.289840036712</v>
      </c>
      <c r="H28" s="171">
        <f>('PART MES'!J$10*'CALCULO GARANTIA'!$U29)</f>
        <v>496472.75774739438</v>
      </c>
      <c r="I28" s="171">
        <f>'PART MES'!J$11*'CALCULO GARANTIA'!$U29</f>
        <v>94431.375329323622</v>
      </c>
      <c r="J28" s="171">
        <f>+'PART MES'!J$12*'COEF Art 14 F II'!N28</f>
        <v>268417.48522322794</v>
      </c>
      <c r="K28" s="172">
        <f t="shared" si="0"/>
        <v>21694517.288475759</v>
      </c>
    </row>
    <row r="29" spans="1:11">
      <c r="A29" s="170" t="s">
        <v>24</v>
      </c>
      <c r="B29" s="171">
        <f>'PART MES'!J$4*'CALCULO GARANTIA'!$U30</f>
        <v>16737366.715657094</v>
      </c>
      <c r="C29" s="171">
        <f>'PART MES'!J$5*'CALCULO GARANTIA'!$U30</f>
        <v>2280240.9577104291</v>
      </c>
      <c r="D29" s="171">
        <f>+'Art.14 Frac.III'!P28</f>
        <v>0</v>
      </c>
      <c r="E29" s="206">
        <f>'PART MES'!J$7*'CALCULO GARANTIA'!$U30</f>
        <v>509688.4114494191</v>
      </c>
      <c r="F29" s="171">
        <f>'PART MES'!J$8*'CALCULO GARANTIA'!$U30</f>
        <v>711201.35450842732</v>
      </c>
      <c r="G29" s="171">
        <f>'PART MES'!J$9*'CALCULO GARANTIA'!$U30</f>
        <v>55202.328525091565</v>
      </c>
      <c r="H29" s="171">
        <f>('PART MES'!J$10*'CALCULO GARANTIA'!$U30)</f>
        <v>483569.6889117508</v>
      </c>
      <c r="I29" s="171">
        <f>'PART MES'!J$11*'CALCULO GARANTIA'!$U30</f>
        <v>91977.152983575681</v>
      </c>
      <c r="J29" s="171">
        <f>+'PART MES'!J$12*'COEF Art 14 F II'!N29</f>
        <v>1300429.8380372464</v>
      </c>
      <c r="K29" s="172">
        <f t="shared" si="0"/>
        <v>22169676.447783031</v>
      </c>
    </row>
    <row r="30" spans="1:11">
      <c r="A30" s="170" t="s">
        <v>25</v>
      </c>
      <c r="B30" s="171">
        <f>'PART MES'!J$4*'CALCULO GARANTIA'!$U31</f>
        <v>267941376.55890456</v>
      </c>
      <c r="C30" s="171">
        <f>'PART MES'!J$5*'CALCULO GARANTIA'!$U31</f>
        <v>36503406.50798969</v>
      </c>
      <c r="D30" s="171">
        <f>+'Art.14 Frac.III'!P29</f>
        <v>6964314.6251799446</v>
      </c>
      <c r="E30" s="206">
        <f>'PART MES'!J$7*'CALCULO GARANTIA'!$U31</f>
        <v>8159384.7407386024</v>
      </c>
      <c r="F30" s="171">
        <f>'PART MES'!J$8*'CALCULO GARANTIA'!$U31</f>
        <v>11385319.636886755</v>
      </c>
      <c r="G30" s="171">
        <f>'PART MES'!J$9*'CALCULO GARANTIA'!$U31</f>
        <v>883710.57081718696</v>
      </c>
      <c r="H30" s="171">
        <f>('PART MES'!J$10*'CALCULO GARANTIA'!$U31)</f>
        <v>7741261.2336425707</v>
      </c>
      <c r="I30" s="171">
        <f>'PART MES'!J$11*'CALCULO GARANTIA'!$U31</f>
        <v>1472423.0759271323</v>
      </c>
      <c r="J30" s="171">
        <f>+'PART MES'!J$12*'COEF Art 14 F II'!N30</f>
        <v>13316333.23578734</v>
      </c>
      <c r="K30" s="172">
        <f t="shared" si="0"/>
        <v>354367530.18587381</v>
      </c>
    </row>
    <row r="31" spans="1:11">
      <c r="A31" s="170" t="s">
        <v>26</v>
      </c>
      <c r="B31" s="171">
        <f>'PART MES'!J$4*'CALCULO GARANTIA'!$U32</f>
        <v>6916293.9482662948</v>
      </c>
      <c r="C31" s="171">
        <f>'PART MES'!J$5*'CALCULO GARANTIA'!$U32</f>
        <v>942251.96856376762</v>
      </c>
      <c r="D31" s="171">
        <f>+'Art.14 Frac.III'!P30</f>
        <v>2837001.2321548243</v>
      </c>
      <c r="E31" s="206">
        <f>'PART MES'!J$7*'CALCULO GARANTIA'!$U32</f>
        <v>210615.85944170333</v>
      </c>
      <c r="F31" s="171">
        <f>'PART MES'!J$8*'CALCULO GARANTIA'!$U32</f>
        <v>293885.99220832193</v>
      </c>
      <c r="G31" s="171">
        <f>'PART MES'!J$9*'CALCULO GARANTIA'!$U32</f>
        <v>22810.967650672621</v>
      </c>
      <c r="H31" s="171">
        <f>('PART MES'!J$10*'CALCULO GARANTIA'!$U32)</f>
        <v>199822.95720728335</v>
      </c>
      <c r="I31" s="171">
        <f>'PART MES'!J$11*'CALCULO GARANTIA'!$U32</f>
        <v>38007.23479183764</v>
      </c>
      <c r="J31" s="171">
        <f>+'PART MES'!J$12*'COEF Art 14 F II'!N31</f>
        <v>75504.487245012802</v>
      </c>
      <c r="K31" s="172">
        <f t="shared" si="0"/>
        <v>11536194.647529718</v>
      </c>
    </row>
    <row r="32" spans="1:11">
      <c r="A32" s="170" t="s">
        <v>27</v>
      </c>
      <c r="B32" s="171">
        <f>'PART MES'!J$4*'CALCULO GARANTIA'!$U33</f>
        <v>11905330.522190595</v>
      </c>
      <c r="C32" s="171">
        <f>'PART MES'!J$5*'CALCULO GARANTIA'!$U33</f>
        <v>1621941.0575729455</v>
      </c>
      <c r="D32" s="171">
        <f>+'Art.14 Frac.III'!P31</f>
        <v>1220786.4820519264</v>
      </c>
      <c r="E32" s="206">
        <f>'PART MES'!J$7*'CALCULO GARANTIA'!$U33</f>
        <v>362542.6331825091</v>
      </c>
      <c r="F32" s="171">
        <f>'PART MES'!J$8*'CALCULO GARANTIA'!$U33</f>
        <v>505879.29015929811</v>
      </c>
      <c r="G32" s="171">
        <f>'PART MES'!J$9*'CALCULO GARANTIA'!$U33</f>
        <v>39265.553408170279</v>
      </c>
      <c r="H32" s="171">
        <f>('PART MES'!J$10*'CALCULO GARANTIA'!$U33)</f>
        <v>343964.32095986733</v>
      </c>
      <c r="I32" s="171">
        <f>'PART MES'!J$11*'CALCULO GARANTIA'!$U33</f>
        <v>65423.57739794362</v>
      </c>
      <c r="J32" s="171">
        <f>+'PART MES'!J$12*'COEF Art 14 F II'!N32</f>
        <v>351193.44993379153</v>
      </c>
      <c r="K32" s="172">
        <f t="shared" si="0"/>
        <v>16416326.886857048</v>
      </c>
    </row>
    <row r="33" spans="1:11">
      <c r="A33" s="170" t="s">
        <v>28</v>
      </c>
      <c r="B33" s="171">
        <f>'PART MES'!J$4*'CALCULO GARANTIA'!$U34</f>
        <v>6808810.7073157197</v>
      </c>
      <c r="C33" s="171">
        <f>'PART MES'!J$5*'CALCULO GARANTIA'!$U34</f>
        <v>927608.82353106118</v>
      </c>
      <c r="D33" s="171">
        <f>+'Art.14 Frac.III'!P32</f>
        <v>1975673.23584104</v>
      </c>
      <c r="E33" s="206">
        <f>'PART MES'!J$7*'CALCULO GARANTIA'!$U34</f>
        <v>207342.76617271936</v>
      </c>
      <c r="F33" s="171">
        <f>'PART MES'!J$8*'CALCULO GARANTIA'!$U34</f>
        <v>289318.83252008399</v>
      </c>
      <c r="G33" s="171">
        <f>'PART MES'!J$9*'CALCULO GARANTIA'!$U34</f>
        <v>22456.471911964523</v>
      </c>
      <c r="H33" s="171">
        <f>('PART MES'!J$10*'CALCULO GARANTIA'!$U34)</f>
        <v>196717.5919325251</v>
      </c>
      <c r="I33" s="171">
        <f>'PART MES'!J$11*'CALCULO GARANTIA'!$U34</f>
        <v>37416.580200585027</v>
      </c>
      <c r="J33" s="171">
        <f>+'PART MES'!J$12*'COEF Art 14 F II'!N33</f>
        <v>95688.40601794784</v>
      </c>
      <c r="K33" s="172">
        <f t="shared" si="0"/>
        <v>10561033.41544365</v>
      </c>
    </row>
    <row r="34" spans="1:11">
      <c r="A34" s="170" t="s">
        <v>29</v>
      </c>
      <c r="B34" s="171">
        <f>'PART MES'!J$4*'CALCULO GARANTIA'!$U35</f>
        <v>9530936.5502581932</v>
      </c>
      <c r="C34" s="171">
        <f>'PART MES'!J$5*'CALCULO GARANTIA'!$U35</f>
        <v>1298461.8343163824</v>
      </c>
      <c r="D34" s="171">
        <f>+'Art.14 Frac.III'!P33</f>
        <v>2471786.1892569447</v>
      </c>
      <c r="E34" s="206">
        <f>'PART MES'!J$7*'CALCULO GARANTIA'!$U35</f>
        <v>290237.28717027104</v>
      </c>
      <c r="F34" s="171">
        <f>'PART MES'!J$8*'CALCULO GARANTIA'!$U35</f>
        <v>404986.94325294229</v>
      </c>
      <c r="G34" s="171">
        <f>'PART MES'!J$9*'CALCULO GARANTIA'!$U35</f>
        <v>31434.448413380553</v>
      </c>
      <c r="H34" s="171">
        <f>('PART MES'!J$10*'CALCULO GARANTIA'!$U35)</f>
        <v>275364.22550475551</v>
      </c>
      <c r="I34" s="171">
        <f>'PART MES'!J$11*'CALCULO GARANTIA'!$U35</f>
        <v>52375.52740837077</v>
      </c>
      <c r="J34" s="171">
        <f>+'PART MES'!J$12*'COEF Art 14 F II'!N34</f>
        <v>186612.40642811809</v>
      </c>
      <c r="K34" s="172">
        <f t="shared" si="0"/>
        <v>14542195.412009358</v>
      </c>
    </row>
    <row r="35" spans="1:11">
      <c r="A35" s="170" t="s">
        <v>30</v>
      </c>
      <c r="B35" s="171">
        <f>'PART MES'!J$4*'CALCULO GARANTIA'!$U36</f>
        <v>8946817.6176755987</v>
      </c>
      <c r="C35" s="171">
        <f>'PART MES'!J$5*'CALCULO GARANTIA'!$U36</f>
        <v>1218883.4910275922</v>
      </c>
      <c r="D35" s="171">
        <f>+'Art.14 Frac.III'!P34</f>
        <v>9013401.8492072634</v>
      </c>
      <c r="E35" s="206">
        <f>'PART MES'!J$7*'CALCULO GARANTIA'!$U36</f>
        <v>272449.62344136147</v>
      </c>
      <c r="F35" s="171">
        <f>'PART MES'!J$8*'CALCULO GARANTIA'!$U36</f>
        <v>380166.66040294385</v>
      </c>
      <c r="G35" s="171">
        <f>'PART MES'!J$9*'CALCULO GARANTIA'!$U36</f>
        <v>29507.937166901942</v>
      </c>
      <c r="H35" s="171">
        <f>('PART MES'!J$10*'CALCULO GARANTIA'!$U36)</f>
        <v>258488.08152613326</v>
      </c>
      <c r="I35" s="171">
        <f>'PART MES'!J$11*'CALCULO GARANTIA'!$U36</f>
        <v>49165.608110104207</v>
      </c>
      <c r="J35" s="171">
        <f>+'PART MES'!J$12*'COEF Art 14 F II'!N35</f>
        <v>146726.57716809411</v>
      </c>
      <c r="K35" s="172">
        <f t="shared" si="0"/>
        <v>20315607.445725996</v>
      </c>
    </row>
    <row r="36" spans="1:11">
      <c r="A36" s="170" t="s">
        <v>31</v>
      </c>
      <c r="B36" s="171">
        <f>'PART MES'!J$4*'CALCULO GARANTIA'!$U37</f>
        <v>83334109.534038976</v>
      </c>
      <c r="C36" s="171">
        <f>'PART MES'!J$5*'CALCULO GARANTIA'!$U37</f>
        <v>11353150.884606326</v>
      </c>
      <c r="D36" s="171">
        <f>+'Art.14 Frac.III'!P35</f>
        <v>0</v>
      </c>
      <c r="E36" s="206">
        <f>'PART MES'!J$7*'CALCULO GARANTIA'!$U37</f>
        <v>2537700.8599699973</v>
      </c>
      <c r="F36" s="171">
        <f>'PART MES'!J$8*'CALCULO GARANTIA'!$U37</f>
        <v>3541018.882135151</v>
      </c>
      <c r="G36" s="171">
        <f>'PART MES'!J$9*'CALCULO GARANTIA'!$U37</f>
        <v>274848.3061878939</v>
      </c>
      <c r="H36" s="171">
        <f>('PART MES'!J$10*'CALCULO GARANTIA'!$U37)</f>
        <v>2407657.6744546122</v>
      </c>
      <c r="I36" s="171">
        <f>'PART MES'!J$11*'CALCULO GARANTIA'!$U37</f>
        <v>457947.43412010139</v>
      </c>
      <c r="J36" s="171">
        <f>+'PART MES'!J$12*'COEF Art 14 F II'!N36</f>
        <v>6080570.762952623</v>
      </c>
      <c r="K36" s="172">
        <f t="shared" si="0"/>
        <v>109987004.33846571</v>
      </c>
    </row>
    <row r="37" spans="1:11">
      <c r="A37" s="170" t="s">
        <v>32</v>
      </c>
      <c r="B37" s="171">
        <f>'PART MES'!J$4*'CALCULO GARANTIA'!$U38</f>
        <v>16239927.344420154</v>
      </c>
      <c r="C37" s="171">
        <f>'PART MES'!J$5*'CALCULO GARANTIA'!$U38</f>
        <v>2212471.5380913247</v>
      </c>
      <c r="D37" s="171">
        <f>+'Art.14 Frac.III'!P36</f>
        <v>1486807.5787080703</v>
      </c>
      <c r="E37" s="206">
        <f>'PART MES'!J$7*'CALCULO GARANTIA'!$U38</f>
        <v>494540.32470283553</v>
      </c>
      <c r="F37" s="171">
        <f>'PART MES'!J$8*'CALCULO GARANTIA'!$U38</f>
        <v>690064.2449128906</v>
      </c>
      <c r="G37" s="171">
        <f>'PART MES'!J$9*'CALCULO GARANTIA'!$U38</f>
        <v>53561.699383193809</v>
      </c>
      <c r="H37" s="171">
        <f>('PART MES'!J$10*'CALCULO GARANTIA'!$U38)</f>
        <v>469197.85814003902</v>
      </c>
      <c r="I37" s="171">
        <f>'PART MES'!J$11*'CALCULO GARANTIA'!$U38</f>
        <v>89243.565441067345</v>
      </c>
      <c r="J37" s="171">
        <f>+'PART MES'!J$12*'COEF Art 14 F II'!N37</f>
        <v>235456.29788603869</v>
      </c>
      <c r="K37" s="172">
        <f t="shared" si="0"/>
        <v>21971270.451685619</v>
      </c>
    </row>
    <row r="38" spans="1:11">
      <c r="A38" s="170" t="s">
        <v>33</v>
      </c>
      <c r="B38" s="171">
        <f>'PART MES'!J$4*'CALCULO GARANTIA'!$U39</f>
        <v>59542188.741532706</v>
      </c>
      <c r="C38" s="171">
        <f>'PART MES'!J$5*'CALCULO GARANTIA'!$U39</f>
        <v>8111821.8765655709</v>
      </c>
      <c r="D38" s="171">
        <f>+'Art.14 Frac.III'!P37</f>
        <v>1373660.1593184553</v>
      </c>
      <c r="E38" s="206">
        <f>'PART MES'!J$7*'CALCULO GARANTIA'!$U39</f>
        <v>1813186.2741290159</v>
      </c>
      <c r="F38" s="171">
        <f>'PART MES'!J$8*'CALCULO GARANTIA'!$U39</f>
        <v>2530056.6094283611</v>
      </c>
      <c r="G38" s="171">
        <f>'PART MES'!J$9*'CALCULO GARANTIA'!$U39</f>
        <v>196379.00751367133</v>
      </c>
      <c r="H38" s="171">
        <f>('PART MES'!J$10*'CALCULO GARANTIA'!$U39)</f>
        <v>1720270.4688266932</v>
      </c>
      <c r="I38" s="171">
        <f>'PART MES'!J$11*'CALCULO GARANTIA'!$U39</f>
        <v>327203.26296811306</v>
      </c>
      <c r="J38" s="171">
        <f>+'PART MES'!J$12*'COEF Art 14 F II'!N38</f>
        <v>1840569.0006020772</v>
      </c>
      <c r="K38" s="172">
        <f t="shared" si="0"/>
        <v>77455335.400884673</v>
      </c>
    </row>
    <row r="39" spans="1:11">
      <c r="A39" s="170" t="s">
        <v>34</v>
      </c>
      <c r="B39" s="171">
        <f>'PART MES'!J$4*'CALCULO GARANTIA'!$U40</f>
        <v>12657404.744801356</v>
      </c>
      <c r="C39" s="171">
        <f>'PART MES'!J$5*'CALCULO GARANTIA'!$U40</f>
        <v>1724401.048727412</v>
      </c>
      <c r="D39" s="171">
        <f>+'Art.14 Frac.III'!P38</f>
        <v>0</v>
      </c>
      <c r="E39" s="206">
        <f>'PART MES'!J$7*'CALCULO GARANTIA'!$U40</f>
        <v>385444.89267927647</v>
      </c>
      <c r="F39" s="171">
        <f>'PART MES'!J$8*'CALCULO GARANTIA'!$U40</f>
        <v>537836.3007750297</v>
      </c>
      <c r="G39" s="171">
        <f>'PART MES'!J$9*'CALCULO GARANTIA'!$U40</f>
        <v>41746.006218765353</v>
      </c>
      <c r="H39" s="171">
        <f>('PART MES'!J$10*'CALCULO GARANTIA'!$U40)</f>
        <v>365692.96585633274</v>
      </c>
      <c r="I39" s="171">
        <f>'PART MES'!J$11*'CALCULO GARANTIA'!$U40</f>
        <v>69556.464428695283</v>
      </c>
      <c r="J39" s="171">
        <f>+'PART MES'!J$12*'COEF Art 14 F II'!N39</f>
        <v>219162.52939936379</v>
      </c>
      <c r="K39" s="172">
        <f t="shared" si="0"/>
        <v>16001244.952886228</v>
      </c>
    </row>
    <row r="40" spans="1:11">
      <c r="A40" s="170" t="s">
        <v>35</v>
      </c>
      <c r="B40" s="171">
        <f>'PART MES'!J$4*'CALCULO GARANTIA'!$U41</f>
        <v>12159392.469946727</v>
      </c>
      <c r="C40" s="171">
        <f>'PART MES'!J$5*'CALCULO GARANTIA'!$U41</f>
        <v>1656553.5787007336</v>
      </c>
      <c r="D40" s="171">
        <f>+'Art.14 Frac.III'!P39</f>
        <v>3754466.7292411728</v>
      </c>
      <c r="E40" s="206">
        <f>'PART MES'!J$7*'CALCULO GARANTIA'!$U41</f>
        <v>370279.35979915387</v>
      </c>
      <c r="F40" s="171">
        <f>'PART MES'!J$8*'CALCULO GARANTIA'!$U41</f>
        <v>516674.84745590575</v>
      </c>
      <c r="G40" s="171">
        <f>'PART MES'!J$9*'CALCULO GARANTIA'!$U41</f>
        <v>40103.487555400199</v>
      </c>
      <c r="H40" s="171">
        <f>('PART MES'!J$10*'CALCULO GARANTIA'!$U41)</f>
        <v>351304.58296929195</v>
      </c>
      <c r="I40" s="171">
        <f>'PART MES'!J$11*'CALCULO GARANTIA'!$U41</f>
        <v>66819.72859861076</v>
      </c>
      <c r="J40" s="171">
        <f>+'PART MES'!J$12*'COEF Art 14 F II'!N40</f>
        <v>141554.30062192411</v>
      </c>
      <c r="K40" s="172">
        <f t="shared" si="0"/>
        <v>19057149.084888916</v>
      </c>
    </row>
    <row r="41" spans="1:11">
      <c r="A41" s="170" t="s">
        <v>36</v>
      </c>
      <c r="B41" s="171">
        <f>'PART MES'!J$4*'CALCULO GARANTIA'!$U42</f>
        <v>12821831.467147266</v>
      </c>
      <c r="C41" s="171">
        <f>'PART MES'!J$5*'CALCULO GARANTIA'!$U42</f>
        <v>1746801.9767350713</v>
      </c>
      <c r="D41" s="171">
        <f>+'Art.14 Frac.III'!P40</f>
        <v>2035256.0794198615</v>
      </c>
      <c r="E41" s="206">
        <f>'PART MES'!J$7*'CALCULO GARANTIA'!$U42</f>
        <v>390452.03605708899</v>
      </c>
      <c r="F41" s="171">
        <f>'PART MES'!J$8*'CALCULO GARANTIA'!$U42</f>
        <v>544823.09323984431</v>
      </c>
      <c r="G41" s="171">
        <f>'PART MES'!J$9*'CALCULO GARANTIA'!$U42</f>
        <v>42288.310041071643</v>
      </c>
      <c r="H41" s="171">
        <f>('PART MES'!J$10*'CALCULO GARANTIA'!$U42)</f>
        <v>370443.52072702278</v>
      </c>
      <c r="I41" s="171">
        <f>'PART MES'!J$11*'CALCULO GARANTIA'!$U42</f>
        <v>70460.041559597856</v>
      </c>
      <c r="J41" s="171">
        <f>+'PART MES'!J$12*'COEF Art 14 F II'!N41</f>
        <v>238176.88422745161</v>
      </c>
      <c r="K41" s="172">
        <f t="shared" si="0"/>
        <v>18260533.409154277</v>
      </c>
    </row>
    <row r="42" spans="1:11">
      <c r="A42" s="170" t="s">
        <v>37</v>
      </c>
      <c r="B42" s="171">
        <f>'PART MES'!J$4*'CALCULO GARANTIA'!$U43</f>
        <v>18060105.406952024</v>
      </c>
      <c r="C42" s="171">
        <f>'PART MES'!J$5*'CALCULO GARANTIA'!$U43</f>
        <v>2460446.3025223762</v>
      </c>
      <c r="D42" s="171">
        <f>+'Art.14 Frac.III'!P41</f>
        <v>659623.96832860354</v>
      </c>
      <c r="E42" s="206">
        <f>'PART MES'!J$7*'CALCULO GARANTIA'!$U43</f>
        <v>549968.61763610237</v>
      </c>
      <c r="F42" s="171">
        <f>'PART MES'!J$8*'CALCULO GARANTIA'!$U43</f>
        <v>767406.9431706894</v>
      </c>
      <c r="G42" s="171">
        <f>'PART MES'!J$9*'CALCULO GARANTIA'!$U43</f>
        <v>59564.917756132731</v>
      </c>
      <c r="H42" s="171">
        <f>('PART MES'!J$10*'CALCULO GARANTIA'!$U43)</f>
        <v>521785.75648841879</v>
      </c>
      <c r="I42" s="171">
        <f>'PART MES'!J$11*'CALCULO GARANTIA'!$U43</f>
        <v>99246.022754632257</v>
      </c>
      <c r="J42" s="171">
        <f>+'PART MES'!J$12*'COEF Art 14 F II'!N42</f>
        <v>247475.01462685605</v>
      </c>
      <c r="K42" s="172">
        <f t="shared" si="0"/>
        <v>23425622.950235836</v>
      </c>
    </row>
    <row r="43" spans="1:11">
      <c r="A43" s="170" t="s">
        <v>38</v>
      </c>
      <c r="B43" s="171">
        <f>'PART MES'!J$4*'CALCULO GARANTIA'!$U44</f>
        <v>42370675.042198971</v>
      </c>
      <c r="C43" s="171">
        <f>'PART MES'!J$5*'CALCULO GARANTIA'!$U44</f>
        <v>5772434.2352301814</v>
      </c>
      <c r="D43" s="171">
        <f>+'Art.14 Frac.III'!P42</f>
        <v>2130821.3140084599</v>
      </c>
      <c r="E43" s="206">
        <f>'PART MES'!J$7*'CALCULO GARANTIA'!$U44</f>
        <v>1290277.1637366319</v>
      </c>
      <c r="F43" s="171">
        <f>'PART MES'!J$8*'CALCULO GARANTIA'!$U44</f>
        <v>1800407.5547474965</v>
      </c>
      <c r="G43" s="171">
        <f>'PART MES'!J$9*'CALCULO GARANTIA'!$U44</f>
        <v>139744.79756850688</v>
      </c>
      <c r="H43" s="171">
        <f>('PART MES'!J$10*'CALCULO GARANTIA'!$U44)</f>
        <v>1224157.5689424484</v>
      </c>
      <c r="I43" s="171">
        <f>'PART MES'!J$11*'CALCULO GARANTIA'!$U44</f>
        <v>232840.33424015879</v>
      </c>
      <c r="J43" s="171">
        <f>+'PART MES'!J$12*'COEF Art 14 F II'!N43</f>
        <v>1360575.5720959639</v>
      </c>
      <c r="K43" s="172">
        <f t="shared" si="0"/>
        <v>56321933.58276882</v>
      </c>
    </row>
    <row r="44" spans="1:11">
      <c r="A44" s="170" t="s">
        <v>39</v>
      </c>
      <c r="B44" s="171">
        <f>'PART MES'!J$4*'CALCULO GARANTIA'!$U45</f>
        <v>872486773.56505239</v>
      </c>
      <c r="C44" s="171">
        <f>'PART MES'!J$5*'CALCULO GARANTIA'!$U45</f>
        <v>118864580.66803205</v>
      </c>
      <c r="D44" s="171">
        <f>+'Art.14 Frac.III'!P43</f>
        <v>0</v>
      </c>
      <c r="E44" s="206">
        <f>'PART MES'!J$7*'CALCULO GARANTIA'!$U45</f>
        <v>26569077.751818988</v>
      </c>
      <c r="F44" s="171">
        <f>'PART MES'!J$8*'CALCULO GARANTIA'!$U45</f>
        <v>37073560.3569998</v>
      </c>
      <c r="G44" s="171">
        <f>'PART MES'!J$9*'CALCULO GARANTIA'!$U45</f>
        <v>2877591.3395672021</v>
      </c>
      <c r="H44" s="171">
        <f>('PART MES'!J$10*'CALCULO GARANTIA'!$U45)</f>
        <v>25207558.921308234</v>
      </c>
      <c r="I44" s="171">
        <f>'PART MES'!J$11*'CALCULO GARANTIA'!$U45</f>
        <v>4794592.2923030537</v>
      </c>
      <c r="J44" s="171">
        <f>+'PART MES'!J$12*'COEF Art 14 F II'!N44</f>
        <v>26842632.148028214</v>
      </c>
      <c r="K44" s="172">
        <f t="shared" si="0"/>
        <v>1114716367.0431099</v>
      </c>
    </row>
    <row r="45" spans="1:11">
      <c r="A45" s="170" t="s">
        <v>40</v>
      </c>
      <c r="B45" s="171">
        <f>'PART MES'!J$4*'CALCULO GARANTIA'!$U46</f>
        <v>4528685.0251331059</v>
      </c>
      <c r="C45" s="171">
        <f>'PART MES'!J$5*'CALCULO GARANTIA'!$U46</f>
        <v>616972.38605750317</v>
      </c>
      <c r="D45" s="171">
        <f>+'Art.14 Frac.III'!P44</f>
        <v>1764136.7247163632</v>
      </c>
      <c r="E45" s="206">
        <f>'PART MES'!J$7*'CALCULO GARANTIA'!$U46</f>
        <v>137908.09006148056</v>
      </c>
      <c r="F45" s="171">
        <f>'PART MES'!J$8*'CALCULO GARANTIA'!$U46</f>
        <v>192432.11783152056</v>
      </c>
      <c r="G45" s="171">
        <f>'PART MES'!J$9*'CALCULO GARANTIA'!$U46</f>
        <v>14936.277778403552</v>
      </c>
      <c r="H45" s="171">
        <f>('PART MES'!J$10*'CALCULO GARANTIA'!$U46)</f>
        <v>130841.06036431224</v>
      </c>
      <c r="I45" s="171">
        <f>'PART MES'!J$11*'CALCULO GARANTIA'!$U46</f>
        <v>24886.564442747418</v>
      </c>
      <c r="J45" s="171">
        <f>+'PART MES'!J$12*'COEF Art 14 F II'!N45</f>
        <v>50740.210018339028</v>
      </c>
      <c r="K45" s="172">
        <f t="shared" si="0"/>
        <v>7461538.4564037761</v>
      </c>
    </row>
    <row r="46" spans="1:11">
      <c r="A46" s="170" t="s">
        <v>41</v>
      </c>
      <c r="B46" s="171">
        <f>'PART MES'!J$4*'CALCULO GARANTIA'!$U47</f>
        <v>18814316.660826303</v>
      </c>
      <c r="C46" s="171">
        <f>'PART MES'!J$5*'CALCULO GARANTIA'!$U47</f>
        <v>2563197.4354255875</v>
      </c>
      <c r="D46" s="171">
        <f>+'Art.14 Frac.III'!P45</f>
        <v>0</v>
      </c>
      <c r="E46" s="206">
        <f>'PART MES'!J$7*'CALCULO GARANTIA'!$U47</f>
        <v>572935.95427961706</v>
      </c>
      <c r="F46" s="171">
        <f>'PART MES'!J$8*'CALCULO GARANTIA'!$U47</f>
        <v>799454.76015728328</v>
      </c>
      <c r="G46" s="171">
        <f>'PART MES'!J$9*'CALCULO GARANTIA'!$U47</f>
        <v>62052.418814154131</v>
      </c>
      <c r="H46" s="171">
        <f>('PART MES'!J$10*'CALCULO GARANTIA'!$U47)</f>
        <v>543576.14368645707</v>
      </c>
      <c r="I46" s="171">
        <f>'PART MES'!J$11*'CALCULO GARANTIA'!$U47</f>
        <v>103390.65345180377</v>
      </c>
      <c r="J46" s="171">
        <f>+'PART MES'!J$12*'COEF Art 14 F II'!N46</f>
        <v>1121522.9146433512</v>
      </c>
      <c r="K46" s="172">
        <f t="shared" si="0"/>
        <v>24580446.941284556</v>
      </c>
    </row>
    <row r="47" spans="1:11">
      <c r="A47" s="170" t="s">
        <v>42</v>
      </c>
      <c r="B47" s="171">
        <f>'PART MES'!J$4*'CALCULO GARANTIA'!$U48</f>
        <v>9605203.2880062982</v>
      </c>
      <c r="C47" s="171">
        <f>'PART MES'!J$5*'CALCULO GARANTIA'!$U48</f>
        <v>1308579.6778269957</v>
      </c>
      <c r="D47" s="171">
        <f>+'Art.14 Frac.III'!P46</f>
        <v>565269.42410451337</v>
      </c>
      <c r="E47" s="206">
        <f>'PART MES'!J$7*'CALCULO GARANTIA'!$U48</f>
        <v>292498.86727599654</v>
      </c>
      <c r="F47" s="171">
        <f>'PART MES'!J$8*'CALCULO GARANTIA'!$U48</f>
        <v>408142.67290735466</v>
      </c>
      <c r="G47" s="171">
        <f>'PART MES'!J$9*'CALCULO GARANTIA'!$U48</f>
        <v>31679.39117679761</v>
      </c>
      <c r="H47" s="171">
        <f>('PART MES'!J$10*'CALCULO GARANTIA'!$U48)</f>
        <v>277509.91209210537</v>
      </c>
      <c r="I47" s="171">
        <f>'PART MES'!J$11*'CALCULO GARANTIA'!$U48</f>
        <v>52783.646750887092</v>
      </c>
      <c r="J47" s="171">
        <f>+'PART MES'!J$12*'COEF Art 14 F II'!N47</f>
        <v>135642.97706842425</v>
      </c>
      <c r="K47" s="172">
        <f t="shared" si="0"/>
        <v>12677309.857209371</v>
      </c>
    </row>
    <row r="48" spans="1:11">
      <c r="A48" s="170" t="s">
        <v>43</v>
      </c>
      <c r="B48" s="171">
        <f>'PART MES'!J$4*'CALCULO GARANTIA'!$U49</f>
        <v>10730363.312883683</v>
      </c>
      <c r="C48" s="171">
        <f>'PART MES'!J$5*'CALCULO GARANTIA'!$U49</f>
        <v>1461867.5884219077</v>
      </c>
      <c r="D48" s="171">
        <f>+'Art.14 Frac.III'!P47</f>
        <v>5322176.8469214002</v>
      </c>
      <c r="E48" s="206">
        <f>'PART MES'!J$7*'CALCULO GARANTIA'!$U49</f>
        <v>326762.38288443908</v>
      </c>
      <c r="F48" s="171">
        <f>'PART MES'!J$8*'CALCULO GARANTIA'!$U49</f>
        <v>455952.78230664058</v>
      </c>
      <c r="G48" s="171">
        <f>'PART MES'!J$9*'CALCULO GARANTIA'!$U49</f>
        <v>35390.336535871269</v>
      </c>
      <c r="H48" s="171">
        <f>('PART MES'!J$10*'CALCULO GARANTIA'!$U49)</f>
        <v>310017.61132874328</v>
      </c>
      <c r="I48" s="171">
        <f>'PART MES'!J$11*'CALCULO GARANTIA'!$U49</f>
        <v>58966.758915260092</v>
      </c>
      <c r="J48" s="171">
        <f>+'PART MES'!J$12*'COEF Art 14 F II'!N48</f>
        <v>151652.77563604127</v>
      </c>
      <c r="K48" s="172">
        <f t="shared" si="0"/>
        <v>18853150.395833984</v>
      </c>
    </row>
    <row r="49" spans="1:11">
      <c r="A49" s="170" t="s">
        <v>44</v>
      </c>
      <c r="B49" s="171">
        <f>'PART MES'!J$4*'CALCULO GARANTIA'!$U50</f>
        <v>30967829.319879111</v>
      </c>
      <c r="C49" s="171">
        <f>'PART MES'!J$5*'CALCULO GARANTIA'!$U50</f>
        <v>4218949.9690245632</v>
      </c>
      <c r="D49" s="171">
        <f>+'Art.14 Frac.III'!P48</f>
        <v>1686801.62120027</v>
      </c>
      <c r="E49" s="206">
        <f>'PART MES'!J$7*'CALCULO GARANTIA'!$U50</f>
        <v>943036.26133259793</v>
      </c>
      <c r="F49" s="171">
        <f>'PART MES'!J$8*'CALCULO GARANTIA'!$U50</f>
        <v>1315879.7636835524</v>
      </c>
      <c r="G49" s="171">
        <f>'PART MES'!J$9*'CALCULO GARANTIA'!$U50</f>
        <v>102136.51387740513</v>
      </c>
      <c r="H49" s="171">
        <f>('PART MES'!J$10*'CALCULO GARANTIA'!$U50)</f>
        <v>894710.84937617835</v>
      </c>
      <c r="I49" s="171">
        <f>'PART MES'!J$11*'CALCULO GARANTIA'!$U50</f>
        <v>170178.07061963261</v>
      </c>
      <c r="J49" s="171">
        <f>+'PART MES'!J$12*'COEF Art 14 F II'!N49</f>
        <v>744831.76438916777</v>
      </c>
      <c r="K49" s="172">
        <f t="shared" si="0"/>
        <v>41044354.133382484</v>
      </c>
    </row>
    <row r="50" spans="1:11">
      <c r="A50" s="170" t="s">
        <v>45</v>
      </c>
      <c r="B50" s="171">
        <f>'PART MES'!J$4*'CALCULO GARANTIA'!$U51</f>
        <v>26649440.66716902</v>
      </c>
      <c r="C50" s="171">
        <f>'PART MES'!J$5*'CALCULO GARANTIA'!$U51</f>
        <v>3630627.6334680328</v>
      </c>
      <c r="D50" s="171">
        <f>+'Art.14 Frac.III'!P49</f>
        <v>520961.14212291571</v>
      </c>
      <c r="E50" s="206">
        <f>'PART MES'!J$7*'CALCULO GARANTIA'!$U51</f>
        <v>811532.1430436658</v>
      </c>
      <c r="F50" s="171">
        <f>'PART MES'!J$8*'CALCULO GARANTIA'!$U51</f>
        <v>1132383.5237267483</v>
      </c>
      <c r="G50" s="171">
        <f>'PART MES'!J$9*'CALCULO GARANTIA'!$U51</f>
        <v>87893.82485972764</v>
      </c>
      <c r="H50" s="171">
        <f>('PART MES'!J$10*'CALCULO GARANTIA'!$U51)</f>
        <v>769945.59251904127</v>
      </c>
      <c r="I50" s="171">
        <f>'PART MES'!J$11*'CALCULO GARANTIA'!$U51</f>
        <v>146447.15162260208</v>
      </c>
      <c r="J50" s="171">
        <f>+'PART MES'!J$12*'COEF Art 14 F II'!N50</f>
        <v>966262.40051994799</v>
      </c>
      <c r="K50" s="172">
        <f t="shared" si="0"/>
        <v>34715494.079051696</v>
      </c>
    </row>
    <row r="51" spans="1:11">
      <c r="A51" s="170" t="s">
        <v>46</v>
      </c>
      <c r="B51" s="171">
        <f>'PART MES'!J$4*'CALCULO GARANTIA'!$U52</f>
        <v>241138802.08790341</v>
      </c>
      <c r="C51" s="171">
        <f>'PART MES'!J$5*'CALCULO GARANTIA'!$U52</f>
        <v>32851916.454677477</v>
      </c>
      <c r="D51" s="171">
        <f>+'Art.14 Frac.III'!P50</f>
        <v>6740514.8410571767</v>
      </c>
      <c r="E51" s="206">
        <f>'PART MES'!J$7*'CALCULO GARANTIA'!$U52</f>
        <v>7343189.347702249</v>
      </c>
      <c r="F51" s="171">
        <f>'PART MES'!J$8*'CALCULO GARANTIA'!$U52</f>
        <v>10246429.177477911</v>
      </c>
      <c r="G51" s="171">
        <f>'PART MES'!J$9*'CALCULO GARANTIA'!$U52</f>
        <v>795311.68786253629</v>
      </c>
      <c r="H51" s="171">
        <f>('PART MES'!J$10*'CALCULO GARANTIA'!$U52)</f>
        <v>6966891.3569969404</v>
      </c>
      <c r="I51" s="171">
        <f>'PART MES'!J$11*'CALCULO GARANTIA'!$U52</f>
        <v>1325134.4053522777</v>
      </c>
      <c r="J51" s="171">
        <f>+'PART MES'!J$12*'COEF Art 14 F II'!N51</f>
        <v>9020078.0726526659</v>
      </c>
      <c r="K51" s="172">
        <f t="shared" si="0"/>
        <v>316428267.43168265</v>
      </c>
    </row>
    <row r="52" spans="1:11">
      <c r="A52" s="170" t="s">
        <v>47</v>
      </c>
      <c r="B52" s="171">
        <f>'PART MES'!J$4*'CALCULO GARANTIA'!$U53</f>
        <v>463228010.65725189</v>
      </c>
      <c r="C52" s="171">
        <f>'PART MES'!J$5*'CALCULO GARANTIA'!$U53</f>
        <v>63108582.168501563</v>
      </c>
      <c r="D52" s="171">
        <f>+'Art.14 Frac.III'!P51</f>
        <v>12841686.749994826</v>
      </c>
      <c r="E52" s="206">
        <f>'PART MES'!J$7*'CALCULO GARANTIA'!$U53</f>
        <v>14106278.060449377</v>
      </c>
      <c r="F52" s="171">
        <f>'PART MES'!J$8*'CALCULO GARANTIA'!$U53</f>
        <v>19683406.25036893</v>
      </c>
      <c r="G52" s="171">
        <f>'PART MES'!J$9*'CALCULO GARANTIA'!$U53</f>
        <v>1527794.9787887128</v>
      </c>
      <c r="H52" s="171">
        <f>('PART MES'!J$10*'CALCULO GARANTIA'!$U53)</f>
        <v>13383409.040036816</v>
      </c>
      <c r="I52" s="171">
        <f>'PART MES'!J$11*'CALCULO GARANTIA'!$U53</f>
        <v>2545585.2360958913</v>
      </c>
      <c r="J52" s="171">
        <f>+'PART MES'!J$12*'COEF Art 14 F II'!N52</f>
        <v>6966718.5702680256</v>
      </c>
      <c r="K52" s="172">
        <f t="shared" si="0"/>
        <v>597391471.71175611</v>
      </c>
    </row>
    <row r="53" spans="1:11">
      <c r="A53" s="170" t="s">
        <v>48</v>
      </c>
      <c r="B53" s="171">
        <f>'PART MES'!J$4*'CALCULO GARANTIA'!$U54</f>
        <v>125554875.64119877</v>
      </c>
      <c r="C53" s="171">
        <f>'PART MES'!J$5*'CALCULO GARANTIA'!$U54</f>
        <v>17105162.044963963</v>
      </c>
      <c r="D53" s="171">
        <f>+'Art.14 Frac.III'!P52</f>
        <v>3351927.0235335226</v>
      </c>
      <c r="E53" s="206">
        <f>'PART MES'!J$7*'CALCULO GARANTIA'!$U54</f>
        <v>3823412.977826938</v>
      </c>
      <c r="F53" s="171">
        <f>'PART MES'!J$8*'CALCULO GARANTIA'!$U54</f>
        <v>5335056.5317796515</v>
      </c>
      <c r="G53" s="171">
        <f>'PART MES'!J$9*'CALCULO GARANTIA'!$U54</f>
        <v>414098.6817591138</v>
      </c>
      <c r="H53" s="171">
        <f>('PART MES'!J$10*'CALCULO GARANTIA'!$U54)</f>
        <v>3627484.130963814</v>
      </c>
      <c r="I53" s="171">
        <f>'PART MES'!J$11*'CALCULO GARANTIA'!$U54</f>
        <v>689963.97108761012</v>
      </c>
      <c r="J53" s="171">
        <f>+'PART MES'!J$12*'COEF Art 14 F II'!N53</f>
        <v>5660731.7048075283</v>
      </c>
      <c r="K53" s="172">
        <f t="shared" si="0"/>
        <v>165562712.70792088</v>
      </c>
    </row>
    <row r="54" spans="1:11">
      <c r="A54" s="170" t="s">
        <v>49</v>
      </c>
      <c r="B54" s="171">
        <f>'PART MES'!J$4*'CALCULO GARANTIA'!$U55</f>
        <v>39727835.943911247</v>
      </c>
      <c r="C54" s="171">
        <f>'PART MES'!J$5*'CALCULO GARANTIA'!$U55</f>
        <v>5412382.976335506</v>
      </c>
      <c r="D54" s="171">
        <f>+'Art.14 Frac.III'!P53</f>
        <v>3605884.1783494735</v>
      </c>
      <c r="E54" s="206">
        <f>'PART MES'!J$7*'CALCULO GARANTIA'!$U55</f>
        <v>1209797.0927310416</v>
      </c>
      <c r="F54" s="171">
        <f>'PART MES'!J$8*'CALCULO GARANTIA'!$U55</f>
        <v>1688108.4829531391</v>
      </c>
      <c r="G54" s="171">
        <f>'PART MES'!J$9*'CALCULO GARANTIA'!$U55</f>
        <v>131028.32056103586</v>
      </c>
      <c r="H54" s="171">
        <f>('PART MES'!J$10*'CALCULO GARANTIA'!$U55)</f>
        <v>1147801.6581044968</v>
      </c>
      <c r="I54" s="171">
        <f>'PART MES'!J$11*'CALCULO GARANTIA'!$U55</f>
        <v>218317.09290932305</v>
      </c>
      <c r="J54" s="171">
        <f>+'PART MES'!J$12*'COEF Art 14 F II'!N54</f>
        <v>1096911.1252044851</v>
      </c>
      <c r="K54" s="172">
        <f t="shared" si="0"/>
        <v>54238066.871059746</v>
      </c>
    </row>
    <row r="55" spans="1:11">
      <c r="A55" s="170" t="s">
        <v>50</v>
      </c>
      <c r="B55" s="171">
        <f>'PART MES'!J$4*'CALCULO GARANTIA'!$U56</f>
        <v>8041101.2204572065</v>
      </c>
      <c r="C55" s="171">
        <f>'PART MES'!J$5*'CALCULO GARANTIA'!$U56</f>
        <v>1095491.8213526157</v>
      </c>
      <c r="D55" s="171">
        <f>+'Art.14 Frac.III'!P54</f>
        <v>0</v>
      </c>
      <c r="E55" s="206">
        <f>'PART MES'!J$7*'CALCULO GARANTIA'!$U56</f>
        <v>244868.63298065204</v>
      </c>
      <c r="F55" s="171">
        <f>'PART MES'!J$8*'CALCULO GARANTIA'!$U56</f>
        <v>341681.11250014015</v>
      </c>
      <c r="G55" s="171">
        <f>'PART MES'!J$9*'CALCULO GARANTIA'!$U56</f>
        <v>26520.749578842384</v>
      </c>
      <c r="H55" s="171">
        <f>('PART MES'!J$10*'CALCULO GARANTIA'!$U56)</f>
        <v>232320.4648462967</v>
      </c>
      <c r="I55" s="171">
        <f>'PART MES'!J$11*'CALCULO GARANTIA'!$U56</f>
        <v>44188.408468014713</v>
      </c>
      <c r="J55" s="171">
        <f>+'PART MES'!J$12*'COEF Art 14 F II'!N55</f>
        <v>87426.326804505225</v>
      </c>
      <c r="K55" s="172">
        <f t="shared" si="0"/>
        <v>10113598.736988274</v>
      </c>
    </row>
    <row r="56" spans="1:11" ht="13.8" thickBot="1">
      <c r="A56" s="170" t="s">
        <v>51</v>
      </c>
      <c r="B56" s="171">
        <f>'PART MES'!J$4*'CALCULO GARANTIA'!$U57</f>
        <v>11078314.250481451</v>
      </c>
      <c r="C56" s="171">
        <f>'PART MES'!J$5*'CALCULO GARANTIA'!$U57</f>
        <v>1509271.2208249648</v>
      </c>
      <c r="D56" s="171">
        <f>+'Art.14 Frac.III'!P55</f>
        <v>731514.31778604677</v>
      </c>
      <c r="E56" s="206">
        <f>'PART MES'!J$7*'CALCULO GARANTIA'!$U57</f>
        <v>337358.22891323175</v>
      </c>
      <c r="F56" s="171">
        <f>'PART MES'!J$8*'CALCULO GARANTIA'!$U57</f>
        <v>470737.85467352119</v>
      </c>
      <c r="G56" s="171">
        <f>'PART MES'!J$9*'CALCULO GARANTIA'!$U57</f>
        <v>36537.930556734638</v>
      </c>
      <c r="H56" s="171">
        <f>('PART MES'!J$10*'CALCULO GARANTIA'!$U57)</f>
        <v>320070.47863512224</v>
      </c>
      <c r="I56" s="171">
        <f>'PART MES'!J$11*'CALCULO GARANTIA'!$U57</f>
        <v>60878.859974040766</v>
      </c>
      <c r="J56" s="171">
        <f>+'PART MES'!J$12*'COEF Art 14 F II'!N56</f>
        <v>104228.58748998513</v>
      </c>
      <c r="K56" s="172">
        <f t="shared" si="0"/>
        <v>14648911.729335101</v>
      </c>
    </row>
    <row r="57" spans="1:11" ht="14.4" thickTop="1" thickBot="1">
      <c r="A57" s="173" t="s">
        <v>52</v>
      </c>
      <c r="B57" s="174">
        <f t="shared" ref="B57:E57" si="1">SUM(B6:B56)</f>
        <v>3323015396.1785898</v>
      </c>
      <c r="C57" s="174">
        <f t="shared" si="1"/>
        <v>452716125.43331259</v>
      </c>
      <c r="D57" s="174">
        <f t="shared" si="1"/>
        <v>129111803.34040378</v>
      </c>
      <c r="E57" s="207">
        <f t="shared" si="1"/>
        <v>101192885.79103912</v>
      </c>
      <c r="F57" s="174">
        <f>SUM(F6:F56)</f>
        <v>141201007.95806631</v>
      </c>
      <c r="G57" s="174">
        <f t="shared" ref="G57:J57" si="2">SUM(G6:G56)</f>
        <v>10959799.752860121</v>
      </c>
      <c r="H57" s="174">
        <f t="shared" si="2"/>
        <v>96007307.999999985</v>
      </c>
      <c r="I57" s="174">
        <f t="shared" si="2"/>
        <v>18261026.400000006</v>
      </c>
      <c r="J57" s="174">
        <f t="shared" si="2"/>
        <v>112216861.27272725</v>
      </c>
      <c r="K57" s="175">
        <f t="shared" ref="K57" si="3">SUM(K6:K56)</f>
        <v>4384682214.1269979</v>
      </c>
    </row>
    <row r="58" spans="1:11" ht="13.8" thickTop="1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</row>
    <row r="59" spans="1:11" ht="16.5" customHeight="1">
      <c r="A59" s="164" t="s">
        <v>145</v>
      </c>
      <c r="B59" s="164"/>
      <c r="C59" s="164"/>
      <c r="D59" s="164"/>
      <c r="E59" s="164"/>
    </row>
    <row r="60" spans="1:11">
      <c r="A60" s="166"/>
    </row>
    <row r="61" spans="1:11">
      <c r="A61" s="166"/>
    </row>
    <row r="62" spans="1:11" ht="16.5" customHeight="1"/>
  </sheetData>
  <mergeCells count="4">
    <mergeCell ref="A1:K1"/>
    <mergeCell ref="A2:K2"/>
    <mergeCell ref="A3:K3"/>
    <mergeCell ref="A4:K4"/>
  </mergeCells>
  <printOptions horizontalCentered="1"/>
  <pageMargins left="0.39370078740157483" right="0.39370078740157483" top="0.47244094488188981" bottom="0.15748031496062992" header="0.15748031496062992" footer="0.15748031496062992"/>
  <pageSetup scale="75" orientation="landscape" r:id="rId1"/>
  <headerFooter alignWithMargins="0">
    <oddHeader>&amp;L&amp;"Arial,Negrita"ANEXO 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zoomScale="130" zoomScaleNormal="130" zoomScaleSheetLayoutView="100" workbookViewId="0">
      <selection activeCell="A4" sqref="A4:K4"/>
    </sheetView>
  </sheetViews>
  <sheetFormatPr baseColWidth="10" defaultColWidth="11.44140625" defaultRowHeight="13.2"/>
  <cols>
    <col min="1" max="1" width="28" style="165" customWidth="1"/>
    <col min="2" max="2" width="13.77734375" style="165" bestFit="1" customWidth="1"/>
    <col min="3" max="3" width="12.44140625" style="165" bestFit="1" customWidth="1"/>
    <col min="4" max="4" width="16.44140625" style="165" customWidth="1"/>
    <col min="5" max="6" width="12.21875" style="165" bestFit="1" customWidth="1"/>
    <col min="7" max="7" width="11.21875" style="165" bestFit="1" customWidth="1"/>
    <col min="8" max="8" width="11.44140625" style="165" bestFit="1" customWidth="1"/>
    <col min="9" max="9" width="11.77734375" style="165" bestFit="1" customWidth="1"/>
    <col min="10" max="10" width="12.21875" style="165" bestFit="1" customWidth="1"/>
    <col min="11" max="11" width="13.77734375" style="165" bestFit="1" customWidth="1"/>
    <col min="12" max="16384" width="11.44140625" style="165"/>
  </cols>
  <sheetData>
    <row r="1" spans="1:11">
      <c r="A1" s="284" t="s">
        <v>146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>
      <c r="A2" s="284" t="s">
        <v>174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>
      <c r="A3" s="284" t="s">
        <v>249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 ht="13.5" customHeight="1" thickBot="1">
      <c r="A4" s="285" t="s">
        <v>248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</row>
    <row r="5" spans="1:11" ht="14.4" thickTop="1" thickBot="1">
      <c r="A5" s="167" t="s">
        <v>0</v>
      </c>
      <c r="B5" s="168" t="s">
        <v>132</v>
      </c>
      <c r="C5" s="168" t="s">
        <v>238</v>
      </c>
      <c r="D5" s="168" t="s">
        <v>239</v>
      </c>
      <c r="E5" s="168" t="s">
        <v>134</v>
      </c>
      <c r="F5" s="168" t="s">
        <v>155</v>
      </c>
      <c r="G5" s="168" t="s">
        <v>147</v>
      </c>
      <c r="H5" s="168" t="s">
        <v>171</v>
      </c>
      <c r="I5" s="168" t="s">
        <v>172</v>
      </c>
      <c r="J5" s="168" t="s">
        <v>240</v>
      </c>
      <c r="K5" s="169" t="s">
        <v>53</v>
      </c>
    </row>
    <row r="6" spans="1:11" ht="13.8" thickTop="1">
      <c r="A6" s="170" t="s">
        <v>1</v>
      </c>
      <c r="B6" s="171">
        <v>4184116.6901509287</v>
      </c>
      <c r="C6" s="171">
        <v>570029.58747776132</v>
      </c>
      <c r="D6" s="171">
        <v>1825250.3145787788</v>
      </c>
      <c r="E6" s="171">
        <v>127415.25048818381</v>
      </c>
      <c r="F6" s="171">
        <v>177790.77923576231</v>
      </c>
      <c r="G6" s="171">
        <v>13799.840077939753</v>
      </c>
      <c r="H6" s="171">
        <v>120885.92186414724</v>
      </c>
      <c r="I6" s="171">
        <v>22993.051863905981</v>
      </c>
      <c r="J6" s="171">
        <v>57438.109406925796</v>
      </c>
      <c r="K6" s="172">
        <f>SUM(B6:J6)</f>
        <v>7099719.5451443335</v>
      </c>
    </row>
    <row r="7" spans="1:11">
      <c r="A7" s="170" t="s">
        <v>2</v>
      </c>
      <c r="B7" s="171">
        <v>8287803.7065371713</v>
      </c>
      <c r="C7" s="171">
        <v>1129101.7145657088</v>
      </c>
      <c r="D7" s="171">
        <v>1752398.6980281547</v>
      </c>
      <c r="E7" s="171">
        <v>252381.24716436671</v>
      </c>
      <c r="F7" s="171">
        <v>352163.95373876404</v>
      </c>
      <c r="G7" s="171">
        <v>27334.411117070649</v>
      </c>
      <c r="H7" s="171">
        <v>239448.09997655274</v>
      </c>
      <c r="I7" s="171">
        <v>45544.117089635998</v>
      </c>
      <c r="J7" s="171">
        <v>126964.42806111167</v>
      </c>
      <c r="K7" s="172">
        <f t="shared" ref="K7:K56" si="0">SUM(B7:J7)</f>
        <v>12213140.376278536</v>
      </c>
    </row>
    <row r="8" spans="1:11">
      <c r="A8" s="170" t="s">
        <v>3</v>
      </c>
      <c r="B8" s="171">
        <v>8515173.6558319796</v>
      </c>
      <c r="C8" s="171">
        <v>1160077.810483899</v>
      </c>
      <c r="D8" s="171">
        <v>0</v>
      </c>
      <c r="E8" s="171">
        <v>259305.14700066429</v>
      </c>
      <c r="F8" s="171">
        <v>361825.31807878136</v>
      </c>
      <c r="G8" s="171">
        <v>28084.311086813672</v>
      </c>
      <c r="H8" s="171">
        <v>246017.18692895016</v>
      </c>
      <c r="I8" s="171">
        <v>46793.587266249728</v>
      </c>
      <c r="J8" s="171">
        <v>108393.52744898811</v>
      </c>
      <c r="K8" s="172">
        <f t="shared" si="0"/>
        <v>10725670.544126324</v>
      </c>
    </row>
    <row r="9" spans="1:11">
      <c r="A9" s="170" t="s">
        <v>4</v>
      </c>
      <c r="B9" s="171">
        <v>22978136.303988773</v>
      </c>
      <c r="C9" s="171">
        <v>3130461.8237463045</v>
      </c>
      <c r="D9" s="171">
        <v>3331039.6177549502</v>
      </c>
      <c r="E9" s="171">
        <v>699733.11778290488</v>
      </c>
      <c r="F9" s="171">
        <v>976383.07969414163</v>
      </c>
      <c r="G9" s="171">
        <v>75785.316216582374</v>
      </c>
      <c r="H9" s="171">
        <v>663875.65101483651</v>
      </c>
      <c r="I9" s="171">
        <v>126272.1665839659</v>
      </c>
      <c r="J9" s="171">
        <v>769113.2445662762</v>
      </c>
      <c r="K9" s="172">
        <f t="shared" si="0"/>
        <v>32750800.321348738</v>
      </c>
    </row>
    <row r="10" spans="1:11">
      <c r="A10" s="170" t="s">
        <v>5</v>
      </c>
      <c r="B10" s="171">
        <v>30118478.463948473</v>
      </c>
      <c r="C10" s="171">
        <v>4103237.346144163</v>
      </c>
      <c r="D10" s="171">
        <v>1118122.3341891395</v>
      </c>
      <c r="E10" s="171">
        <v>917171.72293016873</v>
      </c>
      <c r="F10" s="171">
        <v>1279789.2896560235</v>
      </c>
      <c r="G10" s="171">
        <v>99335.228250512795</v>
      </c>
      <c r="H10" s="171">
        <v>870171.72477247426</v>
      </c>
      <c r="I10" s="171">
        <v>165510.61754835246</v>
      </c>
      <c r="J10" s="171">
        <v>536672.40305356751</v>
      </c>
      <c r="K10" s="172">
        <f t="shared" si="0"/>
        <v>39208489.130492873</v>
      </c>
    </row>
    <row r="11" spans="1:11">
      <c r="A11" s="170" t="s">
        <v>6</v>
      </c>
      <c r="B11" s="171">
        <v>215180878.01674205</v>
      </c>
      <c r="C11" s="171">
        <v>29315498.650541682</v>
      </c>
      <c r="D11" s="171">
        <v>6472088.9672355419</v>
      </c>
      <c r="E11" s="171">
        <v>6552715.3548634928</v>
      </c>
      <c r="F11" s="171">
        <v>9143429.4605661631</v>
      </c>
      <c r="G11" s="171">
        <v>709698.58773517027</v>
      </c>
      <c r="H11" s="171">
        <v>6216924.8012001738</v>
      </c>
      <c r="I11" s="171">
        <v>1182487.3573456886</v>
      </c>
      <c r="J11" s="171">
        <v>11639070.161676764</v>
      </c>
      <c r="K11" s="172">
        <f t="shared" si="0"/>
        <v>286412791.35790676</v>
      </c>
    </row>
    <row r="12" spans="1:11">
      <c r="A12" s="170" t="s">
        <v>7</v>
      </c>
      <c r="B12" s="171">
        <v>34284548.304837003</v>
      </c>
      <c r="C12" s="171">
        <v>4670808.2930143587</v>
      </c>
      <c r="D12" s="171">
        <v>0</v>
      </c>
      <c r="E12" s="171">
        <v>1044037.4074238094</v>
      </c>
      <c r="F12" s="171">
        <v>1456813.2260732593</v>
      </c>
      <c r="G12" s="171">
        <v>113075.54712409155</v>
      </c>
      <c r="H12" s="171">
        <v>990536.24379344168</v>
      </c>
      <c r="I12" s="171">
        <v>188404.49623924305</v>
      </c>
      <c r="J12" s="171">
        <v>598667.32017845986</v>
      </c>
      <c r="K12" s="172">
        <f t="shared" si="0"/>
        <v>43346890.838683672</v>
      </c>
    </row>
    <row r="13" spans="1:11">
      <c r="A13" s="170" t="s">
        <v>8</v>
      </c>
      <c r="B13" s="171">
        <v>5466671.7934544068</v>
      </c>
      <c r="C13" s="171">
        <v>744760.45953467628</v>
      </c>
      <c r="D13" s="171">
        <v>1600190.3969782181</v>
      </c>
      <c r="E13" s="171">
        <v>166471.78212377924</v>
      </c>
      <c r="F13" s="171">
        <v>232288.89274426113</v>
      </c>
      <c r="G13" s="171">
        <v>18029.897858363489</v>
      </c>
      <c r="H13" s="171">
        <v>157941.02045246414</v>
      </c>
      <c r="I13" s="171">
        <v>30041.10003630034</v>
      </c>
      <c r="J13" s="171">
        <v>107266.11896906199</v>
      </c>
      <c r="K13" s="172">
        <f t="shared" si="0"/>
        <v>8523661.4621515311</v>
      </c>
    </row>
    <row r="14" spans="1:11">
      <c r="A14" s="170" t="s">
        <v>9</v>
      </c>
      <c r="B14" s="171">
        <v>54339787.304971352</v>
      </c>
      <c r="C14" s="171">
        <v>7403064.69689357</v>
      </c>
      <c r="D14" s="171">
        <v>2534338.3956084657</v>
      </c>
      <c r="E14" s="171">
        <v>1654762.0878339685</v>
      </c>
      <c r="F14" s="171">
        <v>2308997.0468152221</v>
      </c>
      <c r="G14" s="171">
        <v>179220.71266650839</v>
      </c>
      <c r="H14" s="171">
        <v>1569964.6479988014</v>
      </c>
      <c r="I14" s="171">
        <v>298614.41258308478</v>
      </c>
      <c r="J14" s="171">
        <v>1920880.566121931</v>
      </c>
      <c r="K14" s="172">
        <f t="shared" si="0"/>
        <v>72209629.871492907</v>
      </c>
    </row>
    <row r="15" spans="1:11">
      <c r="A15" s="170" t="s">
        <v>10</v>
      </c>
      <c r="B15" s="171">
        <v>8686418.1535936277</v>
      </c>
      <c r="C15" s="171">
        <v>1183407.5685909693</v>
      </c>
      <c r="D15" s="171">
        <v>1629269.7795048829</v>
      </c>
      <c r="E15" s="171">
        <v>264519.90596735972</v>
      </c>
      <c r="F15" s="171">
        <v>369101.8104408643</v>
      </c>
      <c r="G15" s="171">
        <v>28649.100946779861</v>
      </c>
      <c r="H15" s="171">
        <v>250964.71838381258</v>
      </c>
      <c r="I15" s="171">
        <v>47734.630241766616</v>
      </c>
      <c r="J15" s="171">
        <v>561882.2793189052</v>
      </c>
      <c r="K15" s="172">
        <f t="shared" si="0"/>
        <v>13021947.946988968</v>
      </c>
    </row>
    <row r="16" spans="1:11">
      <c r="A16" s="170" t="s">
        <v>11</v>
      </c>
      <c r="B16" s="171">
        <v>13972615.962309357</v>
      </c>
      <c r="C16" s="171">
        <v>1903580.8765548053</v>
      </c>
      <c r="D16" s="171">
        <v>6214299.553816786</v>
      </c>
      <c r="E16" s="171">
        <v>425495.87132476165</v>
      </c>
      <c r="F16" s="171">
        <v>593722.03325937409</v>
      </c>
      <c r="G16" s="171">
        <v>46083.768720317443</v>
      </c>
      <c r="H16" s="171">
        <v>403691.55250159028</v>
      </c>
      <c r="I16" s="171">
        <v>76783.968337250961</v>
      </c>
      <c r="J16" s="171">
        <v>284071.07951588096</v>
      </c>
      <c r="K16" s="172">
        <f t="shared" si="0"/>
        <v>23920344.666340128</v>
      </c>
    </row>
    <row r="17" spans="1:11">
      <c r="A17" s="170" t="s">
        <v>12</v>
      </c>
      <c r="B17" s="171">
        <v>27587091.409403417</v>
      </c>
      <c r="C17" s="171">
        <v>3758369.9279927486</v>
      </c>
      <c r="D17" s="171">
        <v>1577616.5467497921</v>
      </c>
      <c r="E17" s="171">
        <v>840085.60270053928</v>
      </c>
      <c r="F17" s="171">
        <v>1172226.0200321553</v>
      </c>
      <c r="G17" s="171">
        <v>90986.336677714193</v>
      </c>
      <c r="H17" s="171">
        <v>797035.84429068933</v>
      </c>
      <c r="I17" s="171">
        <v>151599.84064507714</v>
      </c>
      <c r="J17" s="171">
        <v>406317.88595952105</v>
      </c>
      <c r="K17" s="172">
        <f t="shared" si="0"/>
        <v>36381329.414451651</v>
      </c>
    </row>
    <row r="18" spans="1:11">
      <c r="A18" s="170" t="s">
        <v>13</v>
      </c>
      <c r="B18" s="171">
        <v>14036575.659423538</v>
      </c>
      <c r="C18" s="171">
        <v>1912294.5247236339</v>
      </c>
      <c r="D18" s="171">
        <v>1976796.4040928064</v>
      </c>
      <c r="E18" s="171">
        <v>427443.58099692914</v>
      </c>
      <c r="F18" s="171">
        <v>596439.79718583077</v>
      </c>
      <c r="G18" s="171">
        <v>46294.717334531713</v>
      </c>
      <c r="H18" s="171">
        <v>405539.45202163496</v>
      </c>
      <c r="I18" s="171">
        <v>77135.447211107472</v>
      </c>
      <c r="J18" s="171">
        <v>715713.66835373081</v>
      </c>
      <c r="K18" s="172">
        <f t="shared" si="0"/>
        <v>20194233.251343749</v>
      </c>
    </row>
    <row r="19" spans="1:11">
      <c r="A19" s="170" t="s">
        <v>14</v>
      </c>
      <c r="B19" s="171">
        <v>76097065.798906654</v>
      </c>
      <c r="C19" s="171">
        <v>10367201.074228233</v>
      </c>
      <c r="D19" s="171">
        <v>472852.995014227</v>
      </c>
      <c r="E19" s="171">
        <v>2317317.4869448422</v>
      </c>
      <c r="F19" s="171">
        <v>3233503.6446096431</v>
      </c>
      <c r="G19" s="171">
        <v>250979.45796010891</v>
      </c>
      <c r="H19" s="171">
        <v>2198567.7352998354</v>
      </c>
      <c r="I19" s="171">
        <v>418177.57724462985</v>
      </c>
      <c r="J19" s="171">
        <v>1336728.5098137013</v>
      </c>
      <c r="K19" s="172">
        <f t="shared" si="0"/>
        <v>96692394.280021861</v>
      </c>
    </row>
    <row r="20" spans="1:11">
      <c r="A20" s="170" t="s">
        <v>15</v>
      </c>
      <c r="B20" s="171">
        <v>9676745.8822588958</v>
      </c>
      <c r="C20" s="171">
        <v>1318326.3934654053</v>
      </c>
      <c r="D20" s="171">
        <v>4795115.7932481514</v>
      </c>
      <c r="E20" s="171">
        <v>294677.491482232</v>
      </c>
      <c r="F20" s="171">
        <v>411182.6486664454</v>
      </c>
      <c r="G20" s="171">
        <v>31915.349309635458</v>
      </c>
      <c r="H20" s="171">
        <v>279576.89375732187</v>
      </c>
      <c r="I20" s="171">
        <v>53176.796058372456</v>
      </c>
      <c r="J20" s="171">
        <v>127460.52727612783</v>
      </c>
      <c r="K20" s="172">
        <f t="shared" si="0"/>
        <v>16988177.77552259</v>
      </c>
    </row>
    <row r="21" spans="1:11">
      <c r="A21" s="170" t="s">
        <v>16</v>
      </c>
      <c r="B21" s="171">
        <v>6834915.0326028243</v>
      </c>
      <c r="C21" s="171">
        <v>931165.18673886987</v>
      </c>
      <c r="D21" s="171">
        <v>3070172.1378524406</v>
      </c>
      <c r="E21" s="171">
        <v>208137.69918904064</v>
      </c>
      <c r="F21" s="171">
        <v>290428.05245431897</v>
      </c>
      <c r="G21" s="171">
        <v>22542.567870645671</v>
      </c>
      <c r="H21" s="171">
        <v>197471.78831602685</v>
      </c>
      <c r="I21" s="171">
        <v>37560.031767563771</v>
      </c>
      <c r="J21" s="171">
        <v>86615.569487501634</v>
      </c>
      <c r="K21" s="172">
        <f t="shared" si="0"/>
        <v>11679008.066279231</v>
      </c>
    </row>
    <row r="22" spans="1:11">
      <c r="A22" s="170" t="s">
        <v>17</v>
      </c>
      <c r="B22" s="171">
        <v>59943121.297484547</v>
      </c>
      <c r="C22" s="171">
        <v>8166443.5412252927</v>
      </c>
      <c r="D22" s="171">
        <v>3238311.4999087411</v>
      </c>
      <c r="E22" s="171">
        <v>1825395.5223517192</v>
      </c>
      <c r="F22" s="171">
        <v>2547092.9683677722</v>
      </c>
      <c r="G22" s="171">
        <v>197701.34279839759</v>
      </c>
      <c r="H22" s="171">
        <v>1731854.0610193529</v>
      </c>
      <c r="I22" s="171">
        <v>329406.51487133268</v>
      </c>
      <c r="J22" s="171">
        <v>1219629.6737166601</v>
      </c>
      <c r="K22" s="172">
        <f t="shared" si="0"/>
        <v>79198956.42174381</v>
      </c>
    </row>
    <row r="23" spans="1:11">
      <c r="A23" s="170" t="s">
        <v>18</v>
      </c>
      <c r="B23" s="171">
        <v>68340798.099362284</v>
      </c>
      <c r="C23" s="171">
        <v>9310513.9868071247</v>
      </c>
      <c r="D23" s="171">
        <v>4292343.8347818479</v>
      </c>
      <c r="E23" s="171">
        <v>2081122.6407896872</v>
      </c>
      <c r="F23" s="171">
        <v>2903925.6295930156</v>
      </c>
      <c r="G23" s="171">
        <v>225398.13176285656</v>
      </c>
      <c r="H23" s="171">
        <v>1974476.5731803391</v>
      </c>
      <c r="I23" s="171">
        <v>375554.41955682955</v>
      </c>
      <c r="J23" s="171">
        <v>4140176.3079067133</v>
      </c>
      <c r="K23" s="172">
        <f t="shared" si="0"/>
        <v>93644309.623740688</v>
      </c>
    </row>
    <row r="24" spans="1:11">
      <c r="A24" s="170" t="s">
        <v>19</v>
      </c>
      <c r="B24" s="171">
        <v>11521088.725652309</v>
      </c>
      <c r="C24" s="171">
        <v>1569593.2840201564</v>
      </c>
      <c r="D24" s="171">
        <v>2210933.4305775496</v>
      </c>
      <c r="E24" s="171">
        <v>350841.65319000895</v>
      </c>
      <c r="F24" s="171">
        <v>489552.15285918093</v>
      </c>
      <c r="G24" s="171">
        <v>37998.26672794867</v>
      </c>
      <c r="H24" s="171">
        <v>332862.95182952785</v>
      </c>
      <c r="I24" s="171">
        <v>63312.046528298844</v>
      </c>
      <c r="J24" s="171">
        <v>176378.31531502731</v>
      </c>
      <c r="K24" s="172">
        <f t="shared" si="0"/>
        <v>16752560.826700008</v>
      </c>
    </row>
    <row r="25" spans="1:11">
      <c r="A25" s="170" t="s">
        <v>20</v>
      </c>
      <c r="B25" s="171">
        <v>157486464.23794264</v>
      </c>
      <c r="C25" s="171">
        <v>21455411.2452171</v>
      </c>
      <c r="D25" s="171">
        <v>4659565.5171633009</v>
      </c>
      <c r="E25" s="171">
        <v>4795797.760129476</v>
      </c>
      <c r="F25" s="171">
        <v>6691888.1904745866</v>
      </c>
      <c r="G25" s="171">
        <v>519413.81729701656</v>
      </c>
      <c r="H25" s="171">
        <v>4550039.5501183029</v>
      </c>
      <c r="I25" s="171">
        <v>865438.20542805293</v>
      </c>
      <c r="J25" s="171">
        <v>7905842.2192085953</v>
      </c>
      <c r="K25" s="172">
        <f t="shared" si="0"/>
        <v>208929860.74297908</v>
      </c>
    </row>
    <row r="26" spans="1:11">
      <c r="A26" s="170" t="s">
        <v>21</v>
      </c>
      <c r="B26" s="171">
        <v>23252281.191670462</v>
      </c>
      <c r="C26" s="171">
        <v>3167810.3749474217</v>
      </c>
      <c r="D26" s="171">
        <v>1438242.9255450787</v>
      </c>
      <c r="E26" s="171">
        <v>708081.41183498944</v>
      </c>
      <c r="F26" s="171">
        <v>988031.99851446738</v>
      </c>
      <c r="G26" s="171">
        <v>76689.486885582766</v>
      </c>
      <c r="H26" s="171">
        <v>671796.14169404609</v>
      </c>
      <c r="I26" s="171">
        <v>127778.67992864571</v>
      </c>
      <c r="J26" s="171">
        <v>440726.7123087428</v>
      </c>
      <c r="K26" s="172">
        <f t="shared" si="0"/>
        <v>30871438.923329432</v>
      </c>
    </row>
    <row r="27" spans="1:11">
      <c r="A27" s="170" t="s">
        <v>22</v>
      </c>
      <c r="B27" s="171">
        <v>3729675.7447190881</v>
      </c>
      <c r="C27" s="171">
        <v>508118.12464510056</v>
      </c>
      <c r="D27" s="171">
        <v>1848381.885271823</v>
      </c>
      <c r="E27" s="171">
        <v>113576.55709176145</v>
      </c>
      <c r="F27" s="171">
        <v>158480.75160209526</v>
      </c>
      <c r="G27" s="171">
        <v>12301.026148023062</v>
      </c>
      <c r="H27" s="171">
        <v>107756.3853879317</v>
      </c>
      <c r="I27" s="171">
        <v>20495.754346174217</v>
      </c>
      <c r="J27" s="171">
        <v>34739.932219303315</v>
      </c>
      <c r="K27" s="172">
        <f t="shared" si="0"/>
        <v>6533526.1614313014</v>
      </c>
    </row>
    <row r="28" spans="1:11">
      <c r="A28" s="170" t="s">
        <v>23</v>
      </c>
      <c r="B28" s="171">
        <v>17184130.443758551</v>
      </c>
      <c r="C28" s="171">
        <v>2341106.5028010756</v>
      </c>
      <c r="D28" s="171">
        <v>0</v>
      </c>
      <c r="E28" s="171">
        <v>523293.31647481257</v>
      </c>
      <c r="F28" s="171">
        <v>730185.16374560527</v>
      </c>
      <c r="G28" s="171">
        <v>56675.821843294783</v>
      </c>
      <c r="H28" s="171">
        <v>496477.41806170309</v>
      </c>
      <c r="I28" s="171">
        <v>94432.261752754159</v>
      </c>
      <c r="J28" s="171">
        <v>268411.14914319851</v>
      </c>
      <c r="K28" s="172">
        <f t="shared" si="0"/>
        <v>21694712.077580996</v>
      </c>
    </row>
    <row r="29" spans="1:11">
      <c r="A29" s="170" t="s">
        <v>24</v>
      </c>
      <c r="B29" s="171">
        <v>16439177.443384815</v>
      </c>
      <c r="C29" s="171">
        <v>2239616.682528975</v>
      </c>
      <c r="D29" s="171">
        <v>0</v>
      </c>
      <c r="E29" s="171">
        <v>500607.91407425451</v>
      </c>
      <c r="F29" s="171">
        <v>698530.74631049484</v>
      </c>
      <c r="G29" s="171">
        <v>54218.85588948652</v>
      </c>
      <c r="H29" s="171">
        <v>474954.51688778144</v>
      </c>
      <c r="I29" s="171">
        <v>90338.508100817358</v>
      </c>
      <c r="J29" s="171">
        <v>1291534.3457387416</v>
      </c>
      <c r="K29" s="172">
        <f t="shared" si="0"/>
        <v>21788979.012915369</v>
      </c>
    </row>
    <row r="30" spans="1:11">
      <c r="A30" s="170" t="s">
        <v>25</v>
      </c>
      <c r="B30" s="171">
        <v>265066524.43780231</v>
      </c>
      <c r="C30" s="171">
        <v>36111746.597527348</v>
      </c>
      <c r="D30" s="171">
        <v>6964314.6251799446</v>
      </c>
      <c r="E30" s="171">
        <v>8071839.3808363359</v>
      </c>
      <c r="F30" s="171">
        <v>11263161.906128995</v>
      </c>
      <c r="G30" s="171">
        <v>874228.88030863088</v>
      </c>
      <c r="H30" s="171">
        <v>7658202.0901007894</v>
      </c>
      <c r="I30" s="171">
        <v>1456624.8492472293</v>
      </c>
      <c r="J30" s="171">
        <v>13132712.119627299</v>
      </c>
      <c r="K30" s="172">
        <f t="shared" si="0"/>
        <v>350599354.8867588</v>
      </c>
    </row>
    <row r="31" spans="1:11">
      <c r="A31" s="170" t="s">
        <v>26</v>
      </c>
      <c r="B31" s="171">
        <v>6935688.0775552131</v>
      </c>
      <c r="C31" s="171">
        <v>944894.15790724696</v>
      </c>
      <c r="D31" s="171">
        <v>2837001.2321548243</v>
      </c>
      <c r="E31" s="171">
        <v>211206.45284264802</v>
      </c>
      <c r="F31" s="171">
        <v>294710.08353067219</v>
      </c>
      <c r="G31" s="171">
        <v>22874.932384299318</v>
      </c>
      <c r="H31" s="171">
        <v>200383.28514698538</v>
      </c>
      <c r="I31" s="171">
        <v>38113.811697452853</v>
      </c>
      <c r="J31" s="171">
        <v>75324.844467466901</v>
      </c>
      <c r="K31" s="172">
        <f t="shared" si="0"/>
        <v>11560196.877686808</v>
      </c>
    </row>
    <row r="32" spans="1:11">
      <c r="A32" s="170" t="s">
        <v>27</v>
      </c>
      <c r="B32" s="171">
        <v>11938714.431013044</v>
      </c>
      <c r="C32" s="171">
        <v>1626489.1658366316</v>
      </c>
      <c r="D32" s="171">
        <v>1220786.4820519264</v>
      </c>
      <c r="E32" s="171">
        <v>363559.24412227998</v>
      </c>
      <c r="F32" s="171">
        <v>507297.83362914139</v>
      </c>
      <c r="G32" s="171">
        <v>39375.658511570269</v>
      </c>
      <c r="H32" s="171">
        <v>344928.83626135351</v>
      </c>
      <c r="I32" s="171">
        <v>65607.032594030723</v>
      </c>
      <c r="J32" s="171">
        <v>351472.60062100174</v>
      </c>
      <c r="K32" s="172">
        <f t="shared" si="0"/>
        <v>16458231.284640979</v>
      </c>
    </row>
    <row r="33" spans="1:11">
      <c r="A33" s="170" t="s">
        <v>28</v>
      </c>
      <c r="B33" s="171">
        <v>6806773.9831592254</v>
      </c>
      <c r="C33" s="171">
        <v>927331.34733768995</v>
      </c>
      <c r="D33" s="171">
        <v>1975673.23584104</v>
      </c>
      <c r="E33" s="171">
        <v>207280.74382737841</v>
      </c>
      <c r="F33" s="171">
        <v>289232.28819181927</v>
      </c>
      <c r="G33" s="171">
        <v>22449.754493966349</v>
      </c>
      <c r="H33" s="171">
        <v>196658.74768362427</v>
      </c>
      <c r="I33" s="171">
        <v>37405.387752943061</v>
      </c>
      <c r="J33" s="171">
        <v>96240.134433444502</v>
      </c>
      <c r="K33" s="172">
        <f t="shared" si="0"/>
        <v>10559045.622721132</v>
      </c>
    </row>
    <row r="34" spans="1:11">
      <c r="A34" s="170" t="s">
        <v>29</v>
      </c>
      <c r="B34" s="171">
        <v>9557662.3603511825</v>
      </c>
      <c r="C34" s="171">
        <v>1302102.8661052885</v>
      </c>
      <c r="D34" s="171">
        <v>2471786.1892569447</v>
      </c>
      <c r="E34" s="171">
        <v>291051.14434831979</v>
      </c>
      <c r="F34" s="171">
        <v>406122.5723161858</v>
      </c>
      <c r="G34" s="171">
        <v>31522.594111968363</v>
      </c>
      <c r="H34" s="171">
        <v>276136.3774911823</v>
      </c>
      <c r="I34" s="171">
        <v>52522.394235920139</v>
      </c>
      <c r="J34" s="171">
        <v>186249.07519400446</v>
      </c>
      <c r="K34" s="172">
        <f t="shared" si="0"/>
        <v>14575155.573410995</v>
      </c>
    </row>
    <row r="35" spans="1:11">
      <c r="A35" s="170" t="s">
        <v>30</v>
      </c>
      <c r="B35" s="171">
        <v>8926436.2421867289</v>
      </c>
      <c r="C35" s="171">
        <v>1216106.8028085278</v>
      </c>
      <c r="D35" s="171">
        <v>9013401.8492072634</v>
      </c>
      <c r="E35" s="171">
        <v>271828.96679963102</v>
      </c>
      <c r="F35" s="171">
        <v>379300.61877620989</v>
      </c>
      <c r="G35" s="171">
        <v>29440.716351773914</v>
      </c>
      <c r="H35" s="171">
        <v>257899.23047892342</v>
      </c>
      <c r="I35" s="171">
        <v>49053.605971210069</v>
      </c>
      <c r="J35" s="171">
        <v>146579.62459686486</v>
      </c>
      <c r="K35" s="172">
        <f t="shared" si="0"/>
        <v>20290047.657177132</v>
      </c>
    </row>
    <row r="36" spans="1:11">
      <c r="A36" s="170" t="s">
        <v>31</v>
      </c>
      <c r="B36" s="171">
        <v>83567787.939089149</v>
      </c>
      <c r="C36" s="171">
        <v>11384986.422363736</v>
      </c>
      <c r="D36" s="171">
        <v>0</v>
      </c>
      <c r="E36" s="171">
        <v>2544816.8643410886</v>
      </c>
      <c r="F36" s="171">
        <v>3550948.3054008372</v>
      </c>
      <c r="G36" s="171">
        <v>275619.01237492438</v>
      </c>
      <c r="H36" s="171">
        <v>2414409.022831521</v>
      </c>
      <c r="I36" s="171">
        <v>459231.5712712073</v>
      </c>
      <c r="J36" s="171">
        <v>6064885.4795100726</v>
      </c>
      <c r="K36" s="172">
        <f t="shared" si="0"/>
        <v>110262684.61718252</v>
      </c>
    </row>
    <row r="37" spans="1:11">
      <c r="A37" s="170" t="s">
        <v>32</v>
      </c>
      <c r="B37" s="171">
        <v>16285465.89025455</v>
      </c>
      <c r="C37" s="171">
        <v>2218675.5517113386</v>
      </c>
      <c r="D37" s="171">
        <v>1486807.5787080703</v>
      </c>
      <c r="E37" s="171">
        <v>495927.06883279415</v>
      </c>
      <c r="F37" s="171">
        <v>691999.26225061272</v>
      </c>
      <c r="G37" s="171">
        <v>53711.892280499553</v>
      </c>
      <c r="H37" s="171">
        <v>470513.54053104157</v>
      </c>
      <c r="I37" s="171">
        <v>89493.814236867227</v>
      </c>
      <c r="J37" s="171">
        <v>235734.17222390731</v>
      </c>
      <c r="K37" s="172">
        <f t="shared" si="0"/>
        <v>22028328.771029685</v>
      </c>
    </row>
    <row r="38" spans="1:11">
      <c r="A38" s="170" t="s">
        <v>33</v>
      </c>
      <c r="B38" s="171">
        <v>59709151.945542656</v>
      </c>
      <c r="C38" s="171">
        <v>8134568.3664392978</v>
      </c>
      <c r="D38" s="171">
        <v>1373660.1593184553</v>
      </c>
      <c r="E38" s="171">
        <v>1818270.6602036292</v>
      </c>
      <c r="F38" s="171">
        <v>2537151.1804900561</v>
      </c>
      <c r="G38" s="171">
        <v>196929.6770403228</v>
      </c>
      <c r="H38" s="171">
        <v>1725094.3068758196</v>
      </c>
      <c r="I38" s="171">
        <v>328120.77886832441</v>
      </c>
      <c r="J38" s="171">
        <v>1841526.8834058871</v>
      </c>
      <c r="K38" s="172">
        <f t="shared" si="0"/>
        <v>77664473.958184466</v>
      </c>
    </row>
    <row r="39" spans="1:11">
      <c r="A39" s="170" t="s">
        <v>34</v>
      </c>
      <c r="B39" s="171">
        <v>12648251.116470365</v>
      </c>
      <c r="C39" s="171">
        <v>1723153.9901717412</v>
      </c>
      <c r="D39" s="171">
        <v>0</v>
      </c>
      <c r="E39" s="171">
        <v>385166.14565619093</v>
      </c>
      <c r="F39" s="171">
        <v>537447.3460064464</v>
      </c>
      <c r="G39" s="171">
        <v>41715.816192029772</v>
      </c>
      <c r="H39" s="171">
        <v>365428.50270927185</v>
      </c>
      <c r="I39" s="171">
        <v>69506.162328728213</v>
      </c>
      <c r="J39" s="171">
        <v>220260.47163672087</v>
      </c>
      <c r="K39" s="172">
        <f t="shared" si="0"/>
        <v>15990929.551171491</v>
      </c>
    </row>
    <row r="40" spans="1:11">
      <c r="A40" s="170" t="s">
        <v>35</v>
      </c>
      <c r="B40" s="171">
        <v>12047507.517847905</v>
      </c>
      <c r="C40" s="171">
        <v>1641310.7597469864</v>
      </c>
      <c r="D40" s="171">
        <v>3754466.7292411728</v>
      </c>
      <c r="E40" s="171">
        <v>366872.22500037792</v>
      </c>
      <c r="F40" s="171">
        <v>511920.65105396486</v>
      </c>
      <c r="G40" s="171">
        <v>39734.474317225089</v>
      </c>
      <c r="H40" s="171">
        <v>348072.04511077947</v>
      </c>
      <c r="I40" s="171">
        <v>66204.885204933089</v>
      </c>
      <c r="J40" s="171">
        <v>141179.01955992749</v>
      </c>
      <c r="K40" s="172">
        <f t="shared" si="0"/>
        <v>18917268.307083275</v>
      </c>
    </row>
    <row r="41" spans="1:11">
      <c r="A41" s="170" t="s">
        <v>36</v>
      </c>
      <c r="B41" s="171">
        <v>12857785.42503646</v>
      </c>
      <c r="C41" s="171">
        <v>1751700.2199779004</v>
      </c>
      <c r="D41" s="171">
        <v>2035256.0794198615</v>
      </c>
      <c r="E41" s="171">
        <v>391546.91191619117</v>
      </c>
      <c r="F41" s="171">
        <v>546350.84162791132</v>
      </c>
      <c r="G41" s="171">
        <v>42406.891559276221</v>
      </c>
      <c r="H41" s="171">
        <v>371482.28902544908</v>
      </c>
      <c r="I41" s="171">
        <v>70657.619988479157</v>
      </c>
      <c r="J41" s="171">
        <v>238149.55664213185</v>
      </c>
      <c r="K41" s="172">
        <f t="shared" si="0"/>
        <v>18305335.83519366</v>
      </c>
    </row>
    <row r="42" spans="1:11">
      <c r="A42" s="170" t="s">
        <v>37</v>
      </c>
      <c r="B42" s="171">
        <v>18110747.965143237</v>
      </c>
      <c r="C42" s="171">
        <v>2467345.6692574006</v>
      </c>
      <c r="D42" s="171">
        <v>659623.96832860354</v>
      </c>
      <c r="E42" s="171">
        <v>551510.79026624467</v>
      </c>
      <c r="F42" s="171">
        <v>769558.8389610555</v>
      </c>
      <c r="G42" s="171">
        <v>59731.94444972217</v>
      </c>
      <c r="H42" s="171">
        <v>523248.90211495414</v>
      </c>
      <c r="I42" s="171">
        <v>99524.319720191226</v>
      </c>
      <c r="J42" s="171">
        <v>247612.32224604697</v>
      </c>
      <c r="K42" s="172">
        <f t="shared" si="0"/>
        <v>23488904.720487457</v>
      </c>
    </row>
    <row r="43" spans="1:11">
      <c r="A43" s="170" t="s">
        <v>38</v>
      </c>
      <c r="B43" s="171">
        <v>42489487.24617146</v>
      </c>
      <c r="C43" s="171">
        <v>5788620.7988475021</v>
      </c>
      <c r="D43" s="171">
        <v>2130821.3140084599</v>
      </c>
      <c r="E43" s="171">
        <v>1293895.2474196139</v>
      </c>
      <c r="F43" s="171">
        <v>1805456.103299771</v>
      </c>
      <c r="G43" s="171">
        <v>140136.6579105558</v>
      </c>
      <c r="H43" s="171">
        <v>1227590.246300922</v>
      </c>
      <c r="I43" s="171">
        <v>233493.24508781731</v>
      </c>
      <c r="J43" s="171">
        <v>1362850.1566248182</v>
      </c>
      <c r="K43" s="172">
        <f t="shared" si="0"/>
        <v>56472351.015670918</v>
      </c>
    </row>
    <row r="44" spans="1:11">
      <c r="A44" s="170" t="s">
        <v>39</v>
      </c>
      <c r="B44" s="171">
        <v>883077927.0391053</v>
      </c>
      <c r="C44" s="171">
        <v>120307482.78901099</v>
      </c>
      <c r="D44" s="171">
        <v>0</v>
      </c>
      <c r="E44" s="171">
        <v>26891600.897390194</v>
      </c>
      <c r="F44" s="171">
        <v>37523597.859727308</v>
      </c>
      <c r="G44" s="171">
        <v>2912522.5413071495</v>
      </c>
      <c r="H44" s="171">
        <v>25513554.534334064</v>
      </c>
      <c r="I44" s="171">
        <v>4852794.0488866512</v>
      </c>
      <c r="J44" s="171">
        <v>27212953.623516537</v>
      </c>
      <c r="K44" s="172">
        <f t="shared" si="0"/>
        <v>1128292433.3332779</v>
      </c>
    </row>
    <row r="45" spans="1:11">
      <c r="A45" s="170" t="s">
        <v>40</v>
      </c>
      <c r="B45" s="171">
        <v>4541383.9892561529</v>
      </c>
      <c r="C45" s="171">
        <v>618702.44907127135</v>
      </c>
      <c r="D45" s="171">
        <v>1764136.7247163632</v>
      </c>
      <c r="E45" s="171">
        <v>138294.80075108903</v>
      </c>
      <c r="F45" s="171">
        <v>192971.71988533321</v>
      </c>
      <c r="G45" s="171">
        <v>14978.160855212273</v>
      </c>
      <c r="H45" s="171">
        <v>131207.95406477898</v>
      </c>
      <c r="I45" s="171">
        <v>24956.349288533136</v>
      </c>
      <c r="J45" s="171">
        <v>50401.674816405255</v>
      </c>
      <c r="K45" s="172">
        <f t="shared" si="0"/>
        <v>7477033.8227051403</v>
      </c>
    </row>
    <row r="46" spans="1:11">
      <c r="A46" s="170" t="s">
        <v>41</v>
      </c>
      <c r="B46" s="171">
        <v>17289744.523137115</v>
      </c>
      <c r="C46" s="171">
        <v>2355494.9999728398</v>
      </c>
      <c r="D46" s="171">
        <v>0</v>
      </c>
      <c r="E46" s="171">
        <v>526509.49074317026</v>
      </c>
      <c r="F46" s="171">
        <v>734672.89857839921</v>
      </c>
      <c r="G46" s="171">
        <v>57024.152815295107</v>
      </c>
      <c r="H46" s="171">
        <v>499528.780295062</v>
      </c>
      <c r="I46" s="171">
        <v>95012.644704036371</v>
      </c>
      <c r="J46" s="171">
        <v>1108058.9603780482</v>
      </c>
      <c r="K46" s="172">
        <f t="shared" si="0"/>
        <v>22666046.450623963</v>
      </c>
    </row>
    <row r="47" spans="1:11">
      <c r="A47" s="170" t="s">
        <v>42</v>
      </c>
      <c r="B47" s="171">
        <v>9632137.4321193136</v>
      </c>
      <c r="C47" s="171">
        <v>1312249.0927368358</v>
      </c>
      <c r="D47" s="171">
        <v>565269.42410451337</v>
      </c>
      <c r="E47" s="171">
        <v>293319.07025021227</v>
      </c>
      <c r="F47" s="171">
        <v>409287.15319421934</v>
      </c>
      <c r="G47" s="171">
        <v>31768.224003032923</v>
      </c>
      <c r="H47" s="171">
        <v>278288.0833038378</v>
      </c>
      <c r="I47" s="171">
        <v>52931.658435617523</v>
      </c>
      <c r="J47" s="171">
        <v>136061.85660075967</v>
      </c>
      <c r="K47" s="172">
        <f t="shared" si="0"/>
        <v>12711311.994748343</v>
      </c>
    </row>
    <row r="48" spans="1:11">
      <c r="A48" s="170" t="s">
        <v>43</v>
      </c>
      <c r="B48" s="171">
        <v>10585347.84167771</v>
      </c>
      <c r="C48" s="171">
        <v>1442111.1819851343</v>
      </c>
      <c r="D48" s="171">
        <v>5322176.8469214002</v>
      </c>
      <c r="E48" s="171">
        <v>322346.352799149</v>
      </c>
      <c r="F48" s="171">
        <v>449790.80991145899</v>
      </c>
      <c r="G48" s="171">
        <v>34912.053907125592</v>
      </c>
      <c r="H48" s="171">
        <v>305827.8789641863</v>
      </c>
      <c r="I48" s="171">
        <v>58169.852784283692</v>
      </c>
      <c r="J48" s="171">
        <v>149511.75555867044</v>
      </c>
      <c r="K48" s="172">
        <f t="shared" si="0"/>
        <v>18670194.574509118</v>
      </c>
    </row>
    <row r="49" spans="1:11">
      <c r="A49" s="170" t="s">
        <v>44</v>
      </c>
      <c r="B49" s="171">
        <v>31054666.693307701</v>
      </c>
      <c r="C49" s="171">
        <v>4230780.3926003501</v>
      </c>
      <c r="D49" s="171">
        <v>1686801.62120027</v>
      </c>
      <c r="E49" s="171">
        <v>945680.64453873876</v>
      </c>
      <c r="F49" s="171">
        <v>1319569.6422526538</v>
      </c>
      <c r="G49" s="171">
        <v>102422.91647329542</v>
      </c>
      <c r="H49" s="171">
        <v>897219.72206813609</v>
      </c>
      <c r="I49" s="171">
        <v>170655.2696015187</v>
      </c>
      <c r="J49" s="171">
        <v>745843.31648639753</v>
      </c>
      <c r="K49" s="172">
        <f t="shared" si="0"/>
        <v>41153640.21852906</v>
      </c>
    </row>
    <row r="50" spans="1:11">
      <c r="A50" s="170" t="s">
        <v>45</v>
      </c>
      <c r="B50" s="171">
        <v>26833677.531699218</v>
      </c>
      <c r="C50" s="171">
        <v>3655727.4268121114</v>
      </c>
      <c r="D50" s="171">
        <v>520961.14212291571</v>
      </c>
      <c r="E50" s="171">
        <v>817142.54766925273</v>
      </c>
      <c r="F50" s="171">
        <v>1140212.0851697335</v>
      </c>
      <c r="G50" s="171">
        <v>88501.465483765569</v>
      </c>
      <c r="H50" s="171">
        <v>775268.49457039777</v>
      </c>
      <c r="I50" s="171">
        <v>147459.59178408096</v>
      </c>
      <c r="J50" s="171">
        <v>970709.15535985888</v>
      </c>
      <c r="K50" s="172">
        <f t="shared" si="0"/>
        <v>34949659.44067134</v>
      </c>
    </row>
    <row r="51" spans="1:11">
      <c r="A51" s="170" t="s">
        <v>46</v>
      </c>
      <c r="B51" s="171">
        <v>241814982.89661252</v>
      </c>
      <c r="C51" s="171">
        <v>32944036.989261478</v>
      </c>
      <c r="D51" s="171">
        <v>6740514.8410571767</v>
      </c>
      <c r="E51" s="171">
        <v>7363780.4900995605</v>
      </c>
      <c r="F51" s="171">
        <v>10275161.338991284</v>
      </c>
      <c r="G51" s="171">
        <v>797541.8328807879</v>
      </c>
      <c r="H51" s="171">
        <v>6986427.3178995419</v>
      </c>
      <c r="I51" s="171">
        <v>1328850.233941281</v>
      </c>
      <c r="J51" s="171">
        <v>8798067.7897250205</v>
      </c>
      <c r="K51" s="172">
        <f t="shared" si="0"/>
        <v>317049363.73046863</v>
      </c>
    </row>
    <row r="52" spans="1:11">
      <c r="A52" s="170" t="s">
        <v>47</v>
      </c>
      <c r="B52" s="171">
        <v>448540112.85729939</v>
      </c>
      <c r="C52" s="171">
        <v>61107553.768131003</v>
      </c>
      <c r="D52" s="171">
        <v>12841686.749994826</v>
      </c>
      <c r="E52" s="171">
        <v>13659000.336192477</v>
      </c>
      <c r="F52" s="171">
        <v>19059290.5821325</v>
      </c>
      <c r="G52" s="171">
        <v>1479352.1040251653</v>
      </c>
      <c r="H52" s="171">
        <v>12959051.834368568</v>
      </c>
      <c r="I52" s="171">
        <v>2464870.5665835785</v>
      </c>
      <c r="J52" s="171">
        <v>6809756.4055761145</v>
      </c>
      <c r="K52" s="172">
        <f t="shared" si="0"/>
        <v>578920675.20430362</v>
      </c>
    </row>
    <row r="53" spans="1:11">
      <c r="A53" s="170" t="s">
        <v>48</v>
      </c>
      <c r="B53" s="171">
        <v>125906945.91962017</v>
      </c>
      <c r="C53" s="171">
        <v>17153126.882110074</v>
      </c>
      <c r="D53" s="171">
        <v>3351927.0235335226</v>
      </c>
      <c r="E53" s="171">
        <v>3834134.2665265882</v>
      </c>
      <c r="F53" s="171">
        <v>5350016.6424940452</v>
      </c>
      <c r="G53" s="171">
        <v>415259.86197948223</v>
      </c>
      <c r="H53" s="171">
        <v>3637656.0127109019</v>
      </c>
      <c r="I53" s="171">
        <v>691898.70923431567</v>
      </c>
      <c r="J53" s="171">
        <v>5735533.7495056344</v>
      </c>
      <c r="K53" s="172">
        <f t="shared" si="0"/>
        <v>166076499.06771475</v>
      </c>
    </row>
    <row r="54" spans="1:11">
      <c r="A54" s="170" t="s">
        <v>49</v>
      </c>
      <c r="B54" s="171">
        <v>39473697.037277341</v>
      </c>
      <c r="C54" s="171">
        <v>5377759.9704876859</v>
      </c>
      <c r="D54" s="171">
        <v>3605884.1783494735</v>
      </c>
      <c r="E54" s="171">
        <v>1202058.0221381173</v>
      </c>
      <c r="F54" s="171">
        <v>1677309.6558659389</v>
      </c>
      <c r="G54" s="171">
        <v>130190.13258907545</v>
      </c>
      <c r="H54" s="171">
        <v>1140459.1725974276</v>
      </c>
      <c r="I54" s="171">
        <v>216920.51879633119</v>
      </c>
      <c r="J54" s="171">
        <v>1106686.0590417492</v>
      </c>
      <c r="K54" s="172">
        <f t="shared" si="0"/>
        <v>53930964.747143134</v>
      </c>
    </row>
    <row r="55" spans="1:11">
      <c r="A55" s="170" t="s">
        <v>50</v>
      </c>
      <c r="B55" s="171">
        <v>8063649.3563515833</v>
      </c>
      <c r="C55" s="171">
        <v>1098563.7012313036</v>
      </c>
      <c r="D55" s="171">
        <v>0</v>
      </c>
      <c r="E55" s="171">
        <v>245555.27099842485</v>
      </c>
      <c r="F55" s="171">
        <v>342639.22461557324</v>
      </c>
      <c r="G55" s="171">
        <v>26595.116684971064</v>
      </c>
      <c r="H55" s="171">
        <v>232971.91703767554</v>
      </c>
      <c r="I55" s="171">
        <v>44312.317647517812</v>
      </c>
      <c r="J55" s="171">
        <v>87529.879406194465</v>
      </c>
      <c r="K55" s="172">
        <f t="shared" si="0"/>
        <v>10141816.783973245</v>
      </c>
    </row>
    <row r="56" spans="1:11" ht="13.8" thickBot="1">
      <c r="A56" s="170" t="s">
        <v>51</v>
      </c>
      <c r="B56" s="171">
        <v>11109379.160568565</v>
      </c>
      <c r="C56" s="171">
        <v>1513503.3969739238</v>
      </c>
      <c r="D56" s="171">
        <v>731514.31778604677</v>
      </c>
      <c r="E56" s="171">
        <v>338304.22237567138</v>
      </c>
      <c r="F56" s="171">
        <v>472057.85886596626</v>
      </c>
      <c r="G56" s="171">
        <v>36640.38726360743</v>
      </c>
      <c r="H56" s="171">
        <v>320967.99437108182</v>
      </c>
      <c r="I56" s="171">
        <v>61049.571531824549</v>
      </c>
      <c r="J56" s="171">
        <v>104276.54538268555</v>
      </c>
      <c r="K56" s="172">
        <f t="shared" si="0"/>
        <v>14687693.455119373</v>
      </c>
    </row>
    <row r="57" spans="1:11" ht="14.4" thickTop="1" thickBot="1">
      <c r="A57" s="173" t="s">
        <v>52</v>
      </c>
      <c r="B57" s="174">
        <f t="shared" ref="B57:E57" si="1">SUM(B6:B56)</f>
        <v>3323015396.1785903</v>
      </c>
      <c r="C57" s="174">
        <f t="shared" si="1"/>
        <v>452716125.43331271</v>
      </c>
      <c r="D57" s="174">
        <f t="shared" si="1"/>
        <v>129111803.34040378</v>
      </c>
      <c r="E57" s="174">
        <f t="shared" si="1"/>
        <v>101192885.79103914</v>
      </c>
      <c r="F57" s="174">
        <f>SUM(F6:F56)</f>
        <v>141201007.95806634</v>
      </c>
      <c r="G57" s="174">
        <f t="shared" ref="G57:K57" si="2">SUM(G6:G56)</f>
        <v>10959799.752860121</v>
      </c>
      <c r="H57" s="174">
        <f t="shared" si="2"/>
        <v>96007308.000000015</v>
      </c>
      <c r="I57" s="174">
        <f t="shared" si="2"/>
        <v>18261026.400000002</v>
      </c>
      <c r="J57" s="174">
        <f t="shared" si="2"/>
        <v>112216861.2869091</v>
      </c>
      <c r="K57" s="175">
        <f t="shared" si="2"/>
        <v>4384682214.1411819</v>
      </c>
    </row>
    <row r="58" spans="1:11" ht="13.8" thickTop="1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</row>
    <row r="59" spans="1:11" ht="16.5" customHeight="1">
      <c r="A59" s="164" t="s">
        <v>145</v>
      </c>
      <c r="B59" s="164"/>
      <c r="C59" s="164"/>
      <c r="D59" s="164"/>
      <c r="E59" s="164"/>
    </row>
    <row r="60" spans="1:11">
      <c r="A60" s="166"/>
    </row>
    <row r="61" spans="1:11">
      <c r="A61" s="166"/>
    </row>
    <row r="62" spans="1:11" ht="16.5" customHeight="1"/>
  </sheetData>
  <mergeCells count="4">
    <mergeCell ref="A1:K1"/>
    <mergeCell ref="A2:K2"/>
    <mergeCell ref="A3:K3"/>
    <mergeCell ref="A4:K4"/>
  </mergeCells>
  <printOptions horizontalCentered="1"/>
  <pageMargins left="0.39370078740157483" right="0.39370078740157483" top="0.47244094488188981" bottom="0.15748031496062992" header="0.15748031496062992" footer="0.15748031496062992"/>
  <pageSetup scale="75" orientation="landscape" r:id="rId1"/>
  <headerFooter alignWithMargins="0">
    <oddHeader>&amp;L&amp;"Arial,Negrita"ANEXO II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zoomScaleNormal="100" workbookViewId="0">
      <selection activeCell="G3" sqref="G3:M3"/>
    </sheetView>
  </sheetViews>
  <sheetFormatPr baseColWidth="10" defaultColWidth="9.6640625" defaultRowHeight="13.2"/>
  <cols>
    <col min="1" max="1" width="28.88671875" style="14" customWidth="1"/>
    <col min="2" max="2" width="17.21875" style="14" customWidth="1"/>
    <col min="3" max="3" width="16.88671875" style="14" customWidth="1"/>
    <col min="4" max="5" width="15.6640625" style="14" customWidth="1"/>
    <col min="6" max="6" width="17.44140625" style="14" customWidth="1"/>
    <col min="7" max="7" width="12.44140625" style="14" customWidth="1"/>
    <col min="8" max="8" width="15.44140625" style="14" customWidth="1"/>
    <col min="9" max="9" width="12.5546875" style="79" customWidth="1"/>
    <col min="10" max="10" width="12.33203125" style="14" customWidth="1"/>
    <col min="11" max="11" width="15.5546875" style="14" customWidth="1"/>
    <col min="12" max="12" width="12" style="79" customWidth="1"/>
    <col min="13" max="13" width="15.77734375" style="81" customWidth="1"/>
    <col min="14" max="14" width="18" style="14" customWidth="1"/>
    <col min="15" max="15" width="16.109375" style="14" customWidth="1"/>
    <col min="16" max="16" width="14.109375" style="14" customWidth="1"/>
    <col min="17" max="17" width="15.5546875" style="14" customWidth="1"/>
    <col min="18" max="18" width="14.5546875" style="14" customWidth="1"/>
    <col min="19" max="19" width="17.44140625" style="14" customWidth="1"/>
    <col min="20" max="20" width="14.33203125" style="14" customWidth="1"/>
    <col min="21" max="21" width="15" style="14" customWidth="1"/>
    <col min="22" max="22" width="16.109375" style="14" customWidth="1"/>
    <col min="23" max="23" width="13.109375" style="14" customWidth="1"/>
    <col min="24" max="24" width="14" style="14" customWidth="1"/>
    <col min="25" max="25" width="12.88671875" style="14" customWidth="1"/>
    <col min="26" max="26" width="14.44140625" style="14" customWidth="1"/>
    <col min="27" max="27" width="14.33203125" style="14" customWidth="1"/>
    <col min="28" max="28" width="15.44140625" style="14" customWidth="1"/>
    <col min="29" max="29" width="13.5546875" style="14" customWidth="1"/>
    <col min="30" max="30" width="14.109375" style="14" customWidth="1"/>
    <col min="31" max="31" width="16.88671875" style="14" customWidth="1"/>
    <col min="32" max="32" width="14.109375" style="79" customWidth="1"/>
    <col min="33" max="33" width="18.44140625" style="14" bestFit="1" customWidth="1"/>
    <col min="34" max="34" width="16.88671875" style="14" bestFit="1" customWidth="1"/>
    <col min="35" max="35" width="13.88671875" style="79" customWidth="1"/>
    <col min="36" max="36" width="15.109375" style="79" customWidth="1"/>
    <col min="37" max="37" width="17.5546875" style="81" customWidth="1"/>
    <col min="38" max="38" width="3.6640625" style="11" customWidth="1"/>
    <col min="39" max="41" width="18.44140625" style="14" customWidth="1"/>
    <col min="42" max="42" width="20.109375" style="14" customWidth="1"/>
    <col min="43" max="43" width="16.109375" style="14" bestFit="1" customWidth="1"/>
    <col min="44" max="16384" width="9.6640625" style="14"/>
  </cols>
  <sheetData>
    <row r="1" spans="1:43" ht="33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3" ht="24.6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</row>
    <row r="3" spans="1:43" ht="18" thickBot="1">
      <c r="B3" s="287" t="s">
        <v>136</v>
      </c>
      <c r="C3" s="287"/>
      <c r="D3" s="287"/>
      <c r="E3" s="287"/>
      <c r="F3" s="287"/>
      <c r="G3" s="288" t="s">
        <v>69</v>
      </c>
      <c r="H3" s="288"/>
      <c r="I3" s="288"/>
      <c r="J3" s="288"/>
      <c r="K3" s="288"/>
      <c r="L3" s="288"/>
      <c r="M3" s="288"/>
      <c r="N3" s="288" t="s">
        <v>123</v>
      </c>
      <c r="O3" s="288"/>
      <c r="P3" s="288"/>
      <c r="Q3" s="288"/>
      <c r="R3" s="288"/>
      <c r="S3" s="288"/>
      <c r="T3" s="288" t="s">
        <v>123</v>
      </c>
      <c r="U3" s="288"/>
      <c r="V3" s="288"/>
      <c r="W3" s="288"/>
      <c r="X3" s="288"/>
      <c r="Y3" s="288"/>
      <c r="Z3" s="133"/>
      <c r="AA3" s="288" t="s">
        <v>123</v>
      </c>
      <c r="AB3" s="288"/>
      <c r="AC3" s="288"/>
      <c r="AD3" s="288"/>
      <c r="AE3" s="288"/>
      <c r="AF3" s="288"/>
      <c r="AG3" s="287" t="s">
        <v>123</v>
      </c>
      <c r="AH3" s="287"/>
      <c r="AI3" s="287"/>
      <c r="AJ3" s="287"/>
      <c r="AK3" s="287"/>
      <c r="AM3" s="287" t="s">
        <v>158</v>
      </c>
      <c r="AN3" s="287"/>
      <c r="AO3" s="287"/>
      <c r="AP3" s="287"/>
      <c r="AQ3" s="287"/>
    </row>
    <row r="4" spans="1:43" ht="66.599999999999994" thickBot="1">
      <c r="A4" s="8" t="s">
        <v>0</v>
      </c>
      <c r="B4" s="9" t="s">
        <v>221</v>
      </c>
      <c r="C4" s="8" t="s">
        <v>213</v>
      </c>
      <c r="D4" s="9" t="s">
        <v>156</v>
      </c>
      <c r="E4" s="12" t="s">
        <v>157</v>
      </c>
      <c r="F4" s="130" t="s">
        <v>113</v>
      </c>
      <c r="G4" s="8" t="s">
        <v>176</v>
      </c>
      <c r="H4" s="9" t="s">
        <v>98</v>
      </c>
      <c r="I4" s="10">
        <v>0.85</v>
      </c>
      <c r="J4" s="8" t="s">
        <v>58</v>
      </c>
      <c r="K4" s="9" t="s">
        <v>99</v>
      </c>
      <c r="L4" s="10">
        <v>0.15</v>
      </c>
      <c r="M4" s="125" t="s">
        <v>100</v>
      </c>
      <c r="N4" s="8" t="s">
        <v>84</v>
      </c>
      <c r="O4" s="8" t="s">
        <v>85</v>
      </c>
      <c r="P4" s="8" t="s">
        <v>101</v>
      </c>
      <c r="Q4" s="8" t="s">
        <v>102</v>
      </c>
      <c r="R4" s="8" t="s">
        <v>86</v>
      </c>
      <c r="S4" s="8" t="s">
        <v>109</v>
      </c>
      <c r="T4" s="8" t="s">
        <v>110</v>
      </c>
      <c r="U4" s="8" t="s">
        <v>105</v>
      </c>
      <c r="V4" s="8" t="s">
        <v>63</v>
      </c>
      <c r="W4" s="8" t="s">
        <v>95</v>
      </c>
      <c r="X4" s="8" t="s">
        <v>96</v>
      </c>
      <c r="Y4" s="8" t="s">
        <v>112</v>
      </c>
      <c r="Z4" s="8" t="s">
        <v>111</v>
      </c>
      <c r="AA4" s="8" t="s">
        <v>86</v>
      </c>
      <c r="AB4" s="8" t="s">
        <v>104</v>
      </c>
      <c r="AC4" s="8" t="s">
        <v>107</v>
      </c>
      <c r="AD4" s="8" t="s">
        <v>106</v>
      </c>
      <c r="AE4" s="8" t="s">
        <v>62</v>
      </c>
      <c r="AF4" s="10">
        <v>0.85</v>
      </c>
      <c r="AG4" s="8" t="s">
        <v>108</v>
      </c>
      <c r="AH4" s="12" t="s">
        <v>64</v>
      </c>
      <c r="AI4" s="13" t="s">
        <v>66</v>
      </c>
      <c r="AJ4" s="10">
        <v>0.15</v>
      </c>
      <c r="AK4" s="125" t="s">
        <v>103</v>
      </c>
      <c r="AM4" s="132" t="s">
        <v>126</v>
      </c>
      <c r="AN4" s="132" t="s">
        <v>124</v>
      </c>
      <c r="AO4" s="132" t="s">
        <v>125</v>
      </c>
      <c r="AP4" s="132" t="s">
        <v>166</v>
      </c>
      <c r="AQ4" s="132" t="s">
        <v>114</v>
      </c>
    </row>
    <row r="5" spans="1:43">
      <c r="A5" s="99"/>
      <c r="B5" s="100" t="s">
        <v>129</v>
      </c>
      <c r="C5" s="99" t="s">
        <v>129</v>
      </c>
      <c r="D5" s="100"/>
      <c r="E5" s="103"/>
      <c r="F5" s="106"/>
      <c r="G5" s="99"/>
      <c r="H5" s="100"/>
      <c r="I5" s="101"/>
      <c r="J5" s="102"/>
      <c r="K5" s="100"/>
      <c r="L5" s="101"/>
      <c r="M5" s="105"/>
      <c r="N5" s="102"/>
      <c r="O5" s="102"/>
      <c r="P5" s="102"/>
      <c r="Q5" s="102"/>
      <c r="R5" s="102"/>
      <c r="S5" s="102"/>
      <c r="T5" s="102"/>
      <c r="U5" s="102"/>
      <c r="V5" s="99"/>
      <c r="W5" s="102"/>
      <c r="X5" s="102"/>
      <c r="Y5" s="102"/>
      <c r="Z5" s="102"/>
      <c r="AA5" s="102"/>
      <c r="AB5" s="102"/>
      <c r="AC5" s="102"/>
      <c r="AD5" s="102"/>
      <c r="AE5" s="99"/>
      <c r="AF5" s="101"/>
      <c r="AG5" s="99"/>
      <c r="AH5" s="103"/>
      <c r="AI5" s="104"/>
      <c r="AJ5" s="101"/>
      <c r="AK5" s="105"/>
      <c r="AL5" s="114"/>
      <c r="AM5" s="107" t="s">
        <v>129</v>
      </c>
      <c r="AN5" s="107" t="s">
        <v>129</v>
      </c>
      <c r="AO5" s="107" t="s">
        <v>129</v>
      </c>
      <c r="AP5" s="107" t="s">
        <v>129</v>
      </c>
      <c r="AQ5" s="107"/>
    </row>
    <row r="6" spans="1:43" s="17" customFormat="1" ht="20.399999999999999">
      <c r="A6" s="108"/>
      <c r="B6" s="112" t="s">
        <v>222</v>
      </c>
      <c r="C6" s="94" t="s">
        <v>223</v>
      </c>
      <c r="D6" s="94" t="s">
        <v>54</v>
      </c>
      <c r="E6" s="94" t="s">
        <v>55</v>
      </c>
      <c r="F6" s="113" t="s">
        <v>77</v>
      </c>
      <c r="G6" s="108" t="s">
        <v>57</v>
      </c>
      <c r="H6" s="94" t="s">
        <v>75</v>
      </c>
      <c r="I6" s="109" t="s">
        <v>78</v>
      </c>
      <c r="J6" s="15" t="s">
        <v>68</v>
      </c>
      <c r="K6" s="94" t="s">
        <v>79</v>
      </c>
      <c r="L6" s="109" t="s">
        <v>80</v>
      </c>
      <c r="M6" s="110" t="s">
        <v>70</v>
      </c>
      <c r="N6" s="15" t="s">
        <v>87</v>
      </c>
      <c r="O6" s="15" t="s">
        <v>88</v>
      </c>
      <c r="P6" s="15" t="s">
        <v>89</v>
      </c>
      <c r="Q6" s="15" t="s">
        <v>90</v>
      </c>
      <c r="R6" s="15" t="s">
        <v>91</v>
      </c>
      <c r="S6" s="15" t="s">
        <v>92</v>
      </c>
      <c r="T6" s="15" t="s">
        <v>93</v>
      </c>
      <c r="U6" s="15" t="s">
        <v>94</v>
      </c>
      <c r="V6" s="108" t="s">
        <v>60</v>
      </c>
      <c r="W6" s="15" t="s">
        <v>87</v>
      </c>
      <c r="X6" s="15" t="s">
        <v>88</v>
      </c>
      <c r="Y6" s="15" t="s">
        <v>89</v>
      </c>
      <c r="Z6" s="15" t="s">
        <v>90</v>
      </c>
      <c r="AA6" s="15" t="s">
        <v>91</v>
      </c>
      <c r="AB6" s="15" t="s">
        <v>92</v>
      </c>
      <c r="AC6" s="15" t="s">
        <v>93</v>
      </c>
      <c r="AD6" s="15" t="s">
        <v>94</v>
      </c>
      <c r="AE6" s="94" t="s">
        <v>59</v>
      </c>
      <c r="AF6" s="109" t="s">
        <v>81</v>
      </c>
      <c r="AG6" s="94" t="s">
        <v>65</v>
      </c>
      <c r="AH6" s="94" t="s">
        <v>61</v>
      </c>
      <c r="AI6" s="109" t="s">
        <v>82</v>
      </c>
      <c r="AJ6" s="109" t="s">
        <v>83</v>
      </c>
      <c r="AK6" s="111" t="s">
        <v>67</v>
      </c>
      <c r="AL6" s="16"/>
      <c r="AM6" s="15">
        <f>+AP6*0.5</f>
        <v>3895534413.7608957</v>
      </c>
      <c r="AN6" s="15">
        <f>+AP6*0.25</f>
        <v>1947767206.8804479</v>
      </c>
      <c r="AO6" s="15">
        <f>+AP6*0.25</f>
        <v>1947767206.8804479</v>
      </c>
      <c r="AP6" s="15">
        <f>SUM('PART PEF2019'!P15)</f>
        <v>7791068827.5217915</v>
      </c>
    </row>
    <row r="7" spans="1:43" s="25" customFormat="1" ht="23.25" customHeight="1" thickBot="1">
      <c r="A7" s="18"/>
      <c r="B7" s="19"/>
      <c r="C7" s="19"/>
      <c r="D7" s="19"/>
      <c r="E7" s="19"/>
      <c r="F7" s="23"/>
      <c r="G7" s="18"/>
      <c r="H7" s="19"/>
      <c r="I7" s="20"/>
      <c r="J7" s="19"/>
      <c r="K7" s="19"/>
      <c r="L7" s="20"/>
      <c r="M7" s="21"/>
      <c r="N7" s="15"/>
      <c r="O7" s="15"/>
      <c r="P7" s="15"/>
      <c r="Q7" s="15"/>
      <c r="R7" s="15"/>
      <c r="S7" s="15"/>
      <c r="T7" s="15"/>
      <c r="U7" s="15"/>
      <c r="V7" s="18"/>
      <c r="W7" s="15"/>
      <c r="X7" s="15"/>
      <c r="Y7" s="15"/>
      <c r="Z7" s="15"/>
      <c r="AA7" s="15"/>
      <c r="AB7" s="15"/>
      <c r="AC7" s="15"/>
      <c r="AD7" s="15"/>
      <c r="AE7" s="19"/>
      <c r="AF7" s="22"/>
      <c r="AG7" s="19"/>
      <c r="AH7" s="19"/>
      <c r="AI7" s="20"/>
      <c r="AJ7" s="20"/>
      <c r="AK7" s="21"/>
      <c r="AL7" s="19"/>
      <c r="AM7" s="15" t="s">
        <v>137</v>
      </c>
      <c r="AN7" s="15" t="s">
        <v>138</v>
      </c>
      <c r="AO7" s="15" t="s">
        <v>74</v>
      </c>
      <c r="AP7" s="24" t="s">
        <v>139</v>
      </c>
      <c r="AQ7" s="24" t="s">
        <v>72</v>
      </c>
    </row>
    <row r="8" spans="1:43" ht="14.4" thickTop="1">
      <c r="A8" s="2" t="s">
        <v>1</v>
      </c>
      <c r="B8" s="29">
        <v>488739</v>
      </c>
      <c r="C8" s="29">
        <v>121403</v>
      </c>
      <c r="D8" s="38">
        <f t="shared" ref="D8:D39" si="0">+C8/B8</f>
        <v>0.24840047550942324</v>
      </c>
      <c r="E8" s="39">
        <f>+D8*C8</f>
        <v>30156.562928270509</v>
      </c>
      <c r="F8" s="126">
        <f t="shared" ref="F8:F39" si="1">+E8/E$59</f>
        <v>1.7803291101215055E-5</v>
      </c>
      <c r="G8" s="26">
        <v>2639</v>
      </c>
      <c r="H8" s="118">
        <f t="shared" ref="H8:H39" si="2">+G8/$G$59</f>
        <v>5.1547962458863201E-4</v>
      </c>
      <c r="I8" s="28">
        <f>+H8*I$4</f>
        <v>4.381576809003372E-4</v>
      </c>
      <c r="J8" s="29">
        <v>47.45</v>
      </c>
      <c r="K8" s="115">
        <f t="shared" ref="K8:K39" si="3">+J8/$J$59</f>
        <v>7.3886478603129777E-4</v>
      </c>
      <c r="L8" s="30">
        <f>+K8*L$4</f>
        <v>1.1082971790469465E-4</v>
      </c>
      <c r="M8" s="126">
        <f>+L8+I8</f>
        <v>5.4898739880503188E-4</v>
      </c>
      <c r="N8" s="31">
        <v>334</v>
      </c>
      <c r="O8" s="32">
        <v>78</v>
      </c>
      <c r="P8" s="32">
        <v>539</v>
      </c>
      <c r="Q8" s="32">
        <v>28</v>
      </c>
      <c r="R8" s="33">
        <f>+N8/N$59*0.25</f>
        <v>1.9531661173630621E-4</v>
      </c>
      <c r="S8" s="33">
        <f t="shared" ref="S8:U23" si="4">+O8/O$59*0.25</f>
        <v>2.2168411718563488E-4</v>
      </c>
      <c r="T8" s="33">
        <f t="shared" si="4"/>
        <v>4.0332477297080497E-4</v>
      </c>
      <c r="U8" s="33">
        <f t="shared" si="4"/>
        <v>1.788314641187441E-4</v>
      </c>
      <c r="V8" s="34">
        <f>SUM(R8:U8)</f>
        <v>9.9915696601149016E-4</v>
      </c>
      <c r="W8" s="35">
        <v>194.999999997044</v>
      </c>
      <c r="X8" s="35">
        <v>51</v>
      </c>
      <c r="Y8" s="35">
        <v>69</v>
      </c>
      <c r="Z8" s="35">
        <v>52</v>
      </c>
      <c r="AA8" s="36">
        <f>+W8/W$59*0.25</f>
        <v>1.5336072329640257E-4</v>
      </c>
      <c r="AB8" s="36">
        <f t="shared" ref="AB8:AD58" si="5">+X8/X$59*0.25</f>
        <v>1.7408044564594084E-4</v>
      </c>
      <c r="AC8" s="36">
        <f t="shared" si="5"/>
        <v>1.4011176451476657E-4</v>
      </c>
      <c r="AD8" s="36">
        <f t="shared" si="5"/>
        <v>9.4710767885764239E-4</v>
      </c>
      <c r="AE8" s="27">
        <f>SUM(AA8:AD8)</f>
        <v>1.4146606123147524E-3</v>
      </c>
      <c r="AF8" s="37">
        <f t="shared" ref="AF8:AF39" si="6">+AE8*AF$4</f>
        <v>1.2024615204675394E-3</v>
      </c>
      <c r="AG8" s="27">
        <f t="shared" ref="AG8:AG58" si="7">+(AE8-V8)/V8</f>
        <v>0.415854225549666</v>
      </c>
      <c r="AH8" s="27">
        <f t="shared" ref="AH8:AH58" si="8">IF(AG8&gt;0,0,AG8)</f>
        <v>0</v>
      </c>
      <c r="AI8" s="28">
        <f>+AH8/AH$59</f>
        <v>0</v>
      </c>
      <c r="AJ8" s="28">
        <f t="shared" ref="AJ8:AJ39" si="9">+AI8*AJ$4</f>
        <v>0</v>
      </c>
      <c r="AK8" s="126">
        <f t="shared" ref="AK8:AK58" si="10">+AJ8+AF8</f>
        <v>1.2024615204675394E-3</v>
      </c>
      <c r="AM8" s="40">
        <f t="shared" ref="AM8:AM39" si="11">+F8*AM$6</f>
        <v>69353.333162986368</v>
      </c>
      <c r="AN8" s="41">
        <f t="shared" ref="AN8:AN39" si="12">+M8*AN$6</f>
        <v>1069299.6523830395</v>
      </c>
      <c r="AO8" s="41">
        <f t="shared" ref="AO8:AO39" si="13">+AK8*AO$6</f>
        <v>2342115.1171022756</v>
      </c>
      <c r="AP8" s="41">
        <f>SUM(AM8:AO8)</f>
        <v>3480768.1026483015</v>
      </c>
      <c r="AQ8" s="42">
        <f>+AP8/AP$59</f>
        <v>4.4676387536875023E-4</v>
      </c>
    </row>
    <row r="9" spans="1:43" ht="13.8">
      <c r="A9" s="4" t="s">
        <v>2</v>
      </c>
      <c r="B9" s="46">
        <v>2324910</v>
      </c>
      <c r="C9" s="46">
        <v>836482</v>
      </c>
      <c r="D9" s="55">
        <f t="shared" si="0"/>
        <v>0.35979113169972171</v>
      </c>
      <c r="E9" s="56">
        <f t="shared" ref="E9:E58" si="14">+D9*C9</f>
        <v>300958.8054264466</v>
      </c>
      <c r="F9" s="127">
        <f t="shared" si="1"/>
        <v>1.7767466522048561E-4</v>
      </c>
      <c r="G9" s="43">
        <v>2439</v>
      </c>
      <c r="H9" s="119">
        <f t="shared" si="2"/>
        <v>4.7641334004231659E-4</v>
      </c>
      <c r="I9" s="45">
        <f t="shared" ref="I9:I58" si="15">+H9*I$4</f>
        <v>4.0495133903596908E-4</v>
      </c>
      <c r="J9" s="46">
        <v>978.99</v>
      </c>
      <c r="K9" s="116">
        <f t="shared" si="3"/>
        <v>1.524428317970032E-2</v>
      </c>
      <c r="L9" s="47">
        <f t="shared" ref="L9:L58" si="16">+K9*L$4</f>
        <v>2.2866424769550477E-3</v>
      </c>
      <c r="M9" s="127">
        <f t="shared" ref="M9:M58" si="17">+L9+I9</f>
        <v>2.6915938159910169E-3</v>
      </c>
      <c r="N9" s="48">
        <v>768</v>
      </c>
      <c r="O9" s="49">
        <v>191</v>
      </c>
      <c r="P9" s="49">
        <v>961</v>
      </c>
      <c r="Q9" s="49">
        <v>102</v>
      </c>
      <c r="R9" s="50">
        <f t="shared" ref="R9:U58" si="18">+N9/N$59*0.25</f>
        <v>4.4911125093857236E-4</v>
      </c>
      <c r="S9" s="50">
        <f t="shared" si="4"/>
        <v>5.4284187669815717E-4</v>
      </c>
      <c r="T9" s="50">
        <f t="shared" si="4"/>
        <v>7.1910038371974692E-4</v>
      </c>
      <c r="U9" s="50">
        <f t="shared" si="4"/>
        <v>6.514574764325678E-4</v>
      </c>
      <c r="V9" s="51">
        <f t="shared" ref="V9:V58" si="19">SUM(R9:U9)</f>
        <v>2.3625109877890441E-3</v>
      </c>
      <c r="W9" s="52">
        <v>468.99999999269994</v>
      </c>
      <c r="X9" s="52">
        <v>120</v>
      </c>
      <c r="Y9" s="52">
        <v>175</v>
      </c>
      <c r="Z9" s="52">
        <v>44</v>
      </c>
      <c r="AA9" s="53">
        <f t="shared" ref="AA9:AA58" si="20">+W9/W$59*0.25</f>
        <v>3.6885220115889019E-4</v>
      </c>
      <c r="AB9" s="53">
        <f t="shared" si="5"/>
        <v>4.0960104857868437E-4</v>
      </c>
      <c r="AC9" s="53">
        <f t="shared" si="5"/>
        <v>3.5535592449397314E-4</v>
      </c>
      <c r="AD9" s="53">
        <f t="shared" si="5"/>
        <v>8.0139880518723594E-4</v>
      </c>
      <c r="AE9" s="44">
        <f t="shared" ref="AE9:AE58" si="21">SUM(AA9:AD9)</f>
        <v>1.9352079794187835E-3</v>
      </c>
      <c r="AF9" s="54">
        <f t="shared" si="6"/>
        <v>1.644926782505966E-3</v>
      </c>
      <c r="AG9" s="44">
        <f t="shared" si="7"/>
        <v>-0.1808681570493571</v>
      </c>
      <c r="AH9" s="44">
        <f t="shared" si="8"/>
        <v>-0.1808681570493571</v>
      </c>
      <c r="AI9" s="45">
        <f t="shared" ref="AI9:AI58" si="22">+AH9/AH$59</f>
        <v>3.3703048799913031E-2</v>
      </c>
      <c r="AJ9" s="45">
        <f t="shared" si="9"/>
        <v>5.0554573199869546E-3</v>
      </c>
      <c r="AK9" s="127">
        <f t="shared" si="10"/>
        <v>6.7003841024929206E-3</v>
      </c>
      <c r="AM9" s="57">
        <f t="shared" si="11"/>
        <v>692137.7728198478</v>
      </c>
      <c r="AN9" s="58">
        <f t="shared" si="12"/>
        <v>5242598.1690295087</v>
      </c>
      <c r="AO9" s="58">
        <f t="shared" si="13"/>
        <v>13050788.428338792</v>
      </c>
      <c r="AP9" s="58">
        <f t="shared" ref="AP9:AP58" si="23">SUM(AM9:AO9)</f>
        <v>18985524.370188147</v>
      </c>
      <c r="AQ9" s="59">
        <f t="shared" ref="AQ9:AQ58" si="24">+AP9/AP$59</f>
        <v>2.4368318122312263E-3</v>
      </c>
    </row>
    <row r="10" spans="1:43" ht="13.8">
      <c r="A10" s="4" t="s">
        <v>3</v>
      </c>
      <c r="B10" s="46">
        <v>1013386</v>
      </c>
      <c r="C10" s="46">
        <v>248385</v>
      </c>
      <c r="D10" s="55">
        <f t="shared" si="0"/>
        <v>0.24510403735595321</v>
      </c>
      <c r="E10" s="56">
        <f t="shared" si="14"/>
        <v>60880.166318658441</v>
      </c>
      <c r="F10" s="127">
        <f t="shared" si="1"/>
        <v>3.5941341386931874E-5</v>
      </c>
      <c r="G10" s="43">
        <v>1292</v>
      </c>
      <c r="H10" s="119">
        <f t="shared" si="2"/>
        <v>2.5236819816919762E-4</v>
      </c>
      <c r="I10" s="45">
        <f t="shared" si="15"/>
        <v>2.1451296844381799E-4</v>
      </c>
      <c r="J10" s="46">
        <v>696.75</v>
      </c>
      <c r="K10" s="116">
        <f t="shared" si="3"/>
        <v>1.0849400203736705E-2</v>
      </c>
      <c r="L10" s="47">
        <f t="shared" si="16"/>
        <v>1.6274100305605057E-3</v>
      </c>
      <c r="M10" s="127">
        <f t="shared" si="17"/>
        <v>1.8419229990043237E-3</v>
      </c>
      <c r="N10" s="48">
        <v>363</v>
      </c>
      <c r="O10" s="49">
        <v>91</v>
      </c>
      <c r="P10" s="49">
        <v>728</v>
      </c>
      <c r="Q10" s="49">
        <v>81</v>
      </c>
      <c r="R10" s="50">
        <f t="shared" si="18"/>
        <v>2.1227523970143459E-4</v>
      </c>
      <c r="S10" s="50">
        <f t="shared" si="4"/>
        <v>2.5863147004990736E-4</v>
      </c>
      <c r="T10" s="50">
        <f t="shared" si="4"/>
        <v>5.4475034271381456E-4</v>
      </c>
      <c r="U10" s="50">
        <f t="shared" si="4"/>
        <v>5.1733387834350972E-4</v>
      </c>
      <c r="V10" s="51">
        <f t="shared" si="19"/>
        <v>1.5329909308086662E-3</v>
      </c>
      <c r="W10" s="52">
        <v>209.00000000199</v>
      </c>
      <c r="X10" s="52">
        <v>60</v>
      </c>
      <c r="Y10" s="52">
        <v>193</v>
      </c>
      <c r="Z10" s="52">
        <v>19</v>
      </c>
      <c r="AA10" s="53">
        <f t="shared" si="20"/>
        <v>1.6437123676789337E-4</v>
      </c>
      <c r="AB10" s="53">
        <f t="shared" si="5"/>
        <v>2.0480052428934218E-4</v>
      </c>
      <c r="AC10" s="53">
        <f t="shared" si="5"/>
        <v>3.9190681958478185E-4</v>
      </c>
      <c r="AD10" s="53">
        <f t="shared" si="5"/>
        <v>3.4605857496721549E-4</v>
      </c>
      <c r="AE10" s="44">
        <f t="shared" si="21"/>
        <v>1.107137155609233E-3</v>
      </c>
      <c r="AF10" s="54">
        <f t="shared" si="6"/>
        <v>9.4106658226784804E-4</v>
      </c>
      <c r="AG10" s="44">
        <f t="shared" si="7"/>
        <v>-0.27779275574369616</v>
      </c>
      <c r="AH10" s="44">
        <f t="shared" si="8"/>
        <v>-0.27779275574369616</v>
      </c>
      <c r="AI10" s="45">
        <f t="shared" si="22"/>
        <v>5.1764019470476444E-2</v>
      </c>
      <c r="AJ10" s="45">
        <f t="shared" si="9"/>
        <v>7.7646029205714661E-3</v>
      </c>
      <c r="AK10" s="127">
        <f t="shared" si="10"/>
        <v>8.7056695028393145E-3</v>
      </c>
      <c r="AM10" s="57">
        <f t="shared" si="11"/>
        <v>140010.73224952188</v>
      </c>
      <c r="AN10" s="58">
        <f t="shared" si="12"/>
        <v>3587637.2150595095</v>
      </c>
      <c r="AO10" s="58">
        <f t="shared" si="13"/>
        <v>16956617.571569629</v>
      </c>
      <c r="AP10" s="58">
        <f t="shared" si="23"/>
        <v>20684265.518878661</v>
      </c>
      <c r="AQ10" s="59">
        <f t="shared" si="24"/>
        <v>2.654868796154375E-3</v>
      </c>
    </row>
    <row r="11" spans="1:43" ht="13.5" customHeight="1">
      <c r="A11" s="4" t="s">
        <v>4</v>
      </c>
      <c r="B11" s="46">
        <v>34542045</v>
      </c>
      <c r="C11" s="46">
        <v>15242673</v>
      </c>
      <c r="D11" s="55">
        <f t="shared" si="0"/>
        <v>0.44127882411131131</v>
      </c>
      <c r="E11" s="56">
        <f t="shared" si="14"/>
        <v>6726268.8177532339</v>
      </c>
      <c r="F11" s="127">
        <f t="shared" si="1"/>
        <v>3.9709340242891581E-3</v>
      </c>
      <c r="G11" s="43">
        <v>34353</v>
      </c>
      <c r="H11" s="119">
        <f t="shared" si="2"/>
        <v>6.7102203650978689E-3</v>
      </c>
      <c r="I11" s="45">
        <f t="shared" si="15"/>
        <v>5.7036873103331887E-3</v>
      </c>
      <c r="J11" s="46">
        <v>190.52</v>
      </c>
      <c r="K11" s="116">
        <f t="shared" si="3"/>
        <v>2.9666705802883636E-3</v>
      </c>
      <c r="L11" s="47">
        <f t="shared" si="16"/>
        <v>4.4500058704325453E-4</v>
      </c>
      <c r="M11" s="127">
        <f t="shared" si="17"/>
        <v>6.148687897376443E-3</v>
      </c>
      <c r="N11" s="48">
        <v>3420</v>
      </c>
      <c r="O11" s="49">
        <v>773</v>
      </c>
      <c r="P11" s="49">
        <v>6993</v>
      </c>
      <c r="Q11" s="49">
        <v>216</v>
      </c>
      <c r="R11" s="50">
        <f t="shared" si="18"/>
        <v>1.99994853933583E-3</v>
      </c>
      <c r="S11" s="50">
        <f t="shared" si="4"/>
        <v>2.196946443390971E-3</v>
      </c>
      <c r="T11" s="50">
        <f t="shared" si="4"/>
        <v>5.2327460804913531E-3</v>
      </c>
      <c r="U11" s="50">
        <f t="shared" si="4"/>
        <v>1.3795570089160259E-3</v>
      </c>
      <c r="V11" s="51">
        <f t="shared" si="19"/>
        <v>1.080919807213418E-2</v>
      </c>
      <c r="W11" s="52">
        <v>2055.0000000045479</v>
      </c>
      <c r="X11" s="52">
        <v>629</v>
      </c>
      <c r="Y11" s="52">
        <v>1238</v>
      </c>
      <c r="Z11" s="52">
        <v>59</v>
      </c>
      <c r="AA11" s="53">
        <f t="shared" si="20"/>
        <v>1.6161860839978574E-3</v>
      </c>
      <c r="AB11" s="53">
        <f t="shared" si="5"/>
        <v>2.1469921629666037E-3</v>
      </c>
      <c r="AC11" s="53">
        <f t="shared" si="5"/>
        <v>2.5138893401345074E-3</v>
      </c>
      <c r="AD11" s="53">
        <f t="shared" si="5"/>
        <v>1.074602943319248E-3</v>
      </c>
      <c r="AE11" s="44">
        <f t="shared" si="21"/>
        <v>7.3516705304182165E-3</v>
      </c>
      <c r="AF11" s="54">
        <f t="shared" si="6"/>
        <v>6.2489199508554841E-3</v>
      </c>
      <c r="AG11" s="44">
        <f t="shared" si="7"/>
        <v>-0.31986901513345156</v>
      </c>
      <c r="AH11" s="44">
        <f t="shared" si="8"/>
        <v>-0.31986901513345156</v>
      </c>
      <c r="AI11" s="45">
        <f t="shared" si="22"/>
        <v>5.9604527422043294E-2</v>
      </c>
      <c r="AJ11" s="45">
        <f t="shared" si="9"/>
        <v>8.9406791133064944E-3</v>
      </c>
      <c r="AK11" s="127">
        <f t="shared" si="10"/>
        <v>1.5189599064161979E-2</v>
      </c>
      <c r="AM11" s="57">
        <f t="shared" si="11"/>
        <v>15468910.146392461</v>
      </c>
      <c r="AN11" s="58">
        <f t="shared" si="12"/>
        <v>11976212.651852528</v>
      </c>
      <c r="AO11" s="58">
        <f t="shared" si="13"/>
        <v>29585802.942836642</v>
      </c>
      <c r="AP11" s="58">
        <f t="shared" si="23"/>
        <v>57030925.741081633</v>
      </c>
      <c r="AQ11" s="59">
        <f t="shared" si="24"/>
        <v>7.3200387525291831E-3</v>
      </c>
    </row>
    <row r="12" spans="1:43" ht="13.8">
      <c r="A12" s="4" t="s">
        <v>5</v>
      </c>
      <c r="B12" s="46">
        <v>11838883</v>
      </c>
      <c r="C12" s="46">
        <v>2322895</v>
      </c>
      <c r="D12" s="55">
        <f t="shared" si="0"/>
        <v>0.19620896667362961</v>
      </c>
      <c r="E12" s="56">
        <f t="shared" si="14"/>
        <v>455772.82764134085</v>
      </c>
      <c r="F12" s="127">
        <f t="shared" si="1"/>
        <v>2.6907099279924678E-4</v>
      </c>
      <c r="G12" s="43">
        <v>18194</v>
      </c>
      <c r="H12" s="119">
        <f t="shared" si="2"/>
        <v>3.5538599051783142E-3</v>
      </c>
      <c r="I12" s="45">
        <f t="shared" si="15"/>
        <v>3.0207809194015669E-3</v>
      </c>
      <c r="J12" s="46">
        <v>4572.87</v>
      </c>
      <c r="K12" s="116">
        <f t="shared" si="3"/>
        <v>7.1206166788175776E-2</v>
      </c>
      <c r="L12" s="47">
        <f t="shared" si="16"/>
        <v>1.0680925018226366E-2</v>
      </c>
      <c r="M12" s="127">
        <f t="shared" si="17"/>
        <v>1.3701705937627932E-2</v>
      </c>
      <c r="N12" s="48">
        <v>3207</v>
      </c>
      <c r="O12" s="49">
        <v>706</v>
      </c>
      <c r="P12" s="49">
        <v>5696</v>
      </c>
      <c r="Q12" s="49">
        <v>1464</v>
      </c>
      <c r="R12" s="50">
        <f t="shared" si="18"/>
        <v>1.8753903408333353E-3</v>
      </c>
      <c r="S12" s="50">
        <f t="shared" si="4"/>
        <v>2.0065254709366437E-3</v>
      </c>
      <c r="T12" s="50">
        <f t="shared" si="4"/>
        <v>4.2622224616729225E-3</v>
      </c>
      <c r="U12" s="50">
        <f t="shared" si="4"/>
        <v>9.3503308382086193E-3</v>
      </c>
      <c r="V12" s="51">
        <f t="shared" si="19"/>
        <v>1.749446911165152E-2</v>
      </c>
      <c r="W12" s="52">
        <v>2802.0000000077798</v>
      </c>
      <c r="X12" s="52">
        <v>510</v>
      </c>
      <c r="Y12" s="52">
        <v>1865</v>
      </c>
      <c r="Z12" s="52">
        <v>534</v>
      </c>
      <c r="AA12" s="53">
        <f t="shared" si="20"/>
        <v>2.2036756240216781E-3</v>
      </c>
      <c r="AB12" s="53">
        <f t="shared" si="5"/>
        <v>1.7408044564594086E-3</v>
      </c>
      <c r="AC12" s="53">
        <f t="shared" si="5"/>
        <v>3.7870788524643428E-3</v>
      </c>
      <c r="AD12" s="53">
        <f t="shared" si="5"/>
        <v>9.7260673174996357E-3</v>
      </c>
      <c r="AE12" s="44">
        <f t="shared" si="21"/>
        <v>1.7457626250445064E-2</v>
      </c>
      <c r="AF12" s="54">
        <f t="shared" si="6"/>
        <v>1.4838982312878304E-2</v>
      </c>
      <c r="AG12" s="44">
        <f t="shared" si="7"/>
        <v>-2.1059719486953626E-3</v>
      </c>
      <c r="AH12" s="44">
        <f t="shared" si="8"/>
        <v>-2.1059719486953626E-3</v>
      </c>
      <c r="AI12" s="45">
        <f t="shared" si="22"/>
        <v>3.9242770267603632E-4</v>
      </c>
      <c r="AJ12" s="45">
        <f t="shared" si="9"/>
        <v>5.8864155401405446E-5</v>
      </c>
      <c r="AK12" s="127">
        <f t="shared" si="10"/>
        <v>1.4897846468279709E-2</v>
      </c>
      <c r="AM12" s="57">
        <f t="shared" si="11"/>
        <v>1048175.312194276</v>
      </c>
      <c r="AN12" s="58">
        <f t="shared" si="12"/>
        <v>26687733.503630806</v>
      </c>
      <c r="AO12" s="58">
        <f t="shared" si="13"/>
        <v>29017536.804054916</v>
      </c>
      <c r="AP12" s="58">
        <f t="shared" si="23"/>
        <v>56753445.619879998</v>
      </c>
      <c r="AQ12" s="59">
        <f t="shared" si="24"/>
        <v>7.2844235978765321E-3</v>
      </c>
    </row>
    <row r="13" spans="1:43" ht="13.8">
      <c r="A13" s="4" t="s">
        <v>6</v>
      </c>
      <c r="B13" s="46">
        <v>732483979</v>
      </c>
      <c r="C13" s="46">
        <v>263928665.28</v>
      </c>
      <c r="D13" s="55">
        <f t="shared" si="0"/>
        <v>0.36032005183283333</v>
      </c>
      <c r="E13" s="56">
        <f t="shared" si="14"/>
        <v>95098790.353860125</v>
      </c>
      <c r="F13" s="127">
        <f t="shared" si="1"/>
        <v>5.6142719316862558E-2</v>
      </c>
      <c r="G13" s="43">
        <v>597207</v>
      </c>
      <c r="H13" s="119">
        <f t="shared" si="2"/>
        <v>0.11665329297525698</v>
      </c>
      <c r="I13" s="45">
        <f t="shared" si="15"/>
        <v>9.9155299028968427E-2</v>
      </c>
      <c r="J13" s="46">
        <v>238.03</v>
      </c>
      <c r="K13" s="116">
        <f t="shared" si="3"/>
        <v>3.7064696526665922E-3</v>
      </c>
      <c r="L13" s="47">
        <f t="shared" si="16"/>
        <v>5.5597044789998883E-4</v>
      </c>
      <c r="M13" s="127">
        <f t="shared" si="17"/>
        <v>9.9711269476868411E-2</v>
      </c>
      <c r="N13" s="48">
        <v>27572</v>
      </c>
      <c r="O13" s="49">
        <v>4134</v>
      </c>
      <c r="P13" s="49">
        <v>4960</v>
      </c>
      <c r="Q13" s="49">
        <v>1244</v>
      </c>
      <c r="R13" s="50">
        <f t="shared" si="18"/>
        <v>1.6123561732914474E-2</v>
      </c>
      <c r="S13" s="50">
        <f t="shared" si="4"/>
        <v>1.1749258210838649E-2</v>
      </c>
      <c r="T13" s="50">
        <f t="shared" si="4"/>
        <v>3.711485851456758E-3</v>
      </c>
      <c r="U13" s="50">
        <f t="shared" si="4"/>
        <v>7.9452264772756302E-3</v>
      </c>
      <c r="V13" s="51">
        <f t="shared" si="19"/>
        <v>3.9529532272485512E-2</v>
      </c>
      <c r="W13" s="52">
        <v>34239.000000084088</v>
      </c>
      <c r="X13" s="52">
        <v>3826</v>
      </c>
      <c r="Y13" s="52">
        <v>1071</v>
      </c>
      <c r="Z13" s="52">
        <v>267</v>
      </c>
      <c r="AA13" s="53">
        <f t="shared" si="20"/>
        <v>2.6927783615579601E-2</v>
      </c>
      <c r="AB13" s="53">
        <f t="shared" si="5"/>
        <v>1.3059446765517053E-2</v>
      </c>
      <c r="AC13" s="53">
        <f t="shared" si="5"/>
        <v>2.1747782579031156E-3</v>
      </c>
      <c r="AD13" s="53">
        <f t="shared" si="5"/>
        <v>4.8630336587498178E-3</v>
      </c>
      <c r="AE13" s="44">
        <f t="shared" si="21"/>
        <v>4.7025042297749592E-2</v>
      </c>
      <c r="AF13" s="54">
        <f t="shared" si="6"/>
        <v>3.9971285953087153E-2</v>
      </c>
      <c r="AG13" s="44">
        <f t="shared" si="7"/>
        <v>0.18961797912497236</v>
      </c>
      <c r="AH13" s="44">
        <f t="shared" si="8"/>
        <v>0</v>
      </c>
      <c r="AI13" s="45">
        <f t="shared" si="22"/>
        <v>0</v>
      </c>
      <c r="AJ13" s="45">
        <f t="shared" si="9"/>
        <v>0</v>
      </c>
      <c r="AK13" s="127">
        <f t="shared" si="10"/>
        <v>3.9971285953087153E-2</v>
      </c>
      <c r="AM13" s="57">
        <f t="shared" si="11"/>
        <v>218705895.18095669</v>
      </c>
      <c r="AN13" s="58">
        <f t="shared" si="12"/>
        <v>194214340.84346363</v>
      </c>
      <c r="AO13" s="58">
        <f t="shared" si="13"/>
        <v>77854759.996264249</v>
      </c>
      <c r="AP13" s="58">
        <f t="shared" si="23"/>
        <v>490774996.0206846</v>
      </c>
      <c r="AQ13" s="59">
        <f t="shared" si="24"/>
        <v>6.2991998515920161E-2</v>
      </c>
    </row>
    <row r="14" spans="1:43" ht="13.8">
      <c r="A14" s="4" t="s">
        <v>7</v>
      </c>
      <c r="B14" s="46">
        <v>1419381</v>
      </c>
      <c r="C14" s="46">
        <v>282007</v>
      </c>
      <c r="D14" s="55">
        <f t="shared" si="0"/>
        <v>0.19868308790944786</v>
      </c>
      <c r="E14" s="56">
        <f t="shared" si="14"/>
        <v>56030.021572079662</v>
      </c>
      <c r="F14" s="127">
        <f t="shared" si="1"/>
        <v>3.3077999864499195E-5</v>
      </c>
      <c r="G14" s="43">
        <v>16152</v>
      </c>
      <c r="H14" s="119">
        <f t="shared" si="2"/>
        <v>3.1549931399604335E-3</v>
      </c>
      <c r="I14" s="45">
        <f t="shared" si="15"/>
        <v>2.6817441689663685E-3</v>
      </c>
      <c r="J14" s="46">
        <v>2664.8</v>
      </c>
      <c r="K14" s="116">
        <f t="shared" si="3"/>
        <v>4.149477095503061E-2</v>
      </c>
      <c r="L14" s="47">
        <f t="shared" si="16"/>
        <v>6.224215643254591E-3</v>
      </c>
      <c r="M14" s="127">
        <f t="shared" si="17"/>
        <v>8.9059598122209586E-3</v>
      </c>
      <c r="N14" s="48">
        <v>3888</v>
      </c>
      <c r="O14" s="49">
        <v>1372</v>
      </c>
      <c r="P14" s="49">
        <v>11340</v>
      </c>
      <c r="Q14" s="49">
        <v>3122</v>
      </c>
      <c r="R14" s="50">
        <f t="shared" si="18"/>
        <v>2.2736257078765226E-3</v>
      </c>
      <c r="S14" s="50">
        <f t="shared" si="4"/>
        <v>3.8993667792139876E-3</v>
      </c>
      <c r="T14" s="50">
        <f t="shared" si="4"/>
        <v>8.4855341845805725E-3</v>
      </c>
      <c r="U14" s="50">
        <f t="shared" si="4"/>
        <v>1.9939708249239966E-2</v>
      </c>
      <c r="V14" s="51">
        <f t="shared" si="19"/>
        <v>3.4598234920911047E-2</v>
      </c>
      <c r="W14" s="52">
        <v>3560.0000000065597</v>
      </c>
      <c r="X14" s="52">
        <v>1140</v>
      </c>
      <c r="Y14" s="52">
        <v>7405</v>
      </c>
      <c r="Z14" s="52">
        <v>920</v>
      </c>
      <c r="AA14" s="53">
        <f t="shared" si="20"/>
        <v>2.7998162817665408E-3</v>
      </c>
      <c r="AB14" s="53">
        <f t="shared" si="5"/>
        <v>3.8912099614975015E-3</v>
      </c>
      <c r="AC14" s="53">
        <f t="shared" si="5"/>
        <v>1.5036632119302121E-2</v>
      </c>
      <c r="AD14" s="53">
        <f t="shared" si="5"/>
        <v>1.6756520472096751E-2</v>
      </c>
      <c r="AE14" s="44">
        <f t="shared" si="21"/>
        <v>3.8484178834662916E-2</v>
      </c>
      <c r="AF14" s="54">
        <f t="shared" si="6"/>
        <v>3.2711552009463477E-2</v>
      </c>
      <c r="AG14" s="44">
        <f t="shared" si="7"/>
        <v>0.11231624742229894</v>
      </c>
      <c r="AH14" s="44">
        <f t="shared" si="8"/>
        <v>0</v>
      </c>
      <c r="AI14" s="45">
        <f t="shared" si="22"/>
        <v>0</v>
      </c>
      <c r="AJ14" s="45">
        <f t="shared" si="9"/>
        <v>0</v>
      </c>
      <c r="AK14" s="127">
        <f t="shared" si="10"/>
        <v>3.2711552009463477E-2</v>
      </c>
      <c r="AM14" s="57">
        <f t="shared" si="11"/>
        <v>128856.48681053486</v>
      </c>
      <c r="AN14" s="58">
        <f t="shared" si="12"/>
        <v>17346736.468039136</v>
      </c>
      <c r="AO14" s="58">
        <f t="shared" si="13"/>
        <v>63714488.290197179</v>
      </c>
      <c r="AP14" s="58">
        <f t="shared" si="23"/>
        <v>81190081.245046854</v>
      </c>
      <c r="AQ14" s="59">
        <f t="shared" si="24"/>
        <v>1.0420916955353356E-2</v>
      </c>
    </row>
    <row r="15" spans="1:43" ht="13.8">
      <c r="A15" s="4" t="s">
        <v>8</v>
      </c>
      <c r="B15" s="46">
        <v>2557126</v>
      </c>
      <c r="C15" s="46">
        <v>721021</v>
      </c>
      <c r="D15" s="55">
        <f t="shared" si="0"/>
        <v>0.28196537831925372</v>
      </c>
      <c r="E15" s="56">
        <f t="shared" si="14"/>
        <v>203302.95904112663</v>
      </c>
      <c r="F15" s="127">
        <f t="shared" si="1"/>
        <v>1.2002235699594548E-4</v>
      </c>
      <c r="G15" s="43">
        <v>3977</v>
      </c>
      <c r="H15" s="119">
        <f t="shared" si="2"/>
        <v>7.7683306820348224E-4</v>
      </c>
      <c r="I15" s="45">
        <f t="shared" si="15"/>
        <v>6.6030810797295986E-4</v>
      </c>
      <c r="J15" s="46">
        <v>465.62</v>
      </c>
      <c r="K15" s="116">
        <f t="shared" si="3"/>
        <v>7.2503734809671837E-3</v>
      </c>
      <c r="L15" s="47">
        <f t="shared" si="16"/>
        <v>1.0875560221450776E-3</v>
      </c>
      <c r="M15" s="127">
        <f t="shared" si="17"/>
        <v>1.7478641301180375E-3</v>
      </c>
      <c r="N15" s="48">
        <v>739</v>
      </c>
      <c r="O15" s="49">
        <v>153</v>
      </c>
      <c r="P15" s="49">
        <v>789</v>
      </c>
      <c r="Q15" s="49">
        <v>57</v>
      </c>
      <c r="R15" s="50">
        <f t="shared" si="18"/>
        <v>4.3215262297344398E-4</v>
      </c>
      <c r="S15" s="50">
        <f t="shared" si="4"/>
        <v>4.3484192217182224E-4</v>
      </c>
      <c r="T15" s="50">
        <f t="shared" si="4"/>
        <v>5.9039563241923033E-4</v>
      </c>
      <c r="U15" s="50">
        <f t="shared" si="4"/>
        <v>3.6404976624172905E-4</v>
      </c>
      <c r="V15" s="51">
        <f t="shared" si="19"/>
        <v>1.8214399438062257E-3</v>
      </c>
      <c r="W15" s="52">
        <v>518.99999999744</v>
      </c>
      <c r="X15" s="52">
        <v>104</v>
      </c>
      <c r="Y15" s="52">
        <v>89</v>
      </c>
      <c r="Z15" s="52">
        <v>41</v>
      </c>
      <c r="AA15" s="53">
        <f t="shared" si="20"/>
        <v>4.0817546354690717E-4</v>
      </c>
      <c r="AB15" s="53">
        <f t="shared" si="5"/>
        <v>3.5498757543485978E-4</v>
      </c>
      <c r="AC15" s="53">
        <f t="shared" si="5"/>
        <v>1.8072387017122063E-4</v>
      </c>
      <c r="AD15" s="53">
        <f t="shared" si="5"/>
        <v>7.4675797756083341E-4</v>
      </c>
      <c r="AE15" s="44">
        <f t="shared" si="21"/>
        <v>1.6906448867138209E-3</v>
      </c>
      <c r="AF15" s="54">
        <f t="shared" si="6"/>
        <v>1.4370481537067476E-3</v>
      </c>
      <c r="AG15" s="44">
        <f t="shared" si="7"/>
        <v>-7.1808602604313709E-2</v>
      </c>
      <c r="AH15" s="44">
        <f t="shared" si="8"/>
        <v>-7.1808602604313709E-2</v>
      </c>
      <c r="AI15" s="45">
        <f t="shared" si="22"/>
        <v>1.3380845347842557E-2</v>
      </c>
      <c r="AJ15" s="45">
        <f t="shared" si="9"/>
        <v>2.0071268021763836E-3</v>
      </c>
      <c r="AK15" s="127">
        <f t="shared" si="10"/>
        <v>3.4441749558831313E-3</v>
      </c>
      <c r="AM15" s="57">
        <f t="shared" si="11"/>
        <v>467551.22209840146</v>
      </c>
      <c r="AN15" s="58">
        <f t="shared" si="12"/>
        <v>3404432.4347265335</v>
      </c>
      <c r="AO15" s="58">
        <f t="shared" si="13"/>
        <v>6708451.033828076</v>
      </c>
      <c r="AP15" s="58">
        <f t="shared" si="23"/>
        <v>10580434.690653011</v>
      </c>
      <c r="AQ15" s="59">
        <f t="shared" si="24"/>
        <v>1.3580209499982647E-3</v>
      </c>
    </row>
    <row r="16" spans="1:43" ht="13.8">
      <c r="A16" s="4" t="s">
        <v>9</v>
      </c>
      <c r="B16" s="46">
        <v>90630328</v>
      </c>
      <c r="C16" s="46">
        <v>28310880.329999998</v>
      </c>
      <c r="D16" s="55">
        <f t="shared" si="0"/>
        <v>0.31237755566767889</v>
      </c>
      <c r="E16" s="56">
        <f t="shared" si="14"/>
        <v>8843683.5962855704</v>
      </c>
      <c r="F16" s="127">
        <f t="shared" si="1"/>
        <v>5.2209754091078068E-3</v>
      </c>
      <c r="G16" s="43">
        <v>95534</v>
      </c>
      <c r="H16" s="119">
        <f t="shared" si="2"/>
        <v>1.8660792139238488E-2</v>
      </c>
      <c r="I16" s="45">
        <f t="shared" si="15"/>
        <v>1.5861673318352715E-2</v>
      </c>
      <c r="J16" s="46">
        <v>1140.97</v>
      </c>
      <c r="K16" s="116">
        <f t="shared" si="3"/>
        <v>1.7766544887631817E-2</v>
      </c>
      <c r="L16" s="47">
        <f t="shared" si="16"/>
        <v>2.6649817331447726E-3</v>
      </c>
      <c r="M16" s="127">
        <f t="shared" si="17"/>
        <v>1.852665505149749E-2</v>
      </c>
      <c r="N16" s="48">
        <v>6662</v>
      </c>
      <c r="O16" s="49">
        <v>2055</v>
      </c>
      <c r="P16" s="49">
        <v>14558</v>
      </c>
      <c r="Q16" s="49">
        <v>683</v>
      </c>
      <c r="R16" s="50">
        <f t="shared" si="18"/>
        <v>3.895806189782251E-3</v>
      </c>
      <c r="S16" s="50">
        <f t="shared" si="4"/>
        <v>5.8405238566215344E-3</v>
      </c>
      <c r="T16" s="50">
        <f t="shared" si="4"/>
        <v>1.0893510287400703E-2</v>
      </c>
      <c r="U16" s="50">
        <f t="shared" si="4"/>
        <v>4.3622103568965081E-3</v>
      </c>
      <c r="V16" s="51">
        <f t="shared" si="19"/>
        <v>2.4992050690700995E-2</v>
      </c>
      <c r="W16" s="52">
        <v>5056.9999999440479</v>
      </c>
      <c r="X16" s="52">
        <v>1587</v>
      </c>
      <c r="Y16" s="52">
        <v>3489</v>
      </c>
      <c r="Z16" s="52">
        <v>461</v>
      </c>
      <c r="AA16" s="53">
        <f t="shared" si="20"/>
        <v>3.9771547575029919E-3</v>
      </c>
      <c r="AB16" s="53">
        <f t="shared" si="5"/>
        <v>5.4169738674531009E-3</v>
      </c>
      <c r="AC16" s="53">
        <f t="shared" si="5"/>
        <v>7.0847818317684138E-3</v>
      </c>
      <c r="AD16" s="53">
        <f t="shared" si="5"/>
        <v>8.3964738452571765E-3</v>
      </c>
      <c r="AE16" s="44">
        <f t="shared" si="21"/>
        <v>2.4875384301981683E-2</v>
      </c>
      <c r="AF16" s="54">
        <f t="shared" si="6"/>
        <v>2.114407665668443E-2</v>
      </c>
      <c r="AG16" s="44">
        <f t="shared" si="7"/>
        <v>-4.6681398882853836E-3</v>
      </c>
      <c r="AH16" s="44">
        <f t="shared" si="8"/>
        <v>-4.6681398882853836E-3</v>
      </c>
      <c r="AI16" s="45">
        <f t="shared" si="22"/>
        <v>8.6986315903450563E-4</v>
      </c>
      <c r="AJ16" s="45">
        <f t="shared" si="9"/>
        <v>1.3047947385517585E-4</v>
      </c>
      <c r="AK16" s="127">
        <f t="shared" si="10"/>
        <v>2.1274556130539607E-2</v>
      </c>
      <c r="AM16" s="57">
        <f t="shared" si="11"/>
        <v>20338489.379578833</v>
      </c>
      <c r="AN16" s="58">
        <f t="shared" si="12"/>
        <v>36085611.162492804</v>
      </c>
      <c r="AO16" s="58">
        <f t="shared" si="13"/>
        <v>41437882.772002436</v>
      </c>
      <c r="AP16" s="58">
        <f t="shared" si="23"/>
        <v>97861983.314074069</v>
      </c>
      <c r="AQ16" s="59">
        <f t="shared" si="24"/>
        <v>1.2560790500063174E-2</v>
      </c>
    </row>
    <row r="17" spans="1:43" ht="13.8">
      <c r="A17" s="4" t="s">
        <v>10</v>
      </c>
      <c r="B17" s="46">
        <v>20836701</v>
      </c>
      <c r="C17" s="46">
        <v>4203660</v>
      </c>
      <c r="D17" s="55">
        <f t="shared" si="0"/>
        <v>0.20174306863644106</v>
      </c>
      <c r="E17" s="56">
        <f t="shared" si="14"/>
        <v>848059.26790426183</v>
      </c>
      <c r="F17" s="127">
        <f t="shared" si="1"/>
        <v>5.0066203013569984E-4</v>
      </c>
      <c r="G17" s="43">
        <v>38306</v>
      </c>
      <c r="H17" s="119">
        <f t="shared" si="2"/>
        <v>7.4823654791557935E-3</v>
      </c>
      <c r="I17" s="45">
        <f t="shared" si="15"/>
        <v>6.3600106572824239E-3</v>
      </c>
      <c r="J17" s="46">
        <v>102.38</v>
      </c>
      <c r="K17" s="116">
        <f t="shared" si="3"/>
        <v>1.5942039366466652E-3</v>
      </c>
      <c r="L17" s="47">
        <f t="shared" si="16"/>
        <v>2.3913059049699976E-4</v>
      </c>
      <c r="M17" s="127">
        <f t="shared" si="17"/>
        <v>6.5991412477794239E-3</v>
      </c>
      <c r="N17" s="48">
        <v>981</v>
      </c>
      <c r="O17" s="49">
        <v>219</v>
      </c>
      <c r="P17" s="49">
        <v>1075</v>
      </c>
      <c r="Q17" s="49">
        <v>108</v>
      </c>
      <c r="R17" s="50">
        <f t="shared" si="18"/>
        <v>5.73669449441067E-4</v>
      </c>
      <c r="S17" s="50">
        <f t="shared" si="4"/>
        <v>6.2242079055966715E-4</v>
      </c>
      <c r="T17" s="50">
        <f t="shared" si="4"/>
        <v>8.0440469562822884E-4</v>
      </c>
      <c r="U17" s="50">
        <f t="shared" si="4"/>
        <v>6.8977850445801295E-4</v>
      </c>
      <c r="V17" s="51">
        <f t="shared" si="19"/>
        <v>2.6902734400869759E-3</v>
      </c>
      <c r="W17" s="52">
        <v>716.99999998365001</v>
      </c>
      <c r="X17" s="52">
        <v>253</v>
      </c>
      <c r="Y17" s="52">
        <v>273</v>
      </c>
      <c r="Z17" s="52">
        <v>153</v>
      </c>
      <c r="AA17" s="53">
        <f t="shared" si="20"/>
        <v>5.6389558257784655E-4</v>
      </c>
      <c r="AB17" s="53">
        <f t="shared" si="5"/>
        <v>8.6357554408672619E-4</v>
      </c>
      <c r="AC17" s="53">
        <f t="shared" si="5"/>
        <v>5.5435524221059812E-4</v>
      </c>
      <c r="AD17" s="53">
        <f t="shared" si="5"/>
        <v>2.786682208946525E-3</v>
      </c>
      <c r="AE17" s="44">
        <f t="shared" si="21"/>
        <v>4.7685085778216962E-3</v>
      </c>
      <c r="AF17" s="54">
        <f t="shared" si="6"/>
        <v>4.0532322911484417E-3</v>
      </c>
      <c r="AG17" s="44">
        <f t="shared" si="7"/>
        <v>0.77249959307762084</v>
      </c>
      <c r="AH17" s="44">
        <f t="shared" si="8"/>
        <v>0</v>
      </c>
      <c r="AI17" s="45">
        <f t="shared" si="22"/>
        <v>0</v>
      </c>
      <c r="AJ17" s="45">
        <f t="shared" si="9"/>
        <v>0</v>
      </c>
      <c r="AK17" s="127">
        <f t="shared" si="10"/>
        <v>4.0532322911484417E-3</v>
      </c>
      <c r="AM17" s="57">
        <f t="shared" si="11"/>
        <v>1950346.1680570133</v>
      </c>
      <c r="AN17" s="58">
        <f t="shared" si="12"/>
        <v>12853590.915996881</v>
      </c>
      <c r="AO17" s="58">
        <f t="shared" si="13"/>
        <v>7894752.9385678386</v>
      </c>
      <c r="AP17" s="58">
        <f t="shared" si="23"/>
        <v>22698690.022621732</v>
      </c>
      <c r="AQ17" s="59">
        <f t="shared" si="24"/>
        <v>2.9134243997998152E-3</v>
      </c>
    </row>
    <row r="18" spans="1:43" ht="13.8">
      <c r="A18" s="4" t="s">
        <v>11</v>
      </c>
      <c r="B18" s="46">
        <v>3698336</v>
      </c>
      <c r="C18" s="46">
        <v>3866062</v>
      </c>
      <c r="D18" s="55">
        <f t="shared" si="0"/>
        <v>1.0453517473804435</v>
      </c>
      <c r="E18" s="56">
        <f t="shared" si="14"/>
        <v>4041394.6671811319</v>
      </c>
      <c r="F18" s="127">
        <f t="shared" si="1"/>
        <v>2.3858861464372523E-3</v>
      </c>
      <c r="G18" s="43">
        <v>7757</v>
      </c>
      <c r="H18" s="119">
        <f t="shared" si="2"/>
        <v>1.5151858461288437E-3</v>
      </c>
      <c r="I18" s="45">
        <f t="shared" si="15"/>
        <v>1.2879079692095171E-3</v>
      </c>
      <c r="J18" s="46">
        <v>1006.89</v>
      </c>
      <c r="K18" s="116">
        <f t="shared" si="3"/>
        <v>1.5678726331023254E-2</v>
      </c>
      <c r="L18" s="47">
        <f t="shared" si="16"/>
        <v>2.3518089496534882E-3</v>
      </c>
      <c r="M18" s="127">
        <f t="shared" si="17"/>
        <v>3.6397169188630051E-3</v>
      </c>
      <c r="N18" s="48">
        <v>1343</v>
      </c>
      <c r="O18" s="49">
        <v>344</v>
      </c>
      <c r="P18" s="49">
        <v>1532</v>
      </c>
      <c r="Q18" s="49">
        <v>359</v>
      </c>
      <c r="R18" s="50">
        <f t="shared" si="18"/>
        <v>7.85359908867842E-4</v>
      </c>
      <c r="S18" s="50">
        <f t="shared" si="4"/>
        <v>9.7768379886997952E-4</v>
      </c>
      <c r="T18" s="50">
        <f t="shared" si="4"/>
        <v>1.1463702266999503E-3</v>
      </c>
      <c r="U18" s="50">
        <f t="shared" si="4"/>
        <v>2.2928748435224688E-3</v>
      </c>
      <c r="V18" s="51">
        <f t="shared" si="19"/>
        <v>5.2022887779602407E-3</v>
      </c>
      <c r="W18" s="52">
        <v>655.00000000354908</v>
      </c>
      <c r="X18" s="52">
        <v>319</v>
      </c>
      <c r="Y18" s="52">
        <v>345</v>
      </c>
      <c r="Z18" s="52">
        <v>110</v>
      </c>
      <c r="AA18" s="53">
        <f t="shared" si="20"/>
        <v>5.1513473723697805E-4</v>
      </c>
      <c r="AB18" s="53">
        <f t="shared" si="5"/>
        <v>1.0888561208050025E-3</v>
      </c>
      <c r="AC18" s="53">
        <f t="shared" si="5"/>
        <v>7.0055882257383283E-4</v>
      </c>
      <c r="AD18" s="53">
        <f t="shared" si="5"/>
        <v>2.0034970129680896E-3</v>
      </c>
      <c r="AE18" s="44">
        <f t="shared" si="21"/>
        <v>4.3080466935839033E-3</v>
      </c>
      <c r="AF18" s="54">
        <f t="shared" si="6"/>
        <v>3.6618396895463177E-3</v>
      </c>
      <c r="AG18" s="44">
        <f t="shared" si="7"/>
        <v>-0.17189397254624528</v>
      </c>
      <c r="AH18" s="44">
        <f t="shared" si="8"/>
        <v>-0.17189397254624528</v>
      </c>
      <c r="AI18" s="45">
        <f t="shared" si="22"/>
        <v>3.2030795468082691E-2</v>
      </c>
      <c r="AJ18" s="45">
        <f t="shared" si="9"/>
        <v>4.8046193202124039E-3</v>
      </c>
      <c r="AK18" s="127">
        <f t="shared" si="10"/>
        <v>8.4664590097587207E-3</v>
      </c>
      <c r="AM18" s="57">
        <f t="shared" si="11"/>
        <v>9294301.5907616839</v>
      </c>
      <c r="AN18" s="58">
        <f t="shared" si="12"/>
        <v>7089321.2568893051</v>
      </c>
      <c r="AO18" s="58">
        <f t="shared" si="13"/>
        <v>16490691.217605546</v>
      </c>
      <c r="AP18" s="58">
        <f t="shared" si="23"/>
        <v>32874314.065256536</v>
      </c>
      <c r="AQ18" s="59">
        <f t="shared" si="24"/>
        <v>4.219487055374057E-3</v>
      </c>
    </row>
    <row r="19" spans="1:43" ht="13.8">
      <c r="A19" s="4" t="s">
        <v>12</v>
      </c>
      <c r="B19" s="46">
        <v>4117036</v>
      </c>
      <c r="C19" s="46">
        <v>1407462</v>
      </c>
      <c r="D19" s="55">
        <f t="shared" si="0"/>
        <v>0.34186293245917693</v>
      </c>
      <c r="E19" s="56">
        <f t="shared" si="14"/>
        <v>481159.08664485806</v>
      </c>
      <c r="F19" s="127">
        <f t="shared" si="1"/>
        <v>2.8405807737136708E-4</v>
      </c>
      <c r="G19" s="43">
        <v>10835</v>
      </c>
      <c r="H19" s="119">
        <f t="shared" si="2"/>
        <v>2.1164159652966382E-3</v>
      </c>
      <c r="I19" s="45">
        <f t="shared" si="15"/>
        <v>1.7989535705021423E-3</v>
      </c>
      <c r="J19" s="46">
        <v>4292.05</v>
      </c>
      <c r="K19" s="116">
        <f t="shared" si="3"/>
        <v>6.6833395255756198E-2</v>
      </c>
      <c r="L19" s="47">
        <f t="shared" si="16"/>
        <v>1.002500928836343E-2</v>
      </c>
      <c r="M19" s="127">
        <f t="shared" si="17"/>
        <v>1.1823962858865573E-2</v>
      </c>
      <c r="N19" s="48">
        <v>2046</v>
      </c>
      <c r="O19" s="49">
        <v>494</v>
      </c>
      <c r="P19" s="49">
        <v>4758</v>
      </c>
      <c r="Q19" s="49">
        <v>898</v>
      </c>
      <c r="R19" s="50">
        <f t="shared" si="18"/>
        <v>1.1964604419535403E-3</v>
      </c>
      <c r="S19" s="50">
        <f t="shared" si="4"/>
        <v>1.4039994088423542E-3</v>
      </c>
      <c r="T19" s="50">
        <f t="shared" si="4"/>
        <v>3.5603325970224304E-3</v>
      </c>
      <c r="U19" s="50">
        <f t="shared" si="4"/>
        <v>5.7353805278082927E-3</v>
      </c>
      <c r="V19" s="51">
        <f t="shared" si="19"/>
        <v>1.1896172975626618E-2</v>
      </c>
      <c r="W19" s="52">
        <v>787.99999998764804</v>
      </c>
      <c r="X19" s="52">
        <v>378</v>
      </c>
      <c r="Y19" s="52">
        <v>1925</v>
      </c>
      <c r="Z19" s="52">
        <v>123</v>
      </c>
      <c r="AA19" s="53">
        <f t="shared" si="20"/>
        <v>6.1973461516668131E-4</v>
      </c>
      <c r="AB19" s="53">
        <f t="shared" si="5"/>
        <v>1.2902433030228557E-3</v>
      </c>
      <c r="AC19" s="53">
        <f t="shared" si="5"/>
        <v>3.9089151694337047E-3</v>
      </c>
      <c r="AD19" s="53">
        <f t="shared" si="5"/>
        <v>2.2402739326825003E-3</v>
      </c>
      <c r="AE19" s="44">
        <f t="shared" si="21"/>
        <v>8.0591670203057422E-3</v>
      </c>
      <c r="AF19" s="54">
        <f t="shared" si="6"/>
        <v>6.8502919672598804E-3</v>
      </c>
      <c r="AG19" s="44">
        <f t="shared" si="7"/>
        <v>-0.32254120406472697</v>
      </c>
      <c r="AH19" s="44">
        <f t="shared" si="8"/>
        <v>-0.32254120406472697</v>
      </c>
      <c r="AI19" s="45">
        <f t="shared" si="22"/>
        <v>6.0102464236475396E-2</v>
      </c>
      <c r="AJ19" s="45">
        <f t="shared" si="9"/>
        <v>9.0153696354713098E-3</v>
      </c>
      <c r="AK19" s="127">
        <f t="shared" si="10"/>
        <v>1.5865661602731191E-2</v>
      </c>
      <c r="AM19" s="57">
        <f t="shared" si="11"/>
        <v>1106558.0159069155</v>
      </c>
      <c r="AN19" s="58">
        <f t="shared" si="12"/>
        <v>23030327.111870751</v>
      </c>
      <c r="AO19" s="58">
        <f t="shared" si="13"/>
        <v>30902615.385262102</v>
      </c>
      <c r="AP19" s="58">
        <f t="shared" si="23"/>
        <v>55039500.513039768</v>
      </c>
      <c r="AQ19" s="59">
        <f t="shared" si="24"/>
        <v>7.0644351540848725E-3</v>
      </c>
    </row>
    <row r="20" spans="1:43" ht="13.8">
      <c r="A20" s="4" t="s">
        <v>13</v>
      </c>
      <c r="B20" s="46">
        <v>39602103</v>
      </c>
      <c r="C20" s="46">
        <v>12855566</v>
      </c>
      <c r="D20" s="55">
        <f t="shared" si="0"/>
        <v>0.3246182658532048</v>
      </c>
      <c r="E20" s="56">
        <f t="shared" si="14"/>
        <v>4173151.5414814209</v>
      </c>
      <c r="F20" s="127">
        <f t="shared" si="1"/>
        <v>2.46367040830203E-3</v>
      </c>
      <c r="G20" s="43">
        <v>42715</v>
      </c>
      <c r="H20" s="119">
        <f t="shared" si="2"/>
        <v>8.3435817219793176E-3</v>
      </c>
      <c r="I20" s="45">
        <f t="shared" si="15"/>
        <v>7.0920444636824193E-3</v>
      </c>
      <c r="J20" s="46">
        <v>146.56</v>
      </c>
      <c r="K20" s="116">
        <f t="shared" si="3"/>
        <v>2.2821501167702212E-3</v>
      </c>
      <c r="L20" s="47">
        <f t="shared" si="16"/>
        <v>3.4232251751553319E-4</v>
      </c>
      <c r="M20" s="127">
        <f t="shared" si="17"/>
        <v>7.4343669811979523E-3</v>
      </c>
      <c r="N20" s="48">
        <v>1162</v>
      </c>
      <c r="O20" s="49">
        <v>349</v>
      </c>
      <c r="P20" s="49">
        <v>489</v>
      </c>
      <c r="Q20" s="49">
        <v>43</v>
      </c>
      <c r="R20" s="50">
        <f t="shared" si="18"/>
        <v>6.7951467915445456E-4</v>
      </c>
      <c r="S20" s="50">
        <f t="shared" si="4"/>
        <v>9.9189431920239184E-4</v>
      </c>
      <c r="T20" s="50">
        <f t="shared" si="4"/>
        <v>3.6591060108111993E-4</v>
      </c>
      <c r="U20" s="50">
        <f t="shared" si="4"/>
        <v>2.7463403418235698E-4</v>
      </c>
      <c r="V20" s="51">
        <f t="shared" si="19"/>
        <v>2.3119536336203231E-3</v>
      </c>
      <c r="W20" s="52">
        <v>2032.9999999577099</v>
      </c>
      <c r="X20" s="52">
        <v>358</v>
      </c>
      <c r="Y20" s="52">
        <v>131</v>
      </c>
      <c r="Z20" s="52">
        <v>31</v>
      </c>
      <c r="AA20" s="53">
        <f t="shared" si="20"/>
        <v>1.5988838485119338E-3</v>
      </c>
      <c r="AB20" s="53">
        <f t="shared" si="5"/>
        <v>1.221976461593075E-3</v>
      </c>
      <c r="AC20" s="53">
        <f t="shared" si="5"/>
        <v>2.6600929204977422E-4</v>
      </c>
      <c r="AD20" s="53">
        <f t="shared" si="5"/>
        <v>5.6462188547282534E-4</v>
      </c>
      <c r="AE20" s="44">
        <f t="shared" si="21"/>
        <v>3.6514914876276086E-3</v>
      </c>
      <c r="AF20" s="54">
        <f t="shared" si="6"/>
        <v>3.1037677644834673E-3</v>
      </c>
      <c r="AG20" s="44">
        <f t="shared" si="7"/>
        <v>0.57939650455259473</v>
      </c>
      <c r="AH20" s="44">
        <f t="shared" si="8"/>
        <v>0</v>
      </c>
      <c r="AI20" s="45">
        <f t="shared" si="22"/>
        <v>0</v>
      </c>
      <c r="AJ20" s="45">
        <f t="shared" si="9"/>
        <v>0</v>
      </c>
      <c r="AK20" s="127">
        <f t="shared" si="10"/>
        <v>3.1037677644834673E-3</v>
      </c>
      <c r="AM20" s="57">
        <f t="shared" si="11"/>
        <v>9597312.8597049154</v>
      </c>
      <c r="AN20" s="58">
        <f t="shared" si="12"/>
        <v>14480416.209892163</v>
      </c>
      <c r="AO20" s="58">
        <f t="shared" si="13"/>
        <v>6045417.0694335345</v>
      </c>
      <c r="AP20" s="58">
        <f t="shared" si="23"/>
        <v>30123146.139030613</v>
      </c>
      <c r="AQ20" s="59">
        <f t="shared" si="24"/>
        <v>3.8663688905713691E-3</v>
      </c>
    </row>
    <row r="21" spans="1:43" ht="13.8">
      <c r="A21" s="4" t="s">
        <v>14</v>
      </c>
      <c r="B21" s="46">
        <v>5850772</v>
      </c>
      <c r="C21" s="46">
        <v>602897</v>
      </c>
      <c r="D21" s="55">
        <f t="shared" si="0"/>
        <v>0.10304571772750673</v>
      </c>
      <c r="E21" s="56">
        <f t="shared" si="14"/>
        <v>62125.954080760624</v>
      </c>
      <c r="F21" s="127">
        <f t="shared" si="1"/>
        <v>3.6676807236663852E-5</v>
      </c>
      <c r="G21" s="43">
        <v>34110</v>
      </c>
      <c r="H21" s="119">
        <f t="shared" si="2"/>
        <v>6.6627548293740953E-3</v>
      </c>
      <c r="I21" s="45">
        <f t="shared" si="15"/>
        <v>5.6633416049679808E-3</v>
      </c>
      <c r="J21" s="46">
        <v>5091.18</v>
      </c>
      <c r="K21" s="116">
        <f t="shared" si="3"/>
        <v>7.9276999396139566E-2</v>
      </c>
      <c r="L21" s="47">
        <f t="shared" si="16"/>
        <v>1.1891549909420934E-2</v>
      </c>
      <c r="M21" s="127">
        <f t="shared" si="17"/>
        <v>1.7554891514388916E-2</v>
      </c>
      <c r="N21" s="48">
        <v>7369</v>
      </c>
      <c r="O21" s="49">
        <v>3474</v>
      </c>
      <c r="P21" s="49">
        <v>27910</v>
      </c>
      <c r="Q21" s="49">
        <v>2988</v>
      </c>
      <c r="R21" s="50">
        <f t="shared" si="18"/>
        <v>4.3092458439665882E-3</v>
      </c>
      <c r="S21" s="50">
        <f t="shared" si="4"/>
        <v>9.8734695269601987E-3</v>
      </c>
      <c r="T21" s="50">
        <f t="shared" si="4"/>
        <v>2.08845907488222E-2</v>
      </c>
      <c r="U21" s="50">
        <f t="shared" si="4"/>
        <v>1.9083871956671692E-2</v>
      </c>
      <c r="V21" s="51">
        <f t="shared" si="19"/>
        <v>5.4151178076420683E-2</v>
      </c>
      <c r="W21" s="52">
        <v>7387.0000000238397</v>
      </c>
      <c r="X21" s="52">
        <v>3170</v>
      </c>
      <c r="Y21" s="52">
        <v>23798</v>
      </c>
      <c r="Z21" s="52">
        <v>1385</v>
      </c>
      <c r="AA21" s="53">
        <f t="shared" si="20"/>
        <v>5.8096187846736159E-3</v>
      </c>
      <c r="AB21" s="53">
        <f t="shared" si="5"/>
        <v>1.0820294366620246E-2</v>
      </c>
      <c r="AC21" s="53">
        <f t="shared" si="5"/>
        <v>4.8324344520614702E-2</v>
      </c>
      <c r="AD21" s="53">
        <f t="shared" si="5"/>
        <v>2.522584875418913E-2</v>
      </c>
      <c r="AE21" s="44">
        <f t="shared" si="21"/>
        <v>9.0180106426097695E-2</v>
      </c>
      <c r="AF21" s="54">
        <f t="shared" si="6"/>
        <v>7.6653090462183035E-2</v>
      </c>
      <c r="AG21" s="44">
        <f t="shared" si="7"/>
        <v>0.66533969582030694</v>
      </c>
      <c r="AH21" s="44">
        <f t="shared" si="8"/>
        <v>0</v>
      </c>
      <c r="AI21" s="45">
        <f t="shared" si="22"/>
        <v>0</v>
      </c>
      <c r="AJ21" s="45">
        <f t="shared" si="9"/>
        <v>0</v>
      </c>
      <c r="AK21" s="127">
        <f t="shared" si="10"/>
        <v>7.6653090462183035E-2</v>
      </c>
      <c r="AM21" s="57">
        <f t="shared" si="11"/>
        <v>142875.7647772987</v>
      </c>
      <c r="AN21" s="58">
        <f t="shared" si="12"/>
        <v>34192842.012070574</v>
      </c>
      <c r="AO21" s="58">
        <f t="shared" si="13"/>
        <v>149302375.90828055</v>
      </c>
      <c r="AP21" s="58">
        <f t="shared" si="23"/>
        <v>183638093.68512842</v>
      </c>
      <c r="AQ21" s="59">
        <f t="shared" si="24"/>
        <v>2.3570333897761312E-2</v>
      </c>
    </row>
    <row r="22" spans="1:43" ht="13.8">
      <c r="A22" s="4" t="s">
        <v>15</v>
      </c>
      <c r="B22" s="46">
        <v>1363300</v>
      </c>
      <c r="C22" s="46">
        <v>363371</v>
      </c>
      <c r="D22" s="55">
        <f t="shared" si="0"/>
        <v>0.26653781266045623</v>
      </c>
      <c r="E22" s="56">
        <f t="shared" si="14"/>
        <v>96852.111524242646</v>
      </c>
      <c r="F22" s="127">
        <f t="shared" si="1"/>
        <v>5.7177813643244839E-5</v>
      </c>
      <c r="G22" s="43">
        <v>1632</v>
      </c>
      <c r="H22" s="119">
        <f t="shared" si="2"/>
        <v>3.1878088189793386E-4</v>
      </c>
      <c r="I22" s="45">
        <f t="shared" si="15"/>
        <v>2.7096374961324375E-4</v>
      </c>
      <c r="J22" s="46">
        <v>720.74</v>
      </c>
      <c r="K22" s="116">
        <f t="shared" si="3"/>
        <v>1.1222959028117967E-2</v>
      </c>
      <c r="L22" s="47">
        <f t="shared" si="16"/>
        <v>1.683443854217695E-3</v>
      </c>
      <c r="M22" s="127">
        <f t="shared" si="17"/>
        <v>1.9544076038309388E-3</v>
      </c>
      <c r="N22" s="48">
        <v>381</v>
      </c>
      <c r="O22" s="49">
        <v>111</v>
      </c>
      <c r="P22" s="49">
        <v>881</v>
      </c>
      <c r="Q22" s="49">
        <v>100</v>
      </c>
      <c r="R22" s="50">
        <f t="shared" si="18"/>
        <v>2.2280128464530736E-4</v>
      </c>
      <c r="S22" s="50">
        <f t="shared" si="4"/>
        <v>3.1547355137955733E-4</v>
      </c>
      <c r="T22" s="50">
        <f t="shared" si="4"/>
        <v>6.5923770869625079E-4</v>
      </c>
      <c r="U22" s="50">
        <f t="shared" si="4"/>
        <v>6.3868380042408609E-4</v>
      </c>
      <c r="V22" s="51">
        <f t="shared" si="19"/>
        <v>1.8361963451452015E-3</v>
      </c>
      <c r="W22" s="52">
        <v>157.99999999728001</v>
      </c>
      <c r="X22" s="52">
        <v>83</v>
      </c>
      <c r="Y22" s="52">
        <v>189</v>
      </c>
      <c r="Z22" s="52">
        <v>25</v>
      </c>
      <c r="AA22" s="53">
        <f t="shared" si="20"/>
        <v>1.2426150913221427E-4</v>
      </c>
      <c r="AB22" s="53">
        <f t="shared" si="5"/>
        <v>2.8330739193359002E-4</v>
      </c>
      <c r="AC22" s="53">
        <f t="shared" si="5"/>
        <v>3.8378439845349104E-4</v>
      </c>
      <c r="AD22" s="53">
        <f t="shared" si="5"/>
        <v>4.5534023022002039E-4</v>
      </c>
      <c r="AE22" s="44">
        <f t="shared" si="21"/>
        <v>1.2466935297393157E-3</v>
      </c>
      <c r="AF22" s="54">
        <f t="shared" si="6"/>
        <v>1.0596895002784182E-3</v>
      </c>
      <c r="AG22" s="44">
        <f t="shared" si="7"/>
        <v>-0.32104563162022282</v>
      </c>
      <c r="AH22" s="44">
        <f t="shared" si="8"/>
        <v>-0.32104563162022282</v>
      </c>
      <c r="AI22" s="45">
        <f t="shared" si="22"/>
        <v>5.982377863529921E-2</v>
      </c>
      <c r="AJ22" s="45">
        <f t="shared" si="9"/>
        <v>8.9735667952948808E-3</v>
      </c>
      <c r="AK22" s="127">
        <f t="shared" si="10"/>
        <v>1.0033256295573299E-2</v>
      </c>
      <c r="AM22" s="57">
        <f t="shared" si="11"/>
        <v>222738.14075086752</v>
      </c>
      <c r="AN22" s="58">
        <f t="shared" si="12"/>
        <v>3806731.0396196968</v>
      </c>
      <c r="AO22" s="58">
        <f t="shared" si="13"/>
        <v>19542447.590744473</v>
      </c>
      <c r="AP22" s="58">
        <f t="shared" si="23"/>
        <v>23571916.771115039</v>
      </c>
      <c r="AQ22" s="59">
        <f t="shared" si="24"/>
        <v>3.0255048816726811E-3</v>
      </c>
    </row>
    <row r="23" spans="1:43" ht="13.8">
      <c r="A23" s="4" t="s">
        <v>16</v>
      </c>
      <c r="B23" s="46">
        <v>1906532</v>
      </c>
      <c r="C23" s="46">
        <v>531178</v>
      </c>
      <c r="D23" s="55">
        <f t="shared" si="0"/>
        <v>0.27860953815619144</v>
      </c>
      <c r="E23" s="56">
        <f t="shared" si="14"/>
        <v>147991.25725872946</v>
      </c>
      <c r="F23" s="127">
        <f t="shared" si="1"/>
        <v>8.7368425893854628E-5</v>
      </c>
      <c r="G23" s="43">
        <v>2861</v>
      </c>
      <c r="H23" s="119">
        <f t="shared" si="2"/>
        <v>5.588432004350421E-4</v>
      </c>
      <c r="I23" s="45">
        <f t="shared" si="15"/>
        <v>4.7501672036978578E-4</v>
      </c>
      <c r="J23" s="46">
        <v>615.78</v>
      </c>
      <c r="K23" s="116">
        <f t="shared" si="3"/>
        <v>9.5885807785532663E-3</v>
      </c>
      <c r="L23" s="47">
        <f t="shared" si="16"/>
        <v>1.4382871167829899E-3</v>
      </c>
      <c r="M23" s="127">
        <f t="shared" si="17"/>
        <v>1.9133038371527756E-3</v>
      </c>
      <c r="N23" s="48">
        <v>519</v>
      </c>
      <c r="O23" s="49">
        <v>176</v>
      </c>
      <c r="P23" s="49">
        <v>1034</v>
      </c>
      <c r="Q23" s="49">
        <v>145</v>
      </c>
      <c r="R23" s="50">
        <f t="shared" si="18"/>
        <v>3.0350096254833211E-4</v>
      </c>
      <c r="S23" s="50">
        <f t="shared" si="4"/>
        <v>5.0021031570091968E-4</v>
      </c>
      <c r="T23" s="50">
        <f t="shared" si="4"/>
        <v>7.7372507467868713E-4</v>
      </c>
      <c r="U23" s="50">
        <f t="shared" si="4"/>
        <v>9.2609151061492478E-4</v>
      </c>
      <c r="V23" s="51">
        <f t="shared" si="19"/>
        <v>2.5035278635428637E-3</v>
      </c>
      <c r="W23" s="52">
        <v>277.00000000287605</v>
      </c>
      <c r="X23" s="52">
        <v>136</v>
      </c>
      <c r="Y23" s="52">
        <v>317</v>
      </c>
      <c r="Z23" s="52">
        <v>84</v>
      </c>
      <c r="AA23" s="53">
        <f t="shared" si="20"/>
        <v>2.1785087361122336E-4</v>
      </c>
      <c r="AB23" s="53">
        <f t="shared" si="5"/>
        <v>4.6421452172250896E-4</v>
      </c>
      <c r="AC23" s="53">
        <f t="shared" si="5"/>
        <v>6.4370187465479715E-4</v>
      </c>
      <c r="AD23" s="53">
        <f t="shared" si="5"/>
        <v>1.5299431735392686E-3</v>
      </c>
      <c r="AE23" s="44">
        <f t="shared" si="21"/>
        <v>2.8557104435277978E-3</v>
      </c>
      <c r="AF23" s="54">
        <f t="shared" si="6"/>
        <v>2.4273538769986279E-3</v>
      </c>
      <c r="AG23" s="44">
        <f t="shared" si="7"/>
        <v>0.14067451979006276</v>
      </c>
      <c r="AH23" s="44">
        <f t="shared" si="8"/>
        <v>0</v>
      </c>
      <c r="AI23" s="45">
        <f t="shared" si="22"/>
        <v>0</v>
      </c>
      <c r="AJ23" s="45">
        <f t="shared" si="9"/>
        <v>0</v>
      </c>
      <c r="AK23" s="127">
        <f t="shared" si="10"/>
        <v>2.4273538769986279E-3</v>
      </c>
      <c r="AM23" s="57">
        <f t="shared" si="11"/>
        <v>340346.70974562922</v>
      </c>
      <c r="AN23" s="58">
        <f t="shared" si="12"/>
        <v>3726670.4708047048</v>
      </c>
      <c r="AO23" s="58">
        <f t="shared" si="13"/>
        <v>4727920.2811120441</v>
      </c>
      <c r="AP23" s="58">
        <f t="shared" si="23"/>
        <v>8794937.4616623782</v>
      </c>
      <c r="AQ23" s="59">
        <f t="shared" si="24"/>
        <v>1.1288486414847778E-3</v>
      </c>
    </row>
    <row r="24" spans="1:43" ht="13.8">
      <c r="A24" s="4" t="s">
        <v>17</v>
      </c>
      <c r="B24" s="46">
        <v>9322136</v>
      </c>
      <c r="C24" s="46">
        <v>1058773</v>
      </c>
      <c r="D24" s="55">
        <f t="shared" si="0"/>
        <v>0.11357622330332877</v>
      </c>
      <c r="E24" s="56">
        <f t="shared" si="14"/>
        <v>120251.4386755353</v>
      </c>
      <c r="F24" s="127">
        <f t="shared" si="1"/>
        <v>7.0991889001829466E-5</v>
      </c>
      <c r="G24" s="43">
        <v>41130</v>
      </c>
      <c r="H24" s="119">
        <f t="shared" si="2"/>
        <v>8.0339814169497672E-3</v>
      </c>
      <c r="I24" s="45">
        <f t="shared" si="15"/>
        <v>6.8288842044073022E-3</v>
      </c>
      <c r="J24" s="46">
        <v>7010.79</v>
      </c>
      <c r="K24" s="116">
        <f t="shared" si="3"/>
        <v>0.1091680896366778</v>
      </c>
      <c r="L24" s="47">
        <f t="shared" si="16"/>
        <v>1.637521344550167E-2</v>
      </c>
      <c r="M24" s="127">
        <f t="shared" si="17"/>
        <v>2.3204097649908974E-2</v>
      </c>
      <c r="N24" s="48">
        <v>6824</v>
      </c>
      <c r="O24" s="49">
        <v>2866</v>
      </c>
      <c r="P24" s="49">
        <v>26645</v>
      </c>
      <c r="Q24" s="49">
        <v>2369</v>
      </c>
      <c r="R24" s="50">
        <f t="shared" si="18"/>
        <v>3.9905405942771066E-3</v>
      </c>
      <c r="S24" s="50">
        <f t="shared" si="18"/>
        <v>8.1454702545388398E-3</v>
      </c>
      <c r="T24" s="50">
        <f t="shared" si="18"/>
        <v>1.9938012200013171E-2</v>
      </c>
      <c r="U24" s="50">
        <f t="shared" si="18"/>
        <v>1.5130419232046598E-2</v>
      </c>
      <c r="V24" s="51">
        <f t="shared" si="19"/>
        <v>4.7204442280875711E-2</v>
      </c>
      <c r="W24" s="52">
        <v>7532.9999999958</v>
      </c>
      <c r="X24" s="52">
        <v>2466</v>
      </c>
      <c r="Y24" s="52">
        <v>13627</v>
      </c>
      <c r="Z24" s="52">
        <v>715</v>
      </c>
      <c r="AA24" s="53">
        <f t="shared" si="20"/>
        <v>5.9244427108136877E-3</v>
      </c>
      <c r="AB24" s="53">
        <f t="shared" si="5"/>
        <v>8.4173015482919642E-3</v>
      </c>
      <c r="AC24" s="53">
        <f t="shared" si="5"/>
        <v>2.7671058189024985E-2</v>
      </c>
      <c r="AD24" s="53">
        <f t="shared" si="5"/>
        <v>1.3022730584292583E-2</v>
      </c>
      <c r="AE24" s="44">
        <f t="shared" si="21"/>
        <v>5.5035533032423221E-2</v>
      </c>
      <c r="AF24" s="54">
        <f t="shared" si="6"/>
        <v>4.6780203077559736E-2</v>
      </c>
      <c r="AG24" s="44">
        <f t="shared" si="7"/>
        <v>0.16589732603874402</v>
      </c>
      <c r="AH24" s="44">
        <f t="shared" si="8"/>
        <v>0</v>
      </c>
      <c r="AI24" s="45">
        <f t="shared" si="22"/>
        <v>0</v>
      </c>
      <c r="AJ24" s="45">
        <f t="shared" si="9"/>
        <v>0</v>
      </c>
      <c r="AK24" s="127">
        <f t="shared" si="10"/>
        <v>4.6780203077559736E-2</v>
      </c>
      <c r="AM24" s="57">
        <f t="shared" si="11"/>
        <v>276551.34670452034</v>
      </c>
      <c r="AN24" s="58">
        <f t="shared" si="12"/>
        <v>45196180.467744365</v>
      </c>
      <c r="AO24" s="58">
        <f t="shared" si="13"/>
        <v>91116945.485678658</v>
      </c>
      <c r="AP24" s="58">
        <f t="shared" si="23"/>
        <v>136589677.30012754</v>
      </c>
      <c r="AQ24" s="59">
        <f t="shared" si="24"/>
        <v>1.7531571126368085E-2</v>
      </c>
    </row>
    <row r="25" spans="1:43" ht="13.8">
      <c r="A25" s="4" t="s">
        <v>18</v>
      </c>
      <c r="B25" s="46">
        <v>365298177</v>
      </c>
      <c r="C25" s="46">
        <v>84817135</v>
      </c>
      <c r="D25" s="55">
        <f t="shared" si="0"/>
        <v>0.23218603415039762</v>
      </c>
      <c r="E25" s="56">
        <f t="shared" si="14"/>
        <v>19693354.203648884</v>
      </c>
      <c r="F25" s="127">
        <f t="shared" si="1"/>
        <v>1.1626209474894083E-2</v>
      </c>
      <c r="G25" s="43">
        <v>247370</v>
      </c>
      <c r="H25" s="119">
        <f t="shared" si="2"/>
        <v>4.8319134041110233E-2</v>
      </c>
      <c r="I25" s="45">
        <f t="shared" si="15"/>
        <v>4.1071263934943696E-2</v>
      </c>
      <c r="J25" s="46">
        <v>1040.01</v>
      </c>
      <c r="K25" s="116">
        <f t="shared" si="3"/>
        <v>1.6194452394529189E-2</v>
      </c>
      <c r="L25" s="47">
        <f t="shared" si="16"/>
        <v>2.4291678591793781E-3</v>
      </c>
      <c r="M25" s="127">
        <f t="shared" si="17"/>
        <v>4.3500431794123072E-2</v>
      </c>
      <c r="N25" s="48">
        <v>3671</v>
      </c>
      <c r="O25" s="49">
        <v>1263</v>
      </c>
      <c r="P25" s="49">
        <v>9334</v>
      </c>
      <c r="Q25" s="49">
        <v>932</v>
      </c>
      <c r="R25" s="50">
        <f t="shared" si="18"/>
        <v>2.1467283882753894E-3</v>
      </c>
      <c r="S25" s="50">
        <f t="shared" si="18"/>
        <v>3.5895774359673955E-3</v>
      </c>
      <c r="T25" s="50">
        <f t="shared" si="18"/>
        <v>6.9844776083664078E-3</v>
      </c>
      <c r="U25" s="50">
        <f t="shared" si="18"/>
        <v>5.9525330199524818E-3</v>
      </c>
      <c r="V25" s="51">
        <f t="shared" si="19"/>
        <v>1.8673316452561674E-2</v>
      </c>
      <c r="W25" s="52">
        <v>8688.9999999445354</v>
      </c>
      <c r="X25" s="52">
        <v>1809</v>
      </c>
      <c r="Y25" s="52">
        <v>2369</v>
      </c>
      <c r="Z25" s="52">
        <v>783</v>
      </c>
      <c r="AA25" s="53">
        <f t="shared" si="20"/>
        <v>6.8335965370981333E-3</v>
      </c>
      <c r="AB25" s="53">
        <f t="shared" si="5"/>
        <v>6.1747358073236669E-3</v>
      </c>
      <c r="AC25" s="53">
        <f t="shared" si="5"/>
        <v>4.8105039150069849E-3</v>
      </c>
      <c r="AD25" s="53">
        <f t="shared" si="5"/>
        <v>1.4261256010491039E-2</v>
      </c>
      <c r="AE25" s="44">
        <f t="shared" si="21"/>
        <v>3.2080092269919827E-2</v>
      </c>
      <c r="AF25" s="54">
        <f t="shared" si="6"/>
        <v>2.7268078429431852E-2</v>
      </c>
      <c r="AG25" s="44">
        <f t="shared" si="7"/>
        <v>0.71796436650217865</v>
      </c>
      <c r="AH25" s="44">
        <f t="shared" si="8"/>
        <v>0</v>
      </c>
      <c r="AI25" s="45">
        <f t="shared" si="22"/>
        <v>0</v>
      </c>
      <c r="AJ25" s="45">
        <f t="shared" si="9"/>
        <v>0</v>
      </c>
      <c r="AK25" s="127">
        <f t="shared" si="10"/>
        <v>2.7268078429431852E-2</v>
      </c>
      <c r="AM25" s="57">
        <f t="shared" si="11"/>
        <v>45290299.111042894</v>
      </c>
      <c r="AN25" s="58">
        <f t="shared" si="12"/>
        <v>84728714.533732519</v>
      </c>
      <c r="AO25" s="58">
        <f t="shared" si="13"/>
        <v>53111868.959491469</v>
      </c>
      <c r="AP25" s="58">
        <f t="shared" si="23"/>
        <v>183130882.60426688</v>
      </c>
      <c r="AQ25" s="59">
        <f t="shared" si="24"/>
        <v>2.3505232293335766E-2</v>
      </c>
    </row>
    <row r="26" spans="1:43" ht="13.8">
      <c r="A26" s="4" t="s">
        <v>19</v>
      </c>
      <c r="B26" s="46">
        <v>4487790</v>
      </c>
      <c r="C26" s="46">
        <v>1347671</v>
      </c>
      <c r="D26" s="55">
        <f t="shared" si="0"/>
        <v>0.30029725098545162</v>
      </c>
      <c r="E26" s="56">
        <f t="shared" si="14"/>
        <v>404701.8965328146</v>
      </c>
      <c r="F26" s="127">
        <f t="shared" si="1"/>
        <v>2.3892065187684585E-4</v>
      </c>
      <c r="G26" s="43">
        <v>5479</v>
      </c>
      <c r="H26" s="119">
        <f t="shared" si="2"/>
        <v>1.0702208651463111E-3</v>
      </c>
      <c r="I26" s="45">
        <f t="shared" si="15"/>
        <v>9.0968773537436444E-4</v>
      </c>
      <c r="J26" s="46">
        <v>1894.8</v>
      </c>
      <c r="K26" s="116">
        <f t="shared" si="3"/>
        <v>2.9504762836082252E-2</v>
      </c>
      <c r="L26" s="47">
        <f t="shared" si="16"/>
        <v>4.425714425412338E-3</v>
      </c>
      <c r="M26" s="127">
        <f t="shared" si="17"/>
        <v>5.3354021607867029E-3</v>
      </c>
      <c r="N26" s="48">
        <v>814</v>
      </c>
      <c r="O26" s="49">
        <v>270</v>
      </c>
      <c r="P26" s="49">
        <v>1738</v>
      </c>
      <c r="Q26" s="49">
        <v>531</v>
      </c>
      <c r="R26" s="50">
        <f t="shared" si="18"/>
        <v>4.760111435729139E-4</v>
      </c>
      <c r="S26" s="50">
        <f t="shared" si="18"/>
        <v>7.6736809795027456E-4</v>
      </c>
      <c r="T26" s="50">
        <f t="shared" si="18"/>
        <v>1.3005166148854527E-3</v>
      </c>
      <c r="U26" s="50">
        <f t="shared" si="18"/>
        <v>3.3914109802518971E-3</v>
      </c>
      <c r="V26" s="51">
        <f t="shared" si="19"/>
        <v>5.9353068366605382E-3</v>
      </c>
      <c r="W26" s="52">
        <v>320.00000000721394</v>
      </c>
      <c r="X26" s="52">
        <v>216</v>
      </c>
      <c r="Y26" s="52">
        <v>671</v>
      </c>
      <c r="Z26" s="52">
        <v>199</v>
      </c>
      <c r="AA26" s="53">
        <f t="shared" si="20"/>
        <v>2.5166887926512352E-4</v>
      </c>
      <c r="AB26" s="53">
        <f t="shared" si="5"/>
        <v>7.372818874416319E-4</v>
      </c>
      <c r="AC26" s="53">
        <f t="shared" si="5"/>
        <v>1.3625361447740343E-3</v>
      </c>
      <c r="AD26" s="53">
        <f t="shared" si="5"/>
        <v>3.6245082325513625E-3</v>
      </c>
      <c r="AE26" s="44">
        <f t="shared" si="21"/>
        <v>5.9759951440321521E-3</v>
      </c>
      <c r="AF26" s="54">
        <f t="shared" si="6"/>
        <v>5.0795958724273293E-3</v>
      </c>
      <c r="AG26" s="44">
        <f t="shared" si="7"/>
        <v>6.8552997328284624E-3</v>
      </c>
      <c r="AH26" s="44">
        <f t="shared" si="8"/>
        <v>0</v>
      </c>
      <c r="AI26" s="45">
        <f t="shared" si="22"/>
        <v>0</v>
      </c>
      <c r="AJ26" s="45">
        <f t="shared" si="9"/>
        <v>0</v>
      </c>
      <c r="AK26" s="127">
        <f t="shared" si="10"/>
        <v>5.0795958724273293E-3</v>
      </c>
      <c r="AM26" s="57">
        <f t="shared" si="11"/>
        <v>930723.62154443969</v>
      </c>
      <c r="AN26" s="58">
        <f t="shared" si="12"/>
        <v>10392121.364299422</v>
      </c>
      <c r="AO26" s="58">
        <f t="shared" si="13"/>
        <v>9893870.2645192314</v>
      </c>
      <c r="AP26" s="58">
        <f t="shared" si="23"/>
        <v>21216715.250363093</v>
      </c>
      <c r="AQ26" s="59">
        <f t="shared" si="24"/>
        <v>2.7232098342419302E-3</v>
      </c>
    </row>
    <row r="27" spans="1:43" ht="13.8">
      <c r="A27" s="4" t="s">
        <v>20</v>
      </c>
      <c r="B27" s="46">
        <v>440191999</v>
      </c>
      <c r="C27" s="46">
        <v>139338983</v>
      </c>
      <c r="D27" s="55">
        <f t="shared" si="0"/>
        <v>0.31654138038978757</v>
      </c>
      <c r="E27" s="56">
        <f t="shared" si="14"/>
        <v>44106554.020929143</v>
      </c>
      <c r="F27" s="127">
        <f t="shared" si="1"/>
        <v>2.6038836805567709E-2</v>
      </c>
      <c r="G27" s="43">
        <v>425148</v>
      </c>
      <c r="H27" s="119">
        <f t="shared" si="2"/>
        <v>8.3044763711484545E-2</v>
      </c>
      <c r="I27" s="45">
        <f t="shared" si="15"/>
        <v>7.0588049154761856E-2</v>
      </c>
      <c r="J27" s="46">
        <v>151.27000000000001</v>
      </c>
      <c r="K27" s="116">
        <f t="shared" si="3"/>
        <v>2.3554915950043079E-3</v>
      </c>
      <c r="L27" s="47">
        <f t="shared" si="16"/>
        <v>3.5332373925064616E-4</v>
      </c>
      <c r="M27" s="127">
        <f t="shared" si="17"/>
        <v>7.0941372894012505E-2</v>
      </c>
      <c r="N27" s="48">
        <v>25525</v>
      </c>
      <c r="O27" s="49">
        <v>4815</v>
      </c>
      <c r="P27" s="49">
        <v>33044</v>
      </c>
      <c r="Q27" s="49">
        <v>5258</v>
      </c>
      <c r="R27" s="50">
        <f t="shared" si="18"/>
        <v>1.4926516510686275E-2</v>
      </c>
      <c r="S27" s="50">
        <f t="shared" si="18"/>
        <v>1.3684731080113229E-2</v>
      </c>
      <c r="T27" s="50">
        <f t="shared" si="18"/>
        <v>2.4726277918455063E-2</v>
      </c>
      <c r="U27" s="50">
        <f t="shared" si="18"/>
        <v>3.3581994226298442E-2</v>
      </c>
      <c r="V27" s="51">
        <f t="shared" si="19"/>
        <v>8.6919519735553008E-2</v>
      </c>
      <c r="W27" s="52">
        <v>20136.00000070727</v>
      </c>
      <c r="X27" s="52">
        <v>4791</v>
      </c>
      <c r="Y27" s="52">
        <v>5994</v>
      </c>
      <c r="Z27" s="52">
        <v>875</v>
      </c>
      <c r="AA27" s="53">
        <f t="shared" si="20"/>
        <v>1.5836264227957138E-2</v>
      </c>
      <c r="AB27" s="53">
        <f t="shared" si="5"/>
        <v>1.6353321864503972E-2</v>
      </c>
      <c r="AC27" s="53">
        <f t="shared" si="5"/>
        <v>1.2171448065239286E-2</v>
      </c>
      <c r="AD27" s="53">
        <f t="shared" si="5"/>
        <v>1.5936908057700715E-2</v>
      </c>
      <c r="AE27" s="44">
        <f t="shared" si="21"/>
        <v>6.0297942215401121E-2</v>
      </c>
      <c r="AF27" s="54">
        <f t="shared" si="6"/>
        <v>5.1253250883090955E-2</v>
      </c>
      <c r="AG27" s="44">
        <f t="shared" si="7"/>
        <v>-0.30627847002774872</v>
      </c>
      <c r="AH27" s="44">
        <f t="shared" si="8"/>
        <v>-0.30627847002774872</v>
      </c>
      <c r="AI27" s="45">
        <f t="shared" si="22"/>
        <v>5.7072059505151061E-2</v>
      </c>
      <c r="AJ27" s="45">
        <f t="shared" si="9"/>
        <v>8.5608089257726595E-3</v>
      </c>
      <c r="AK27" s="127">
        <f t="shared" si="10"/>
        <v>5.9814059808863618E-2</v>
      </c>
      <c r="AM27" s="57">
        <f t="shared" si="11"/>
        <v>101435184.87039284</v>
      </c>
      <c r="AN27" s="58">
        <f t="shared" si="12"/>
        <v>138177279.73403504</v>
      </c>
      <c r="AO27" s="58">
        <f t="shared" si="13"/>
        <v>116503864.20609035</v>
      </c>
      <c r="AP27" s="58">
        <f t="shared" si="23"/>
        <v>356116328.81051821</v>
      </c>
      <c r="AQ27" s="59">
        <f t="shared" si="24"/>
        <v>4.570827657850287E-2</v>
      </c>
    </row>
    <row r="28" spans="1:43" ht="13.8">
      <c r="A28" s="4" t="s">
        <v>21</v>
      </c>
      <c r="B28" s="46">
        <v>12991620</v>
      </c>
      <c r="C28" s="46">
        <v>3647488</v>
      </c>
      <c r="D28" s="55">
        <f t="shared" si="0"/>
        <v>0.28075698026881946</v>
      </c>
      <c r="E28" s="56">
        <f t="shared" si="14"/>
        <v>1024057.7164467557</v>
      </c>
      <c r="F28" s="127">
        <f t="shared" si="1"/>
        <v>6.0456483962420592E-4</v>
      </c>
      <c r="G28" s="43">
        <v>14795</v>
      </c>
      <c r="H28" s="119">
        <f t="shared" si="2"/>
        <v>2.8899283993136836E-3</v>
      </c>
      <c r="I28" s="45">
        <f t="shared" si="15"/>
        <v>2.4564391394166309E-3</v>
      </c>
      <c r="J28" s="46">
        <v>2479.16</v>
      </c>
      <c r="K28" s="116">
        <f t="shared" si="3"/>
        <v>3.8604088997625963E-2</v>
      </c>
      <c r="L28" s="47">
        <f t="shared" si="16"/>
        <v>5.7906133496438946E-3</v>
      </c>
      <c r="M28" s="127">
        <f t="shared" si="17"/>
        <v>8.247052489060526E-3</v>
      </c>
      <c r="N28" s="48">
        <v>3166</v>
      </c>
      <c r="O28" s="49">
        <v>724</v>
      </c>
      <c r="P28" s="49">
        <v>6502</v>
      </c>
      <c r="Q28" s="49">
        <v>971</v>
      </c>
      <c r="R28" s="50">
        <f t="shared" si="18"/>
        <v>1.8514143495722917E-3</v>
      </c>
      <c r="S28" s="50">
        <f t="shared" si="18"/>
        <v>2.0576833441333289E-3</v>
      </c>
      <c r="T28" s="50">
        <f t="shared" si="18"/>
        <v>4.8653389125346454E-3</v>
      </c>
      <c r="U28" s="50">
        <f t="shared" si="18"/>
        <v>6.2016197021178754E-3</v>
      </c>
      <c r="V28" s="51">
        <f t="shared" si="19"/>
        <v>1.4976056308358143E-2</v>
      </c>
      <c r="W28" s="52">
        <v>1684.0000000044001</v>
      </c>
      <c r="X28" s="52">
        <v>572</v>
      </c>
      <c r="Y28" s="52">
        <v>3480</v>
      </c>
      <c r="Z28" s="52">
        <v>459</v>
      </c>
      <c r="AA28" s="53">
        <f t="shared" si="20"/>
        <v>1.3244074771063164E-3</v>
      </c>
      <c r="AB28" s="53">
        <f t="shared" si="5"/>
        <v>1.9524316648917288E-3</v>
      </c>
      <c r="AC28" s="53">
        <f t="shared" si="5"/>
        <v>7.0665063842230095E-3</v>
      </c>
      <c r="AD28" s="53">
        <f t="shared" si="5"/>
        <v>8.3600466268395745E-3</v>
      </c>
      <c r="AE28" s="44">
        <f t="shared" si="21"/>
        <v>1.8703392153060629E-2</v>
      </c>
      <c r="AF28" s="54">
        <f t="shared" si="6"/>
        <v>1.5897883330101534E-2</v>
      </c>
      <c r="AG28" s="44">
        <f t="shared" si="7"/>
        <v>0.24888634016568562</v>
      </c>
      <c r="AH28" s="44">
        <f t="shared" si="8"/>
        <v>0</v>
      </c>
      <c r="AI28" s="45">
        <f t="shared" si="22"/>
        <v>0</v>
      </c>
      <c r="AJ28" s="45">
        <f t="shared" si="9"/>
        <v>0</v>
      </c>
      <c r="AK28" s="127">
        <f t="shared" si="10"/>
        <v>1.5897883330101534E-2</v>
      </c>
      <c r="AM28" s="57">
        <f t="shared" si="11"/>
        <v>2355103.1381059308</v>
      </c>
      <c r="AN28" s="58">
        <f t="shared" si="12"/>
        <v>16063338.391613865</v>
      </c>
      <c r="AO28" s="58">
        <f t="shared" si="13"/>
        <v>30965375.809183098</v>
      </c>
      <c r="AP28" s="58">
        <f t="shared" si="23"/>
        <v>49383817.338902891</v>
      </c>
      <c r="AQ28" s="59">
        <f t="shared" si="24"/>
        <v>6.3385163746026161E-3</v>
      </c>
    </row>
    <row r="29" spans="1:43" ht="13.8">
      <c r="A29" s="4" t="s">
        <v>22</v>
      </c>
      <c r="B29" s="46">
        <v>1015315</v>
      </c>
      <c r="C29" s="46">
        <v>228955</v>
      </c>
      <c r="D29" s="55">
        <f t="shared" si="0"/>
        <v>0.22550144536424657</v>
      </c>
      <c r="E29" s="56">
        <f t="shared" si="14"/>
        <v>51629.683423371076</v>
      </c>
      <c r="F29" s="127">
        <f t="shared" si="1"/>
        <v>3.0480207099071019E-5</v>
      </c>
      <c r="G29" s="43">
        <v>1044</v>
      </c>
      <c r="H29" s="119">
        <f t="shared" si="2"/>
        <v>2.0392600533176652E-4</v>
      </c>
      <c r="I29" s="45">
        <f t="shared" si="15"/>
        <v>1.7333710453200154E-4</v>
      </c>
      <c r="J29" s="46">
        <v>388.05</v>
      </c>
      <c r="K29" s="116">
        <f t="shared" si="3"/>
        <v>6.0424969487765032E-3</v>
      </c>
      <c r="L29" s="47">
        <f t="shared" si="16"/>
        <v>9.0637454231647541E-4</v>
      </c>
      <c r="M29" s="127">
        <f t="shared" si="17"/>
        <v>1.079711646848477E-3</v>
      </c>
      <c r="N29" s="48">
        <v>248</v>
      </c>
      <c r="O29" s="49">
        <v>63</v>
      </c>
      <c r="P29" s="49">
        <v>357</v>
      </c>
      <c r="Q29" s="49">
        <v>74</v>
      </c>
      <c r="R29" s="50">
        <f t="shared" si="18"/>
        <v>1.4502550811558066E-4</v>
      </c>
      <c r="S29" s="50">
        <f t="shared" si="18"/>
        <v>1.7905255618839739E-4</v>
      </c>
      <c r="T29" s="50">
        <f t="shared" si="18"/>
        <v>2.6713718729235136E-4</v>
      </c>
      <c r="U29" s="50">
        <f t="shared" si="18"/>
        <v>4.7262601231382365E-4</v>
      </c>
      <c r="V29" s="51">
        <f t="shared" si="19"/>
        <v>1.0638412639101531E-3</v>
      </c>
      <c r="W29" s="52">
        <v>138</v>
      </c>
      <c r="X29" s="52">
        <v>45</v>
      </c>
      <c r="Y29" s="52">
        <v>165</v>
      </c>
      <c r="Z29" s="52">
        <v>30</v>
      </c>
      <c r="AA29" s="53">
        <f t="shared" si="20"/>
        <v>1.0853220418063782E-4</v>
      </c>
      <c r="AB29" s="53">
        <f t="shared" si="5"/>
        <v>1.5360039321700664E-4</v>
      </c>
      <c r="AC29" s="53">
        <f t="shared" si="5"/>
        <v>3.3504987166574612E-4</v>
      </c>
      <c r="AD29" s="53">
        <f t="shared" si="5"/>
        <v>5.4640827626402453E-4</v>
      </c>
      <c r="AE29" s="44">
        <f t="shared" si="21"/>
        <v>1.1435907453274151E-3</v>
      </c>
      <c r="AF29" s="54">
        <f t="shared" si="6"/>
        <v>9.7205213352830283E-4</v>
      </c>
      <c r="AG29" s="44">
        <f t="shared" si="7"/>
        <v>7.4963703818126448E-2</v>
      </c>
      <c r="AH29" s="44">
        <f t="shared" si="8"/>
        <v>0</v>
      </c>
      <c r="AI29" s="45">
        <f t="shared" si="22"/>
        <v>0</v>
      </c>
      <c r="AJ29" s="45">
        <f t="shared" si="9"/>
        <v>0</v>
      </c>
      <c r="AK29" s="127">
        <f t="shared" si="10"/>
        <v>9.7205213352830283E-4</v>
      </c>
      <c r="AM29" s="57">
        <f t="shared" si="11"/>
        <v>118736.69569299031</v>
      </c>
      <c r="AN29" s="58">
        <f t="shared" si="12"/>
        <v>2103026.9386183466</v>
      </c>
      <c r="AO29" s="58">
        <f t="shared" si="13"/>
        <v>1893331.2690646024</v>
      </c>
      <c r="AP29" s="58">
        <f t="shared" si="23"/>
        <v>4115094.9033759395</v>
      </c>
      <c r="AQ29" s="59">
        <f t="shared" si="24"/>
        <v>5.2818104864373039E-4</v>
      </c>
    </row>
    <row r="30" spans="1:43" ht="13.8">
      <c r="A30" s="4" t="s">
        <v>23</v>
      </c>
      <c r="B30" s="46">
        <v>1284958</v>
      </c>
      <c r="C30" s="46">
        <v>194795</v>
      </c>
      <c r="D30" s="55">
        <f t="shared" si="0"/>
        <v>0.15159639459032903</v>
      </c>
      <c r="E30" s="56">
        <f t="shared" si="14"/>
        <v>29530.219684223142</v>
      </c>
      <c r="F30" s="127">
        <f t="shared" si="1"/>
        <v>1.7433521803249034E-5</v>
      </c>
      <c r="G30" s="43">
        <v>6011</v>
      </c>
      <c r="H30" s="119">
        <f t="shared" si="2"/>
        <v>1.17413718203951E-3</v>
      </c>
      <c r="I30" s="45">
        <f t="shared" si="15"/>
        <v>9.9801660473358353E-4</v>
      </c>
      <c r="J30" s="46">
        <v>1314.52</v>
      </c>
      <c r="K30" s="116">
        <f t="shared" si="3"/>
        <v>2.0468968146129852E-2</v>
      </c>
      <c r="L30" s="47">
        <f t="shared" si="16"/>
        <v>3.0703452219194775E-3</v>
      </c>
      <c r="M30" s="127">
        <f t="shared" si="17"/>
        <v>4.0683618266530615E-3</v>
      </c>
      <c r="N30" s="48">
        <v>1391</v>
      </c>
      <c r="O30" s="49">
        <v>407</v>
      </c>
      <c r="P30" s="49">
        <v>3581</v>
      </c>
      <c r="Q30" s="49">
        <v>1264</v>
      </c>
      <c r="R30" s="50">
        <f t="shared" si="18"/>
        <v>8.1342936205150277E-4</v>
      </c>
      <c r="S30" s="50">
        <f t="shared" si="18"/>
        <v>1.1567363550583768E-3</v>
      </c>
      <c r="T30" s="50">
        <f t="shared" si="18"/>
        <v>2.6796029907392442E-3</v>
      </c>
      <c r="U30" s="50">
        <f t="shared" si="18"/>
        <v>8.072963237360448E-3</v>
      </c>
      <c r="V30" s="51">
        <f t="shared" si="19"/>
        <v>1.2722731945209571E-2</v>
      </c>
      <c r="W30" s="52">
        <v>1108.99999999377</v>
      </c>
      <c r="X30" s="52">
        <v>288</v>
      </c>
      <c r="Y30" s="52">
        <v>3319</v>
      </c>
      <c r="Z30" s="52">
        <v>607</v>
      </c>
      <c r="AA30" s="53">
        <f t="shared" si="20"/>
        <v>8.721899596786318E-4</v>
      </c>
      <c r="AB30" s="53">
        <f t="shared" si="5"/>
        <v>9.8304251658884239E-4</v>
      </c>
      <c r="AC30" s="53">
        <f t="shared" si="5"/>
        <v>6.739578933688554E-3</v>
      </c>
      <c r="AD30" s="53">
        <f t="shared" si="5"/>
        <v>1.1055660789742095E-2</v>
      </c>
      <c r="AE30" s="44">
        <f t="shared" si="21"/>
        <v>1.9650472199698121E-2</v>
      </c>
      <c r="AF30" s="54">
        <f t="shared" si="6"/>
        <v>1.6702901369743402E-2</v>
      </c>
      <c r="AG30" s="44">
        <f t="shared" si="7"/>
        <v>0.54451671891877107</v>
      </c>
      <c r="AH30" s="44">
        <f t="shared" si="8"/>
        <v>0</v>
      </c>
      <c r="AI30" s="45">
        <f t="shared" si="22"/>
        <v>0</v>
      </c>
      <c r="AJ30" s="45">
        <f t="shared" si="9"/>
        <v>0</v>
      </c>
      <c r="AK30" s="127">
        <f t="shared" si="10"/>
        <v>1.6702901369743402E-2</v>
      </c>
      <c r="AM30" s="57">
        <f t="shared" si="11"/>
        <v>67912.884137607514</v>
      </c>
      <c r="AN30" s="58">
        <f t="shared" si="12"/>
        <v>7924221.7516790703</v>
      </c>
      <c r="AO30" s="58">
        <f t="shared" si="13"/>
        <v>32533363.547744714</v>
      </c>
      <c r="AP30" s="58">
        <f t="shared" si="23"/>
        <v>40525498.183561392</v>
      </c>
      <c r="AQ30" s="59">
        <f t="shared" si="24"/>
        <v>5.2015325600007394E-3</v>
      </c>
    </row>
    <row r="31" spans="1:43" ht="13.8">
      <c r="A31" s="4" t="s">
        <v>24</v>
      </c>
      <c r="B31" s="46">
        <v>54721037</v>
      </c>
      <c r="C31" s="46">
        <v>11872386</v>
      </c>
      <c r="D31" s="55">
        <f t="shared" si="0"/>
        <v>0.21696200676898722</v>
      </c>
      <c r="E31" s="56">
        <f t="shared" si="14"/>
        <v>2575856.6916960292</v>
      </c>
      <c r="F31" s="127">
        <f t="shared" si="1"/>
        <v>1.5206881044884111E-3</v>
      </c>
      <c r="G31" s="43">
        <v>67294</v>
      </c>
      <c r="H31" s="119">
        <f t="shared" si="2"/>
        <v>1.3144632761298751E-2</v>
      </c>
      <c r="I31" s="45">
        <f t="shared" si="15"/>
        <v>1.1172937847103938E-2</v>
      </c>
      <c r="J31" s="46">
        <v>184.87</v>
      </c>
      <c r="K31" s="116">
        <f t="shared" si="3"/>
        <v>2.8786919492856905E-3</v>
      </c>
      <c r="L31" s="47">
        <f t="shared" si="16"/>
        <v>4.3180379239285356E-4</v>
      </c>
      <c r="M31" s="127">
        <f t="shared" si="17"/>
        <v>1.1604741639496792E-2</v>
      </c>
      <c r="N31" s="48">
        <v>870</v>
      </c>
      <c r="O31" s="49">
        <v>295</v>
      </c>
      <c r="P31" s="49">
        <v>1873</v>
      </c>
      <c r="Q31" s="49">
        <v>57</v>
      </c>
      <c r="R31" s="50">
        <f t="shared" si="18"/>
        <v>5.0875883895385148E-4</v>
      </c>
      <c r="S31" s="50">
        <f t="shared" si="18"/>
        <v>8.3842069961233702E-4</v>
      </c>
      <c r="T31" s="50">
        <f t="shared" si="18"/>
        <v>1.4015348789876024E-3</v>
      </c>
      <c r="U31" s="50">
        <f t="shared" si="18"/>
        <v>3.6404976624172905E-4</v>
      </c>
      <c r="V31" s="51">
        <f t="shared" si="19"/>
        <v>3.1127641837955201E-3</v>
      </c>
      <c r="W31" s="52">
        <v>2629.9999999954803</v>
      </c>
      <c r="X31" s="52">
        <v>513</v>
      </c>
      <c r="Y31" s="52">
        <v>350</v>
      </c>
      <c r="Z31" s="52">
        <v>123</v>
      </c>
      <c r="AA31" s="53">
        <f t="shared" si="20"/>
        <v>2.0684036014100501E-3</v>
      </c>
      <c r="AB31" s="53">
        <f t="shared" si="5"/>
        <v>1.7510444826738757E-3</v>
      </c>
      <c r="AC31" s="53">
        <f t="shared" si="5"/>
        <v>7.1071184898794629E-4</v>
      </c>
      <c r="AD31" s="53">
        <f t="shared" si="5"/>
        <v>2.2402739326825003E-3</v>
      </c>
      <c r="AE31" s="44">
        <f t="shared" si="21"/>
        <v>6.770433865754372E-3</v>
      </c>
      <c r="AF31" s="54">
        <f t="shared" si="6"/>
        <v>5.7548687858912165E-3</v>
      </c>
      <c r="AG31" s="44">
        <f t="shared" si="7"/>
        <v>1.1750551811794834</v>
      </c>
      <c r="AH31" s="44">
        <f t="shared" si="8"/>
        <v>0</v>
      </c>
      <c r="AI31" s="45">
        <f t="shared" si="22"/>
        <v>0</v>
      </c>
      <c r="AJ31" s="45">
        <f t="shared" si="9"/>
        <v>0</v>
      </c>
      <c r="AK31" s="127">
        <f t="shared" si="10"/>
        <v>5.7548687858912165E-3</v>
      </c>
      <c r="AM31" s="57">
        <f t="shared" si="11"/>
        <v>5923892.8436314305</v>
      </c>
      <c r="AN31" s="58">
        <f t="shared" si="12"/>
        <v>22603335.209731895</v>
      </c>
      <c r="AO31" s="58">
        <f t="shared" si="13"/>
        <v>11209144.701058809</v>
      </c>
      <c r="AP31" s="58">
        <f t="shared" si="23"/>
        <v>39736372.754422136</v>
      </c>
      <c r="AQ31" s="59">
        <f t="shared" si="24"/>
        <v>5.1002466585912069E-3</v>
      </c>
    </row>
    <row r="32" spans="1:43" ht="13.8">
      <c r="A32" s="4" t="s">
        <v>25</v>
      </c>
      <c r="B32" s="46">
        <v>522388961</v>
      </c>
      <c r="C32" s="46">
        <v>252087113.56999999</v>
      </c>
      <c r="D32" s="55">
        <f t="shared" si="0"/>
        <v>0.48256592767089501</v>
      </c>
      <c r="E32" s="56">
        <f t="shared" si="14"/>
        <v>121648651.81378531</v>
      </c>
      <c r="F32" s="127">
        <f t="shared" si="1"/>
        <v>7.1816750651012576E-2</v>
      </c>
      <c r="G32" s="43">
        <v>682880</v>
      </c>
      <c r="H32" s="119">
        <f t="shared" si="2"/>
        <v>0.1333879219549394</v>
      </c>
      <c r="I32" s="45">
        <f t="shared" si="15"/>
        <v>0.11337973366169848</v>
      </c>
      <c r="J32" s="46">
        <v>117.79</v>
      </c>
      <c r="K32" s="116">
        <f t="shared" si="3"/>
        <v>1.8341598134167874E-3</v>
      </c>
      <c r="L32" s="47">
        <f t="shared" si="16"/>
        <v>2.7512397201251811E-4</v>
      </c>
      <c r="M32" s="127">
        <f t="shared" si="17"/>
        <v>0.113654857633711</v>
      </c>
      <c r="N32" s="48">
        <v>69698</v>
      </c>
      <c r="O32" s="49">
        <v>12447</v>
      </c>
      <c r="P32" s="49">
        <v>14729</v>
      </c>
      <c r="Q32" s="49">
        <v>1417</v>
      </c>
      <c r="R32" s="50">
        <f t="shared" si="18"/>
        <v>4.0758015583224762E-2</v>
      </c>
      <c r="S32" s="50">
        <f t="shared" si="18"/>
        <v>3.5375669315507653E-2</v>
      </c>
      <c r="T32" s="50">
        <f t="shared" si="18"/>
        <v>1.1021466755263425E-2</v>
      </c>
      <c r="U32" s="50">
        <f t="shared" si="18"/>
        <v>9.0501494520092984E-3</v>
      </c>
      <c r="V32" s="51">
        <f t="shared" si="19"/>
        <v>9.6205301106005142E-2</v>
      </c>
      <c r="W32" s="52">
        <v>32769.999999791457</v>
      </c>
      <c r="X32" s="52">
        <v>9468</v>
      </c>
      <c r="Y32" s="52">
        <v>3881</v>
      </c>
      <c r="Z32" s="52">
        <v>299</v>
      </c>
      <c r="AA32" s="53">
        <f t="shared" si="20"/>
        <v>2.5772466166499041E-2</v>
      </c>
      <c r="AB32" s="53">
        <f t="shared" si="5"/>
        <v>3.2317522732858199E-2</v>
      </c>
      <c r="AC32" s="53">
        <f t="shared" si="5"/>
        <v>7.8807791026349137E-3</v>
      </c>
      <c r="AD32" s="53">
        <f t="shared" si="5"/>
        <v>5.4458691534314436E-3</v>
      </c>
      <c r="AE32" s="44">
        <f t="shared" si="21"/>
        <v>7.1416637155423596E-2</v>
      </c>
      <c r="AF32" s="54">
        <f t="shared" si="6"/>
        <v>6.0704141582110058E-2</v>
      </c>
      <c r="AG32" s="44">
        <f t="shared" si="7"/>
        <v>-0.25766422084441909</v>
      </c>
      <c r="AH32" s="44">
        <f t="shared" si="8"/>
        <v>-0.25766422084441909</v>
      </c>
      <c r="AI32" s="45">
        <f t="shared" si="22"/>
        <v>4.80132597732017E-2</v>
      </c>
      <c r="AJ32" s="45">
        <f t="shared" si="9"/>
        <v>7.2019889659802544E-3</v>
      </c>
      <c r="AK32" s="127">
        <f t="shared" si="10"/>
        <v>6.7906130548090318E-2</v>
      </c>
      <c r="AM32" s="57">
        <f t="shared" si="11"/>
        <v>279764623.64550471</v>
      </c>
      <c r="AN32" s="58">
        <f t="shared" si="12"/>
        <v>221373204.60160822</v>
      </c>
      <c r="AO32" s="58">
        <f t="shared" si="13"/>
        <v>132265334.22771293</v>
      </c>
      <c r="AP32" s="58">
        <f t="shared" si="23"/>
        <v>633403162.47482586</v>
      </c>
      <c r="AQ32" s="59">
        <f t="shared" si="24"/>
        <v>8.12986223709566E-2</v>
      </c>
    </row>
    <row r="33" spans="1:43" ht="13.8">
      <c r="A33" s="4" t="s">
        <v>26</v>
      </c>
      <c r="B33" s="46">
        <v>800042</v>
      </c>
      <c r="C33" s="46">
        <v>228664</v>
      </c>
      <c r="D33" s="55">
        <f t="shared" si="0"/>
        <v>0.2858149947127776</v>
      </c>
      <c r="E33" s="56">
        <f t="shared" si="14"/>
        <v>65355.599951002579</v>
      </c>
      <c r="F33" s="127">
        <f t="shared" si="1"/>
        <v>3.8583467677991941E-5</v>
      </c>
      <c r="G33" s="43">
        <v>1764</v>
      </c>
      <c r="H33" s="119">
        <f t="shared" si="2"/>
        <v>3.4456462969850206E-4</v>
      </c>
      <c r="I33" s="45">
        <f t="shared" si="15"/>
        <v>2.9287993524372677E-4</v>
      </c>
      <c r="J33" s="46">
        <v>497.27</v>
      </c>
      <c r="K33" s="116">
        <f t="shared" si="3"/>
        <v>7.743209528973307E-3</v>
      </c>
      <c r="L33" s="47">
        <f t="shared" si="16"/>
        <v>1.1614814293459961E-3</v>
      </c>
      <c r="M33" s="127">
        <f t="shared" si="17"/>
        <v>1.4543613645897229E-3</v>
      </c>
      <c r="N33" s="48">
        <v>525</v>
      </c>
      <c r="O33" s="49">
        <v>111</v>
      </c>
      <c r="P33" s="49">
        <v>654</v>
      </c>
      <c r="Q33" s="49">
        <v>69</v>
      </c>
      <c r="R33" s="50">
        <f t="shared" si="18"/>
        <v>3.070096441962897E-4</v>
      </c>
      <c r="S33" s="50">
        <f t="shared" si="18"/>
        <v>3.1547355137955733E-4</v>
      </c>
      <c r="T33" s="50">
        <f t="shared" si="18"/>
        <v>4.8937736831708065E-4</v>
      </c>
      <c r="U33" s="50">
        <f t="shared" si="18"/>
        <v>4.4069182229261936E-4</v>
      </c>
      <c r="V33" s="51">
        <f t="shared" si="19"/>
        <v>1.5525523861855471E-3</v>
      </c>
      <c r="W33" s="52">
        <v>374.99999999594002</v>
      </c>
      <c r="X33" s="52">
        <v>98</v>
      </c>
      <c r="Y33" s="52">
        <v>163</v>
      </c>
      <c r="Z33" s="52">
        <v>24</v>
      </c>
      <c r="AA33" s="53">
        <f t="shared" si="20"/>
        <v>2.9492446787897499E-4</v>
      </c>
      <c r="AB33" s="53">
        <f t="shared" si="5"/>
        <v>3.3450752300592557E-4</v>
      </c>
      <c r="AC33" s="53">
        <f t="shared" si="5"/>
        <v>3.3098866110010071E-4</v>
      </c>
      <c r="AD33" s="53">
        <f t="shared" si="5"/>
        <v>4.3712662101121958E-4</v>
      </c>
      <c r="AE33" s="44">
        <f t="shared" si="21"/>
        <v>1.397547272996221E-3</v>
      </c>
      <c r="AF33" s="54">
        <f t="shared" si="6"/>
        <v>1.1879151820467877E-3</v>
      </c>
      <c r="AG33" s="44">
        <f t="shared" si="7"/>
        <v>-9.983889404862975E-2</v>
      </c>
      <c r="AH33" s="44">
        <f t="shared" si="8"/>
        <v>-9.983889404862975E-2</v>
      </c>
      <c r="AI33" s="45">
        <f t="shared" si="22"/>
        <v>1.8604021698148197E-2</v>
      </c>
      <c r="AJ33" s="45">
        <f t="shared" si="9"/>
        <v>2.7906032547222294E-3</v>
      </c>
      <c r="AK33" s="127">
        <f t="shared" si="10"/>
        <v>3.9785184367690171E-3</v>
      </c>
      <c r="AM33" s="57">
        <f t="shared" si="11"/>
        <v>150303.22614184881</v>
      </c>
      <c r="AN33" s="58">
        <f t="shared" si="12"/>
        <v>2832757.3729017614</v>
      </c>
      <c r="AO33" s="58">
        <f t="shared" si="13"/>
        <v>7749227.743107954</v>
      </c>
      <c r="AP33" s="58">
        <f t="shared" si="23"/>
        <v>10732288.342151564</v>
      </c>
      <c r="AQ33" s="59">
        <f t="shared" si="24"/>
        <v>1.3775116841786806E-3</v>
      </c>
    </row>
    <row r="34" spans="1:43" ht="13.8">
      <c r="A34" s="4" t="s">
        <v>27</v>
      </c>
      <c r="B34" s="46">
        <v>2151970</v>
      </c>
      <c r="C34" s="46">
        <v>558660</v>
      </c>
      <c r="D34" s="55">
        <f t="shared" si="0"/>
        <v>0.25960399076195301</v>
      </c>
      <c r="E34" s="56">
        <f t="shared" si="14"/>
        <v>145030.36547907267</v>
      </c>
      <c r="F34" s="127">
        <f t="shared" si="1"/>
        <v>8.5620427675430088E-5</v>
      </c>
      <c r="G34" s="43">
        <v>13836</v>
      </c>
      <c r="H34" s="119">
        <f t="shared" si="2"/>
        <v>2.702605564914101E-3</v>
      </c>
      <c r="I34" s="45">
        <f t="shared" si="15"/>
        <v>2.2972147301769858E-3</v>
      </c>
      <c r="J34" s="46">
        <v>170.12</v>
      </c>
      <c r="K34" s="116">
        <f t="shared" si="3"/>
        <v>2.6490132223318096E-3</v>
      </c>
      <c r="L34" s="47">
        <f t="shared" si="16"/>
        <v>3.9735198334977145E-4</v>
      </c>
      <c r="M34" s="127">
        <f t="shared" si="17"/>
        <v>2.6945667135267574E-3</v>
      </c>
      <c r="N34" s="48">
        <v>1777</v>
      </c>
      <c r="O34" s="49">
        <v>482</v>
      </c>
      <c r="P34" s="49">
        <v>1571</v>
      </c>
      <c r="Q34" s="49">
        <v>193</v>
      </c>
      <c r="R34" s="50">
        <f t="shared" si="18"/>
        <v>1.0391545480701082E-3</v>
      </c>
      <c r="S34" s="50">
        <f t="shared" si="18"/>
        <v>1.3698941600445642E-3</v>
      </c>
      <c r="T34" s="50">
        <f t="shared" si="18"/>
        <v>1.1755532807739047E-3</v>
      </c>
      <c r="U34" s="50">
        <f t="shared" si="18"/>
        <v>1.2326597348184861E-3</v>
      </c>
      <c r="V34" s="51">
        <f t="shared" si="19"/>
        <v>4.8172617237070628E-3</v>
      </c>
      <c r="W34" s="52">
        <v>887.9999999826681</v>
      </c>
      <c r="X34" s="52">
        <v>349</v>
      </c>
      <c r="Y34" s="52">
        <v>145</v>
      </c>
      <c r="Z34" s="52">
        <v>79</v>
      </c>
      <c r="AA34" s="53">
        <f t="shared" si="20"/>
        <v>6.9838113993134286E-4</v>
      </c>
      <c r="AB34" s="53">
        <f t="shared" si="5"/>
        <v>1.1912563829496736E-3</v>
      </c>
      <c r="AC34" s="53">
        <f t="shared" si="5"/>
        <v>2.9443776600929206E-4</v>
      </c>
      <c r="AD34" s="53">
        <f t="shared" si="5"/>
        <v>1.4388751274952644E-3</v>
      </c>
      <c r="AE34" s="44">
        <f t="shared" si="21"/>
        <v>3.6229504163855729E-3</v>
      </c>
      <c r="AF34" s="54">
        <f t="shared" si="6"/>
        <v>3.0795078539277371E-3</v>
      </c>
      <c r="AG34" s="44">
        <f t="shared" si="7"/>
        <v>-0.24792327588180588</v>
      </c>
      <c r="AH34" s="44">
        <f t="shared" si="8"/>
        <v>-0.24792327588180588</v>
      </c>
      <c r="AI34" s="45">
        <f t="shared" si="22"/>
        <v>4.6198127973397771E-2</v>
      </c>
      <c r="AJ34" s="45">
        <f t="shared" si="9"/>
        <v>6.9297191960096651E-3</v>
      </c>
      <c r="AK34" s="127">
        <f t="shared" si="10"/>
        <v>1.0009227049937402E-2</v>
      </c>
      <c r="AM34" s="57">
        <f t="shared" si="11"/>
        <v>333537.32253056375</v>
      </c>
      <c r="AN34" s="58">
        <f t="shared" si="12"/>
        <v>5248388.6813590406</v>
      </c>
      <c r="AO34" s="58">
        <f t="shared" si="13"/>
        <v>19495644.214088798</v>
      </c>
      <c r="AP34" s="58">
        <f t="shared" si="23"/>
        <v>25077570.217978403</v>
      </c>
      <c r="AQ34" s="59">
        <f t="shared" si="24"/>
        <v>3.2187586547037543E-3</v>
      </c>
    </row>
    <row r="35" spans="1:43" ht="13.8">
      <c r="A35" s="4" t="s">
        <v>28</v>
      </c>
      <c r="B35" s="46">
        <v>716675</v>
      </c>
      <c r="C35" s="46">
        <v>282361</v>
      </c>
      <c r="D35" s="55">
        <f t="shared" si="0"/>
        <v>0.39398751177311891</v>
      </c>
      <c r="E35" s="56">
        <f t="shared" si="14"/>
        <v>111246.70781176964</v>
      </c>
      <c r="F35" s="127">
        <f t="shared" si="1"/>
        <v>6.567583739352671E-5</v>
      </c>
      <c r="G35" s="43">
        <v>1511</v>
      </c>
      <c r="H35" s="119">
        <f t="shared" si="2"/>
        <v>2.9514577974741303E-4</v>
      </c>
      <c r="I35" s="45">
        <f t="shared" si="15"/>
        <v>2.5087391278530105E-4</v>
      </c>
      <c r="J35" s="46">
        <v>444.11</v>
      </c>
      <c r="K35" s="116">
        <f t="shared" si="3"/>
        <v>6.9154318255924057E-3</v>
      </c>
      <c r="L35" s="47">
        <f t="shared" si="16"/>
        <v>1.0373147738388607E-3</v>
      </c>
      <c r="M35" s="127">
        <f t="shared" si="17"/>
        <v>1.2881886866241618E-3</v>
      </c>
      <c r="N35" s="48">
        <v>236</v>
      </c>
      <c r="O35" s="49">
        <v>70</v>
      </c>
      <c r="P35" s="49">
        <v>392</v>
      </c>
      <c r="Q35" s="49">
        <v>106</v>
      </c>
      <c r="R35" s="50">
        <f t="shared" si="18"/>
        <v>1.3800814481966547E-4</v>
      </c>
      <c r="S35" s="50">
        <f t="shared" si="18"/>
        <v>1.9894728465377488E-4</v>
      </c>
      <c r="T35" s="50">
        <f t="shared" si="18"/>
        <v>2.9332710761513091E-4</v>
      </c>
      <c r="U35" s="50">
        <f t="shared" si="18"/>
        <v>6.7700482844953124E-4</v>
      </c>
      <c r="V35" s="51">
        <f t="shared" si="19"/>
        <v>1.3072873655381025E-3</v>
      </c>
      <c r="W35" s="52">
        <v>156.00000000186</v>
      </c>
      <c r="X35" s="52">
        <v>60</v>
      </c>
      <c r="Y35" s="52">
        <v>117</v>
      </c>
      <c r="Z35" s="52">
        <v>25</v>
      </c>
      <c r="AA35" s="53">
        <f t="shared" si="20"/>
        <v>1.2268857864044472E-4</v>
      </c>
      <c r="AB35" s="53">
        <f t="shared" si="5"/>
        <v>2.0480052428934218E-4</v>
      </c>
      <c r="AC35" s="53">
        <f t="shared" si="5"/>
        <v>2.3758081809025633E-4</v>
      </c>
      <c r="AD35" s="53">
        <f t="shared" si="5"/>
        <v>4.5534023022002039E-4</v>
      </c>
      <c r="AE35" s="44">
        <f t="shared" si="21"/>
        <v>1.0204101512400637E-3</v>
      </c>
      <c r="AF35" s="54">
        <f t="shared" si="6"/>
        <v>8.6734862855405406E-4</v>
      </c>
      <c r="AG35" s="44">
        <f t="shared" si="7"/>
        <v>-0.21944464687758616</v>
      </c>
      <c r="AH35" s="44">
        <f t="shared" si="8"/>
        <v>-0.21944464687758616</v>
      </c>
      <c r="AI35" s="45">
        <f t="shared" si="22"/>
        <v>4.0891408212760681E-2</v>
      </c>
      <c r="AJ35" s="45">
        <f t="shared" si="9"/>
        <v>6.1337112319141017E-3</v>
      </c>
      <c r="AK35" s="127">
        <f t="shared" si="10"/>
        <v>7.0010598604681555E-3</v>
      </c>
      <c r="AM35" s="57">
        <f t="shared" si="11"/>
        <v>255842.48471904799</v>
      </c>
      <c r="AN35" s="58">
        <f t="shared" si="12"/>
        <v>2509091.6800809363</v>
      </c>
      <c r="AO35" s="58">
        <f t="shared" si="13"/>
        <v>13636434.809626877</v>
      </c>
      <c r="AP35" s="58">
        <f t="shared" si="23"/>
        <v>16401368.974426862</v>
      </c>
      <c r="AQ35" s="59">
        <f t="shared" si="24"/>
        <v>2.1051500554698423E-3</v>
      </c>
    </row>
    <row r="36" spans="1:43" ht="13.8">
      <c r="A36" s="4" t="s">
        <v>29</v>
      </c>
      <c r="B36" s="46">
        <v>1688489</v>
      </c>
      <c r="C36" s="46">
        <v>494360</v>
      </c>
      <c r="D36" s="55">
        <f t="shared" si="0"/>
        <v>0.29278248185211747</v>
      </c>
      <c r="E36" s="56">
        <f t="shared" si="14"/>
        <v>144739.94772841278</v>
      </c>
      <c r="F36" s="127">
        <f t="shared" si="1"/>
        <v>8.5448976049186867E-5</v>
      </c>
      <c r="G36" s="43">
        <v>6921</v>
      </c>
      <c r="H36" s="119">
        <f t="shared" si="2"/>
        <v>1.3518887767252452E-3</v>
      </c>
      <c r="I36" s="45">
        <f t="shared" si="15"/>
        <v>1.1491054602164583E-3</v>
      </c>
      <c r="J36" s="46">
        <v>127.8</v>
      </c>
      <c r="K36" s="116">
        <f t="shared" si="3"/>
        <v>1.990029918963116E-3</v>
      </c>
      <c r="L36" s="47">
        <f t="shared" si="16"/>
        <v>2.9850448784446741E-4</v>
      </c>
      <c r="M36" s="127">
        <f t="shared" si="17"/>
        <v>1.4476099480609256E-3</v>
      </c>
      <c r="N36" s="48">
        <v>1201</v>
      </c>
      <c r="O36" s="49">
        <v>234</v>
      </c>
      <c r="P36" s="49">
        <v>2745</v>
      </c>
      <c r="Q36" s="49">
        <v>176</v>
      </c>
      <c r="R36" s="50">
        <f t="shared" si="18"/>
        <v>7.0232110986617887E-4</v>
      </c>
      <c r="S36" s="50">
        <f t="shared" si="18"/>
        <v>6.6505235155690464E-4</v>
      </c>
      <c r="T36" s="50">
        <f t="shared" si="18"/>
        <v>2.0540380367437099E-3</v>
      </c>
      <c r="U36" s="50">
        <f t="shared" si="18"/>
        <v>1.1240834887463913E-3</v>
      </c>
      <c r="V36" s="51">
        <f t="shared" si="19"/>
        <v>4.5454949869131846E-3</v>
      </c>
      <c r="W36" s="52">
        <v>649.99999999475995</v>
      </c>
      <c r="X36" s="52">
        <v>185</v>
      </c>
      <c r="Y36" s="52">
        <v>941</v>
      </c>
      <c r="Z36" s="52">
        <v>42</v>
      </c>
      <c r="AA36" s="53">
        <f t="shared" si="20"/>
        <v>5.1120241099163676E-4</v>
      </c>
      <c r="AB36" s="53">
        <f t="shared" si="5"/>
        <v>6.3146828322547177E-4</v>
      </c>
      <c r="AC36" s="53">
        <f t="shared" si="5"/>
        <v>1.9107995711361643E-3</v>
      </c>
      <c r="AD36" s="53">
        <f t="shared" si="5"/>
        <v>7.6497158676963432E-4</v>
      </c>
      <c r="AE36" s="44">
        <f t="shared" si="21"/>
        <v>3.8184418521229071E-3</v>
      </c>
      <c r="AF36" s="54">
        <f t="shared" si="6"/>
        <v>3.2456755743044711E-3</v>
      </c>
      <c r="AG36" s="44">
        <f t="shared" si="7"/>
        <v>-0.15995026655700142</v>
      </c>
      <c r="AH36" s="44">
        <f t="shared" si="8"/>
        <v>-0.15995026655700142</v>
      </c>
      <c r="AI36" s="45">
        <f t="shared" si="22"/>
        <v>2.9805200247927655E-2</v>
      </c>
      <c r="AJ36" s="45">
        <f t="shared" si="9"/>
        <v>4.4707800371891482E-3</v>
      </c>
      <c r="AK36" s="127">
        <f t="shared" si="10"/>
        <v>7.7164556114936193E-3</v>
      </c>
      <c r="AM36" s="57">
        <f t="shared" si="11"/>
        <v>332869.426820238</v>
      </c>
      <c r="AN36" s="58">
        <f t="shared" si="12"/>
        <v>2819607.1851869794</v>
      </c>
      <c r="AO36" s="58">
        <f t="shared" si="13"/>
        <v>15029859.193415886</v>
      </c>
      <c r="AP36" s="58">
        <f t="shared" si="23"/>
        <v>18182335.805423103</v>
      </c>
      <c r="AQ36" s="59">
        <f t="shared" si="24"/>
        <v>2.333740877913229E-3</v>
      </c>
    </row>
    <row r="37" spans="1:43" ht="13.8">
      <c r="A37" s="4" t="s">
        <v>30</v>
      </c>
      <c r="B37" s="46">
        <v>519940</v>
      </c>
      <c r="C37" s="46">
        <v>111314</v>
      </c>
      <c r="D37" s="55">
        <f t="shared" si="0"/>
        <v>0.21409008731776744</v>
      </c>
      <c r="E37" s="56">
        <f t="shared" si="14"/>
        <v>23831.223979689963</v>
      </c>
      <c r="F37" s="127">
        <f t="shared" si="1"/>
        <v>1.4069050866898955E-5</v>
      </c>
      <c r="G37" s="43">
        <v>3571</v>
      </c>
      <c r="H37" s="119">
        <f t="shared" si="2"/>
        <v>6.9752851057446193E-4</v>
      </c>
      <c r="I37" s="45">
        <f t="shared" si="15"/>
        <v>5.9289923398829264E-4</v>
      </c>
      <c r="J37" s="46">
        <v>561.88</v>
      </c>
      <c r="K37" s="116">
        <f t="shared" si="3"/>
        <v>8.7492802102268827E-3</v>
      </c>
      <c r="L37" s="47">
        <f t="shared" si="16"/>
        <v>1.3123920315340324E-3</v>
      </c>
      <c r="M37" s="127">
        <f t="shared" si="17"/>
        <v>1.905291265522325E-3</v>
      </c>
      <c r="N37" s="48">
        <v>779</v>
      </c>
      <c r="O37" s="49">
        <v>226</v>
      </c>
      <c r="P37" s="49">
        <v>2400</v>
      </c>
      <c r="Q37" s="49">
        <v>462</v>
      </c>
      <c r="R37" s="50">
        <f t="shared" si="18"/>
        <v>4.5554383395982794E-4</v>
      </c>
      <c r="S37" s="50">
        <f t="shared" si="18"/>
        <v>6.4231551902504459E-4</v>
      </c>
      <c r="T37" s="50">
        <f t="shared" si="18"/>
        <v>1.795880250704883E-3</v>
      </c>
      <c r="U37" s="50">
        <f t="shared" si="18"/>
        <v>2.9507191579592777E-3</v>
      </c>
      <c r="V37" s="51">
        <f t="shared" si="19"/>
        <v>5.8444587616490332E-3</v>
      </c>
      <c r="W37" s="52">
        <v>671.99999999645991</v>
      </c>
      <c r="X37" s="52">
        <v>188</v>
      </c>
      <c r="Y37" s="52">
        <v>1437</v>
      </c>
      <c r="Z37" s="52">
        <v>355</v>
      </c>
      <c r="AA37" s="53">
        <f t="shared" si="20"/>
        <v>5.2850464644206086E-4</v>
      </c>
      <c r="AB37" s="53">
        <f t="shared" si="5"/>
        <v>6.4170830943993879E-4</v>
      </c>
      <c r="AC37" s="53">
        <f t="shared" si="5"/>
        <v>2.9179797914162253E-3</v>
      </c>
      <c r="AD37" s="53">
        <f t="shared" si="5"/>
        <v>6.4658312691242897E-3</v>
      </c>
      <c r="AE37" s="44">
        <f t="shared" si="21"/>
        <v>1.0554024016422515E-2</v>
      </c>
      <c r="AF37" s="54">
        <f t="shared" si="6"/>
        <v>8.9709204139591381E-3</v>
      </c>
      <c r="AG37" s="44">
        <f t="shared" si="7"/>
        <v>0.80581717603644487</v>
      </c>
      <c r="AH37" s="44">
        <f t="shared" si="8"/>
        <v>0</v>
      </c>
      <c r="AI37" s="45">
        <f t="shared" si="22"/>
        <v>0</v>
      </c>
      <c r="AJ37" s="45">
        <f t="shared" si="9"/>
        <v>0</v>
      </c>
      <c r="AK37" s="127">
        <f t="shared" si="10"/>
        <v>8.9709204139591381E-3</v>
      </c>
      <c r="AM37" s="57">
        <f t="shared" si="11"/>
        <v>54806.471820957442</v>
      </c>
      <c r="AN37" s="58">
        <f t="shared" si="12"/>
        <v>3711063.8465401325</v>
      </c>
      <c r="AO37" s="58">
        <f t="shared" si="13"/>
        <v>17473264.597843982</v>
      </c>
      <c r="AP37" s="58">
        <f t="shared" si="23"/>
        <v>21239134.916205071</v>
      </c>
      <c r="AQ37" s="59">
        <f t="shared" si="24"/>
        <v>2.7260874453038145E-3</v>
      </c>
    </row>
    <row r="38" spans="1:43" ht="13.8">
      <c r="A38" s="4" t="s">
        <v>31</v>
      </c>
      <c r="B38" s="46">
        <v>210468335</v>
      </c>
      <c r="C38" s="46">
        <v>48969965.200000003</v>
      </c>
      <c r="D38" s="55">
        <f t="shared" si="0"/>
        <v>0.23267141444341261</v>
      </c>
      <c r="E38" s="56">
        <f t="shared" si="14"/>
        <v>11393911.068328694</v>
      </c>
      <c r="F38" s="127">
        <f t="shared" si="1"/>
        <v>6.7265329942706904E-3</v>
      </c>
      <c r="G38" s="43">
        <v>333481</v>
      </c>
      <c r="H38" s="119">
        <f t="shared" si="2"/>
        <v>6.5139318183949066E-2</v>
      </c>
      <c r="I38" s="45">
        <f t="shared" si="15"/>
        <v>5.5368420456356704E-2</v>
      </c>
      <c r="J38" s="46">
        <v>247</v>
      </c>
      <c r="K38" s="116">
        <f t="shared" si="3"/>
        <v>3.8461454615327825E-3</v>
      </c>
      <c r="L38" s="47">
        <f t="shared" si="16"/>
        <v>5.769218192299174E-4</v>
      </c>
      <c r="M38" s="127">
        <f t="shared" si="17"/>
        <v>5.5945342275586618E-2</v>
      </c>
      <c r="N38" s="48">
        <v>7826</v>
      </c>
      <c r="O38" s="49">
        <v>1628</v>
      </c>
      <c r="P38" s="49">
        <v>22499</v>
      </c>
      <c r="Q38" s="49">
        <v>705</v>
      </c>
      <c r="R38" s="50">
        <f t="shared" si="18"/>
        <v>4.5764904294860248E-3</v>
      </c>
      <c r="S38" s="50">
        <f t="shared" si="18"/>
        <v>4.6269454202335072E-3</v>
      </c>
      <c r="T38" s="50">
        <f t="shared" si="18"/>
        <v>1.6835629066920484E-2</v>
      </c>
      <c r="U38" s="50">
        <f t="shared" si="18"/>
        <v>4.5027207929898066E-3</v>
      </c>
      <c r="V38" s="51">
        <f t="shared" si="19"/>
        <v>3.0541785709629822E-2</v>
      </c>
      <c r="W38" s="52">
        <v>16068.000000124277</v>
      </c>
      <c r="X38" s="52">
        <v>2619</v>
      </c>
      <c r="Y38" s="52">
        <v>3702</v>
      </c>
      <c r="Z38" s="52">
        <v>260</v>
      </c>
      <c r="AA38" s="53">
        <f t="shared" si="20"/>
        <v>1.2636923599912874E-2</v>
      </c>
      <c r="AB38" s="53">
        <f t="shared" si="5"/>
        <v>8.939542885229787E-3</v>
      </c>
      <c r="AC38" s="53">
        <f t="shared" si="5"/>
        <v>7.5173007570096496E-3</v>
      </c>
      <c r="AD38" s="53">
        <f t="shared" si="5"/>
        <v>4.7355383942882124E-3</v>
      </c>
      <c r="AE38" s="44">
        <f t="shared" si="21"/>
        <v>3.3829305636440522E-2</v>
      </c>
      <c r="AF38" s="54">
        <f t="shared" si="6"/>
        <v>2.8754909790974444E-2</v>
      </c>
      <c r="AG38" s="44">
        <f t="shared" si="7"/>
        <v>0.10764006918476104</v>
      </c>
      <c r="AH38" s="44">
        <f t="shared" si="8"/>
        <v>0</v>
      </c>
      <c r="AI38" s="45">
        <f t="shared" si="22"/>
        <v>0</v>
      </c>
      <c r="AJ38" s="45">
        <f t="shared" si="9"/>
        <v>0</v>
      </c>
      <c r="AK38" s="127">
        <f t="shared" si="10"/>
        <v>2.8754909790974444E-2</v>
      </c>
      <c r="AM38" s="57">
        <f t="shared" si="11"/>
        <v>26203440.764479596</v>
      </c>
      <c r="AN38" s="58">
        <f t="shared" si="12"/>
        <v>108968503.06208998</v>
      </c>
      <c r="AO38" s="58">
        <f t="shared" si="13"/>
        <v>56007870.327665538</v>
      </c>
      <c r="AP38" s="58">
        <f t="shared" si="23"/>
        <v>191179814.15423512</v>
      </c>
      <c r="AQ38" s="59">
        <f t="shared" si="24"/>
        <v>2.4538329513775606E-2</v>
      </c>
    </row>
    <row r="39" spans="1:43" ht="13.8">
      <c r="A39" s="4" t="s">
        <v>32</v>
      </c>
      <c r="B39" s="46">
        <v>3655474</v>
      </c>
      <c r="C39" s="46">
        <v>1144646</v>
      </c>
      <c r="D39" s="55">
        <f t="shared" si="0"/>
        <v>0.31313203157784736</v>
      </c>
      <c r="E39" s="56">
        <f t="shared" si="14"/>
        <v>358425.32741745666</v>
      </c>
      <c r="F39" s="127">
        <f t="shared" si="1"/>
        <v>2.116007204547584E-4</v>
      </c>
      <c r="G39" s="43">
        <v>5238</v>
      </c>
      <c r="H39" s="119">
        <f t="shared" si="2"/>
        <v>1.0231459922680009E-3</v>
      </c>
      <c r="I39" s="45">
        <f t="shared" si="15"/>
        <v>8.6967409342780073E-4</v>
      </c>
      <c r="J39" s="46">
        <v>3428.68</v>
      </c>
      <c r="K39" s="116">
        <f t="shared" si="3"/>
        <v>5.3389481866591988E-2</v>
      </c>
      <c r="L39" s="47">
        <f t="shared" si="16"/>
        <v>8.0084222799887972E-3</v>
      </c>
      <c r="M39" s="127">
        <f t="shared" si="17"/>
        <v>8.8780963734165982E-3</v>
      </c>
      <c r="N39" s="48">
        <v>900</v>
      </c>
      <c r="O39" s="49">
        <v>209</v>
      </c>
      <c r="P39" s="49">
        <v>2198</v>
      </c>
      <c r="Q39" s="49">
        <v>203</v>
      </c>
      <c r="R39" s="50">
        <f t="shared" si="18"/>
        <v>5.2630224719363945E-4</v>
      </c>
      <c r="S39" s="50">
        <f t="shared" si="18"/>
        <v>5.9399974989484219E-4</v>
      </c>
      <c r="T39" s="50">
        <f t="shared" si="18"/>
        <v>1.6447269962705554E-3</v>
      </c>
      <c r="U39" s="50">
        <f t="shared" si="18"/>
        <v>1.2965281148608946E-3</v>
      </c>
      <c r="V39" s="51">
        <f t="shared" si="19"/>
        <v>4.0615571082199316E-3</v>
      </c>
      <c r="W39" s="52">
        <v>711.99999999240003</v>
      </c>
      <c r="X39" s="52">
        <v>170</v>
      </c>
      <c r="Y39" s="52">
        <v>749</v>
      </c>
      <c r="Z39" s="52">
        <v>32</v>
      </c>
      <c r="AA39" s="53">
        <f t="shared" si="20"/>
        <v>5.5996325634629924E-4</v>
      </c>
      <c r="AB39" s="53">
        <f t="shared" si="5"/>
        <v>5.8026815215313622E-4</v>
      </c>
      <c r="AC39" s="53">
        <f t="shared" si="5"/>
        <v>1.5209233568342052E-3</v>
      </c>
      <c r="AD39" s="53">
        <f t="shared" si="5"/>
        <v>5.8283549468162615E-4</v>
      </c>
      <c r="AE39" s="44">
        <f t="shared" si="21"/>
        <v>3.2439902600152671E-3</v>
      </c>
      <c r="AF39" s="54">
        <f t="shared" si="6"/>
        <v>2.7573917210129768E-3</v>
      </c>
      <c r="AG39" s="44">
        <f t="shared" si="7"/>
        <v>-0.20129394378083273</v>
      </c>
      <c r="AH39" s="44">
        <f t="shared" si="8"/>
        <v>-0.20129394378083273</v>
      </c>
      <c r="AI39" s="45">
        <f t="shared" si="22"/>
        <v>3.7509198529186154E-2</v>
      </c>
      <c r="AJ39" s="45">
        <f t="shared" si="9"/>
        <v>5.6263797793779232E-3</v>
      </c>
      <c r="AK39" s="127">
        <f t="shared" si="10"/>
        <v>8.3837715003909005E-3</v>
      </c>
      <c r="AM39" s="57">
        <f t="shared" si="11"/>
        <v>824297.88850811042</v>
      </c>
      <c r="AN39" s="58">
        <f t="shared" si="12"/>
        <v>17292464.975665081</v>
      </c>
      <c r="AO39" s="58">
        <f t="shared" si="13"/>
        <v>16329635.198440285</v>
      </c>
      <c r="AP39" s="58">
        <f t="shared" si="23"/>
        <v>34446398.06261348</v>
      </c>
      <c r="AQ39" s="59">
        <f t="shared" si="24"/>
        <v>4.4212673286792535E-3</v>
      </c>
    </row>
    <row r="40" spans="1:43" ht="13.8">
      <c r="A40" s="4" t="s">
        <v>33</v>
      </c>
      <c r="B40" s="46">
        <v>36642593</v>
      </c>
      <c r="C40" s="46">
        <v>10001944</v>
      </c>
      <c r="D40" s="55">
        <f t="shared" ref="D40:D59" si="25">+C40/B40</f>
        <v>0.27295950371197802</v>
      </c>
      <c r="E40" s="56">
        <f t="shared" si="14"/>
        <v>2730125.6703949962</v>
      </c>
      <c r="F40" s="127">
        <f t="shared" ref="F40:F58" si="26">+E40/E$59</f>
        <v>1.6117626590454932E-3</v>
      </c>
      <c r="G40" s="43">
        <v>79853</v>
      </c>
      <c r="H40" s="119">
        <f t="shared" ref="H40:H58" si="27">+G40/$G$59</f>
        <v>1.5597800099384627E-2</v>
      </c>
      <c r="I40" s="45">
        <f t="shared" si="15"/>
        <v>1.3258130084476932E-2</v>
      </c>
      <c r="J40" s="46">
        <v>2539.67</v>
      </c>
      <c r="K40" s="116">
        <f t="shared" ref="K40:K59" si="28">+J40/$J$59</f>
        <v>3.9546316778505917E-2</v>
      </c>
      <c r="L40" s="47">
        <f t="shared" si="16"/>
        <v>5.9319475167758876E-3</v>
      </c>
      <c r="M40" s="127">
        <f t="shared" si="17"/>
        <v>1.9190077601252818E-2</v>
      </c>
      <c r="N40" s="48">
        <v>12929</v>
      </c>
      <c r="O40" s="49">
        <v>2053</v>
      </c>
      <c r="P40" s="49">
        <v>23315</v>
      </c>
      <c r="Q40" s="49">
        <v>2592</v>
      </c>
      <c r="R40" s="50">
        <f t="shared" si="18"/>
        <v>7.5606241710739607E-3</v>
      </c>
      <c r="S40" s="50">
        <f t="shared" si="18"/>
        <v>5.8348396484885689E-3</v>
      </c>
      <c r="T40" s="50">
        <f t="shared" si="18"/>
        <v>1.7446228352160146E-2</v>
      </c>
      <c r="U40" s="50">
        <f t="shared" si="18"/>
        <v>1.6554684106992311E-2</v>
      </c>
      <c r="V40" s="51">
        <f t="shared" si="19"/>
        <v>4.7396376278714986E-2</v>
      </c>
      <c r="W40" s="52">
        <v>10671.999999957041</v>
      </c>
      <c r="X40" s="52">
        <v>1702</v>
      </c>
      <c r="Y40" s="52">
        <v>11424</v>
      </c>
      <c r="Z40" s="52">
        <v>888</v>
      </c>
      <c r="AA40" s="53">
        <f t="shared" si="20"/>
        <v>8.3931571232688726E-3</v>
      </c>
      <c r="AB40" s="53">
        <f t="shared" si="5"/>
        <v>5.8095082056743401E-3</v>
      </c>
      <c r="AC40" s="53">
        <f t="shared" si="5"/>
        <v>2.3197634750966568E-2</v>
      </c>
      <c r="AD40" s="53">
        <f t="shared" si="5"/>
        <v>1.6173684977415125E-2</v>
      </c>
      <c r="AE40" s="44">
        <f t="shared" si="21"/>
        <v>5.3573985057324913E-2</v>
      </c>
      <c r="AF40" s="54">
        <f t="shared" ref="AF40:AF58" si="29">+AE40*AF$4</f>
        <v>4.5537887298726175E-2</v>
      </c>
      <c r="AG40" s="44">
        <f t="shared" si="7"/>
        <v>0.13033926353952507</v>
      </c>
      <c r="AH40" s="44">
        <f t="shared" si="8"/>
        <v>0</v>
      </c>
      <c r="AI40" s="45">
        <f t="shared" si="22"/>
        <v>0</v>
      </c>
      <c r="AJ40" s="45">
        <f t="shared" ref="AJ40:AJ58" si="30">+AI40*AJ$4</f>
        <v>0</v>
      </c>
      <c r="AK40" s="127">
        <f t="shared" si="10"/>
        <v>4.5537887298726175E-2</v>
      </c>
      <c r="AM40" s="57">
        <f t="shared" ref="AM40:AM58" si="31">+F40*AM$6</f>
        <v>6278676.9051264878</v>
      </c>
      <c r="AN40" s="58">
        <f t="shared" ref="AN40:AN58" si="32">+M40*AN$6</f>
        <v>37377803.849211246</v>
      </c>
      <c r="AO40" s="58">
        <f t="shared" ref="AO40:AO58" si="33">+AK40*AO$6</f>
        <v>88697203.551076502</v>
      </c>
      <c r="AP40" s="58">
        <f t="shared" si="23"/>
        <v>132353684.30541423</v>
      </c>
      <c r="AQ40" s="59">
        <f t="shared" si="24"/>
        <v>1.6987872554517489E-2</v>
      </c>
    </row>
    <row r="41" spans="1:43" ht="13.8">
      <c r="A41" s="4" t="s">
        <v>34</v>
      </c>
      <c r="B41" s="46">
        <v>1511371</v>
      </c>
      <c r="C41" s="46">
        <v>491980</v>
      </c>
      <c r="D41" s="55">
        <f t="shared" si="25"/>
        <v>0.32551901551637552</v>
      </c>
      <c r="E41" s="56">
        <f t="shared" si="14"/>
        <v>160148.84525374643</v>
      </c>
      <c r="F41" s="127">
        <f t="shared" si="26"/>
        <v>9.4545804784106635E-5</v>
      </c>
      <c r="G41" s="43">
        <v>5630</v>
      </c>
      <c r="H41" s="119">
        <f t="shared" si="27"/>
        <v>1.0997159099787792E-3</v>
      </c>
      <c r="I41" s="45">
        <f t="shared" si="15"/>
        <v>9.3475852348196226E-4</v>
      </c>
      <c r="J41" s="46">
        <v>264.23</v>
      </c>
      <c r="K41" s="116">
        <f t="shared" si="28"/>
        <v>4.114441357493147E-3</v>
      </c>
      <c r="L41" s="47">
        <f t="shared" si="16"/>
        <v>6.1716620362397201E-4</v>
      </c>
      <c r="M41" s="127">
        <f t="shared" si="17"/>
        <v>1.5519247271059342E-3</v>
      </c>
      <c r="N41" s="48">
        <v>549</v>
      </c>
      <c r="O41" s="49">
        <v>170</v>
      </c>
      <c r="P41" s="49">
        <v>368</v>
      </c>
      <c r="Q41" s="49">
        <v>141</v>
      </c>
      <c r="R41" s="50">
        <f t="shared" si="18"/>
        <v>3.2104437078812008E-4</v>
      </c>
      <c r="S41" s="50">
        <f t="shared" si="18"/>
        <v>4.8315769130202469E-4</v>
      </c>
      <c r="T41" s="50">
        <f t="shared" si="18"/>
        <v>2.7536830510808204E-4</v>
      </c>
      <c r="U41" s="50">
        <f t="shared" si="18"/>
        <v>9.0054415859796135E-4</v>
      </c>
      <c r="V41" s="51">
        <f t="shared" si="19"/>
        <v>1.9801145257961881E-3</v>
      </c>
      <c r="W41" s="52">
        <v>273.99999999933596</v>
      </c>
      <c r="X41" s="52">
        <v>118</v>
      </c>
      <c r="Y41" s="52">
        <v>143</v>
      </c>
      <c r="Z41" s="52">
        <v>8</v>
      </c>
      <c r="AA41" s="53">
        <f t="shared" si="20"/>
        <v>2.1549147786538184E-4</v>
      </c>
      <c r="AB41" s="53">
        <f t="shared" si="5"/>
        <v>4.0277436443570628E-4</v>
      </c>
      <c r="AC41" s="53">
        <f t="shared" si="5"/>
        <v>2.9037655544364666E-4</v>
      </c>
      <c r="AD41" s="53">
        <f t="shared" si="5"/>
        <v>1.4570887367040654E-4</v>
      </c>
      <c r="AE41" s="44">
        <f t="shared" si="21"/>
        <v>1.0543512714151413E-3</v>
      </c>
      <c r="AF41" s="54">
        <f t="shared" si="29"/>
        <v>8.9619858070287008E-4</v>
      </c>
      <c r="AG41" s="44">
        <f t="shared" si="7"/>
        <v>-0.46753015662505931</v>
      </c>
      <c r="AH41" s="44">
        <f t="shared" si="8"/>
        <v>-0.46753015662505931</v>
      </c>
      <c r="AI41" s="45">
        <f t="shared" si="22"/>
        <v>8.7119766913229382E-2</v>
      </c>
      <c r="AJ41" s="45">
        <f t="shared" si="30"/>
        <v>1.3067965036984408E-2</v>
      </c>
      <c r="AK41" s="127">
        <f t="shared" si="10"/>
        <v>1.3964163617687278E-2</v>
      </c>
      <c r="AM41" s="57">
        <f t="shared" si="31"/>
        <v>368306.43621320691</v>
      </c>
      <c r="AN41" s="58">
        <f t="shared" si="32"/>
        <v>3022788.0910038268</v>
      </c>
      <c r="AO41" s="58">
        <f t="shared" si="33"/>
        <v>27198939.966044318</v>
      </c>
      <c r="AP41" s="58">
        <f t="shared" si="23"/>
        <v>30590034.493261352</v>
      </c>
      <c r="AQ41" s="59">
        <f t="shared" si="24"/>
        <v>3.9262949885903549E-3</v>
      </c>
    </row>
    <row r="42" spans="1:43" ht="13.8">
      <c r="A42" s="4" t="s">
        <v>35</v>
      </c>
      <c r="B42" s="46">
        <v>713650</v>
      </c>
      <c r="C42" s="46">
        <v>296444</v>
      </c>
      <c r="D42" s="55">
        <f t="shared" si="25"/>
        <v>0.41539129825544735</v>
      </c>
      <c r="E42" s="56">
        <f t="shared" si="14"/>
        <v>123140.25802003783</v>
      </c>
      <c r="F42" s="127">
        <f t="shared" si="26"/>
        <v>7.2697338387799971E-5</v>
      </c>
      <c r="G42" s="43">
        <v>955</v>
      </c>
      <c r="H42" s="119">
        <f t="shared" si="27"/>
        <v>1.8654150870865615E-4</v>
      </c>
      <c r="I42" s="45">
        <f t="shared" si="15"/>
        <v>1.5856028240235771E-4</v>
      </c>
      <c r="J42" s="46">
        <v>207.92</v>
      </c>
      <c r="K42" s="116">
        <f t="shared" si="28"/>
        <v>3.2376136208983647E-3</v>
      </c>
      <c r="L42" s="47">
        <f t="shared" si="16"/>
        <v>4.8564204313475466E-4</v>
      </c>
      <c r="M42" s="127">
        <f t="shared" si="17"/>
        <v>6.4420232553711243E-4</v>
      </c>
      <c r="N42" s="48">
        <v>166</v>
      </c>
      <c r="O42" s="49">
        <v>24</v>
      </c>
      <c r="P42" s="49">
        <v>127</v>
      </c>
      <c r="Q42" s="49">
        <v>48</v>
      </c>
      <c r="R42" s="50">
        <f t="shared" si="18"/>
        <v>9.7073525593493502E-5</v>
      </c>
      <c r="S42" s="50">
        <f t="shared" si="18"/>
        <v>6.821049759557996E-5</v>
      </c>
      <c r="T42" s="50">
        <f t="shared" si="18"/>
        <v>9.5031996599800059E-5</v>
      </c>
      <c r="U42" s="50">
        <f t="shared" si="18"/>
        <v>3.0656822420356133E-4</v>
      </c>
      <c r="V42" s="51">
        <f t="shared" si="19"/>
        <v>5.668842439924349E-4</v>
      </c>
      <c r="W42" s="52">
        <v>122.00000000265999</v>
      </c>
      <c r="X42" s="52">
        <v>28</v>
      </c>
      <c r="Y42" s="52">
        <v>16</v>
      </c>
      <c r="Z42" s="52">
        <v>3</v>
      </c>
      <c r="AA42" s="53">
        <f t="shared" si="20"/>
        <v>9.5948760219757314E-5</v>
      </c>
      <c r="AB42" s="53">
        <f t="shared" si="5"/>
        <v>9.5573578001693018E-5</v>
      </c>
      <c r="AC42" s="53">
        <f t="shared" si="5"/>
        <v>3.2489684525163258E-5</v>
      </c>
      <c r="AD42" s="53">
        <f t="shared" si="5"/>
        <v>5.4640827626402448E-5</v>
      </c>
      <c r="AE42" s="44">
        <f t="shared" si="21"/>
        <v>2.7865285037301604E-4</v>
      </c>
      <c r="AF42" s="54">
        <f t="shared" si="29"/>
        <v>2.3685492281706362E-4</v>
      </c>
      <c r="AG42" s="44">
        <f t="shared" si="7"/>
        <v>-0.50844841195350865</v>
      </c>
      <c r="AH42" s="44">
        <f t="shared" si="8"/>
        <v>-0.50844841195350865</v>
      </c>
      <c r="AI42" s="45">
        <f t="shared" si="22"/>
        <v>9.474449189876509E-2</v>
      </c>
      <c r="AJ42" s="45">
        <f t="shared" si="30"/>
        <v>1.4211673784814763E-2</v>
      </c>
      <c r="AK42" s="127">
        <f t="shared" si="10"/>
        <v>1.4448528707631827E-2</v>
      </c>
      <c r="AM42" s="57">
        <f t="shared" si="31"/>
        <v>283194.98347849579</v>
      </c>
      <c r="AN42" s="58">
        <f t="shared" si="32"/>
        <v>1254756.1642773105</v>
      </c>
      <c r="AO42" s="58">
        <f t="shared" si="33"/>
        <v>28142370.404396009</v>
      </c>
      <c r="AP42" s="58">
        <f t="shared" si="23"/>
        <v>29680321.552151814</v>
      </c>
      <c r="AQ42" s="59">
        <f t="shared" si="24"/>
        <v>3.8095314274861334E-3</v>
      </c>
    </row>
    <row r="43" spans="1:43" ht="13.8">
      <c r="A43" s="4" t="s">
        <v>36</v>
      </c>
      <c r="B43" s="46">
        <v>721640</v>
      </c>
      <c r="C43" s="46">
        <v>94052</v>
      </c>
      <c r="D43" s="55">
        <f t="shared" si="25"/>
        <v>0.13033091292056981</v>
      </c>
      <c r="E43" s="56">
        <f t="shared" si="14"/>
        <v>12257.883022005431</v>
      </c>
      <c r="F43" s="127">
        <f t="shared" si="26"/>
        <v>7.2365892706168557E-6</v>
      </c>
      <c r="G43" s="43">
        <v>6996</v>
      </c>
      <c r="H43" s="119">
        <f t="shared" si="27"/>
        <v>1.3665386334301135E-3</v>
      </c>
      <c r="I43" s="45">
        <f t="shared" si="15"/>
        <v>1.1615578384155964E-3</v>
      </c>
      <c r="J43" s="46">
        <v>1006.78</v>
      </c>
      <c r="K43" s="116">
        <f t="shared" si="28"/>
        <v>1.5677013472720547E-2</v>
      </c>
      <c r="L43" s="47">
        <f t="shared" si="16"/>
        <v>2.3515520209080819E-3</v>
      </c>
      <c r="M43" s="127">
        <f t="shared" si="17"/>
        <v>3.5131098593236786E-3</v>
      </c>
      <c r="N43" s="48">
        <v>1457</v>
      </c>
      <c r="O43" s="49">
        <v>857</v>
      </c>
      <c r="P43" s="49">
        <v>6591</v>
      </c>
      <c r="Q43" s="49">
        <v>540</v>
      </c>
      <c r="R43" s="50">
        <f t="shared" si="18"/>
        <v>8.5202486017903634E-4</v>
      </c>
      <c r="S43" s="50">
        <f t="shared" si="18"/>
        <v>2.4356831849755012E-3</v>
      </c>
      <c r="T43" s="50">
        <f t="shared" si="18"/>
        <v>4.9319361384982845E-3</v>
      </c>
      <c r="U43" s="50">
        <f t="shared" si="18"/>
        <v>3.4488925222900648E-3</v>
      </c>
      <c r="V43" s="51">
        <f t="shared" si="19"/>
        <v>1.1668536705942888E-2</v>
      </c>
      <c r="W43" s="52">
        <v>1103.9999999949041</v>
      </c>
      <c r="X43" s="52">
        <v>656</v>
      </c>
      <c r="Y43" s="52">
        <v>3161</v>
      </c>
      <c r="Z43" s="52">
        <v>242</v>
      </c>
      <c r="AA43" s="53">
        <f t="shared" si="20"/>
        <v>8.6825763344109482E-4</v>
      </c>
      <c r="AB43" s="53">
        <f t="shared" si="5"/>
        <v>2.2391523988968078E-3</v>
      </c>
      <c r="AC43" s="53">
        <f t="shared" si="5"/>
        <v>6.4187432990025668E-3</v>
      </c>
      <c r="AD43" s="53">
        <f t="shared" si="5"/>
        <v>4.4076934285297974E-3</v>
      </c>
      <c r="AE43" s="44">
        <f t="shared" si="21"/>
        <v>1.3933846759870267E-2</v>
      </c>
      <c r="AF43" s="54">
        <f t="shared" si="29"/>
        <v>1.1843769745889727E-2</v>
      </c>
      <c r="AG43" s="44">
        <f t="shared" si="7"/>
        <v>0.19413831494172162</v>
      </c>
      <c r="AH43" s="44">
        <f t="shared" si="8"/>
        <v>0</v>
      </c>
      <c r="AI43" s="45">
        <f t="shared" si="22"/>
        <v>0</v>
      </c>
      <c r="AJ43" s="45">
        <f t="shared" si="30"/>
        <v>0</v>
      </c>
      <c r="AK43" s="127">
        <f t="shared" si="10"/>
        <v>1.1843769745889727E-2</v>
      </c>
      <c r="AM43" s="57">
        <f t="shared" si="31"/>
        <v>28190.38254194082</v>
      </c>
      <c r="AN43" s="58">
        <f t="shared" si="32"/>
        <v>6842720.1781590441</v>
      </c>
      <c r="AO43" s="58">
        <f t="shared" si="33"/>
        <v>23068906.316886786</v>
      </c>
      <c r="AP43" s="58">
        <f t="shared" si="23"/>
        <v>29939816.877587773</v>
      </c>
      <c r="AQ43" s="59">
        <f t="shared" si="24"/>
        <v>3.8428381959386593E-3</v>
      </c>
    </row>
    <row r="44" spans="1:43" ht="13.8">
      <c r="A44" s="4" t="s">
        <v>37</v>
      </c>
      <c r="B44" s="46">
        <v>4192006</v>
      </c>
      <c r="C44" s="46">
        <v>601205</v>
      </c>
      <c r="D44" s="55">
        <f t="shared" si="25"/>
        <v>0.14341701800999332</v>
      </c>
      <c r="E44" s="56">
        <f t="shared" si="14"/>
        <v>86223.028312698036</v>
      </c>
      <c r="F44" s="127">
        <f t="shared" si="26"/>
        <v>5.0902806010436367E-5</v>
      </c>
      <c r="G44" s="43">
        <v>5326</v>
      </c>
      <c r="H44" s="119">
        <f t="shared" si="27"/>
        <v>1.0403351574683798E-3</v>
      </c>
      <c r="I44" s="45">
        <f t="shared" si="15"/>
        <v>8.8428488384812277E-4</v>
      </c>
      <c r="J44" s="46">
        <v>3872.26</v>
      </c>
      <c r="K44" s="116">
        <f t="shared" si="28"/>
        <v>6.0296660829453175E-2</v>
      </c>
      <c r="L44" s="47">
        <f t="shared" si="16"/>
        <v>9.0444991244179752E-3</v>
      </c>
      <c r="M44" s="127">
        <f t="shared" si="17"/>
        <v>9.9287840082660974E-3</v>
      </c>
      <c r="N44" s="48">
        <v>871</v>
      </c>
      <c r="O44" s="49">
        <v>298</v>
      </c>
      <c r="P44" s="49">
        <v>2364</v>
      </c>
      <c r="Q44" s="49">
        <v>407</v>
      </c>
      <c r="R44" s="50">
        <f t="shared" si="18"/>
        <v>5.0934361922851112E-4</v>
      </c>
      <c r="S44" s="50">
        <f t="shared" si="18"/>
        <v>8.4694701181178454E-4</v>
      </c>
      <c r="T44" s="50">
        <f t="shared" si="18"/>
        <v>1.7689420469443097E-3</v>
      </c>
      <c r="U44" s="50">
        <f t="shared" si="18"/>
        <v>2.5994430677260304E-3</v>
      </c>
      <c r="V44" s="51">
        <f t="shared" si="19"/>
        <v>5.7246757457106359E-3</v>
      </c>
      <c r="W44" s="52">
        <v>541.99999999184001</v>
      </c>
      <c r="X44" s="52">
        <v>247</v>
      </c>
      <c r="Y44" s="52">
        <v>493</v>
      </c>
      <c r="Z44" s="52">
        <v>128</v>
      </c>
      <c r="AA44" s="53">
        <f t="shared" si="20"/>
        <v>4.2626416423927597E-4</v>
      </c>
      <c r="AB44" s="53">
        <f t="shared" si="5"/>
        <v>8.4309549165779193E-4</v>
      </c>
      <c r="AC44" s="53">
        <f t="shared" si="5"/>
        <v>1.0010884044315931E-3</v>
      </c>
      <c r="AD44" s="53">
        <f t="shared" si="5"/>
        <v>2.3313419787265046E-3</v>
      </c>
      <c r="AE44" s="44">
        <f t="shared" si="21"/>
        <v>4.6017900390551651E-3</v>
      </c>
      <c r="AF44" s="54">
        <f t="shared" si="29"/>
        <v>3.9115215331968906E-3</v>
      </c>
      <c r="AG44" s="44">
        <f t="shared" si="7"/>
        <v>-0.19614835084708904</v>
      </c>
      <c r="AH44" s="44">
        <f t="shared" si="8"/>
        <v>-0.19614835084708904</v>
      </c>
      <c r="AI44" s="45">
        <f t="shared" si="22"/>
        <v>3.655036656794089E-2</v>
      </c>
      <c r="AJ44" s="45">
        <f t="shared" si="30"/>
        <v>5.4825549851911333E-3</v>
      </c>
      <c r="AK44" s="127">
        <f t="shared" si="10"/>
        <v>9.3940765183880247E-3</v>
      </c>
      <c r="AM44" s="57">
        <f t="shared" si="31"/>
        <v>198293.63257064985</v>
      </c>
      <c r="AN44" s="58">
        <f t="shared" si="32"/>
        <v>19338959.895499714</v>
      </c>
      <c r="AO44" s="58">
        <f t="shared" si="33"/>
        <v>18297474.181441844</v>
      </c>
      <c r="AP44" s="58">
        <f t="shared" si="23"/>
        <v>37834727.709512204</v>
      </c>
      <c r="AQ44" s="59">
        <f t="shared" si="24"/>
        <v>4.8561665346687471E-3</v>
      </c>
    </row>
    <row r="45" spans="1:43" ht="13.8">
      <c r="A45" s="4" t="s">
        <v>38</v>
      </c>
      <c r="B45" s="46">
        <v>68064400</v>
      </c>
      <c r="C45" s="46">
        <v>16720965.199999999</v>
      </c>
      <c r="D45" s="55">
        <f t="shared" si="25"/>
        <v>0.24566388890521329</v>
      </c>
      <c r="E45" s="56">
        <f t="shared" si="14"/>
        <v>4107737.3372807372</v>
      </c>
      <c r="F45" s="127">
        <f t="shared" si="26"/>
        <v>2.4250523428975225E-3</v>
      </c>
      <c r="G45" s="43">
        <v>60829</v>
      </c>
      <c r="H45" s="119">
        <f t="shared" si="27"/>
        <v>1.1881815113339104E-2</v>
      </c>
      <c r="I45" s="45">
        <f t="shared" si="15"/>
        <v>1.0099542846338239E-2</v>
      </c>
      <c r="J45" s="46">
        <v>1869.3</v>
      </c>
      <c r="K45" s="116">
        <f t="shared" si="28"/>
        <v>2.9107691138636562E-2</v>
      </c>
      <c r="L45" s="47">
        <f t="shared" si="16"/>
        <v>4.3661536707954845E-3</v>
      </c>
      <c r="M45" s="127">
        <f t="shared" si="17"/>
        <v>1.4465696517133723E-2</v>
      </c>
      <c r="N45" s="48">
        <v>9097</v>
      </c>
      <c r="O45" s="49">
        <v>1608</v>
      </c>
      <c r="P45" s="49">
        <v>18077</v>
      </c>
      <c r="Q45" s="49">
        <v>1611</v>
      </c>
      <c r="R45" s="50">
        <f t="shared" si="18"/>
        <v>5.3197461585783755E-3</v>
      </c>
      <c r="S45" s="50">
        <f t="shared" si="18"/>
        <v>4.5701033389038571E-3</v>
      </c>
      <c r="T45" s="50">
        <f t="shared" si="18"/>
        <v>1.3526719704996738E-2</v>
      </c>
      <c r="U45" s="50">
        <f t="shared" si="18"/>
        <v>1.0289196024832026E-2</v>
      </c>
      <c r="V45" s="51">
        <f t="shared" si="19"/>
        <v>3.3705765227310995E-2</v>
      </c>
      <c r="W45" s="52">
        <v>5867.9999999965466</v>
      </c>
      <c r="X45" s="52">
        <v>1434</v>
      </c>
      <c r="Y45" s="52">
        <v>7372</v>
      </c>
      <c r="Z45" s="52">
        <v>494</v>
      </c>
      <c r="AA45" s="53">
        <f t="shared" si="20"/>
        <v>4.6149780734174488E-3</v>
      </c>
      <c r="AB45" s="53">
        <f t="shared" si="5"/>
        <v>4.8947325305152781E-3</v>
      </c>
      <c r="AC45" s="53">
        <f t="shared" si="5"/>
        <v>1.4969622144968973E-2</v>
      </c>
      <c r="AD45" s="53">
        <f t="shared" si="5"/>
        <v>8.9975229491476034E-3</v>
      </c>
      <c r="AE45" s="44">
        <f t="shared" si="21"/>
        <v>3.3476855698049306E-2</v>
      </c>
      <c r="AF45" s="54">
        <f t="shared" si="29"/>
        <v>2.8455327343341909E-2</v>
      </c>
      <c r="AG45" s="44">
        <f t="shared" si="7"/>
        <v>-6.7914057941698752E-3</v>
      </c>
      <c r="AH45" s="44">
        <f t="shared" si="8"/>
        <v>-6.7914057941698752E-3</v>
      </c>
      <c r="AI45" s="45">
        <f t="shared" si="22"/>
        <v>1.2655134249997214E-3</v>
      </c>
      <c r="AJ45" s="45">
        <f t="shared" si="30"/>
        <v>1.898270137499582E-4</v>
      </c>
      <c r="AK45" s="127">
        <f t="shared" si="10"/>
        <v>2.8645154357091869E-2</v>
      </c>
      <c r="AM45" s="57">
        <f t="shared" si="31"/>
        <v>9446874.8569287863</v>
      </c>
      <c r="AN45" s="58">
        <f t="shared" si="32"/>
        <v>28175809.300757773</v>
      </c>
      <c r="AO45" s="58">
        <f t="shared" si="33"/>
        <v>55794092.292772122</v>
      </c>
      <c r="AP45" s="58">
        <f t="shared" si="23"/>
        <v>93416776.450458676</v>
      </c>
      <c r="AQ45" s="59">
        <f t="shared" si="24"/>
        <v>1.1990238890005155E-2</v>
      </c>
    </row>
    <row r="46" spans="1:43" ht="13.8">
      <c r="A46" s="4" t="s">
        <v>39</v>
      </c>
      <c r="B46" s="46">
        <v>2173533369</v>
      </c>
      <c r="C46" s="46">
        <v>1201710192.6199999</v>
      </c>
      <c r="D46" s="55">
        <f t="shared" si="25"/>
        <v>0.55288324980852865</v>
      </c>
      <c r="E46" s="56">
        <f t="shared" si="14"/>
        <v>664405436.62377846</v>
      </c>
      <c r="F46" s="127">
        <f t="shared" si="26"/>
        <v>0.39223977299993296</v>
      </c>
      <c r="G46" s="43">
        <v>1109171</v>
      </c>
      <c r="H46" s="119">
        <f t="shared" si="27"/>
        <v>0.21665594948260614</v>
      </c>
      <c r="I46" s="45">
        <f t="shared" si="15"/>
        <v>0.18415755706021522</v>
      </c>
      <c r="J46" s="46">
        <v>323.60000000000002</v>
      </c>
      <c r="K46" s="116">
        <f t="shared" si="28"/>
        <v>5.0389176977814112E-3</v>
      </c>
      <c r="L46" s="47">
        <f t="shared" si="16"/>
        <v>7.558376546672117E-4</v>
      </c>
      <c r="M46" s="127">
        <f t="shared" si="17"/>
        <v>0.18491339471488244</v>
      </c>
      <c r="N46" s="48">
        <v>123398</v>
      </c>
      <c r="O46" s="49">
        <v>25536</v>
      </c>
      <c r="P46" s="49">
        <v>28126</v>
      </c>
      <c r="Q46" s="49">
        <v>2378</v>
      </c>
      <c r="R46" s="50">
        <f t="shared" si="18"/>
        <v>7.2160716332445252E-2</v>
      </c>
      <c r="S46" s="50">
        <f t="shared" si="18"/>
        <v>7.2575969441697072E-2</v>
      </c>
      <c r="T46" s="50">
        <f t="shared" si="18"/>
        <v>2.104621997138564E-2</v>
      </c>
      <c r="U46" s="50">
        <f t="shared" si="18"/>
        <v>1.5187900774084766E-2</v>
      </c>
      <c r="V46" s="51">
        <f t="shared" si="19"/>
        <v>0.18097080651961275</v>
      </c>
      <c r="W46" s="52">
        <v>88873.999998769097</v>
      </c>
      <c r="X46" s="52">
        <v>19246</v>
      </c>
      <c r="Y46" s="52">
        <v>4982</v>
      </c>
      <c r="Z46" s="52">
        <v>694</v>
      </c>
      <c r="AA46" s="53">
        <f t="shared" si="20"/>
        <v>6.9896312421858064E-2</v>
      </c>
      <c r="AB46" s="53">
        <f t="shared" si="5"/>
        <v>6.5693181507877993E-2</v>
      </c>
      <c r="AC46" s="53">
        <f t="shared" si="5"/>
        <v>1.011647551902271E-2</v>
      </c>
      <c r="AD46" s="53">
        <f t="shared" si="5"/>
        <v>1.2640244790907766E-2</v>
      </c>
      <c r="AE46" s="44">
        <f t="shared" si="21"/>
        <v>0.15834621423966655</v>
      </c>
      <c r="AF46" s="54">
        <f t="shared" si="29"/>
        <v>0.13459428210371657</v>
      </c>
      <c r="AG46" s="44">
        <f t="shared" si="7"/>
        <v>-0.12501791153532965</v>
      </c>
      <c r="AH46" s="44">
        <f t="shared" si="8"/>
        <v>-0.12501791153532965</v>
      </c>
      <c r="AI46" s="45">
        <f t="shared" si="22"/>
        <v>2.329589045455142E-2</v>
      </c>
      <c r="AJ46" s="45">
        <f t="shared" si="30"/>
        <v>3.4943835681827129E-3</v>
      </c>
      <c r="AK46" s="127">
        <f t="shared" si="10"/>
        <v>0.13808866567189929</v>
      </c>
      <c r="AM46" s="57">
        <f t="shared" si="31"/>
        <v>1527983534.1670005</v>
      </c>
      <c r="AN46" s="58">
        <f t="shared" si="32"/>
        <v>360168246.33858836</v>
      </c>
      <c r="AO46" s="58">
        <f t="shared" si="33"/>
        <v>268964574.63760328</v>
      </c>
      <c r="AP46" s="58">
        <f t="shared" si="23"/>
        <v>2157116355.1431923</v>
      </c>
      <c r="AQ46" s="59">
        <f t="shared" si="24"/>
        <v>0.27687040159666187</v>
      </c>
    </row>
    <row r="47" spans="1:43" ht="13.8">
      <c r="A47" s="4" t="s">
        <v>40</v>
      </c>
      <c r="B47" s="46">
        <v>1324127</v>
      </c>
      <c r="C47" s="46">
        <v>476354</v>
      </c>
      <c r="D47" s="55">
        <f t="shared" si="25"/>
        <v>0.35974948022357373</v>
      </c>
      <c r="E47" s="56">
        <f t="shared" si="14"/>
        <v>171368.10390242023</v>
      </c>
      <c r="F47" s="127">
        <f t="shared" si="26"/>
        <v>1.0116922961329751E-4</v>
      </c>
      <c r="G47" s="43">
        <v>971</v>
      </c>
      <c r="H47" s="119">
        <f t="shared" si="27"/>
        <v>1.8966681147236138E-4</v>
      </c>
      <c r="I47" s="45">
        <f t="shared" si="15"/>
        <v>1.6121678975150716E-4</v>
      </c>
      <c r="J47" s="46">
        <v>1172.6600000000001</v>
      </c>
      <c r="K47" s="116">
        <f t="shared" si="28"/>
        <v>1.8260003793202563E-2</v>
      </c>
      <c r="L47" s="47">
        <f t="shared" si="16"/>
        <v>2.7390005689803842E-3</v>
      </c>
      <c r="M47" s="127">
        <f t="shared" si="17"/>
        <v>2.9002173587318915E-3</v>
      </c>
      <c r="N47" s="48">
        <v>244</v>
      </c>
      <c r="O47" s="49">
        <v>60</v>
      </c>
      <c r="P47" s="49">
        <v>375</v>
      </c>
      <c r="Q47" s="49">
        <v>47</v>
      </c>
      <c r="R47" s="50">
        <f t="shared" si="18"/>
        <v>1.4268638701694225E-4</v>
      </c>
      <c r="S47" s="50">
        <f t="shared" si="18"/>
        <v>1.7052624398894989E-4</v>
      </c>
      <c r="T47" s="50">
        <f t="shared" si="18"/>
        <v>2.8060628917263796E-4</v>
      </c>
      <c r="U47" s="50">
        <f t="shared" si="18"/>
        <v>3.0018138619932047E-4</v>
      </c>
      <c r="V47" s="51">
        <f t="shared" si="19"/>
        <v>8.9400030637785065E-4</v>
      </c>
      <c r="W47" s="52">
        <v>95.999999999399989</v>
      </c>
      <c r="X47" s="52">
        <v>43</v>
      </c>
      <c r="Y47" s="52">
        <v>84</v>
      </c>
      <c r="Z47" s="52">
        <v>27</v>
      </c>
      <c r="AA47" s="53">
        <f t="shared" si="20"/>
        <v>7.5500663777363118E-5</v>
      </c>
      <c r="AB47" s="53">
        <f t="shared" si="5"/>
        <v>1.4677370907402855E-4</v>
      </c>
      <c r="AC47" s="53">
        <f t="shared" si="5"/>
        <v>1.7057084375710711E-4</v>
      </c>
      <c r="AD47" s="53">
        <f t="shared" si="5"/>
        <v>4.91767448637622E-4</v>
      </c>
      <c r="AE47" s="44">
        <f t="shared" si="21"/>
        <v>8.8461266524612078E-4</v>
      </c>
      <c r="AF47" s="54">
        <f t="shared" si="29"/>
        <v>7.5192076545920264E-4</v>
      </c>
      <c r="AG47" s="44">
        <f t="shared" si="7"/>
        <v>-1.0500713550943872E-2</v>
      </c>
      <c r="AH47" s="44">
        <f t="shared" si="8"/>
        <v>-1.0500713550943872E-2</v>
      </c>
      <c r="AI47" s="45">
        <f t="shared" si="22"/>
        <v>1.9567073995495625E-3</v>
      </c>
      <c r="AJ47" s="45">
        <f t="shared" si="30"/>
        <v>2.9350610993243438E-4</v>
      </c>
      <c r="AK47" s="127">
        <f t="shared" si="10"/>
        <v>1.0454268753916371E-3</v>
      </c>
      <c r="AM47" s="57">
        <f t="shared" si="31"/>
        <v>394108.21557227836</v>
      </c>
      <c r="AN47" s="58">
        <f t="shared" si="32"/>
        <v>5648948.2641634066</v>
      </c>
      <c r="AO47" s="58">
        <f t="shared" si="33"/>
        <v>2036248.1850793231</v>
      </c>
      <c r="AP47" s="58">
        <f t="shared" si="23"/>
        <v>8079304.6648150077</v>
      </c>
      <c r="AQ47" s="59">
        <f t="shared" si="24"/>
        <v>1.0369956733375307E-3</v>
      </c>
    </row>
    <row r="48" spans="1:43" ht="13.8">
      <c r="A48" s="4" t="s">
        <v>41</v>
      </c>
      <c r="B48" s="46">
        <v>69874178</v>
      </c>
      <c r="C48" s="46">
        <v>16886302</v>
      </c>
      <c r="D48" s="55">
        <f t="shared" si="25"/>
        <v>0.24166727227903848</v>
      </c>
      <c r="E48" s="56">
        <f t="shared" si="14"/>
        <v>4080866.5432200721</v>
      </c>
      <c r="F48" s="127">
        <f t="shared" si="26"/>
        <v>2.4091888451268813E-3</v>
      </c>
      <c r="G48" s="43">
        <v>87168</v>
      </c>
      <c r="H48" s="119">
        <f t="shared" si="27"/>
        <v>1.7026649456666116E-2</v>
      </c>
      <c r="I48" s="45">
        <f t="shared" si="15"/>
        <v>1.4472652038166198E-2</v>
      </c>
      <c r="J48" s="46">
        <v>308.89</v>
      </c>
      <c r="K48" s="116">
        <f t="shared" si="28"/>
        <v>4.8098618283921504E-3</v>
      </c>
      <c r="L48" s="47">
        <f t="shared" si="16"/>
        <v>7.2147927425882249E-4</v>
      </c>
      <c r="M48" s="127">
        <f t="shared" si="17"/>
        <v>1.5194131312425021E-2</v>
      </c>
      <c r="N48" s="48">
        <v>1423</v>
      </c>
      <c r="O48" s="49">
        <v>462</v>
      </c>
      <c r="P48" s="49">
        <v>3867</v>
      </c>
      <c r="Q48" s="49">
        <v>358</v>
      </c>
      <c r="R48" s="50">
        <f t="shared" si="18"/>
        <v>8.3214233084060992E-4</v>
      </c>
      <c r="S48" s="50">
        <f t="shared" si="18"/>
        <v>1.3130520787149142E-3</v>
      </c>
      <c r="T48" s="50">
        <f t="shared" si="18"/>
        <v>2.8936120539482428E-3</v>
      </c>
      <c r="U48" s="50">
        <f t="shared" si="18"/>
        <v>2.286488005518228E-3</v>
      </c>
      <c r="V48" s="51">
        <f t="shared" si="19"/>
        <v>7.3252944690219944E-3</v>
      </c>
      <c r="W48" s="52">
        <v>502.9999955589883</v>
      </c>
      <c r="X48" s="52">
        <v>435</v>
      </c>
      <c r="Y48" s="52">
        <v>1115</v>
      </c>
      <c r="Z48" s="52">
        <v>155</v>
      </c>
      <c r="AA48" s="53">
        <f t="shared" si="20"/>
        <v>3.9559201609324664E-4</v>
      </c>
      <c r="AB48" s="53">
        <f t="shared" si="5"/>
        <v>1.4848038010977307E-3</v>
      </c>
      <c r="AC48" s="53">
        <f t="shared" si="5"/>
        <v>2.2641248903473147E-3</v>
      </c>
      <c r="AD48" s="53">
        <f t="shared" si="5"/>
        <v>2.8231094273641266E-3</v>
      </c>
      <c r="AE48" s="44">
        <f t="shared" si="21"/>
        <v>6.9676301349024189E-3</v>
      </c>
      <c r="AF48" s="54">
        <f t="shared" si="29"/>
        <v>5.9224856146670559E-3</v>
      </c>
      <c r="AG48" s="44">
        <f t="shared" si="7"/>
        <v>-4.8825932613645158E-2</v>
      </c>
      <c r="AH48" s="44">
        <f t="shared" si="8"/>
        <v>-4.8825932613645158E-2</v>
      </c>
      <c r="AI48" s="45">
        <f t="shared" si="22"/>
        <v>9.0982449117888945E-3</v>
      </c>
      <c r="AJ48" s="45">
        <f t="shared" si="30"/>
        <v>1.3647367367683341E-3</v>
      </c>
      <c r="AK48" s="127">
        <f t="shared" si="10"/>
        <v>7.2872223514353898E-3</v>
      </c>
      <c r="AM48" s="57">
        <f t="shared" si="31"/>
        <v>9385078.0554406345</v>
      </c>
      <c r="AN48" s="58">
        <f t="shared" si="32"/>
        <v>29594630.707376838</v>
      </c>
      <c r="AO48" s="58">
        <f t="shared" si="33"/>
        <v>14193812.725372078</v>
      </c>
      <c r="AP48" s="58">
        <f t="shared" si="23"/>
        <v>53173521.488189548</v>
      </c>
      <c r="AQ48" s="59">
        <f t="shared" si="24"/>
        <v>6.8249328385285414E-3</v>
      </c>
    </row>
    <row r="49" spans="1:43" ht="13.8">
      <c r="A49" s="4" t="s">
        <v>42</v>
      </c>
      <c r="B49" s="46">
        <v>5011351</v>
      </c>
      <c r="C49" s="46">
        <v>704593</v>
      </c>
      <c r="D49" s="55">
        <f t="shared" si="25"/>
        <v>0.14059941121665595</v>
      </c>
      <c r="E49" s="56">
        <f t="shared" si="14"/>
        <v>99065.360947377267</v>
      </c>
      <c r="F49" s="127">
        <f t="shared" si="26"/>
        <v>5.8484432167822231E-5</v>
      </c>
      <c r="G49" s="43">
        <v>4469</v>
      </c>
      <c r="H49" s="119">
        <f t="shared" si="27"/>
        <v>8.7293612818741819E-4</v>
      </c>
      <c r="I49" s="45">
        <f t="shared" si="15"/>
        <v>7.4199570895930539E-4</v>
      </c>
      <c r="J49" s="46">
        <v>1341.58</v>
      </c>
      <c r="K49" s="116">
        <f t="shared" si="28"/>
        <v>2.089033128859575E-2</v>
      </c>
      <c r="L49" s="47">
        <f t="shared" si="16"/>
        <v>3.1335496932893623E-3</v>
      </c>
      <c r="M49" s="127">
        <f t="shared" si="17"/>
        <v>3.8755454022486677E-3</v>
      </c>
      <c r="N49" s="48">
        <v>1104</v>
      </c>
      <c r="O49" s="49">
        <v>274</v>
      </c>
      <c r="P49" s="49">
        <v>2326</v>
      </c>
      <c r="Q49" s="49">
        <v>140</v>
      </c>
      <c r="R49" s="50">
        <f t="shared" si="18"/>
        <v>6.4559742322419769E-4</v>
      </c>
      <c r="S49" s="50">
        <f t="shared" si="18"/>
        <v>7.7873651421620459E-4</v>
      </c>
      <c r="T49" s="50">
        <f t="shared" si="18"/>
        <v>1.7405072763081492E-3</v>
      </c>
      <c r="U49" s="50">
        <f t="shared" si="18"/>
        <v>8.9415732059372043E-4</v>
      </c>
      <c r="V49" s="51">
        <f t="shared" si="19"/>
        <v>4.0589985343422721E-3</v>
      </c>
      <c r="W49" s="52">
        <v>511.00000000414997</v>
      </c>
      <c r="X49" s="52">
        <v>264</v>
      </c>
      <c r="Y49" s="52">
        <v>999</v>
      </c>
      <c r="Z49" s="52">
        <v>49</v>
      </c>
      <c r="AA49" s="53">
        <f t="shared" si="20"/>
        <v>4.0188374157069809E-4</v>
      </c>
      <c r="AB49" s="53">
        <f t="shared" si="5"/>
        <v>9.0112230687310556E-4</v>
      </c>
      <c r="AC49" s="53">
        <f t="shared" si="5"/>
        <v>2.028574677539881E-3</v>
      </c>
      <c r="AD49" s="53">
        <f t="shared" si="5"/>
        <v>8.9246685123123997E-4</v>
      </c>
      <c r="AE49" s="44">
        <f t="shared" si="21"/>
        <v>4.2240475772149242E-3</v>
      </c>
      <c r="AF49" s="54">
        <f t="shared" si="29"/>
        <v>3.5904404406326856E-3</v>
      </c>
      <c r="AG49" s="44">
        <f t="shared" si="7"/>
        <v>4.066250368809185E-2</v>
      </c>
      <c r="AH49" s="44">
        <f t="shared" si="8"/>
        <v>0</v>
      </c>
      <c r="AI49" s="45">
        <f t="shared" si="22"/>
        <v>0</v>
      </c>
      <c r="AJ49" s="45">
        <f t="shared" si="30"/>
        <v>0</v>
      </c>
      <c r="AK49" s="127">
        <f t="shared" si="10"/>
        <v>3.5904404406326856E-3</v>
      </c>
      <c r="AM49" s="57">
        <f t="shared" si="31"/>
        <v>227828.11817901625</v>
      </c>
      <c r="AN49" s="58">
        <f t="shared" si="32"/>
        <v>7548660.2432762496</v>
      </c>
      <c r="AO49" s="58">
        <f t="shared" si="33"/>
        <v>6993342.1485217307</v>
      </c>
      <c r="AP49" s="58">
        <f t="shared" si="23"/>
        <v>14769830.509976996</v>
      </c>
      <c r="AQ49" s="59">
        <f t="shared" si="24"/>
        <v>1.895738676804249E-3</v>
      </c>
    </row>
    <row r="50" spans="1:43" ht="13.8">
      <c r="A50" s="4" t="s">
        <v>43</v>
      </c>
      <c r="B50" s="46">
        <v>1007011</v>
      </c>
      <c r="C50" s="46">
        <v>625255</v>
      </c>
      <c r="D50" s="55">
        <f t="shared" si="25"/>
        <v>0.620901857080012</v>
      </c>
      <c r="E50" s="56">
        <f t="shared" si="14"/>
        <v>388221.9906485629</v>
      </c>
      <c r="F50" s="127">
        <f t="shared" si="26"/>
        <v>2.2919154042353389E-4</v>
      </c>
      <c r="G50" s="43">
        <v>2640</v>
      </c>
      <c r="H50" s="119">
        <f t="shared" si="27"/>
        <v>5.1567495601136364E-4</v>
      </c>
      <c r="I50" s="45">
        <f t="shared" si="15"/>
        <v>4.3832371260965906E-4</v>
      </c>
      <c r="J50" s="46">
        <v>673.76</v>
      </c>
      <c r="K50" s="116">
        <f t="shared" si="28"/>
        <v>1.0491412818470961E-2</v>
      </c>
      <c r="L50" s="47">
        <f t="shared" si="16"/>
        <v>1.5737119227706442E-3</v>
      </c>
      <c r="M50" s="127">
        <f t="shared" si="17"/>
        <v>2.0120356353803032E-3</v>
      </c>
      <c r="N50" s="48">
        <v>671</v>
      </c>
      <c r="O50" s="49">
        <v>247</v>
      </c>
      <c r="P50" s="49">
        <v>1766</v>
      </c>
      <c r="Q50" s="49">
        <v>574</v>
      </c>
      <c r="R50" s="50">
        <f t="shared" si="18"/>
        <v>3.9238756429659118E-4</v>
      </c>
      <c r="S50" s="50">
        <f t="shared" si="18"/>
        <v>7.0199970442117712E-4</v>
      </c>
      <c r="T50" s="50">
        <f t="shared" si="18"/>
        <v>1.3214685511436764E-3</v>
      </c>
      <c r="U50" s="50">
        <f t="shared" si="18"/>
        <v>3.6660450144342539E-3</v>
      </c>
      <c r="V50" s="51">
        <f t="shared" si="19"/>
        <v>6.0819008342956988E-3</v>
      </c>
      <c r="W50" s="52">
        <v>600.99999999995009</v>
      </c>
      <c r="X50" s="52">
        <v>212</v>
      </c>
      <c r="Y50" s="52">
        <v>872</v>
      </c>
      <c r="Z50" s="52">
        <v>90</v>
      </c>
      <c r="AA50" s="53">
        <f t="shared" si="20"/>
        <v>4.7266561385911533E-4</v>
      </c>
      <c r="AB50" s="53">
        <f t="shared" si="5"/>
        <v>7.2362851915567573E-4</v>
      </c>
      <c r="AC50" s="53">
        <f t="shared" si="5"/>
        <v>1.7706878066213977E-3</v>
      </c>
      <c r="AD50" s="53">
        <f t="shared" si="5"/>
        <v>1.6392248287920735E-3</v>
      </c>
      <c r="AE50" s="44">
        <f t="shared" si="21"/>
        <v>4.6062067684282618E-3</v>
      </c>
      <c r="AF50" s="54">
        <f t="shared" si="29"/>
        <v>3.9152757531640226E-3</v>
      </c>
      <c r="AG50" s="44">
        <f t="shared" si="7"/>
        <v>-0.24263698242924844</v>
      </c>
      <c r="AH50" s="44">
        <f t="shared" si="8"/>
        <v>-0.24263698242924844</v>
      </c>
      <c r="AI50" s="45">
        <f t="shared" si="22"/>
        <v>4.5213077818031917E-2</v>
      </c>
      <c r="AJ50" s="45">
        <f t="shared" si="30"/>
        <v>6.7819616727047873E-3</v>
      </c>
      <c r="AK50" s="127">
        <f t="shared" si="10"/>
        <v>1.0697237425868811E-2</v>
      </c>
      <c r="AM50" s="57">
        <f t="shared" si="31"/>
        <v>892823.5330627478</v>
      </c>
      <c r="AN50" s="58">
        <f t="shared" si="32"/>
        <v>3918977.0296686203</v>
      </c>
      <c r="AO50" s="58">
        <f t="shared" si="33"/>
        <v>20835728.262321487</v>
      </c>
      <c r="AP50" s="58">
        <f t="shared" si="23"/>
        <v>25647528.825052857</v>
      </c>
      <c r="AQ50" s="59">
        <f t="shared" si="24"/>
        <v>3.291914035524045E-3</v>
      </c>
    </row>
    <row r="51" spans="1:43" ht="13.8">
      <c r="A51" s="4" t="s">
        <v>44</v>
      </c>
      <c r="B51" s="46">
        <v>18112141</v>
      </c>
      <c r="C51" s="46">
        <v>6249012</v>
      </c>
      <c r="D51" s="55">
        <f t="shared" si="25"/>
        <v>0.34501785294184711</v>
      </c>
      <c r="E51" s="56">
        <f t="shared" si="14"/>
        <v>2156020.7032478377</v>
      </c>
      <c r="F51" s="127">
        <f t="shared" si="26"/>
        <v>1.2728328586870893E-3</v>
      </c>
      <c r="G51" s="43">
        <v>35456</v>
      </c>
      <c r="H51" s="119">
        <f t="shared" si="27"/>
        <v>6.9256709243707987E-3</v>
      </c>
      <c r="I51" s="45">
        <f t="shared" si="15"/>
        <v>5.886820285715179E-3</v>
      </c>
      <c r="J51" s="46">
        <v>1542.15</v>
      </c>
      <c r="K51" s="116">
        <f t="shared" si="28"/>
        <v>2.4013494831995066E-2</v>
      </c>
      <c r="L51" s="47">
        <f t="shared" si="16"/>
        <v>3.6020242247992596E-3</v>
      </c>
      <c r="M51" s="127">
        <f t="shared" si="17"/>
        <v>9.4888445105144395E-3</v>
      </c>
      <c r="N51" s="48">
        <v>4789</v>
      </c>
      <c r="O51" s="49">
        <v>909</v>
      </c>
      <c r="P51" s="49">
        <v>4749</v>
      </c>
      <c r="Q51" s="49">
        <v>258</v>
      </c>
      <c r="R51" s="50">
        <f t="shared" si="18"/>
        <v>2.8005127353448217E-3</v>
      </c>
      <c r="S51" s="50">
        <f t="shared" si="18"/>
        <v>2.5834725964325911E-3</v>
      </c>
      <c r="T51" s="50">
        <f t="shared" si="18"/>
        <v>3.5535980460822871E-3</v>
      </c>
      <c r="U51" s="50">
        <f t="shared" si="18"/>
        <v>1.6478042050941421E-3</v>
      </c>
      <c r="V51" s="51">
        <f t="shared" si="19"/>
        <v>1.0585387582953843E-2</v>
      </c>
      <c r="W51" s="52">
        <v>3480.0000000606401</v>
      </c>
      <c r="X51" s="52">
        <v>841</v>
      </c>
      <c r="Y51" s="52">
        <v>1534</v>
      </c>
      <c r="Z51" s="52">
        <v>182</v>
      </c>
      <c r="AA51" s="53">
        <f t="shared" si="20"/>
        <v>2.7368990619942106E-3</v>
      </c>
      <c r="AB51" s="53">
        <f t="shared" si="5"/>
        <v>2.8706206821222796E-3</v>
      </c>
      <c r="AC51" s="53">
        <f t="shared" si="5"/>
        <v>3.1149485038500274E-3</v>
      </c>
      <c r="AD51" s="53">
        <f t="shared" si="5"/>
        <v>3.3148768760017486E-3</v>
      </c>
      <c r="AE51" s="44">
        <f t="shared" si="21"/>
        <v>1.2037345123968266E-2</v>
      </c>
      <c r="AF51" s="54">
        <f t="shared" si="29"/>
        <v>1.0231743355373026E-2</v>
      </c>
      <c r="AG51" s="44">
        <f t="shared" si="7"/>
        <v>0.1371662142397676</v>
      </c>
      <c r="AH51" s="44">
        <f t="shared" si="8"/>
        <v>0</v>
      </c>
      <c r="AI51" s="45">
        <f t="shared" si="22"/>
        <v>0</v>
      </c>
      <c r="AJ51" s="45">
        <f t="shared" si="30"/>
        <v>0</v>
      </c>
      <c r="AK51" s="127">
        <f t="shared" si="10"/>
        <v>1.0231743355373026E-2</v>
      </c>
      <c r="AM51" s="57">
        <f t="shared" si="31"/>
        <v>4958364.2039812151</v>
      </c>
      <c r="AN51" s="58">
        <f t="shared" si="32"/>
        <v>18482060.168767579</v>
      </c>
      <c r="AO51" s="58">
        <f t="shared" si="33"/>
        <v>19929054.1768125</v>
      </c>
      <c r="AP51" s="58">
        <f t="shared" si="23"/>
        <v>43369478.549561292</v>
      </c>
      <c r="AQ51" s="59">
        <f t="shared" si="24"/>
        <v>5.5665633958154092E-3</v>
      </c>
    </row>
    <row r="52" spans="1:43" ht="13.8">
      <c r="A52" s="4" t="s">
        <v>45</v>
      </c>
      <c r="B52" s="46">
        <v>386855908</v>
      </c>
      <c r="C52" s="46">
        <v>19718538</v>
      </c>
      <c r="D52" s="55">
        <f t="shared" si="25"/>
        <v>5.097127274582039E-2</v>
      </c>
      <c r="E52" s="56">
        <f t="shared" si="14"/>
        <v>1005078.9785468237</v>
      </c>
      <c r="F52" s="127">
        <f t="shared" si="26"/>
        <v>5.9336051251405639E-4</v>
      </c>
      <c r="G52" s="43">
        <v>54192</v>
      </c>
      <c r="H52" s="119">
        <f t="shared" si="27"/>
        <v>1.0585400460669627E-2</v>
      </c>
      <c r="I52" s="45">
        <f t="shared" si="15"/>
        <v>8.9975903915691831E-3</v>
      </c>
      <c r="J52" s="46">
        <v>1658.08</v>
      </c>
      <c r="K52" s="116">
        <f t="shared" si="28"/>
        <v>2.5818691768656987E-2</v>
      </c>
      <c r="L52" s="47">
        <f t="shared" si="16"/>
        <v>3.8728037652985478E-3</v>
      </c>
      <c r="M52" s="127">
        <f t="shared" si="17"/>
        <v>1.2870394156867731E-2</v>
      </c>
      <c r="N52" s="48">
        <v>2382</v>
      </c>
      <c r="O52" s="49">
        <v>572</v>
      </c>
      <c r="P52" s="49">
        <v>6969</v>
      </c>
      <c r="Q52" s="49">
        <v>1381</v>
      </c>
      <c r="R52" s="50">
        <f t="shared" si="18"/>
        <v>1.3929466142391658E-3</v>
      </c>
      <c r="S52" s="50">
        <f t="shared" si="18"/>
        <v>1.6256835260279891E-3</v>
      </c>
      <c r="T52" s="50">
        <f t="shared" si="18"/>
        <v>5.2147872779843042E-3</v>
      </c>
      <c r="U52" s="50">
        <f t="shared" si="18"/>
        <v>8.8202232838566277E-3</v>
      </c>
      <c r="V52" s="51">
        <f t="shared" si="19"/>
        <v>1.7053640702108089E-2</v>
      </c>
      <c r="W52" s="52">
        <v>1795.99999997852</v>
      </c>
      <c r="X52" s="52">
        <v>775</v>
      </c>
      <c r="Y52" s="52">
        <v>2276</v>
      </c>
      <c r="Z52" s="52">
        <v>675</v>
      </c>
      <c r="AA52" s="53">
        <f t="shared" si="20"/>
        <v>1.41249158482677E-3</v>
      </c>
      <c r="AB52" s="53">
        <f t="shared" si="5"/>
        <v>2.6453401054040032E-3</v>
      </c>
      <c r="AC52" s="53">
        <f t="shared" si="5"/>
        <v>4.6216576237044739E-3</v>
      </c>
      <c r="AD52" s="53">
        <f t="shared" si="5"/>
        <v>1.2294186215940551E-2</v>
      </c>
      <c r="AE52" s="44">
        <f t="shared" si="21"/>
        <v>2.09736755298758E-2</v>
      </c>
      <c r="AF52" s="54">
        <f t="shared" si="29"/>
        <v>1.782762420039443E-2</v>
      </c>
      <c r="AG52" s="44">
        <f t="shared" si="7"/>
        <v>0.22986498286451734</v>
      </c>
      <c r="AH52" s="44">
        <f t="shared" si="8"/>
        <v>0</v>
      </c>
      <c r="AI52" s="45">
        <f t="shared" si="22"/>
        <v>0</v>
      </c>
      <c r="AJ52" s="45">
        <f t="shared" si="30"/>
        <v>0</v>
      </c>
      <c r="AK52" s="127">
        <f t="shared" si="10"/>
        <v>1.782762420039443E-2</v>
      </c>
      <c r="AM52" s="57">
        <f t="shared" si="31"/>
        <v>2311456.2962653092</v>
      </c>
      <c r="AN52" s="58">
        <f t="shared" si="32"/>
        <v>25068531.678372696</v>
      </c>
      <c r="AO52" s="58">
        <f t="shared" si="33"/>
        <v>34724061.794116534</v>
      </c>
      <c r="AP52" s="58">
        <f t="shared" si="23"/>
        <v>62104049.768754542</v>
      </c>
      <c r="AQ52" s="59">
        <f t="shared" si="24"/>
        <v>7.971184845572566E-3</v>
      </c>
    </row>
    <row r="53" spans="1:43" ht="13.8">
      <c r="A53" s="4" t="s">
        <v>46</v>
      </c>
      <c r="B53" s="46">
        <v>589355093</v>
      </c>
      <c r="C53" s="46">
        <v>290272983.67000002</v>
      </c>
      <c r="D53" s="55">
        <f t="shared" si="25"/>
        <v>0.49252647023447377</v>
      </c>
      <c r="E53" s="56">
        <f t="shared" si="14"/>
        <v>142967128.05141416</v>
      </c>
      <c r="F53" s="127">
        <f t="shared" si="26"/>
        <v>8.4402370543956023E-2</v>
      </c>
      <c r="G53" s="43">
        <v>430143</v>
      </c>
      <c r="H53" s="119">
        <f t="shared" si="27"/>
        <v>8.4020444168028771E-2</v>
      </c>
      <c r="I53" s="45">
        <f t="shared" si="15"/>
        <v>7.1417377542824456E-2</v>
      </c>
      <c r="J53" s="46">
        <v>60.1</v>
      </c>
      <c r="K53" s="116">
        <f t="shared" si="28"/>
        <v>9.3584349084259205E-4</v>
      </c>
      <c r="L53" s="47">
        <f t="shared" si="16"/>
        <v>1.403765236263888E-4</v>
      </c>
      <c r="M53" s="127">
        <f t="shared" si="17"/>
        <v>7.1557754066450846E-2</v>
      </c>
      <c r="N53" s="48">
        <v>40580</v>
      </c>
      <c r="O53" s="49">
        <v>5745</v>
      </c>
      <c r="P53" s="49">
        <v>2165</v>
      </c>
      <c r="Q53" s="49">
        <v>472</v>
      </c>
      <c r="R53" s="50">
        <f t="shared" si="18"/>
        <v>2.3730383545686545E-2</v>
      </c>
      <c r="S53" s="50">
        <f t="shared" si="18"/>
        <v>1.6327887861941955E-2</v>
      </c>
      <c r="T53" s="50">
        <f t="shared" si="18"/>
        <v>1.6200336428233632E-3</v>
      </c>
      <c r="U53" s="50">
        <f t="shared" si="18"/>
        <v>3.0145875380016862E-3</v>
      </c>
      <c r="V53" s="51">
        <f t="shared" si="19"/>
        <v>4.4692892588453548E-2</v>
      </c>
      <c r="W53" s="52">
        <v>18155.999999995089</v>
      </c>
      <c r="X53" s="52">
        <v>4217</v>
      </c>
      <c r="Y53" s="52">
        <v>161</v>
      </c>
      <c r="Z53" s="52">
        <v>91</v>
      </c>
      <c r="AA53" s="53">
        <f t="shared" si="20"/>
        <v>1.4279063036979183E-2</v>
      </c>
      <c r="AB53" s="53">
        <f t="shared" si="5"/>
        <v>1.4394063515469267E-2</v>
      </c>
      <c r="AC53" s="53">
        <f t="shared" si="5"/>
        <v>3.2692745053445531E-4</v>
      </c>
      <c r="AD53" s="53">
        <f t="shared" si="5"/>
        <v>1.6574384380008743E-3</v>
      </c>
      <c r="AE53" s="44">
        <f t="shared" si="21"/>
        <v>3.0657492440983779E-2</v>
      </c>
      <c r="AF53" s="54">
        <f t="shared" si="29"/>
        <v>2.6058868574836212E-2</v>
      </c>
      <c r="AG53" s="44">
        <f t="shared" si="7"/>
        <v>-0.3140409880540117</v>
      </c>
      <c r="AH53" s="44">
        <f t="shared" si="8"/>
        <v>-0.3140409880540117</v>
      </c>
      <c r="AI53" s="45">
        <f t="shared" si="22"/>
        <v>5.8518530393766088E-2</v>
      </c>
      <c r="AJ53" s="45">
        <f t="shared" si="30"/>
        <v>8.7777795590649136E-3</v>
      </c>
      <c r="AK53" s="127">
        <f t="shared" si="10"/>
        <v>3.4836648133901124E-2</v>
      </c>
      <c r="AM53" s="57">
        <f t="shared" si="31"/>
        <v>328792339.0569796</v>
      </c>
      <c r="AN53" s="58">
        <f t="shared" si="32"/>
        <v>139377846.76864898</v>
      </c>
      <c r="AO53" s="58">
        <f t="shared" si="33"/>
        <v>67853680.832845554</v>
      </c>
      <c r="AP53" s="58">
        <f t="shared" si="23"/>
        <v>536023866.65847415</v>
      </c>
      <c r="AQ53" s="59">
        <f t="shared" si="24"/>
        <v>6.8799785822065987E-2</v>
      </c>
    </row>
    <row r="54" spans="1:43" ht="13.8">
      <c r="A54" s="4" t="s">
        <v>47</v>
      </c>
      <c r="B54" s="46">
        <v>1007377996</v>
      </c>
      <c r="C54" s="46">
        <v>691961660.51999998</v>
      </c>
      <c r="D54" s="55">
        <f t="shared" si="25"/>
        <v>0.68689376109819256</v>
      </c>
      <c r="E54" s="56">
        <f t="shared" si="14"/>
        <v>475304147.53033346</v>
      </c>
      <c r="F54" s="127">
        <f t="shared" si="26"/>
        <v>0.28060154335972565</v>
      </c>
      <c r="G54" s="43">
        <v>123156</v>
      </c>
      <c r="H54" s="119">
        <f t="shared" si="27"/>
        <v>2.4056236697930111E-2</v>
      </c>
      <c r="I54" s="45">
        <f t="shared" si="15"/>
        <v>2.0447801193240595E-2</v>
      </c>
      <c r="J54" s="46">
        <v>72.010000000000005</v>
      </c>
      <c r="K54" s="116">
        <f t="shared" si="28"/>
        <v>1.1212993307084037E-3</v>
      </c>
      <c r="L54" s="47">
        <f t="shared" si="16"/>
        <v>1.6819489960626053E-4</v>
      </c>
      <c r="M54" s="127">
        <f t="shared" si="17"/>
        <v>2.0615996092846856E-2</v>
      </c>
      <c r="N54" s="48">
        <v>9903</v>
      </c>
      <c r="O54" s="49">
        <v>1776</v>
      </c>
      <c r="P54" s="49">
        <v>642</v>
      </c>
      <c r="Q54" s="49">
        <v>85</v>
      </c>
      <c r="R54" s="50">
        <f t="shared" si="18"/>
        <v>5.7910790599540133E-3</v>
      </c>
      <c r="S54" s="50">
        <f t="shared" si="18"/>
        <v>5.0475768220729174E-3</v>
      </c>
      <c r="T54" s="50">
        <f t="shared" si="18"/>
        <v>4.8039796706355622E-4</v>
      </c>
      <c r="U54" s="50">
        <f t="shared" si="18"/>
        <v>5.4288123036047315E-4</v>
      </c>
      <c r="V54" s="51">
        <f t="shared" si="19"/>
        <v>1.186193507945096E-2</v>
      </c>
      <c r="W54" s="52">
        <v>4908.0000000006539</v>
      </c>
      <c r="X54" s="52">
        <v>1283</v>
      </c>
      <c r="Y54" s="52">
        <v>140</v>
      </c>
      <c r="Z54" s="52">
        <v>21</v>
      </c>
      <c r="AA54" s="53">
        <f t="shared" si="20"/>
        <v>3.8599714356423293E-3</v>
      </c>
      <c r="AB54" s="53">
        <f t="shared" si="5"/>
        <v>4.3793178777204334E-3</v>
      </c>
      <c r="AC54" s="53">
        <f t="shared" si="5"/>
        <v>2.8428473959517855E-4</v>
      </c>
      <c r="AD54" s="53">
        <f t="shared" si="5"/>
        <v>3.8248579338481716E-4</v>
      </c>
      <c r="AE54" s="44">
        <f t="shared" si="21"/>
        <v>8.9060598463427572E-3</v>
      </c>
      <c r="AF54" s="54">
        <f t="shared" si="29"/>
        <v>7.5701508693913431E-3</v>
      </c>
      <c r="AG54" s="44">
        <f t="shared" si="7"/>
        <v>-0.24918996886341233</v>
      </c>
      <c r="AH54" s="44">
        <f t="shared" si="8"/>
        <v>-0.24918996886341233</v>
      </c>
      <c r="AI54" s="45">
        <f t="shared" si="22"/>
        <v>4.6434164078757868E-2</v>
      </c>
      <c r="AJ54" s="45">
        <f t="shared" si="30"/>
        <v>6.9651246118136801E-3</v>
      </c>
      <c r="AK54" s="127">
        <f t="shared" si="10"/>
        <v>1.4535275481205024E-2</v>
      </c>
      <c r="AM54" s="57">
        <f t="shared" si="31"/>
        <v>1093092968.7122314</v>
      </c>
      <c r="AN54" s="58">
        <f t="shared" si="32"/>
        <v>40155161.126822546</v>
      </c>
      <c r="AO54" s="58">
        <f t="shared" si="33"/>
        <v>28311332.925264567</v>
      </c>
      <c r="AP54" s="58">
        <f t="shared" si="23"/>
        <v>1161559462.7643185</v>
      </c>
      <c r="AQ54" s="59">
        <f t="shared" si="24"/>
        <v>0.14908858957337576</v>
      </c>
    </row>
    <row r="55" spans="1:43" ht="13.8">
      <c r="A55" s="4" t="s">
        <v>48</v>
      </c>
      <c r="B55" s="46">
        <v>264327274</v>
      </c>
      <c r="C55" s="46">
        <v>108456329.03999999</v>
      </c>
      <c r="D55" s="55">
        <f t="shared" si="25"/>
        <v>0.41031077648082576</v>
      </c>
      <c r="E55" s="56">
        <f t="shared" si="14"/>
        <v>44500800.582662329</v>
      </c>
      <c r="F55" s="127">
        <f t="shared" si="26"/>
        <v>2.6271585024284942E-2</v>
      </c>
      <c r="G55" s="43">
        <v>296954</v>
      </c>
      <c r="H55" s="119">
        <f t="shared" si="27"/>
        <v>5.8004447305832756E-2</v>
      </c>
      <c r="I55" s="45">
        <f t="shared" si="15"/>
        <v>4.9303780209957841E-2</v>
      </c>
      <c r="J55" s="46">
        <v>885.01</v>
      </c>
      <c r="K55" s="116">
        <f t="shared" si="28"/>
        <v>1.3780879331624E-2</v>
      </c>
      <c r="L55" s="47">
        <f t="shared" si="16"/>
        <v>2.0671318997435998E-3</v>
      </c>
      <c r="M55" s="127">
        <f t="shared" si="17"/>
        <v>5.137091210970144E-2</v>
      </c>
      <c r="N55" s="48">
        <v>25924</v>
      </c>
      <c r="O55" s="49">
        <v>5313</v>
      </c>
      <c r="P55" s="49">
        <v>11983</v>
      </c>
      <c r="Q55" s="49">
        <v>721</v>
      </c>
      <c r="R55" s="50">
        <f t="shared" si="18"/>
        <v>1.5159843840275454E-2</v>
      </c>
      <c r="S55" s="50">
        <f t="shared" si="18"/>
        <v>1.5100098905221513E-2</v>
      </c>
      <c r="T55" s="50">
        <f t="shared" si="18"/>
        <v>8.9666804350819213E-3</v>
      </c>
      <c r="U55" s="50">
        <f t="shared" si="18"/>
        <v>4.6049102010576604E-3</v>
      </c>
      <c r="V55" s="51">
        <f t="shared" si="19"/>
        <v>4.3831533381636548E-2</v>
      </c>
      <c r="W55" s="52">
        <v>21053.000000219407</v>
      </c>
      <c r="X55" s="52">
        <v>4306</v>
      </c>
      <c r="Y55" s="52">
        <v>2328</v>
      </c>
      <c r="Z55" s="52">
        <v>359</v>
      </c>
      <c r="AA55" s="53">
        <f t="shared" si="20"/>
        <v>1.655745285970131E-2</v>
      </c>
      <c r="AB55" s="53">
        <f t="shared" si="5"/>
        <v>1.4697850959831791E-2</v>
      </c>
      <c r="AC55" s="53">
        <f t="shared" si="5"/>
        <v>4.7272490984112542E-3</v>
      </c>
      <c r="AD55" s="53">
        <f t="shared" si="5"/>
        <v>6.5386857059594929E-3</v>
      </c>
      <c r="AE55" s="44">
        <f t="shared" si="21"/>
        <v>4.2521238623903848E-2</v>
      </c>
      <c r="AF55" s="54">
        <f t="shared" si="29"/>
        <v>3.6143052830318267E-2</v>
      </c>
      <c r="AG55" s="44">
        <f t="shared" si="7"/>
        <v>-2.9893883618537846E-2</v>
      </c>
      <c r="AH55" s="44">
        <f t="shared" si="8"/>
        <v>-2.9893883618537846E-2</v>
      </c>
      <c r="AI55" s="45">
        <f t="shared" si="22"/>
        <v>5.5704389034027758E-3</v>
      </c>
      <c r="AJ55" s="45">
        <f t="shared" si="30"/>
        <v>8.3556583551041631E-4</v>
      </c>
      <c r="AK55" s="127">
        <f t="shared" si="10"/>
        <v>3.6978618665828682E-2</v>
      </c>
      <c r="AM55" s="57">
        <f t="shared" si="31"/>
        <v>102341863.56614737</v>
      </c>
      <c r="AN55" s="58">
        <f t="shared" si="32"/>
        <v>100058577.99481414</v>
      </c>
      <c r="AO55" s="58">
        <f t="shared" si="33"/>
        <v>72025740.793038324</v>
      </c>
      <c r="AP55" s="58">
        <f t="shared" si="23"/>
        <v>274426182.35399985</v>
      </c>
      <c r="AQ55" s="59">
        <f t="shared" si="24"/>
        <v>3.5223175206024991E-2</v>
      </c>
    </row>
    <row r="56" spans="1:43" ht="13.8">
      <c r="A56" s="4" t="s">
        <v>49</v>
      </c>
      <c r="B56" s="46">
        <v>153858873</v>
      </c>
      <c r="C56" s="46">
        <v>65213950.950000003</v>
      </c>
      <c r="D56" s="55">
        <f t="shared" si="25"/>
        <v>0.42385563912196345</v>
      </c>
      <c r="E56" s="56">
        <f t="shared" si="14"/>
        <v>27641300.859580625</v>
      </c>
      <c r="F56" s="127">
        <f t="shared" si="26"/>
        <v>1.6318375764170757E-2</v>
      </c>
      <c r="G56" s="43">
        <v>42407</v>
      </c>
      <c r="H56" s="119">
        <f t="shared" si="27"/>
        <v>8.2834196437779912E-3</v>
      </c>
      <c r="I56" s="45">
        <f t="shared" si="15"/>
        <v>7.0409066972112926E-3</v>
      </c>
      <c r="J56" s="46">
        <v>746.48</v>
      </c>
      <c r="K56" s="116">
        <f t="shared" si="28"/>
        <v>1.1623767870951384E-2</v>
      </c>
      <c r="L56" s="47">
        <f t="shared" si="16"/>
        <v>1.7435651806427075E-3</v>
      </c>
      <c r="M56" s="127">
        <f t="shared" si="17"/>
        <v>8.7844718778539999E-3</v>
      </c>
      <c r="N56" s="48">
        <v>4577</v>
      </c>
      <c r="O56" s="49">
        <v>1003</v>
      </c>
      <c r="P56" s="49">
        <v>3403</v>
      </c>
      <c r="Q56" s="49">
        <v>757</v>
      </c>
      <c r="R56" s="50">
        <f t="shared" si="18"/>
        <v>2.6765393171169867E-3</v>
      </c>
      <c r="S56" s="50">
        <f t="shared" si="18"/>
        <v>2.8506303786819459E-3</v>
      </c>
      <c r="T56" s="50">
        <f t="shared" si="18"/>
        <v>2.5464085388119655E-3</v>
      </c>
      <c r="U56" s="50">
        <f t="shared" si="18"/>
        <v>4.8348363692103311E-3</v>
      </c>
      <c r="V56" s="51">
        <f t="shared" si="19"/>
        <v>1.2908414603821229E-2</v>
      </c>
      <c r="W56" s="52">
        <v>2792.0000000464884</v>
      </c>
      <c r="X56" s="52">
        <v>666</v>
      </c>
      <c r="Y56" s="52">
        <v>1225</v>
      </c>
      <c r="Z56" s="52">
        <v>325</v>
      </c>
      <c r="AA56" s="53">
        <f t="shared" si="20"/>
        <v>2.1958109715752628E-3</v>
      </c>
      <c r="AB56" s="53">
        <f t="shared" si="5"/>
        <v>2.2732858196116983E-3</v>
      </c>
      <c r="AC56" s="53">
        <f t="shared" si="5"/>
        <v>2.4874914714578121E-3</v>
      </c>
      <c r="AD56" s="53">
        <f t="shared" si="5"/>
        <v>5.9194229928602651E-3</v>
      </c>
      <c r="AE56" s="44">
        <f t="shared" si="21"/>
        <v>1.2876011255505039E-2</v>
      </c>
      <c r="AF56" s="54">
        <f t="shared" si="29"/>
        <v>1.0944609567179282E-2</v>
      </c>
      <c r="AG56" s="44">
        <f t="shared" si="7"/>
        <v>-2.5102500431461333E-3</v>
      </c>
      <c r="AH56" s="44">
        <f t="shared" si="8"/>
        <v>-2.5102500431461333E-3</v>
      </c>
      <c r="AI56" s="45">
        <f t="shared" si="22"/>
        <v>4.6776105360022324E-4</v>
      </c>
      <c r="AJ56" s="45">
        <f t="shared" si="30"/>
        <v>7.0164158040033481E-5</v>
      </c>
      <c r="AK56" s="127">
        <f t="shared" si="10"/>
        <v>1.1014773725219315E-2</v>
      </c>
      <c r="AM56" s="57">
        <f t="shared" si="31"/>
        <v>63568794.366008937</v>
      </c>
      <c r="AN56" s="58">
        <f t="shared" si="32"/>
        <v>17110106.253447529</v>
      </c>
      <c r="AO56" s="58">
        <f t="shared" si="33"/>
        <v>21454215.05319057</v>
      </c>
      <c r="AP56" s="58">
        <f t="shared" si="23"/>
        <v>102133115.67264704</v>
      </c>
      <c r="AQ56" s="59">
        <f t="shared" si="24"/>
        <v>1.3108999282853705E-2</v>
      </c>
    </row>
    <row r="57" spans="1:43" ht="13.8">
      <c r="A57" s="4" t="s">
        <v>50</v>
      </c>
      <c r="B57" s="46">
        <v>4364000</v>
      </c>
      <c r="C57" s="46">
        <v>1227159</v>
      </c>
      <c r="D57" s="55">
        <f t="shared" si="25"/>
        <v>0.2812005041246563</v>
      </c>
      <c r="E57" s="56">
        <f t="shared" si="14"/>
        <v>345077.72944110911</v>
      </c>
      <c r="F57" s="127">
        <f t="shared" si="26"/>
        <v>2.0372080480123624E-4</v>
      </c>
      <c r="G57" s="43">
        <v>1632</v>
      </c>
      <c r="H57" s="119">
        <f t="shared" si="27"/>
        <v>3.1878088189793386E-4</v>
      </c>
      <c r="I57" s="45">
        <f t="shared" si="15"/>
        <v>2.7096374961324375E-4</v>
      </c>
      <c r="J57" s="46">
        <v>1766.28</v>
      </c>
      <c r="K57" s="116">
        <f t="shared" si="28"/>
        <v>2.7503521480955966E-2</v>
      </c>
      <c r="L57" s="47">
        <f t="shared" si="16"/>
        <v>4.1255282221433947E-3</v>
      </c>
      <c r="M57" s="127">
        <f t="shared" si="17"/>
        <v>4.3964919717566385E-3</v>
      </c>
      <c r="N57" s="48">
        <v>477</v>
      </c>
      <c r="O57" s="49">
        <v>88</v>
      </c>
      <c r="P57" s="49">
        <v>1037</v>
      </c>
      <c r="Q57" s="49">
        <v>127</v>
      </c>
      <c r="R57" s="50">
        <f t="shared" si="18"/>
        <v>2.7894019101262893E-4</v>
      </c>
      <c r="S57" s="50">
        <f t="shared" si="18"/>
        <v>2.5010515785045984E-4</v>
      </c>
      <c r="T57" s="50">
        <f t="shared" si="18"/>
        <v>7.7596992499206823E-4</v>
      </c>
      <c r="U57" s="50">
        <f t="shared" si="18"/>
        <v>8.1112842653858932E-4</v>
      </c>
      <c r="V57" s="51">
        <f t="shared" si="19"/>
        <v>2.1161437003937465E-3</v>
      </c>
      <c r="W57" s="52">
        <v>265.99999999676999</v>
      </c>
      <c r="X57" s="52">
        <v>85</v>
      </c>
      <c r="Y57" s="52">
        <v>641</v>
      </c>
      <c r="Z57" s="52">
        <v>46</v>
      </c>
      <c r="AA57" s="53">
        <f t="shared" si="20"/>
        <v>2.0919975588187754E-4</v>
      </c>
      <c r="AB57" s="53">
        <f t="shared" si="5"/>
        <v>2.9013407607656811E-4</v>
      </c>
      <c r="AC57" s="53">
        <f t="shared" si="5"/>
        <v>1.3016179862893531E-3</v>
      </c>
      <c r="AD57" s="53">
        <f t="shared" si="5"/>
        <v>8.3782602360483755E-4</v>
      </c>
      <c r="AE57" s="44">
        <f t="shared" si="21"/>
        <v>2.6387778418526363E-3</v>
      </c>
      <c r="AF57" s="54">
        <f t="shared" si="29"/>
        <v>2.2429611655747409E-3</v>
      </c>
      <c r="AG57" s="44">
        <f t="shared" si="7"/>
        <v>0.24697478784717899</v>
      </c>
      <c r="AH57" s="44">
        <f t="shared" si="8"/>
        <v>0</v>
      </c>
      <c r="AI57" s="45">
        <f t="shared" si="22"/>
        <v>0</v>
      </c>
      <c r="AJ57" s="45">
        <f t="shared" si="30"/>
        <v>0</v>
      </c>
      <c r="AK57" s="127">
        <f t="shared" si="10"/>
        <v>2.2429611655747409E-3</v>
      </c>
      <c r="AM57" s="57">
        <f t="shared" si="31"/>
        <v>793601.40590228164</v>
      </c>
      <c r="AN57" s="58">
        <f t="shared" si="32"/>
        <v>8563342.8879007399</v>
      </c>
      <c r="AO57" s="58">
        <f t="shared" si="33"/>
        <v>4368766.2046128269</v>
      </c>
      <c r="AP57" s="58">
        <f t="shared" si="23"/>
        <v>13725710.498415848</v>
      </c>
      <c r="AQ57" s="59">
        <f t="shared" si="24"/>
        <v>1.7617236867334624E-3</v>
      </c>
    </row>
    <row r="58" spans="1:43" ht="13.8">
      <c r="A58" s="4" t="s">
        <v>51</v>
      </c>
      <c r="B58" s="46">
        <v>2880237</v>
      </c>
      <c r="C58" s="46">
        <v>442199</v>
      </c>
      <c r="D58" s="55">
        <f t="shared" si="25"/>
        <v>0.15352868531304889</v>
      </c>
      <c r="E58" s="56">
        <f t="shared" si="14"/>
        <v>67890.231116744908</v>
      </c>
      <c r="F58" s="127">
        <f t="shared" si="26"/>
        <v>4.0079817795386132E-5</v>
      </c>
      <c r="G58" s="43">
        <v>4080</v>
      </c>
      <c r="H58" s="119">
        <f t="shared" si="27"/>
        <v>7.9695220474483466E-4</v>
      </c>
      <c r="I58" s="45">
        <f t="shared" si="15"/>
        <v>6.7740937403310941E-4</v>
      </c>
      <c r="J58" s="46">
        <v>879.68</v>
      </c>
      <c r="K58" s="116">
        <f t="shared" si="28"/>
        <v>1.3697883561138291E-2</v>
      </c>
      <c r="L58" s="47">
        <f t="shared" si="16"/>
        <v>2.0546825341707436E-3</v>
      </c>
      <c r="M58" s="127">
        <f t="shared" si="17"/>
        <v>2.7320919082038531E-3</v>
      </c>
      <c r="N58" s="48">
        <v>765</v>
      </c>
      <c r="O58" s="49">
        <v>138</v>
      </c>
      <c r="P58" s="49">
        <v>1343</v>
      </c>
      <c r="Q58" s="49">
        <v>81</v>
      </c>
      <c r="R58" s="50">
        <f t="shared" si="18"/>
        <v>4.4735691011459354E-4</v>
      </c>
      <c r="S58" s="50">
        <f t="shared" si="18"/>
        <v>3.9221036117458475E-4</v>
      </c>
      <c r="T58" s="50">
        <f t="shared" si="18"/>
        <v>1.0049446569569407E-3</v>
      </c>
      <c r="U58" s="50">
        <f t="shared" si="18"/>
        <v>5.1733387834350972E-4</v>
      </c>
      <c r="V58" s="51">
        <f t="shared" si="19"/>
        <v>2.3618458065896289E-3</v>
      </c>
      <c r="W58" s="52">
        <v>609.99999999842794</v>
      </c>
      <c r="X58" s="52">
        <v>123</v>
      </c>
      <c r="Y58" s="52">
        <v>468</v>
      </c>
      <c r="Z58" s="52">
        <v>34</v>
      </c>
      <c r="AA58" s="53">
        <f t="shared" si="20"/>
        <v>4.7974380108709025E-4</v>
      </c>
      <c r="AB58" s="53">
        <f t="shared" si="5"/>
        <v>4.198410747931515E-4</v>
      </c>
      <c r="AC58" s="53">
        <f t="shared" si="5"/>
        <v>9.5032327236102532E-4</v>
      </c>
      <c r="AD58" s="53">
        <f t="shared" si="5"/>
        <v>6.1926271309922776E-4</v>
      </c>
      <c r="AE58" s="44">
        <f t="shared" si="21"/>
        <v>2.4691708613404947E-3</v>
      </c>
      <c r="AF58" s="54">
        <f t="shared" si="29"/>
        <v>2.0987952321394206E-3</v>
      </c>
      <c r="AG58" s="44">
        <f t="shared" si="7"/>
        <v>4.5441177595686125E-2</v>
      </c>
      <c r="AH58" s="44">
        <f t="shared" si="8"/>
        <v>0</v>
      </c>
      <c r="AI58" s="45">
        <f t="shared" si="22"/>
        <v>0</v>
      </c>
      <c r="AJ58" s="45">
        <f t="shared" si="30"/>
        <v>0</v>
      </c>
      <c r="AK58" s="127">
        <f t="shared" si="10"/>
        <v>2.0987952321394206E-3</v>
      </c>
      <c r="AM58" s="57">
        <f t="shared" si="31"/>
        <v>156132.30951919302</v>
      </c>
      <c r="AN58" s="58">
        <f t="shared" si="32"/>
        <v>5321479.024982892</v>
      </c>
      <c r="AO58" s="58">
        <f t="shared" si="33"/>
        <v>4087964.5271182004</v>
      </c>
      <c r="AP58" s="58">
        <f t="shared" si="23"/>
        <v>9565575.8616202846</v>
      </c>
      <c r="AQ58" s="59">
        <f t="shared" si="24"/>
        <v>1.227761693983511E-3</v>
      </c>
    </row>
    <row r="59" spans="1:43" ht="14.4" thickBot="1">
      <c r="A59" s="6" t="s">
        <v>52</v>
      </c>
      <c r="B59" s="131">
        <f>SUM(B8:B58)</f>
        <v>7376103693</v>
      </c>
      <c r="C59" s="131">
        <f>SUM(C8:C58)</f>
        <v>3314378996.3799996</v>
      </c>
      <c r="D59" s="74">
        <f t="shared" si="25"/>
        <v>0.44934007632313794</v>
      </c>
      <c r="E59" s="75">
        <f t="shared" ref="E59:J59" si="34">SUM(E8:E58)</f>
        <v>1693875742.2335446</v>
      </c>
      <c r="F59" s="128">
        <f t="shared" si="34"/>
        <v>1</v>
      </c>
      <c r="G59" s="60">
        <f t="shared" si="34"/>
        <v>5119504</v>
      </c>
      <c r="H59" s="120">
        <f t="shared" si="34"/>
        <v>0.99999999999999989</v>
      </c>
      <c r="I59" s="62">
        <f t="shared" si="34"/>
        <v>0.85</v>
      </c>
      <c r="J59" s="63">
        <f t="shared" si="34"/>
        <v>64220.140000000021</v>
      </c>
      <c r="K59" s="117">
        <f t="shared" si="28"/>
        <v>1</v>
      </c>
      <c r="L59" s="64">
        <f>SUM(L8:L58)</f>
        <v>0.15</v>
      </c>
      <c r="M59" s="128">
        <f>SUM(M8:M58)</f>
        <v>1</v>
      </c>
      <c r="N59" s="65">
        <v>427511</v>
      </c>
      <c r="O59" s="66">
        <v>87963</v>
      </c>
      <c r="P59" s="66">
        <v>334098</v>
      </c>
      <c r="Q59" s="66">
        <v>39143</v>
      </c>
      <c r="R59" s="67">
        <f>SUM(R8:R58)</f>
        <v>0.25</v>
      </c>
      <c r="S59" s="67">
        <f>SUM(S8:S58)</f>
        <v>0.24999999999999994</v>
      </c>
      <c r="T59" s="67">
        <f>SUM(T8:T58)</f>
        <v>0.25</v>
      </c>
      <c r="U59" s="67">
        <f>SUM(U8:U58)</f>
        <v>0.25</v>
      </c>
      <c r="V59" s="68">
        <f>SUM(V8:V58)</f>
        <v>1</v>
      </c>
      <c r="W59" s="69">
        <v>317877.99999509094</v>
      </c>
      <c r="X59" s="69">
        <v>73242</v>
      </c>
      <c r="Y59" s="69">
        <v>123116</v>
      </c>
      <c r="Z59" s="69">
        <v>13726</v>
      </c>
      <c r="AA59" s="70">
        <f t="shared" ref="AA59:AF59" si="35">SUM(AA8:AA58)</f>
        <v>0.24999999999999994</v>
      </c>
      <c r="AB59" s="70">
        <f t="shared" si="35"/>
        <v>0.24999999999999997</v>
      </c>
      <c r="AC59" s="70">
        <f t="shared" si="35"/>
        <v>0.24999999999999997</v>
      </c>
      <c r="AD59" s="70">
        <f t="shared" si="35"/>
        <v>0.25000000000000006</v>
      </c>
      <c r="AE59" s="68">
        <f t="shared" si="35"/>
        <v>1.0000000000000002</v>
      </c>
      <c r="AF59" s="71">
        <f t="shared" si="35"/>
        <v>0.85</v>
      </c>
      <c r="AG59" s="72"/>
      <c r="AH59" s="61">
        <f>SUM(AH8:AH58)</f>
        <v>-5.3665221245451189</v>
      </c>
      <c r="AI59" s="73">
        <f>SUM(AI8:AI58)</f>
        <v>1.0000000000000002</v>
      </c>
      <c r="AJ59" s="62">
        <f>SUM(AJ8:AJ58)</f>
        <v>0.15000000000000005</v>
      </c>
      <c r="AK59" s="128">
        <f>SUM(AK8:AK58)</f>
        <v>1.0000000000000002</v>
      </c>
      <c r="AM59" s="76">
        <f>SUM(AM8:AM58)</f>
        <v>3895534413.7608962</v>
      </c>
      <c r="AN59" s="77">
        <f>SUM(AN8:AN58)</f>
        <v>1947767206.8804481</v>
      </c>
      <c r="AO59" s="77">
        <f>SUM(AO8:AO58)</f>
        <v>1947767206.8804474</v>
      </c>
      <c r="AP59" s="77">
        <f>SUM(AP8:AP58)</f>
        <v>7791068827.5217934</v>
      </c>
      <c r="AQ59" s="78">
        <f>SUM(AQ8:AQ58)</f>
        <v>1</v>
      </c>
    </row>
    <row r="60" spans="1:43" ht="13.8" thickTop="1">
      <c r="K60" s="80"/>
      <c r="V60" s="82"/>
    </row>
    <row r="61" spans="1:43" ht="86.4" customHeight="1">
      <c r="B61" s="286" t="s">
        <v>188</v>
      </c>
      <c r="C61" s="286"/>
      <c r="D61" s="286"/>
      <c r="E61" s="286"/>
      <c r="F61" s="286"/>
      <c r="K61" s="80"/>
      <c r="V61" s="82"/>
    </row>
    <row r="62" spans="1:43" s="11" customFormat="1">
      <c r="I62" s="83"/>
      <c r="L62" s="83"/>
      <c r="M62" s="84"/>
      <c r="V62" s="85"/>
      <c r="W62" s="85"/>
      <c r="AF62" s="83"/>
      <c r="AI62" s="83"/>
      <c r="AJ62" s="83"/>
      <c r="AK62" s="84"/>
    </row>
    <row r="63" spans="1:43">
      <c r="V63" s="82"/>
    </row>
    <row r="64" spans="1:43">
      <c r="V64" s="82"/>
    </row>
    <row r="65" spans="9:38">
      <c r="V65" s="82"/>
    </row>
    <row r="66" spans="9:38">
      <c r="I66" s="14"/>
      <c r="L66" s="14"/>
      <c r="M66" s="14"/>
      <c r="V66" s="82"/>
      <c r="AF66" s="14"/>
      <c r="AI66" s="14"/>
      <c r="AJ66" s="14"/>
      <c r="AK66" s="14"/>
      <c r="AL66" s="14"/>
    </row>
    <row r="67" spans="9:38">
      <c r="I67" s="14"/>
      <c r="L67" s="14"/>
      <c r="M67" s="14"/>
      <c r="V67" s="82"/>
      <c r="AF67" s="14"/>
      <c r="AI67" s="14"/>
      <c r="AJ67" s="14"/>
      <c r="AK67" s="14"/>
      <c r="AL67" s="14"/>
    </row>
    <row r="68" spans="9:38">
      <c r="I68" s="14"/>
      <c r="L68" s="14"/>
      <c r="M68" s="14"/>
      <c r="V68" s="82"/>
      <c r="AF68" s="14"/>
      <c r="AI68" s="14"/>
      <c r="AJ68" s="14"/>
      <c r="AK68" s="14"/>
      <c r="AL68" s="14"/>
    </row>
    <row r="69" spans="9:38">
      <c r="I69" s="14"/>
      <c r="L69" s="14"/>
      <c r="M69" s="14"/>
      <c r="V69" s="82"/>
      <c r="AF69" s="14"/>
      <c r="AI69" s="14"/>
      <c r="AJ69" s="14"/>
      <c r="AK69" s="14"/>
      <c r="AL69" s="14"/>
    </row>
    <row r="70" spans="9:38">
      <c r="I70" s="14"/>
      <c r="L70" s="14"/>
      <c r="M70" s="14"/>
      <c r="V70" s="82"/>
      <c r="AF70" s="14"/>
      <c r="AI70" s="14"/>
      <c r="AJ70" s="14"/>
      <c r="AK70" s="14"/>
      <c r="AL70" s="14"/>
    </row>
    <row r="71" spans="9:38">
      <c r="I71" s="14"/>
      <c r="L71" s="14"/>
      <c r="M71" s="14"/>
      <c r="V71" s="82"/>
      <c r="AF71" s="14"/>
      <c r="AI71" s="14"/>
      <c r="AJ71" s="14"/>
      <c r="AK71" s="14"/>
      <c r="AL71" s="14"/>
    </row>
    <row r="72" spans="9:38">
      <c r="I72" s="14"/>
      <c r="L72" s="14"/>
      <c r="M72" s="14"/>
      <c r="V72" s="82"/>
      <c r="AF72" s="14"/>
      <c r="AI72" s="14"/>
      <c r="AJ72" s="14"/>
      <c r="AK72" s="14"/>
      <c r="AL72" s="14"/>
    </row>
    <row r="73" spans="9:38">
      <c r="I73" s="14"/>
      <c r="L73" s="14"/>
      <c r="M73" s="14"/>
      <c r="V73" s="82"/>
      <c r="AF73" s="14"/>
      <c r="AI73" s="14"/>
      <c r="AJ73" s="14"/>
      <c r="AK73" s="14"/>
      <c r="AL73" s="14"/>
    </row>
    <row r="74" spans="9:38">
      <c r="I74" s="14"/>
      <c r="L74" s="14"/>
      <c r="M74" s="14"/>
      <c r="V74" s="82"/>
      <c r="AF74" s="14"/>
      <c r="AI74" s="14"/>
      <c r="AJ74" s="14"/>
      <c r="AK74" s="14"/>
      <c r="AL74" s="14"/>
    </row>
    <row r="75" spans="9:38">
      <c r="I75" s="14"/>
      <c r="L75" s="14"/>
      <c r="M75" s="14"/>
      <c r="V75" s="82"/>
      <c r="AF75" s="14"/>
      <c r="AI75" s="14"/>
      <c r="AJ75" s="14"/>
      <c r="AK75" s="14"/>
      <c r="AL75" s="14"/>
    </row>
    <row r="76" spans="9:38">
      <c r="I76" s="14"/>
      <c r="L76" s="14"/>
      <c r="M76" s="14"/>
      <c r="V76" s="82"/>
      <c r="AF76" s="14"/>
      <c r="AI76" s="14"/>
      <c r="AJ76" s="14"/>
      <c r="AK76" s="14"/>
      <c r="AL76" s="14"/>
    </row>
    <row r="77" spans="9:38">
      <c r="I77" s="14"/>
      <c r="L77" s="14"/>
      <c r="M77" s="14"/>
      <c r="V77" s="82"/>
      <c r="AF77" s="14"/>
      <c r="AI77" s="14"/>
      <c r="AJ77" s="14"/>
      <c r="AK77" s="14"/>
      <c r="AL77" s="14"/>
    </row>
    <row r="78" spans="9:38">
      <c r="I78" s="14"/>
      <c r="L78" s="14"/>
      <c r="M78" s="14"/>
      <c r="V78" s="82"/>
      <c r="AF78" s="14"/>
      <c r="AI78" s="14"/>
      <c r="AJ78" s="14"/>
      <c r="AK78" s="14"/>
      <c r="AL78" s="14"/>
    </row>
    <row r="79" spans="9:38">
      <c r="I79" s="14"/>
      <c r="L79" s="14"/>
      <c r="M79" s="14"/>
      <c r="V79" s="82"/>
      <c r="AF79" s="14"/>
      <c r="AI79" s="14"/>
      <c r="AJ79" s="14"/>
      <c r="AK79" s="14"/>
      <c r="AL79" s="14"/>
    </row>
    <row r="80" spans="9:38">
      <c r="I80" s="14"/>
      <c r="L80" s="14"/>
      <c r="M80" s="14"/>
      <c r="V80" s="82"/>
      <c r="AF80" s="14"/>
      <c r="AI80" s="14"/>
      <c r="AJ80" s="14"/>
      <c r="AK80" s="14"/>
      <c r="AL80" s="14"/>
    </row>
    <row r="81" spans="9:38">
      <c r="I81" s="14"/>
      <c r="L81" s="14"/>
      <c r="M81" s="14"/>
      <c r="V81" s="82"/>
      <c r="AF81" s="14"/>
      <c r="AI81" s="14"/>
      <c r="AJ81" s="14"/>
      <c r="AK81" s="14"/>
      <c r="AL81" s="14"/>
    </row>
    <row r="82" spans="9:38">
      <c r="I82" s="14"/>
      <c r="L82" s="14"/>
      <c r="M82" s="14"/>
      <c r="V82" s="82"/>
      <c r="AF82" s="14"/>
      <c r="AI82" s="14"/>
      <c r="AJ82" s="14"/>
      <c r="AK82" s="14"/>
      <c r="AL82" s="14"/>
    </row>
    <row r="83" spans="9:38">
      <c r="I83" s="14"/>
      <c r="L83" s="14"/>
      <c r="M83" s="14"/>
      <c r="V83" s="82"/>
      <c r="AF83" s="14"/>
      <c r="AI83" s="14"/>
      <c r="AJ83" s="14"/>
      <c r="AK83" s="14"/>
      <c r="AL83" s="14"/>
    </row>
    <row r="84" spans="9:38">
      <c r="I84" s="14"/>
      <c r="L84" s="14"/>
      <c r="M84" s="14"/>
      <c r="V84" s="82"/>
      <c r="AF84" s="14"/>
      <c r="AI84" s="14"/>
      <c r="AJ84" s="14"/>
      <c r="AK84" s="14"/>
      <c r="AL84" s="14"/>
    </row>
    <row r="85" spans="9:38">
      <c r="I85" s="14"/>
      <c r="L85" s="14"/>
      <c r="M85" s="14"/>
      <c r="V85" s="82"/>
      <c r="AF85" s="14"/>
      <c r="AI85" s="14"/>
      <c r="AJ85" s="14"/>
      <c r="AK85" s="14"/>
      <c r="AL85" s="14"/>
    </row>
    <row r="86" spans="9:38">
      <c r="I86" s="14"/>
      <c r="L86" s="14"/>
      <c r="M86" s="14"/>
      <c r="V86" s="82"/>
      <c r="AF86" s="14"/>
      <c r="AI86" s="14"/>
      <c r="AJ86" s="14"/>
      <c r="AK86" s="14"/>
      <c r="AL86" s="14"/>
    </row>
    <row r="87" spans="9:38">
      <c r="I87" s="14"/>
      <c r="L87" s="14"/>
      <c r="M87" s="14"/>
      <c r="V87" s="82"/>
      <c r="AF87" s="14"/>
      <c r="AI87" s="14"/>
      <c r="AJ87" s="14"/>
      <c r="AK87" s="14"/>
      <c r="AL87" s="14"/>
    </row>
    <row r="88" spans="9:38">
      <c r="I88" s="14"/>
      <c r="L88" s="14"/>
      <c r="M88" s="14"/>
      <c r="V88" s="82"/>
      <c r="AF88" s="14"/>
      <c r="AI88" s="14"/>
      <c r="AJ88" s="14"/>
      <c r="AK88" s="14"/>
      <c r="AL88" s="14"/>
    </row>
  </sheetData>
  <mergeCells count="8">
    <mergeCell ref="B61:F61"/>
    <mergeCell ref="AM3:AQ3"/>
    <mergeCell ref="B3:F3"/>
    <mergeCell ref="G3:M3"/>
    <mergeCell ref="N3:S3"/>
    <mergeCell ref="T3:Y3"/>
    <mergeCell ref="AA3:AF3"/>
    <mergeCell ref="AG3:AK3"/>
  </mergeCells>
  <phoneticPr fontId="0" type="noConversion"/>
  <printOptions horizontalCentered="1"/>
  <pageMargins left="0.27559055118110237" right="0.19685039370078741" top="0.62992125984251968" bottom="0.23622047244094491" header="0.23622047244094491" footer="0.23622047244094491"/>
  <pageSetup scale="80" orientation="portrait" r:id="rId1"/>
  <headerFooter alignWithMargins="0">
    <oddHeader>&amp;L&amp;"Arial,Negrita"ANEXO I</oddHeader>
  </headerFooter>
  <colBreaks count="3" manualBreakCount="3">
    <brk id="6" min="2" max="60" man="1"/>
    <brk id="13" max="1048575" man="1"/>
    <brk id="3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GridLines="0" zoomScale="120" zoomScaleNormal="120" zoomScaleSheetLayoutView="100" workbookViewId="0">
      <selection activeCell="Q8" sqref="Q8"/>
    </sheetView>
  </sheetViews>
  <sheetFormatPr baseColWidth="10" defaultColWidth="11.44140625" defaultRowHeight="13.2"/>
  <cols>
    <col min="1" max="1" width="55" style="156" customWidth="1"/>
    <col min="2" max="14" width="15.77734375" style="156" customWidth="1"/>
    <col min="15" max="16" width="17.33203125" style="156" customWidth="1"/>
    <col min="17" max="16384" width="11.44140625" style="156"/>
  </cols>
  <sheetData>
    <row r="1" spans="1:16" ht="27.75" customHeight="1">
      <c r="A1" s="281" t="s">
        <v>236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3" spans="1:16" ht="26.4">
      <c r="A3" s="157" t="s">
        <v>140</v>
      </c>
      <c r="B3" s="264" t="s">
        <v>224</v>
      </c>
      <c r="C3" s="264" t="s">
        <v>225</v>
      </c>
      <c r="D3" s="264" t="s">
        <v>226</v>
      </c>
      <c r="E3" s="264" t="s">
        <v>227</v>
      </c>
      <c r="F3" s="264" t="s">
        <v>228</v>
      </c>
      <c r="G3" s="264" t="s">
        <v>229</v>
      </c>
      <c r="H3" s="265" t="s">
        <v>230</v>
      </c>
      <c r="I3" s="265" t="s">
        <v>231</v>
      </c>
      <c r="J3" s="265" t="s">
        <v>232</v>
      </c>
      <c r="K3" s="265" t="s">
        <v>233</v>
      </c>
      <c r="L3" s="265" t="s">
        <v>234</v>
      </c>
      <c r="M3" s="265" t="s">
        <v>235</v>
      </c>
      <c r="N3" s="157" t="s">
        <v>141</v>
      </c>
      <c r="O3" s="157" t="s">
        <v>142</v>
      </c>
      <c r="P3" s="157" t="s">
        <v>164</v>
      </c>
    </row>
    <row r="4" spans="1:16" ht="25.5" customHeight="1">
      <c r="A4" s="158" t="s">
        <v>143</v>
      </c>
      <c r="B4" s="261">
        <v>2352188364.0836253</v>
      </c>
      <c r="C4" s="261">
        <v>3248834707.2591658</v>
      </c>
      <c r="D4" s="261">
        <v>2345869573.8403292</v>
      </c>
      <c r="E4" s="261">
        <v>2604411750.8578014</v>
      </c>
      <c r="F4" s="261">
        <v>3169097754.425601</v>
      </c>
      <c r="G4" s="261">
        <v>2894674830.4264283</v>
      </c>
      <c r="H4" s="261">
        <v>2552784765</v>
      </c>
      <c r="I4" s="261">
        <v>2689868464</v>
      </c>
      <c r="J4" s="261">
        <v>2475362030</v>
      </c>
      <c r="K4" s="261">
        <v>1812217861</v>
      </c>
      <c r="L4" s="261">
        <v>2374924703</v>
      </c>
      <c r="M4" s="261">
        <v>2351353641</v>
      </c>
      <c r="N4" s="261">
        <f>SUM(B4:M4)</f>
        <v>30871588444.892952</v>
      </c>
      <c r="O4" s="261">
        <v>20</v>
      </c>
      <c r="P4" s="266">
        <f>+O4/100*N4</f>
        <v>6174317688.978591</v>
      </c>
    </row>
    <row r="5" spans="1:16" ht="25.5" customHeight="1">
      <c r="A5" s="158" t="s">
        <v>192</v>
      </c>
      <c r="B5" s="261">
        <v>64734976.441389382</v>
      </c>
      <c r="C5" s="261">
        <v>93636113.101100847</v>
      </c>
      <c r="D5" s="261">
        <v>64491307.855542019</v>
      </c>
      <c r="E5" s="261">
        <v>73525816.344770119</v>
      </c>
      <c r="F5" s="261">
        <v>85436822.69936341</v>
      </c>
      <c r="G5" s="261">
        <v>70891088.991146848</v>
      </c>
      <c r="H5" s="261">
        <v>72186524</v>
      </c>
      <c r="I5" s="261">
        <v>76048433</v>
      </c>
      <c r="J5" s="261">
        <v>70005377</v>
      </c>
      <c r="K5" s="261">
        <v>68749009</v>
      </c>
      <c r="L5" s="261">
        <v>67175866</v>
      </c>
      <c r="M5" s="261">
        <v>66511824</v>
      </c>
      <c r="N5" s="261">
        <f>SUM(B5:M5)</f>
        <v>873393158.43331265</v>
      </c>
      <c r="O5" s="261">
        <v>100</v>
      </c>
      <c r="P5" s="266">
        <f t="shared" ref="P5:P12" si="0">+O5/100*N5</f>
        <v>873393158.43331265</v>
      </c>
    </row>
    <row r="6" spans="1:16" ht="25.5" customHeight="1">
      <c r="A6" s="158" t="s">
        <v>191</v>
      </c>
      <c r="B6" s="261"/>
      <c r="C6" s="261"/>
      <c r="D6" s="261"/>
      <c r="E6" s="261"/>
      <c r="F6" s="261"/>
      <c r="G6" s="261">
        <v>129111803.34040377</v>
      </c>
      <c r="H6" s="261"/>
      <c r="I6" s="261"/>
      <c r="J6" s="261"/>
      <c r="K6" s="261"/>
      <c r="L6" s="261"/>
      <c r="M6" s="261"/>
      <c r="N6" s="261">
        <f>SUM(B6:M6)</f>
        <v>129111803.34040377</v>
      </c>
      <c r="O6" s="261">
        <v>100</v>
      </c>
      <c r="P6" s="266">
        <f t="shared" si="0"/>
        <v>129111803.34040377</v>
      </c>
    </row>
    <row r="7" spans="1:16" ht="25.5" customHeight="1">
      <c r="A7" s="158" t="s">
        <v>144</v>
      </c>
      <c r="B7" s="261">
        <v>86046527.332024768</v>
      </c>
      <c r="C7" s="261">
        <v>150000594.39680597</v>
      </c>
      <c r="D7" s="261">
        <v>128896265.35191464</v>
      </c>
      <c r="E7" s="261">
        <v>78386629.076240808</v>
      </c>
      <c r="F7" s="261">
        <v>80161656.602071047</v>
      </c>
      <c r="G7" s="261">
        <v>-17527243.803861707</v>
      </c>
      <c r="H7" s="261">
        <v>99449231</v>
      </c>
      <c r="I7" s="261">
        <v>108630441</v>
      </c>
      <c r="J7" s="261">
        <v>98232232</v>
      </c>
      <c r="K7" s="261">
        <v>94175731</v>
      </c>
      <c r="L7" s="261">
        <v>91200090</v>
      </c>
      <c r="M7" s="261">
        <v>93471975</v>
      </c>
      <c r="N7" s="261">
        <f t="shared" ref="N7:N12" si="1">SUM(B7:M7)</f>
        <v>1091124128.9551954</v>
      </c>
      <c r="O7" s="261">
        <v>20</v>
      </c>
      <c r="P7" s="266">
        <f t="shared" si="0"/>
        <v>218224825.79103911</v>
      </c>
    </row>
    <row r="8" spans="1:16" ht="25.5" customHeight="1">
      <c r="A8" s="158" t="s">
        <v>163</v>
      </c>
      <c r="B8" s="261">
        <v>175534286.37741974</v>
      </c>
      <c r="C8" s="261">
        <v>75298111</v>
      </c>
      <c r="D8" s="261">
        <v>75298111</v>
      </c>
      <c r="E8" s="261">
        <v>228560494.11011884</v>
      </c>
      <c r="F8" s="261">
        <v>76015926.428190231</v>
      </c>
      <c r="G8" s="261">
        <v>75298110.874602646</v>
      </c>
      <c r="H8" s="261">
        <v>238847758</v>
      </c>
      <c r="I8" s="261">
        <v>75298111</v>
      </c>
      <c r="J8" s="261">
        <v>75298111</v>
      </c>
      <c r="K8" s="261">
        <v>211561482</v>
      </c>
      <c r="L8" s="261">
        <v>75298111</v>
      </c>
      <c r="M8" s="261">
        <v>75298111</v>
      </c>
      <c r="N8" s="261">
        <f t="shared" si="1"/>
        <v>1457606723.7903314</v>
      </c>
      <c r="O8" s="261">
        <v>20</v>
      </c>
      <c r="P8" s="266">
        <f t="shared" si="0"/>
        <v>291521344.7580663</v>
      </c>
    </row>
    <row r="9" spans="1:16" ht="25.5" customHeight="1">
      <c r="A9" s="158" t="s">
        <v>162</v>
      </c>
      <c r="B9" s="261">
        <v>10847516.510172199</v>
      </c>
      <c r="C9" s="261">
        <v>8839735.7330775112</v>
      </c>
      <c r="D9" s="261">
        <v>10368130.059400821</v>
      </c>
      <c r="E9" s="261">
        <v>9214976.3235891033</v>
      </c>
      <c r="F9" s="261">
        <v>5847672.9860091917</v>
      </c>
      <c r="G9" s="261">
        <v>9680967.1520517804</v>
      </c>
      <c r="H9" s="261">
        <v>9306145.8505842201</v>
      </c>
      <c r="I9" s="261">
        <v>9784391.5733783171</v>
      </c>
      <c r="J9" s="261">
        <v>9875178.6814778782</v>
      </c>
      <c r="K9" s="261">
        <v>9702165.2112816367</v>
      </c>
      <c r="L9" s="261">
        <v>10976379.575687647</v>
      </c>
      <c r="M9" s="261">
        <v>10656826.147200573</v>
      </c>
      <c r="N9" s="261">
        <f t="shared" si="1"/>
        <v>115100085.80391088</v>
      </c>
      <c r="O9" s="261">
        <v>20</v>
      </c>
      <c r="P9" s="266">
        <f t="shared" si="0"/>
        <v>23020017.160782177</v>
      </c>
    </row>
    <row r="10" spans="1:16" ht="25.5" customHeight="1">
      <c r="A10" s="158" t="s">
        <v>168</v>
      </c>
      <c r="B10" s="261">
        <v>86149845</v>
      </c>
      <c r="C10" s="261">
        <v>91221010</v>
      </c>
      <c r="D10" s="261">
        <v>78467945</v>
      </c>
      <c r="E10" s="261">
        <v>57066011</v>
      </c>
      <c r="F10" s="261">
        <v>90132884</v>
      </c>
      <c r="G10" s="261">
        <v>76998845</v>
      </c>
      <c r="H10" s="261">
        <v>65740558</v>
      </c>
      <c r="I10" s="261">
        <v>65037266</v>
      </c>
      <c r="J10" s="261">
        <v>63009653</v>
      </c>
      <c r="K10" s="261">
        <v>65881839</v>
      </c>
      <c r="L10" s="261">
        <v>62775729</v>
      </c>
      <c r="M10" s="261">
        <v>67867113</v>
      </c>
      <c r="N10" s="261">
        <f t="shared" si="1"/>
        <v>870348698</v>
      </c>
      <c r="O10" s="261">
        <v>20</v>
      </c>
      <c r="P10" s="266">
        <f t="shared" si="0"/>
        <v>174069739.60000002</v>
      </c>
    </row>
    <row r="11" spans="1:16" ht="25.5" customHeight="1">
      <c r="A11" s="158" t="s">
        <v>167</v>
      </c>
      <c r="B11" s="261">
        <v>15217522</v>
      </c>
      <c r="C11" s="261">
        <v>15217522</v>
      </c>
      <c r="D11" s="261">
        <v>15217522</v>
      </c>
      <c r="E11" s="261">
        <v>15217522</v>
      </c>
      <c r="F11" s="261">
        <v>15217522</v>
      </c>
      <c r="G11" s="261">
        <v>15217522</v>
      </c>
      <c r="H11" s="261">
        <v>15217522</v>
      </c>
      <c r="I11" s="261">
        <v>15217522</v>
      </c>
      <c r="J11" s="261">
        <v>15217522</v>
      </c>
      <c r="K11" s="261">
        <v>15217522</v>
      </c>
      <c r="L11" s="261">
        <v>15217522</v>
      </c>
      <c r="M11" s="261">
        <v>15217522</v>
      </c>
      <c r="N11" s="261">
        <f t="shared" si="1"/>
        <v>182610264</v>
      </c>
      <c r="O11" s="261">
        <v>20</v>
      </c>
      <c r="P11" s="266">
        <f t="shared" si="0"/>
        <v>36522052.800000004</v>
      </c>
    </row>
    <row r="12" spans="1:16" ht="25.5" customHeight="1">
      <c r="A12" s="158" t="s">
        <v>159</v>
      </c>
      <c r="B12" s="261">
        <v>98845712.181818172</v>
      </c>
      <c r="C12" s="261">
        <v>119968288</v>
      </c>
      <c r="D12" s="261">
        <v>68708737.63636364</v>
      </c>
      <c r="E12" s="261">
        <v>81878351</v>
      </c>
      <c r="F12" s="261">
        <v>94978635.545454532</v>
      </c>
      <c r="G12" s="261">
        <v>96704582</v>
      </c>
      <c r="H12" s="261">
        <v>101350772</v>
      </c>
      <c r="I12" s="261">
        <v>102536663</v>
      </c>
      <c r="J12" s="261">
        <v>103409896</v>
      </c>
      <c r="K12" s="261">
        <v>97093037</v>
      </c>
      <c r="L12" s="261">
        <v>100328691</v>
      </c>
      <c r="M12" s="261">
        <v>100018125</v>
      </c>
      <c r="N12" s="261">
        <f t="shared" si="1"/>
        <v>1165821490.3636365</v>
      </c>
      <c r="O12" s="261">
        <v>20</v>
      </c>
      <c r="P12" s="266">
        <f t="shared" si="0"/>
        <v>233164298.07272732</v>
      </c>
    </row>
    <row r="13" spans="1:16" ht="25.5" customHeight="1">
      <c r="A13" s="177" t="s">
        <v>53</v>
      </c>
      <c r="B13" s="262">
        <f t="shared" ref="B13:M13" si="2">SUM(B4:B12)</f>
        <v>2889564749.9264498</v>
      </c>
      <c r="C13" s="262">
        <f t="shared" si="2"/>
        <v>3803016081.49015</v>
      </c>
      <c r="D13" s="262">
        <f t="shared" si="2"/>
        <v>2787317592.7435503</v>
      </c>
      <c r="E13" s="262">
        <f t="shared" si="2"/>
        <v>3148261550.7125206</v>
      </c>
      <c r="F13" s="262">
        <f t="shared" si="2"/>
        <v>3616888874.6866894</v>
      </c>
      <c r="G13" s="262">
        <f t="shared" si="2"/>
        <v>3351050505.980772</v>
      </c>
      <c r="H13" s="262">
        <f t="shared" si="2"/>
        <v>3154883275.850584</v>
      </c>
      <c r="I13" s="262">
        <f t="shared" si="2"/>
        <v>3142421291.5733781</v>
      </c>
      <c r="J13" s="262">
        <f t="shared" si="2"/>
        <v>2910409999.681478</v>
      </c>
      <c r="K13" s="262">
        <f t="shared" si="2"/>
        <v>2374598646.2112818</v>
      </c>
      <c r="L13" s="262">
        <f t="shared" si="2"/>
        <v>2797897091.5756874</v>
      </c>
      <c r="M13" s="262">
        <f t="shared" si="2"/>
        <v>2780395137.1472006</v>
      </c>
      <c r="N13" s="262">
        <f>SUM(N4:N12)</f>
        <v>36756704797.579742</v>
      </c>
      <c r="O13" s="260"/>
      <c r="P13" s="262">
        <f>SUM(P4:P12)</f>
        <v>8153344928.9349222</v>
      </c>
    </row>
    <row r="14" spans="1:16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2"/>
      <c r="O14" s="163"/>
      <c r="P14" s="162"/>
    </row>
    <row r="15" spans="1:16">
      <c r="A15" s="164" t="s">
        <v>145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P15" s="263">
        <f>+P4+P5+P7+P8+P9+P10+P11</f>
        <v>7791068827.5217915</v>
      </c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5"/>
  <sheetViews>
    <sheetView zoomScaleSheetLayoutView="100" workbookViewId="0">
      <selection activeCell="N6" sqref="N6"/>
    </sheetView>
  </sheetViews>
  <sheetFormatPr baseColWidth="10" defaultColWidth="9.6640625" defaultRowHeight="13.8"/>
  <cols>
    <col min="1" max="1" width="26.21875" style="14" customWidth="1"/>
    <col min="2" max="2" width="12.6640625" style="14" hidden="1" customWidth="1"/>
    <col min="3" max="5" width="11.109375" style="14" hidden="1" customWidth="1"/>
    <col min="6" max="6" width="10.109375" style="14" hidden="1" customWidth="1"/>
    <col min="7" max="7" width="11.109375" style="14" hidden="1" customWidth="1"/>
    <col min="8" max="8" width="11.21875" style="14" hidden="1" customWidth="1"/>
    <col min="9" max="9" width="16.109375" style="14" customWidth="1"/>
    <col min="10" max="10" width="15.5546875" style="14" customWidth="1"/>
    <col min="11" max="11" width="15.88671875" style="14" customWidth="1"/>
    <col min="12" max="12" width="13.33203125" style="14" bestFit="1" customWidth="1"/>
    <col min="13" max="13" width="8.88671875" style="14" customWidth="1"/>
    <col min="14" max="14" width="16.5546875" style="14" customWidth="1"/>
    <col min="15" max="15" width="15.88671875" style="14" customWidth="1"/>
    <col min="16" max="16" width="13.88671875" style="14" customWidth="1"/>
    <col min="17" max="17" width="12.6640625" style="14" bestFit="1" customWidth="1"/>
    <col min="18" max="18" width="14.88671875" style="14" customWidth="1"/>
    <col min="19" max="19" width="16.109375" style="14" customWidth="1"/>
    <col min="20" max="20" width="12.44140625" style="14" customWidth="1"/>
    <col min="21" max="21" width="13.5546875" style="187" customWidth="1"/>
    <col min="22" max="22" width="5.44140625" style="14" customWidth="1"/>
    <col min="23" max="16384" width="9.6640625" style="14"/>
  </cols>
  <sheetData>
    <row r="1" spans="1:21" ht="24">
      <c r="A1" s="293" t="s">
        <v>169</v>
      </c>
      <c r="B1" s="293"/>
      <c r="C1" s="293"/>
      <c r="D1" s="293"/>
      <c r="E1" s="293"/>
      <c r="F1" s="293"/>
      <c r="G1" s="293"/>
      <c r="H1" s="293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</row>
    <row r="2" spans="1:21" ht="8.25" customHeight="1" thickBot="1">
      <c r="I2" s="97"/>
    </row>
    <row r="3" spans="1:21" ht="69" customHeight="1" thickBot="1">
      <c r="A3" s="297" t="s">
        <v>0</v>
      </c>
      <c r="B3" s="295" t="s">
        <v>132</v>
      </c>
      <c r="C3" s="304" t="s">
        <v>133</v>
      </c>
      <c r="D3" s="289" t="s">
        <v>134</v>
      </c>
      <c r="E3" s="289" t="s">
        <v>155</v>
      </c>
      <c r="F3" s="289" t="s">
        <v>147</v>
      </c>
      <c r="G3" s="289" t="s">
        <v>171</v>
      </c>
      <c r="H3" s="291" t="s">
        <v>172</v>
      </c>
      <c r="I3" s="295" t="s">
        <v>178</v>
      </c>
      <c r="J3" s="295" t="s">
        <v>179</v>
      </c>
      <c r="K3" s="295" t="s">
        <v>173</v>
      </c>
      <c r="L3" s="300" t="s">
        <v>175</v>
      </c>
      <c r="M3" s="301"/>
      <c r="N3" s="124" t="s">
        <v>180</v>
      </c>
      <c r="O3" s="295" t="s">
        <v>181</v>
      </c>
      <c r="P3" s="295" t="s">
        <v>182</v>
      </c>
      <c r="Q3" s="295" t="s">
        <v>183</v>
      </c>
      <c r="R3" s="186" t="s">
        <v>184</v>
      </c>
      <c r="S3" s="295" t="s">
        <v>185</v>
      </c>
      <c r="T3" s="295" t="s">
        <v>186</v>
      </c>
      <c r="U3" s="295" t="s">
        <v>241</v>
      </c>
    </row>
    <row r="4" spans="1:21" ht="20.399999999999999" customHeight="1" thickBot="1">
      <c r="A4" s="298"/>
      <c r="B4" s="296"/>
      <c r="C4" s="305"/>
      <c r="D4" s="290"/>
      <c r="E4" s="290"/>
      <c r="F4" s="290"/>
      <c r="G4" s="290"/>
      <c r="H4" s="292"/>
      <c r="I4" s="296"/>
      <c r="J4" s="296"/>
      <c r="K4" s="299"/>
      <c r="L4" s="302"/>
      <c r="M4" s="303"/>
      <c r="N4" s="179">
        <v>4.8300000000000003E-2</v>
      </c>
      <c r="O4" s="296"/>
      <c r="P4" s="296"/>
      <c r="Q4" s="296"/>
      <c r="R4" s="155">
        <f>+O58/Q58</f>
        <v>0.37988390677875267</v>
      </c>
      <c r="S4" s="296"/>
      <c r="T4" s="296"/>
      <c r="U4" s="296"/>
    </row>
    <row r="5" spans="1:21" ht="20.399999999999999" customHeight="1">
      <c r="A5" s="102"/>
      <c r="B5" s="122" t="s">
        <v>129</v>
      </c>
      <c r="C5" s="102"/>
      <c r="D5" s="102"/>
      <c r="E5" s="102"/>
      <c r="F5" s="102"/>
      <c r="G5" s="102"/>
      <c r="H5" s="102"/>
      <c r="I5" s="122" t="s">
        <v>129</v>
      </c>
      <c r="J5" s="122" t="s">
        <v>129</v>
      </c>
      <c r="K5" s="188" t="s">
        <v>129</v>
      </c>
      <c r="L5" s="188" t="s">
        <v>129</v>
      </c>
      <c r="M5" s="188" t="s">
        <v>130</v>
      </c>
      <c r="N5" s="123" t="s">
        <v>129</v>
      </c>
      <c r="O5" s="122" t="s">
        <v>129</v>
      </c>
      <c r="P5" s="122" t="s">
        <v>129</v>
      </c>
      <c r="Q5" s="123" t="s">
        <v>129</v>
      </c>
      <c r="R5" s="122" t="s">
        <v>129</v>
      </c>
      <c r="S5" s="122" t="s">
        <v>129</v>
      </c>
      <c r="T5" s="122"/>
      <c r="U5" s="122"/>
    </row>
    <row r="6" spans="1:21" ht="15.6" thickBot="1">
      <c r="A6" s="1"/>
      <c r="B6" s="1"/>
      <c r="C6" s="1"/>
      <c r="D6" s="1"/>
      <c r="E6" s="1"/>
      <c r="F6" s="1"/>
      <c r="G6" s="1"/>
      <c r="H6" s="1"/>
      <c r="I6" s="1"/>
      <c r="J6" s="1"/>
      <c r="K6" s="189" t="s">
        <v>148</v>
      </c>
      <c r="L6" s="189"/>
      <c r="M6" s="190"/>
      <c r="N6" s="189" t="s">
        <v>149</v>
      </c>
      <c r="O6" s="189" t="s">
        <v>150</v>
      </c>
      <c r="P6" s="189" t="s">
        <v>151</v>
      </c>
      <c r="Q6" s="189" t="s">
        <v>152</v>
      </c>
      <c r="R6" s="189" t="s">
        <v>153</v>
      </c>
      <c r="S6" s="189"/>
      <c r="T6" s="189"/>
      <c r="U6" s="189" t="s">
        <v>154</v>
      </c>
    </row>
    <row r="7" spans="1:21" ht="12.75" customHeight="1" thickTop="1">
      <c r="A7" s="2" t="s">
        <v>1</v>
      </c>
      <c r="B7" s="3">
        <v>7358911.9291536603</v>
      </c>
      <c r="C7" s="3">
        <v>1038729.9199644899</v>
      </c>
      <c r="D7" s="3">
        <v>270337.76932806754</v>
      </c>
      <c r="E7" s="3">
        <v>340933.91798828181</v>
      </c>
      <c r="F7" s="3">
        <v>28368.944292691671</v>
      </c>
      <c r="G7" s="3">
        <v>248523.20538033982</v>
      </c>
      <c r="H7" s="3">
        <v>46023.651196244748</v>
      </c>
      <c r="I7" s="3">
        <f>SUM(B7:H7)</f>
        <v>9331829.3373037763</v>
      </c>
      <c r="J7" s="3">
        <f t="shared" ref="J7:J57" si="0">(+I7*N$4)+I7</f>
        <v>9782556.6942955479</v>
      </c>
      <c r="K7" s="3">
        <f>+'COEF Art 14 F I'!AP8</f>
        <v>3480768.1026483015</v>
      </c>
      <c r="L7" s="3">
        <f>+K7-J7</f>
        <v>-6301788.5916472469</v>
      </c>
      <c r="M7" s="180">
        <f>+(K7-J7)/J7</f>
        <v>-0.64418625811000685</v>
      </c>
      <c r="N7" s="3">
        <f>IF(M7&lt;0,J7,0)</f>
        <v>9782556.6942955479</v>
      </c>
      <c r="O7" s="3">
        <f>IF(M7&lt;0,N7-K7,0)</f>
        <v>6301788.5916472469</v>
      </c>
      <c r="P7" s="3">
        <f>+IF(K7&gt;J7,K7,0)</f>
        <v>0</v>
      </c>
      <c r="Q7" s="3">
        <f>IF(P7=0,0,K7-J7)</f>
        <v>0</v>
      </c>
      <c r="R7" s="3">
        <f>+Q7*R$4</f>
        <v>0</v>
      </c>
      <c r="S7" s="3">
        <f t="shared" ref="S7:S38" si="1">IF(O7&lt;&gt;0,K7+O7,K7-R7)</f>
        <v>9782556.6942955479</v>
      </c>
      <c r="T7" s="180">
        <f t="shared" ref="T7:T38" si="2">+(S7-I7)/I7</f>
        <v>4.8299999999999912E-2</v>
      </c>
      <c r="U7" s="183">
        <f>+S7/S$58</f>
        <v>1.2556116382567263E-3</v>
      </c>
    </row>
    <row r="8" spans="1:21" ht="12.75" customHeight="1">
      <c r="A8" s="4" t="s">
        <v>2</v>
      </c>
      <c r="B8" s="5">
        <v>14576366.23974626</v>
      </c>
      <c r="C8" s="202">
        <v>2057492.7222054771</v>
      </c>
      <c r="D8" s="202">
        <v>535478.93657359632</v>
      </c>
      <c r="E8" s="202">
        <v>675314.19046624668</v>
      </c>
      <c r="F8" s="202">
        <v>56192.562953092871</v>
      </c>
      <c r="G8" s="202">
        <v>492269.14190235961</v>
      </c>
      <c r="H8" s="202">
        <v>91162.606915986529</v>
      </c>
      <c r="I8" s="5">
        <f t="shared" ref="I8:I57" si="3">SUM(B8:H8)</f>
        <v>18484276.40076302</v>
      </c>
      <c r="J8" s="5">
        <f t="shared" si="0"/>
        <v>19377066.950919874</v>
      </c>
      <c r="K8" s="5">
        <f>+'COEF Art 14 F I'!AP9</f>
        <v>18985524.370188147</v>
      </c>
      <c r="L8" s="5">
        <f t="shared" ref="L8:L57" si="4">+K8-J8</f>
        <v>-391542.58073172718</v>
      </c>
      <c r="M8" s="181">
        <f t="shared" ref="M8:M58" si="5">+(K8-J8)/J8</f>
        <v>-2.0206493672311938E-2</v>
      </c>
      <c r="N8" s="5">
        <f t="shared" ref="N8:N57" si="6">IF(M8&lt;0,J8,0)</f>
        <v>19377066.950919874</v>
      </c>
      <c r="O8" s="5">
        <f t="shared" ref="O8:O57" si="7">IF(M8&lt;0,N8-K8,0)</f>
        <v>391542.58073172718</v>
      </c>
      <c r="P8" s="5">
        <f t="shared" ref="P8:P57" si="8">+IF(K8&gt;J8,K8,0)</f>
        <v>0</v>
      </c>
      <c r="Q8" s="5">
        <f>IF(P8=0,0,K8-J8)</f>
        <v>0</v>
      </c>
      <c r="R8" s="5">
        <f t="shared" ref="R8:R57" si="9">+Q8*R$4</f>
        <v>0</v>
      </c>
      <c r="S8" s="5">
        <f t="shared" si="1"/>
        <v>19377066.950919874</v>
      </c>
      <c r="T8" s="181">
        <f t="shared" si="2"/>
        <v>4.830000000000001E-2</v>
      </c>
      <c r="U8" s="184">
        <f t="shared" ref="U8:U57" si="10">+S8/S$58</f>
        <v>2.4870871224331611E-3</v>
      </c>
    </row>
    <row r="9" spans="1:21" ht="12.75" customHeight="1">
      <c r="A9" s="4" t="s">
        <v>3</v>
      </c>
      <c r="B9" s="5">
        <v>14372051.346093465</v>
      </c>
      <c r="C9" s="202">
        <v>2028653.1335304263</v>
      </c>
      <c r="D9" s="202">
        <v>527973.20296511694</v>
      </c>
      <c r="E9" s="202">
        <v>665848.40559658967</v>
      </c>
      <c r="F9" s="202">
        <v>55404.919631371144</v>
      </c>
      <c r="G9" s="202">
        <v>485369.07396124443</v>
      </c>
      <c r="H9" s="202">
        <v>89884.793362830373</v>
      </c>
      <c r="I9" s="5">
        <f t="shared" si="3"/>
        <v>18225184.875141043</v>
      </c>
      <c r="J9" s="5">
        <f t="shared" si="0"/>
        <v>19105461.304610357</v>
      </c>
      <c r="K9" s="5">
        <f>+'COEF Art 14 F I'!AP10</f>
        <v>20684265.518878661</v>
      </c>
      <c r="L9" s="5">
        <f t="shared" si="4"/>
        <v>1578804.2142683044</v>
      </c>
      <c r="M9" s="181">
        <f t="shared" si="5"/>
        <v>8.263627813515928E-2</v>
      </c>
      <c r="N9" s="5">
        <f t="shared" si="6"/>
        <v>0</v>
      </c>
      <c r="O9" s="5">
        <f t="shared" si="7"/>
        <v>0</v>
      </c>
      <c r="P9" s="5">
        <f t="shared" si="8"/>
        <v>20684265.518878661</v>
      </c>
      <c r="Q9" s="5">
        <f t="shared" ref="Q9:Q57" si="11">IF(P9=0,0,K9-J9)</f>
        <v>1578804.2142683044</v>
      </c>
      <c r="R9" s="5">
        <f t="shared" si="9"/>
        <v>599762.31295500242</v>
      </c>
      <c r="S9" s="5">
        <f t="shared" si="1"/>
        <v>20084503.205923658</v>
      </c>
      <c r="T9" s="181">
        <f t="shared" si="2"/>
        <v>0.10201917530717096</v>
      </c>
      <c r="U9" s="184">
        <f t="shared" si="10"/>
        <v>2.5778880472696582E-3</v>
      </c>
    </row>
    <row r="10" spans="1:21" ht="12.75" customHeight="1">
      <c r="A10" s="4" t="s">
        <v>4</v>
      </c>
      <c r="B10" s="5">
        <v>39994666.972263224</v>
      </c>
      <c r="C10" s="202">
        <v>5645353.2292616945</v>
      </c>
      <c r="D10" s="202">
        <v>1469248.3288835278</v>
      </c>
      <c r="E10" s="202">
        <v>1852928.6178126237</v>
      </c>
      <c r="F10" s="202">
        <v>154181.28254073061</v>
      </c>
      <c r="G10" s="202">
        <v>1350689.1955942744</v>
      </c>
      <c r="H10" s="202">
        <v>250132.16901668301</v>
      </c>
      <c r="I10" s="5">
        <f t="shared" si="3"/>
        <v>50717199.795372762</v>
      </c>
      <c r="J10" s="5">
        <f t="shared" si="0"/>
        <v>53166840.545489267</v>
      </c>
      <c r="K10" s="5">
        <f>+'COEF Art 14 F I'!AP11</f>
        <v>57030925.741081633</v>
      </c>
      <c r="L10" s="5">
        <f t="shared" si="4"/>
        <v>3864085.1955923662</v>
      </c>
      <c r="M10" s="181">
        <f t="shared" si="5"/>
        <v>7.2678480721198313E-2</v>
      </c>
      <c r="N10" s="5">
        <f t="shared" si="6"/>
        <v>0</v>
      </c>
      <c r="O10" s="5">
        <f t="shared" si="7"/>
        <v>0</v>
      </c>
      <c r="P10" s="5">
        <f t="shared" si="8"/>
        <v>57030925.741081633</v>
      </c>
      <c r="Q10" s="5">
        <f t="shared" si="11"/>
        <v>3864085.1955923662</v>
      </c>
      <c r="R10" s="5">
        <f t="shared" si="9"/>
        <v>1467903.7802275687</v>
      </c>
      <c r="S10" s="5">
        <f t="shared" si="1"/>
        <v>55563021.960854061</v>
      </c>
      <c r="T10" s="181">
        <f t="shared" si="2"/>
        <v>9.5545932839995101E-2</v>
      </c>
      <c r="U10" s="184">
        <f t="shared" si="10"/>
        <v>7.1316302282658341E-3</v>
      </c>
    </row>
    <row r="11" spans="1:21" ht="12.75" customHeight="1">
      <c r="A11" s="4" t="s">
        <v>5</v>
      </c>
      <c r="B11" s="5">
        <v>52971569.298851922</v>
      </c>
      <c r="C11" s="202">
        <v>7477077.3815359473</v>
      </c>
      <c r="D11" s="202">
        <v>1945969.1894567527</v>
      </c>
      <c r="E11" s="202">
        <v>2454140.6171064759</v>
      </c>
      <c r="F11" s="202">
        <v>204207.83846891561</v>
      </c>
      <c r="G11" s="202">
        <v>1788941.6700345716</v>
      </c>
      <c r="H11" s="202">
        <v>331291.50779338833</v>
      </c>
      <c r="I11" s="5">
        <f t="shared" si="3"/>
        <v>67173197.503247976</v>
      </c>
      <c r="J11" s="5">
        <f t="shared" si="0"/>
        <v>70417662.942654848</v>
      </c>
      <c r="K11" s="5">
        <f>+'COEF Art 14 F I'!AP12</f>
        <v>56753445.619879998</v>
      </c>
      <c r="L11" s="5">
        <f t="shared" si="4"/>
        <v>-13664217.32277485</v>
      </c>
      <c r="M11" s="181">
        <f t="shared" si="5"/>
        <v>-0.19404531124389071</v>
      </c>
      <c r="N11" s="5">
        <f t="shared" si="6"/>
        <v>70417662.942654848</v>
      </c>
      <c r="O11" s="5">
        <f t="shared" si="7"/>
        <v>13664217.32277485</v>
      </c>
      <c r="P11" s="5">
        <f t="shared" si="8"/>
        <v>0</v>
      </c>
      <c r="Q11" s="5">
        <f t="shared" si="11"/>
        <v>0</v>
      </c>
      <c r="R11" s="5">
        <f t="shared" si="9"/>
        <v>0</v>
      </c>
      <c r="S11" s="5">
        <f t="shared" si="1"/>
        <v>70417662.942654848</v>
      </c>
      <c r="T11" s="181">
        <f t="shared" si="2"/>
        <v>4.8299999999999919E-2</v>
      </c>
      <c r="U11" s="184">
        <f t="shared" si="10"/>
        <v>9.0382545067380082E-3</v>
      </c>
    </row>
    <row r="12" spans="1:21" ht="12.75" customHeight="1">
      <c r="A12" s="4" t="s">
        <v>6</v>
      </c>
      <c r="B12" s="5">
        <v>345472493.01836276</v>
      </c>
      <c r="C12" s="202">
        <v>48764357.893887833</v>
      </c>
      <c r="D12" s="202">
        <v>12691314.154321574</v>
      </c>
      <c r="E12" s="202">
        <v>16005530.672995448</v>
      </c>
      <c r="F12" s="202">
        <v>1331812.3662101035</v>
      </c>
      <c r="G12" s="202">
        <v>11667204.630520202</v>
      </c>
      <c r="H12" s="202">
        <v>2160632.66820582</v>
      </c>
      <c r="I12" s="5">
        <f t="shared" si="3"/>
        <v>438093345.4045037</v>
      </c>
      <c r="J12" s="5">
        <f t="shared" si="0"/>
        <v>459253253.98754126</v>
      </c>
      <c r="K12" s="5">
        <f>+'COEF Art 14 F I'!AP13</f>
        <v>490774996.0206846</v>
      </c>
      <c r="L12" s="5">
        <f t="shared" si="4"/>
        <v>31521742.033143342</v>
      </c>
      <c r="M12" s="181">
        <f t="shared" si="5"/>
        <v>6.8636948697588268E-2</v>
      </c>
      <c r="N12" s="5">
        <f t="shared" si="6"/>
        <v>0</v>
      </c>
      <c r="O12" s="5">
        <f t="shared" si="7"/>
        <v>0</v>
      </c>
      <c r="P12" s="5">
        <f t="shared" si="8"/>
        <v>490774996.0206846</v>
      </c>
      <c r="Q12" s="5">
        <f t="shared" si="11"/>
        <v>31521742.033143342</v>
      </c>
      <c r="R12" s="5">
        <f t="shared" si="9"/>
        <v>11974602.512022514</v>
      </c>
      <c r="S12" s="5">
        <f t="shared" si="1"/>
        <v>478800393.5086621</v>
      </c>
      <c r="T12" s="181">
        <f t="shared" si="2"/>
        <v>9.2918663410813646E-2</v>
      </c>
      <c r="U12" s="184">
        <f t="shared" si="10"/>
        <v>6.1455033206395185E-2</v>
      </c>
    </row>
    <row r="13" spans="1:21" ht="12.75" customHeight="1">
      <c r="A13" s="4" t="s">
        <v>7</v>
      </c>
      <c r="B13" s="5">
        <v>59046361.196344882</v>
      </c>
      <c r="C13" s="202">
        <v>8334550.3561050957</v>
      </c>
      <c r="D13" s="202">
        <v>2169133.3890708839</v>
      </c>
      <c r="E13" s="202">
        <v>2735582.0343315811</v>
      </c>
      <c r="F13" s="202">
        <v>227626.44091840737</v>
      </c>
      <c r="G13" s="202">
        <v>1994097.9171697502</v>
      </c>
      <c r="H13" s="202">
        <v>369284.09502253646</v>
      </c>
      <c r="I13" s="5">
        <f t="shared" si="3"/>
        <v>74876635.42896311</v>
      </c>
      <c r="J13" s="5">
        <f t="shared" si="0"/>
        <v>78493176.920182034</v>
      </c>
      <c r="K13" s="5">
        <f>+'COEF Art 14 F I'!AP14</f>
        <v>81190081.245046854</v>
      </c>
      <c r="L13" s="5">
        <f t="shared" si="4"/>
        <v>2696904.3248648196</v>
      </c>
      <c r="M13" s="181">
        <f t="shared" si="5"/>
        <v>3.4358455482152821E-2</v>
      </c>
      <c r="N13" s="5">
        <f t="shared" si="6"/>
        <v>0</v>
      </c>
      <c r="O13" s="5">
        <f t="shared" si="7"/>
        <v>0</v>
      </c>
      <c r="P13" s="5">
        <f t="shared" si="8"/>
        <v>81190081.245046854</v>
      </c>
      <c r="Q13" s="5">
        <f t="shared" si="11"/>
        <v>2696904.3248648196</v>
      </c>
      <c r="R13" s="5">
        <f t="shared" si="9"/>
        <v>1024510.551138162</v>
      </c>
      <c r="S13" s="5">
        <f t="shared" si="1"/>
        <v>80165570.693908691</v>
      </c>
      <c r="T13" s="181">
        <f t="shared" si="2"/>
        <v>7.0635322148833668E-2</v>
      </c>
      <c r="U13" s="184">
        <f t="shared" si="10"/>
        <v>1.0289418880593822E-2</v>
      </c>
    </row>
    <row r="14" spans="1:21" ht="12.75" customHeight="1">
      <c r="A14" s="4" t="s">
        <v>8</v>
      </c>
      <c r="B14" s="5">
        <v>9614635.2259016</v>
      </c>
      <c r="C14" s="202">
        <v>1357131.2409818619</v>
      </c>
      <c r="D14" s="202">
        <v>353204.2596645439</v>
      </c>
      <c r="E14" s="202">
        <v>445440.2076220765</v>
      </c>
      <c r="F14" s="202">
        <v>37064.861455615079</v>
      </c>
      <c r="G14" s="202">
        <v>324702.88921892311</v>
      </c>
      <c r="H14" s="202">
        <v>60131.256125375949</v>
      </c>
      <c r="I14" s="5">
        <f t="shared" si="3"/>
        <v>12192309.940969996</v>
      </c>
      <c r="J14" s="5">
        <f t="shared" si="0"/>
        <v>12781198.511118848</v>
      </c>
      <c r="K14" s="5">
        <f>+'COEF Art 14 F I'!AP15</f>
        <v>10580434.690653011</v>
      </c>
      <c r="L14" s="5">
        <f t="shared" si="4"/>
        <v>-2200763.8204658367</v>
      </c>
      <c r="M14" s="181">
        <f t="shared" si="5"/>
        <v>-0.17218759403128814</v>
      </c>
      <c r="N14" s="5">
        <f t="shared" si="6"/>
        <v>12781198.511118848</v>
      </c>
      <c r="O14" s="5">
        <f t="shared" si="7"/>
        <v>2200763.8204658367</v>
      </c>
      <c r="P14" s="5">
        <f t="shared" si="8"/>
        <v>0</v>
      </c>
      <c r="Q14" s="5">
        <f t="shared" si="11"/>
        <v>0</v>
      </c>
      <c r="R14" s="5">
        <f t="shared" si="9"/>
        <v>0</v>
      </c>
      <c r="S14" s="5">
        <f t="shared" si="1"/>
        <v>12781198.511118848</v>
      </c>
      <c r="T14" s="181">
        <f t="shared" si="2"/>
        <v>4.8300000000000072E-2</v>
      </c>
      <c r="U14" s="184">
        <f t="shared" si="10"/>
        <v>1.6404935951752249E-3</v>
      </c>
    </row>
    <row r="15" spans="1:21" ht="12.75" customHeight="1">
      <c r="A15" s="4" t="s">
        <v>9</v>
      </c>
      <c r="B15" s="5">
        <v>95571355.506969333</v>
      </c>
      <c r="C15" s="202">
        <v>13490150.0945221</v>
      </c>
      <c r="D15" s="202">
        <v>3510919.4549614945</v>
      </c>
      <c r="E15" s="202">
        <v>4427762.8260988574</v>
      </c>
      <c r="F15" s="202">
        <v>368431.97560404323</v>
      </c>
      <c r="G15" s="202">
        <v>3227610.2556737154</v>
      </c>
      <c r="H15" s="202">
        <v>597716.45218085009</v>
      </c>
      <c r="I15" s="5">
        <f t="shared" si="3"/>
        <v>121193946.5660104</v>
      </c>
      <c r="J15" s="5">
        <f t="shared" si="0"/>
        <v>127047614.1851487</v>
      </c>
      <c r="K15" s="5">
        <f>+'COEF Art 14 F I'!AP16</f>
        <v>97861983.314074069</v>
      </c>
      <c r="L15" s="5">
        <f t="shared" si="4"/>
        <v>-29185630.871074632</v>
      </c>
      <c r="M15" s="181">
        <f t="shared" si="5"/>
        <v>-0.22972199091076126</v>
      </c>
      <c r="N15" s="5">
        <f t="shared" si="6"/>
        <v>127047614.1851487</v>
      </c>
      <c r="O15" s="5">
        <f t="shared" si="7"/>
        <v>29185630.871074632</v>
      </c>
      <c r="P15" s="5">
        <f t="shared" si="8"/>
        <v>0</v>
      </c>
      <c r="Q15" s="5">
        <f t="shared" si="11"/>
        <v>0</v>
      </c>
      <c r="R15" s="5">
        <f t="shared" si="9"/>
        <v>0</v>
      </c>
      <c r="S15" s="5">
        <f t="shared" si="1"/>
        <v>127047614.1851487</v>
      </c>
      <c r="T15" s="181">
        <f t="shared" si="2"/>
        <v>4.8299999999999982E-2</v>
      </c>
      <c r="U15" s="184">
        <f t="shared" si="10"/>
        <v>1.6306827342656195E-2</v>
      </c>
    </row>
    <row r="16" spans="1:21" ht="12.75" customHeight="1">
      <c r="A16" s="4" t="s">
        <v>10</v>
      </c>
      <c r="B16" s="5">
        <v>13653729.802358963</v>
      </c>
      <c r="C16" s="202">
        <v>1927260.1440757033</v>
      </c>
      <c r="D16" s="202">
        <v>501584.86652827612</v>
      </c>
      <c r="E16" s="202">
        <v>632569.00496796379</v>
      </c>
      <c r="F16" s="202">
        <v>52635.757008595327</v>
      </c>
      <c r="G16" s="202">
        <v>461110.11091684276</v>
      </c>
      <c r="H16" s="202">
        <v>85392.31125488026</v>
      </c>
      <c r="I16" s="5">
        <f t="shared" si="3"/>
        <v>17314281.997111224</v>
      </c>
      <c r="J16" s="5">
        <f t="shared" si="0"/>
        <v>18150561.817571696</v>
      </c>
      <c r="K16" s="5">
        <f>+'COEF Art 14 F I'!AP17</f>
        <v>22698690.022621732</v>
      </c>
      <c r="L16" s="5">
        <f t="shared" si="4"/>
        <v>4548128.2050500363</v>
      </c>
      <c r="M16" s="181">
        <f t="shared" si="5"/>
        <v>0.25057781961586217</v>
      </c>
      <c r="N16" s="5">
        <f t="shared" si="6"/>
        <v>0</v>
      </c>
      <c r="O16" s="5">
        <f t="shared" si="7"/>
        <v>0</v>
      </c>
      <c r="P16" s="5">
        <f t="shared" si="8"/>
        <v>22698690.022621732</v>
      </c>
      <c r="Q16" s="5">
        <f t="shared" si="11"/>
        <v>4548128.2050500363</v>
      </c>
      <c r="R16" s="5">
        <f t="shared" si="9"/>
        <v>1727760.7110650437</v>
      </c>
      <c r="S16" s="5">
        <f t="shared" si="1"/>
        <v>20970929.311556689</v>
      </c>
      <c r="T16" s="181">
        <f t="shared" si="2"/>
        <v>0.21119254699995957</v>
      </c>
      <c r="U16" s="184">
        <f t="shared" si="10"/>
        <v>2.6916626942733854E-3</v>
      </c>
    </row>
    <row r="17" spans="1:21" s="11" customFormat="1" ht="12.75" customHeight="1">
      <c r="A17" s="4" t="s">
        <v>11</v>
      </c>
      <c r="B17" s="5">
        <v>19976001.592748493</v>
      </c>
      <c r="C17" s="202">
        <v>2819665.5613501002</v>
      </c>
      <c r="D17" s="202">
        <v>733840.51374347787</v>
      </c>
      <c r="E17" s="202">
        <v>925476.01524834731</v>
      </c>
      <c r="F17" s="202">
        <v>77008.405839252242</v>
      </c>
      <c r="G17" s="202">
        <v>674624.18279911578</v>
      </c>
      <c r="H17" s="202">
        <v>124932.67190199086</v>
      </c>
      <c r="I17" s="5">
        <f t="shared" si="3"/>
        <v>25331548.943630777</v>
      </c>
      <c r="J17" s="5">
        <f t="shared" si="0"/>
        <v>26555062.757608145</v>
      </c>
      <c r="K17" s="5">
        <f>+'COEF Art 14 F I'!AP18</f>
        <v>32874314.065256536</v>
      </c>
      <c r="L17" s="5">
        <f t="shared" si="4"/>
        <v>6319251.3076483905</v>
      </c>
      <c r="M17" s="181">
        <f t="shared" si="5"/>
        <v>0.2379678543910764</v>
      </c>
      <c r="N17" s="5">
        <f t="shared" si="6"/>
        <v>0</v>
      </c>
      <c r="O17" s="5">
        <f t="shared" si="7"/>
        <v>0</v>
      </c>
      <c r="P17" s="5">
        <f t="shared" si="8"/>
        <v>32874314.065256536</v>
      </c>
      <c r="Q17" s="5">
        <f t="shared" si="11"/>
        <v>6319251.3076483905</v>
      </c>
      <c r="R17" s="5">
        <f t="shared" si="9"/>
        <v>2400581.8746662121</v>
      </c>
      <c r="S17" s="5">
        <f t="shared" si="1"/>
        <v>30473732.190590322</v>
      </c>
      <c r="T17" s="181">
        <f t="shared" si="2"/>
        <v>0.20299521590259748</v>
      </c>
      <c r="U17" s="184">
        <f t="shared" si="10"/>
        <v>3.9113673444832733E-3</v>
      </c>
    </row>
    <row r="18" spans="1:21" ht="12.75" customHeight="1">
      <c r="A18" s="4" t="s">
        <v>12</v>
      </c>
      <c r="B18" s="5">
        <v>48519433.955937073</v>
      </c>
      <c r="C18" s="202">
        <v>6848646.6796959136</v>
      </c>
      <c r="D18" s="202">
        <v>1782415.073177408</v>
      </c>
      <c r="E18" s="202">
        <v>2247875.8920374489</v>
      </c>
      <c r="F18" s="202">
        <v>187044.65174476066</v>
      </c>
      <c r="G18" s="202">
        <v>1638585.346048024</v>
      </c>
      <c r="H18" s="202">
        <v>303447.23868493165</v>
      </c>
      <c r="I18" s="5">
        <f t="shared" si="3"/>
        <v>61527448.837325558</v>
      </c>
      <c r="J18" s="5">
        <f t="shared" si="0"/>
        <v>64499224.61616838</v>
      </c>
      <c r="K18" s="5">
        <f>+'COEF Art 14 F I'!AP19</f>
        <v>55039500.513039768</v>
      </c>
      <c r="L18" s="5">
        <f t="shared" si="4"/>
        <v>-9459724.103128612</v>
      </c>
      <c r="M18" s="181">
        <f t="shared" si="5"/>
        <v>-0.14666415231226346</v>
      </c>
      <c r="N18" s="5">
        <f t="shared" si="6"/>
        <v>64499224.61616838</v>
      </c>
      <c r="O18" s="5">
        <f t="shared" si="7"/>
        <v>9459724.103128612</v>
      </c>
      <c r="P18" s="5">
        <f t="shared" si="8"/>
        <v>0</v>
      </c>
      <c r="Q18" s="5">
        <f t="shared" si="11"/>
        <v>0</v>
      </c>
      <c r="R18" s="5">
        <f t="shared" si="9"/>
        <v>0</v>
      </c>
      <c r="S18" s="5">
        <f t="shared" si="1"/>
        <v>64499224.61616838</v>
      </c>
      <c r="T18" s="181">
        <f t="shared" si="2"/>
        <v>4.8299999999999954E-2</v>
      </c>
      <c r="U18" s="184">
        <f t="shared" si="10"/>
        <v>8.278610553192161E-3</v>
      </c>
    </row>
    <row r="19" spans="1:21" ht="12.75" customHeight="1">
      <c r="A19" s="4" t="s">
        <v>13</v>
      </c>
      <c r="B19" s="5">
        <v>24687151.460771684</v>
      </c>
      <c r="C19" s="202">
        <v>3484656.8497997792</v>
      </c>
      <c r="D19" s="202">
        <v>906909.815095003</v>
      </c>
      <c r="E19" s="202">
        <v>1143740.7258737253</v>
      </c>
      <c r="F19" s="202">
        <v>95170.105482757135</v>
      </c>
      <c r="G19" s="202">
        <v>833727.87605117215</v>
      </c>
      <c r="H19" s="202">
        <v>154396.85361067939</v>
      </c>
      <c r="I19" s="5">
        <f t="shared" si="3"/>
        <v>31305753.686684798</v>
      </c>
      <c r="J19" s="5">
        <f t="shared" si="0"/>
        <v>32817821.589751676</v>
      </c>
      <c r="K19" s="5">
        <f>+'COEF Art 14 F I'!AP20</f>
        <v>30123146.139030613</v>
      </c>
      <c r="L19" s="5">
        <f t="shared" si="4"/>
        <v>-2694675.4507210627</v>
      </c>
      <c r="M19" s="181">
        <f t="shared" si="5"/>
        <v>-8.2110125541134449E-2</v>
      </c>
      <c r="N19" s="5">
        <f t="shared" si="6"/>
        <v>32817821.589751676</v>
      </c>
      <c r="O19" s="5">
        <f t="shared" si="7"/>
        <v>2694675.4507210627</v>
      </c>
      <c r="P19" s="5">
        <f t="shared" si="8"/>
        <v>0</v>
      </c>
      <c r="Q19" s="5">
        <f t="shared" si="11"/>
        <v>0</v>
      </c>
      <c r="R19" s="5">
        <f t="shared" si="9"/>
        <v>0</v>
      </c>
      <c r="S19" s="5">
        <f t="shared" si="1"/>
        <v>32817821.589751676</v>
      </c>
      <c r="T19" s="181">
        <f t="shared" si="2"/>
        <v>4.8300000000000051E-2</v>
      </c>
      <c r="U19" s="184">
        <f t="shared" si="10"/>
        <v>4.2122361278369653E-3</v>
      </c>
    </row>
    <row r="20" spans="1:21" ht="12.75" customHeight="1">
      <c r="A20" s="4" t="s">
        <v>14</v>
      </c>
      <c r="B20" s="5">
        <v>129251977.08819351</v>
      </c>
      <c r="C20" s="202">
        <v>18244259.084576715</v>
      </c>
      <c r="D20" s="202">
        <v>4748214.3425108716</v>
      </c>
      <c r="E20" s="202">
        <v>5988165.5577144232</v>
      </c>
      <c r="F20" s="202">
        <v>498272.3224624148</v>
      </c>
      <c r="G20" s="202">
        <v>4365063.1991389329</v>
      </c>
      <c r="H20" s="202">
        <v>808359.70958781976</v>
      </c>
      <c r="I20" s="5">
        <f t="shared" si="3"/>
        <v>163904311.30418471</v>
      </c>
      <c r="J20" s="5">
        <f t="shared" si="0"/>
        <v>171820889.54017684</v>
      </c>
      <c r="K20" s="5">
        <f>+'COEF Art 14 F I'!AP21</f>
        <v>183638093.68512842</v>
      </c>
      <c r="L20" s="5">
        <f t="shared" si="4"/>
        <v>11817204.144951582</v>
      </c>
      <c r="M20" s="181">
        <f t="shared" si="5"/>
        <v>6.8776294760063902E-2</v>
      </c>
      <c r="N20" s="5">
        <f t="shared" si="6"/>
        <v>0</v>
      </c>
      <c r="O20" s="5">
        <f t="shared" si="7"/>
        <v>0</v>
      </c>
      <c r="P20" s="5">
        <f t="shared" si="8"/>
        <v>183638093.68512842</v>
      </c>
      <c r="Q20" s="5">
        <f t="shared" si="11"/>
        <v>11817204.144951582</v>
      </c>
      <c r="R20" s="5">
        <f t="shared" si="9"/>
        <v>4489165.6777862767</v>
      </c>
      <c r="S20" s="5">
        <f t="shared" si="1"/>
        <v>179148928.00734213</v>
      </c>
      <c r="T20" s="181">
        <f t="shared" si="2"/>
        <v>9.3009247785224111E-2</v>
      </c>
      <c r="U20" s="184">
        <f t="shared" si="10"/>
        <v>2.2994140081846307E-2</v>
      </c>
    </row>
    <row r="21" spans="1:21" ht="12.75" customHeight="1">
      <c r="A21" s="4" t="s">
        <v>15</v>
      </c>
      <c r="B21" s="5">
        <v>16327622.596552014</v>
      </c>
      <c r="C21" s="202">
        <v>2304687.19780913</v>
      </c>
      <c r="D21" s="202">
        <v>599813.27588639664</v>
      </c>
      <c r="E21" s="202">
        <v>756448.83331509889</v>
      </c>
      <c r="F21" s="202">
        <v>62943.736836790253</v>
      </c>
      <c r="G21" s="202">
        <v>551412.10317407991</v>
      </c>
      <c r="H21" s="202">
        <v>102115.20595466773</v>
      </c>
      <c r="I21" s="5">
        <f t="shared" si="3"/>
        <v>20705042.94952818</v>
      </c>
      <c r="J21" s="5">
        <f t="shared" si="0"/>
        <v>21705096.523990393</v>
      </c>
      <c r="K21" s="5">
        <f>+'COEF Art 14 F I'!AP22</f>
        <v>23571916.771115039</v>
      </c>
      <c r="L21" s="5">
        <f t="shared" si="4"/>
        <v>1866820.2471246459</v>
      </c>
      <c r="M21" s="181">
        <f t="shared" si="5"/>
        <v>8.6008382642356412E-2</v>
      </c>
      <c r="N21" s="5">
        <f t="shared" si="6"/>
        <v>0</v>
      </c>
      <c r="O21" s="5">
        <f t="shared" si="7"/>
        <v>0</v>
      </c>
      <c r="P21" s="5">
        <f t="shared" si="8"/>
        <v>23571916.771115039</v>
      </c>
      <c r="Q21" s="5">
        <f t="shared" si="11"/>
        <v>1866820.2471246459</v>
      </c>
      <c r="R21" s="5">
        <f t="shared" si="9"/>
        <v>709174.96873138694</v>
      </c>
      <c r="S21" s="5">
        <f t="shared" si="1"/>
        <v>22862741.80238365</v>
      </c>
      <c r="T21" s="181">
        <f t="shared" si="2"/>
        <v>0.10421127153009065</v>
      </c>
      <c r="U21" s="184">
        <f t="shared" si="10"/>
        <v>2.9344807892880474E-3</v>
      </c>
    </row>
    <row r="22" spans="1:21" ht="12.75" customHeight="1">
      <c r="A22" s="4" t="s">
        <v>16</v>
      </c>
      <c r="B22" s="5">
        <v>12021064.558850277</v>
      </c>
      <c r="C22" s="202">
        <v>1696805.1183809435</v>
      </c>
      <c r="D22" s="202">
        <v>441607.10293512425</v>
      </c>
      <c r="E22" s="202">
        <v>556928.61633557442</v>
      </c>
      <c r="F22" s="202">
        <v>46341.757326628933</v>
      </c>
      <c r="G22" s="202">
        <v>405972.1770026756</v>
      </c>
      <c r="H22" s="202">
        <v>75181.397411790167</v>
      </c>
      <c r="I22" s="5">
        <f t="shared" si="3"/>
        <v>15243900.728243014</v>
      </c>
      <c r="J22" s="5">
        <f t="shared" si="0"/>
        <v>15980181.133417152</v>
      </c>
      <c r="K22" s="5">
        <f>+'COEF Art 14 F I'!AP23</f>
        <v>8794937.4616623782</v>
      </c>
      <c r="L22" s="5">
        <f t="shared" si="4"/>
        <v>-7185243.6717547737</v>
      </c>
      <c r="M22" s="181">
        <f t="shared" si="5"/>
        <v>-0.44963468259626066</v>
      </c>
      <c r="N22" s="5">
        <f t="shared" si="6"/>
        <v>15980181.133417152</v>
      </c>
      <c r="O22" s="5">
        <f t="shared" si="7"/>
        <v>7185243.6717547737</v>
      </c>
      <c r="P22" s="5">
        <f t="shared" si="8"/>
        <v>0</v>
      </c>
      <c r="Q22" s="5">
        <f t="shared" si="11"/>
        <v>0</v>
      </c>
      <c r="R22" s="5">
        <f t="shared" si="9"/>
        <v>0</v>
      </c>
      <c r="S22" s="5">
        <f t="shared" si="1"/>
        <v>15980181.133417152</v>
      </c>
      <c r="T22" s="181">
        <f t="shared" si="2"/>
        <v>4.830000000000003E-2</v>
      </c>
      <c r="U22" s="184">
        <f t="shared" si="10"/>
        <v>2.0510897140283871E-3</v>
      </c>
    </row>
    <row r="23" spans="1:21" ht="12.75" customHeight="1">
      <c r="A23" s="4" t="s">
        <v>17</v>
      </c>
      <c r="B23" s="5">
        <v>105426348.73077556</v>
      </c>
      <c r="C23" s="202">
        <v>14881208.50385846</v>
      </c>
      <c r="D23" s="202">
        <v>3872953.5315363719</v>
      </c>
      <c r="E23" s="202">
        <v>4884338.6737087974</v>
      </c>
      <c r="F23" s="202">
        <v>406423.42820771184</v>
      </c>
      <c r="G23" s="202">
        <v>3560430.4509092262</v>
      </c>
      <c r="H23" s="202">
        <v>659350.94040959794</v>
      </c>
      <c r="I23" s="5">
        <f t="shared" si="3"/>
        <v>133691054.25940573</v>
      </c>
      <c r="J23" s="5">
        <f t="shared" si="0"/>
        <v>140148332.18013504</v>
      </c>
      <c r="K23" s="5">
        <f>+'COEF Art 14 F I'!AP24</f>
        <v>136589677.30012754</v>
      </c>
      <c r="L23" s="5">
        <f t="shared" si="4"/>
        <v>-3558654.8800075054</v>
      </c>
      <c r="M23" s="181">
        <f t="shared" si="5"/>
        <v>-2.5392060145485753E-2</v>
      </c>
      <c r="N23" s="5">
        <f t="shared" si="6"/>
        <v>140148332.18013504</v>
      </c>
      <c r="O23" s="5">
        <f t="shared" si="7"/>
        <v>3558654.8800075054</v>
      </c>
      <c r="P23" s="5">
        <f t="shared" si="8"/>
        <v>0</v>
      </c>
      <c r="Q23" s="5">
        <f t="shared" si="11"/>
        <v>0</v>
      </c>
      <c r="R23" s="5">
        <f t="shared" si="9"/>
        <v>0</v>
      </c>
      <c r="S23" s="5">
        <f t="shared" si="1"/>
        <v>140148332.18013504</v>
      </c>
      <c r="T23" s="181">
        <f t="shared" si="2"/>
        <v>4.8300000000000093E-2</v>
      </c>
      <c r="U23" s="184">
        <f t="shared" si="10"/>
        <v>1.7988331932720696E-2</v>
      </c>
    </row>
    <row r="24" spans="1:21" ht="12.75" customHeight="1">
      <c r="A24" s="4" t="s">
        <v>18</v>
      </c>
      <c r="B24" s="5">
        <v>113489960.67171809</v>
      </c>
      <c r="C24" s="202">
        <v>16019408.697944999</v>
      </c>
      <c r="D24" s="202">
        <v>4169179.2352610994</v>
      </c>
      <c r="E24" s="202">
        <v>5257920.9150282089</v>
      </c>
      <c r="F24" s="202">
        <v>437509.02349046944</v>
      </c>
      <c r="G24" s="202">
        <v>3832752.5965930833</v>
      </c>
      <c r="H24" s="202">
        <v>709781.88277251832</v>
      </c>
      <c r="I24" s="5">
        <f t="shared" si="3"/>
        <v>143916513.02280843</v>
      </c>
      <c r="J24" s="5">
        <f t="shared" si="0"/>
        <v>150867680.60181007</v>
      </c>
      <c r="K24" s="5">
        <f>+'COEF Art 14 F I'!AP25</f>
        <v>183130882.60426688</v>
      </c>
      <c r="L24" s="5">
        <f t="shared" si="4"/>
        <v>32263202.002456814</v>
      </c>
      <c r="M24" s="181">
        <f t="shared" si="5"/>
        <v>0.21385098434442115</v>
      </c>
      <c r="N24" s="5">
        <f t="shared" si="6"/>
        <v>0</v>
      </c>
      <c r="O24" s="5">
        <f t="shared" si="7"/>
        <v>0</v>
      </c>
      <c r="P24" s="5">
        <f t="shared" si="8"/>
        <v>183130882.60426688</v>
      </c>
      <c r="Q24" s="5">
        <f t="shared" si="11"/>
        <v>32263202.002456814</v>
      </c>
      <c r="R24" s="5">
        <f t="shared" si="9"/>
        <v>12256271.22188537</v>
      </c>
      <c r="S24" s="5">
        <f t="shared" si="1"/>
        <v>170874611.3823815</v>
      </c>
      <c r="T24" s="181">
        <f t="shared" si="2"/>
        <v>0.18731761764753602</v>
      </c>
      <c r="U24" s="184">
        <f t="shared" si="10"/>
        <v>2.1932114215031759E-2</v>
      </c>
    </row>
    <row r="25" spans="1:21" ht="12.75" customHeight="1">
      <c r="A25" s="4" t="s">
        <v>19</v>
      </c>
      <c r="B25" s="5">
        <v>20262980.828679498</v>
      </c>
      <c r="C25" s="202">
        <v>2860173.4409990315</v>
      </c>
      <c r="D25" s="202">
        <v>744383.01339918515</v>
      </c>
      <c r="E25" s="202">
        <v>938771.58886417933</v>
      </c>
      <c r="F25" s="202">
        <v>78114.724006324599</v>
      </c>
      <c r="G25" s="202">
        <v>684315.96879879571</v>
      </c>
      <c r="H25" s="202">
        <v>126727.47966459139</v>
      </c>
      <c r="I25" s="5">
        <f t="shared" si="3"/>
        <v>25695467.044411603</v>
      </c>
      <c r="J25" s="5">
        <f t="shared" si="0"/>
        <v>26936558.102656685</v>
      </c>
      <c r="K25" s="5">
        <f>+'COEF Art 14 F I'!AP26</f>
        <v>21216715.250363093</v>
      </c>
      <c r="L25" s="5">
        <f t="shared" si="4"/>
        <v>-5719842.8522935919</v>
      </c>
      <c r="M25" s="181">
        <f t="shared" si="5"/>
        <v>-0.21234497854161472</v>
      </c>
      <c r="N25" s="5">
        <f t="shared" si="6"/>
        <v>26936558.102656685</v>
      </c>
      <c r="O25" s="5">
        <f t="shared" si="7"/>
        <v>5719842.8522935919</v>
      </c>
      <c r="P25" s="5">
        <f t="shared" si="8"/>
        <v>0</v>
      </c>
      <c r="Q25" s="5">
        <f t="shared" si="11"/>
        <v>0</v>
      </c>
      <c r="R25" s="5">
        <f t="shared" si="9"/>
        <v>0</v>
      </c>
      <c r="S25" s="5">
        <f t="shared" si="1"/>
        <v>26936558.102656685</v>
      </c>
      <c r="T25" s="181">
        <f t="shared" si="2"/>
        <v>4.8300000000000037E-2</v>
      </c>
      <c r="U25" s="184">
        <f t="shared" si="10"/>
        <v>3.457363642778234E-3</v>
      </c>
    </row>
    <row r="26" spans="1:21" ht="12.75" customHeight="1">
      <c r="A26" s="4" t="s">
        <v>20</v>
      </c>
      <c r="B26" s="5">
        <v>276982955.19764858</v>
      </c>
      <c r="C26" s="202">
        <v>39096878.132776573</v>
      </c>
      <c r="D26" s="202">
        <v>10175275.226956585</v>
      </c>
      <c r="E26" s="202">
        <v>12832452.003862159</v>
      </c>
      <c r="F26" s="202">
        <v>1067782.0446388081</v>
      </c>
      <c r="G26" s="202">
        <v>9354194.2781782262</v>
      </c>
      <c r="H26" s="202">
        <v>1732289.6428236314</v>
      </c>
      <c r="I26" s="5">
        <f t="shared" si="3"/>
        <v>351241826.52688456</v>
      </c>
      <c r="J26" s="5">
        <f t="shared" si="0"/>
        <v>368206806.74813306</v>
      </c>
      <c r="K26" s="5">
        <f>+'COEF Art 14 F I'!AP27</f>
        <v>356116328.81051821</v>
      </c>
      <c r="L26" s="5">
        <f t="shared" si="4"/>
        <v>-12090477.937614858</v>
      </c>
      <c r="M26" s="181">
        <f t="shared" si="5"/>
        <v>-3.2836106546735265E-2</v>
      </c>
      <c r="N26" s="5">
        <f t="shared" si="6"/>
        <v>368206806.74813306</v>
      </c>
      <c r="O26" s="5">
        <f t="shared" si="7"/>
        <v>12090477.937614858</v>
      </c>
      <c r="P26" s="5">
        <f t="shared" si="8"/>
        <v>0</v>
      </c>
      <c r="Q26" s="5">
        <f t="shared" si="11"/>
        <v>0</v>
      </c>
      <c r="R26" s="5">
        <f t="shared" si="9"/>
        <v>0</v>
      </c>
      <c r="S26" s="5">
        <f t="shared" si="1"/>
        <v>368206806.74813306</v>
      </c>
      <c r="T26" s="181">
        <f t="shared" si="2"/>
        <v>4.8299999999999954E-2</v>
      </c>
      <c r="U26" s="184">
        <f t="shared" si="10"/>
        <v>4.7260114741567938E-2</v>
      </c>
    </row>
    <row r="27" spans="1:21" s="11" customFormat="1" ht="12.75" customHeight="1">
      <c r="A27" s="4" t="s">
        <v>21</v>
      </c>
      <c r="B27" s="5">
        <v>40895486.4857333</v>
      </c>
      <c r="C27" s="202">
        <v>5772506.2907662932</v>
      </c>
      <c r="D27" s="202">
        <v>1502340.9300960016</v>
      </c>
      <c r="E27" s="202">
        <v>1894663.0384828388</v>
      </c>
      <c r="F27" s="202">
        <v>157653.98323903049</v>
      </c>
      <c r="G27" s="202">
        <v>1381111.4312644987</v>
      </c>
      <c r="H27" s="202">
        <v>255766.01862343462</v>
      </c>
      <c r="I27" s="5">
        <f t="shared" si="3"/>
        <v>51859528.178205393</v>
      </c>
      <c r="J27" s="5">
        <f t="shared" si="0"/>
        <v>54364343.389212713</v>
      </c>
      <c r="K27" s="5">
        <f>+'COEF Art 14 F I'!AP28</f>
        <v>49383817.338902891</v>
      </c>
      <c r="L27" s="5">
        <f t="shared" si="4"/>
        <v>-4980526.050309822</v>
      </c>
      <c r="M27" s="181">
        <f t="shared" si="5"/>
        <v>-9.1613836198711204E-2</v>
      </c>
      <c r="N27" s="5">
        <f t="shared" si="6"/>
        <v>54364343.389212713</v>
      </c>
      <c r="O27" s="5">
        <f t="shared" si="7"/>
        <v>4980526.050309822</v>
      </c>
      <c r="P27" s="5">
        <f t="shared" si="8"/>
        <v>0</v>
      </c>
      <c r="Q27" s="5">
        <f t="shared" si="11"/>
        <v>0</v>
      </c>
      <c r="R27" s="5">
        <f t="shared" si="9"/>
        <v>0</v>
      </c>
      <c r="S27" s="5">
        <f t="shared" si="1"/>
        <v>54364343.389212713</v>
      </c>
      <c r="T27" s="181">
        <f t="shared" si="2"/>
        <v>4.8299999999999982E-2</v>
      </c>
      <c r="U27" s="184">
        <f t="shared" si="10"/>
        <v>6.9777773233335814E-3</v>
      </c>
    </row>
    <row r="28" spans="1:21" ht="12.75" customHeight="1">
      <c r="A28" s="4" t="s">
        <v>22</v>
      </c>
      <c r="B28" s="5">
        <v>6559653.4378309054</v>
      </c>
      <c r="C28" s="202">
        <v>925912.46587408532</v>
      </c>
      <c r="D28" s="202">
        <v>240976.1245984016</v>
      </c>
      <c r="E28" s="202">
        <v>303904.75775977928</v>
      </c>
      <c r="F28" s="202">
        <v>25287.766010618696</v>
      </c>
      <c r="G28" s="202">
        <v>221530.8613893674</v>
      </c>
      <c r="H28" s="202">
        <v>41024.978243719575</v>
      </c>
      <c r="I28" s="5">
        <f t="shared" si="3"/>
        <v>8318290.3917068783</v>
      </c>
      <c r="J28" s="5">
        <f t="shared" si="0"/>
        <v>8720063.8176263198</v>
      </c>
      <c r="K28" s="5">
        <f>+'COEF Art 14 F I'!AP29</f>
        <v>4115094.9033759395</v>
      </c>
      <c r="L28" s="5">
        <f t="shared" si="4"/>
        <v>-4604968.9142503804</v>
      </c>
      <c r="M28" s="181">
        <f t="shared" si="5"/>
        <v>-0.52808890055851621</v>
      </c>
      <c r="N28" s="5">
        <f t="shared" si="6"/>
        <v>8720063.8176263198</v>
      </c>
      <c r="O28" s="5">
        <f t="shared" si="7"/>
        <v>4604968.9142503804</v>
      </c>
      <c r="P28" s="5">
        <f t="shared" si="8"/>
        <v>0</v>
      </c>
      <c r="Q28" s="5">
        <f t="shared" si="11"/>
        <v>0</v>
      </c>
      <c r="R28" s="5">
        <f t="shared" si="9"/>
        <v>0</v>
      </c>
      <c r="S28" s="5">
        <f t="shared" si="1"/>
        <v>8720063.8176263198</v>
      </c>
      <c r="T28" s="181">
        <f t="shared" si="2"/>
        <v>4.8299999999999912E-2</v>
      </c>
      <c r="U28" s="184">
        <f t="shared" si="10"/>
        <v>1.1192384524730257E-3</v>
      </c>
    </row>
    <row r="29" spans="1:21" ht="12.75" customHeight="1">
      <c r="A29" s="4" t="s">
        <v>23</v>
      </c>
      <c r="B29" s="5">
        <v>30017232.489574715</v>
      </c>
      <c r="C29" s="202">
        <v>4237011.9117647037</v>
      </c>
      <c r="D29" s="202">
        <v>1102716.2372314048</v>
      </c>
      <c r="E29" s="202">
        <v>1390680.1410806994</v>
      </c>
      <c r="F29" s="202">
        <v>115717.81324680921</v>
      </c>
      <c r="G29" s="202">
        <v>1013733.9469170612</v>
      </c>
      <c r="H29" s="202">
        <v>187731.9162502407</v>
      </c>
      <c r="I29" s="5">
        <f t="shared" si="3"/>
        <v>38064824.45606564</v>
      </c>
      <c r="J29" s="5">
        <f t="shared" si="0"/>
        <v>39903355.477293611</v>
      </c>
      <c r="K29" s="5">
        <f>+'COEF Art 14 F I'!AP30</f>
        <v>40525498.183561392</v>
      </c>
      <c r="L29" s="5">
        <f t="shared" si="4"/>
        <v>622142.70626778156</v>
      </c>
      <c r="M29" s="181">
        <f t="shared" si="5"/>
        <v>1.5591237850205412E-2</v>
      </c>
      <c r="N29" s="5">
        <f t="shared" si="6"/>
        <v>0</v>
      </c>
      <c r="O29" s="5">
        <f t="shared" si="7"/>
        <v>0</v>
      </c>
      <c r="P29" s="5">
        <f t="shared" si="8"/>
        <v>40525498.183561392</v>
      </c>
      <c r="Q29" s="5">
        <f t="shared" si="11"/>
        <v>622142.70626778156</v>
      </c>
      <c r="R29" s="5">
        <f t="shared" si="9"/>
        <v>236342.00183091083</v>
      </c>
      <c r="S29" s="5">
        <f t="shared" si="1"/>
        <v>40289156.181730479</v>
      </c>
      <c r="T29" s="181">
        <f t="shared" si="2"/>
        <v>5.8435360137603136E-2</v>
      </c>
      <c r="U29" s="184">
        <f t="shared" si="10"/>
        <v>5.1711975691204086E-3</v>
      </c>
    </row>
    <row r="30" spans="1:21" ht="12.75" customHeight="1">
      <c r="A30" s="4" t="s">
        <v>24</v>
      </c>
      <c r="B30" s="5">
        <v>28912782.89665971</v>
      </c>
      <c r="C30" s="202">
        <v>4081115.9249261506</v>
      </c>
      <c r="D30" s="202">
        <v>1062143.0598162662</v>
      </c>
      <c r="E30" s="202">
        <v>1339511.6625667326</v>
      </c>
      <c r="F30" s="202">
        <v>111460.10921703762</v>
      </c>
      <c r="G30" s="202">
        <v>976434.77067269804</v>
      </c>
      <c r="H30" s="202">
        <v>180824.5360128473</v>
      </c>
      <c r="I30" s="5">
        <f t="shared" si="3"/>
        <v>36664272.959871449</v>
      </c>
      <c r="J30" s="5">
        <f t="shared" si="0"/>
        <v>38435157.343833238</v>
      </c>
      <c r="K30" s="5">
        <f>+'COEF Art 14 F I'!AP31</f>
        <v>39736372.754422136</v>
      </c>
      <c r="L30" s="5">
        <f t="shared" si="4"/>
        <v>1301215.4105888978</v>
      </c>
      <c r="M30" s="181">
        <f t="shared" si="5"/>
        <v>3.3854822004460258E-2</v>
      </c>
      <c r="N30" s="5">
        <f t="shared" si="6"/>
        <v>0</v>
      </c>
      <c r="O30" s="5">
        <f t="shared" si="7"/>
        <v>0</v>
      </c>
      <c r="P30" s="5">
        <f t="shared" si="8"/>
        <v>39736372.754422136</v>
      </c>
      <c r="Q30" s="5">
        <f t="shared" si="11"/>
        <v>1301215.4105888978</v>
      </c>
      <c r="R30" s="5">
        <f t="shared" si="9"/>
        <v>494310.79373522924</v>
      </c>
      <c r="S30" s="5">
        <f t="shared" si="1"/>
        <v>39242061.960686907</v>
      </c>
      <c r="T30" s="181">
        <f t="shared" si="2"/>
        <v>7.0307926292083142E-2</v>
      </c>
      <c r="U30" s="184">
        <f t="shared" si="10"/>
        <v>5.0368008330339891E-3</v>
      </c>
    </row>
    <row r="31" spans="1:21" ht="12.75" customHeight="1">
      <c r="A31" s="4" t="s">
        <v>25</v>
      </c>
      <c r="B31" s="5">
        <v>466191870.11476332</v>
      </c>
      <c r="C31" s="202">
        <v>65804217.878185242</v>
      </c>
      <c r="D31" s="202">
        <v>17126073.998306401</v>
      </c>
      <c r="E31" s="202">
        <v>21598386.057976648</v>
      </c>
      <c r="F31" s="202">
        <v>1797191.122861081</v>
      </c>
      <c r="G31" s="202">
        <v>15744107.144994853</v>
      </c>
      <c r="H31" s="202">
        <v>2915628.3194103278</v>
      </c>
      <c r="I31" s="5">
        <f t="shared" si="3"/>
        <v>591177474.63649774</v>
      </c>
      <c r="J31" s="5">
        <f t="shared" si="0"/>
        <v>619731346.66144061</v>
      </c>
      <c r="K31" s="5">
        <f>+'COEF Art 14 F I'!AP32</f>
        <v>633403162.47482586</v>
      </c>
      <c r="L31" s="5">
        <f t="shared" si="4"/>
        <v>13671815.813385248</v>
      </c>
      <c r="M31" s="181">
        <f t="shared" si="5"/>
        <v>2.2060875066327999E-2</v>
      </c>
      <c r="N31" s="5">
        <f t="shared" si="6"/>
        <v>0</v>
      </c>
      <c r="O31" s="5">
        <f t="shared" si="7"/>
        <v>0</v>
      </c>
      <c r="P31" s="5">
        <f t="shared" si="8"/>
        <v>633403162.47482586</v>
      </c>
      <c r="Q31" s="5">
        <f t="shared" si="11"/>
        <v>13671815.813385248</v>
      </c>
      <c r="R31" s="5">
        <f t="shared" si="9"/>
        <v>5193702.8039483186</v>
      </c>
      <c r="S31" s="5">
        <f t="shared" si="1"/>
        <v>628209459.67087758</v>
      </c>
      <c r="T31" s="181">
        <f t="shared" si="2"/>
        <v>6.2641062325911531E-2</v>
      </c>
      <c r="U31" s="184">
        <f t="shared" si="10"/>
        <v>8.0631999739463278E-2</v>
      </c>
    </row>
    <row r="32" spans="1:21" ht="12.75" customHeight="1">
      <c r="A32" s="4" t="s">
        <v>26</v>
      </c>
      <c r="B32" s="5">
        <v>12198301.467330018</v>
      </c>
      <c r="C32" s="202">
        <v>1721822.5776918184</v>
      </c>
      <c r="D32" s="202">
        <v>448118.09680789994</v>
      </c>
      <c r="E32" s="202">
        <v>565139.89460631157</v>
      </c>
      <c r="F32" s="202">
        <v>47025.013768841702</v>
      </c>
      <c r="G32" s="202">
        <v>411957.77447022841</v>
      </c>
      <c r="H32" s="202">
        <v>76289.86150723022</v>
      </c>
      <c r="I32" s="5">
        <f t="shared" si="3"/>
        <v>15468654.686182348</v>
      </c>
      <c r="J32" s="5">
        <f t="shared" si="0"/>
        <v>16215790.707524955</v>
      </c>
      <c r="K32" s="5">
        <f>+'COEF Art 14 F I'!AP33</f>
        <v>10732288.342151564</v>
      </c>
      <c r="L32" s="5">
        <f t="shared" si="4"/>
        <v>-5483502.3653733917</v>
      </c>
      <c r="M32" s="181">
        <f t="shared" si="5"/>
        <v>-0.33815818570159312</v>
      </c>
      <c r="N32" s="5">
        <f t="shared" si="6"/>
        <v>16215790.707524955</v>
      </c>
      <c r="O32" s="5">
        <f t="shared" si="7"/>
        <v>5483502.3653733917</v>
      </c>
      <c r="P32" s="5">
        <f t="shared" si="8"/>
        <v>0</v>
      </c>
      <c r="Q32" s="5">
        <f t="shared" si="11"/>
        <v>0</v>
      </c>
      <c r="R32" s="5">
        <f t="shared" si="9"/>
        <v>0</v>
      </c>
      <c r="S32" s="5">
        <f t="shared" si="1"/>
        <v>16215790.707524955</v>
      </c>
      <c r="T32" s="181">
        <f t="shared" si="2"/>
        <v>4.8299999999999989E-2</v>
      </c>
      <c r="U32" s="184">
        <f t="shared" si="10"/>
        <v>2.0813306962766142E-3</v>
      </c>
    </row>
    <row r="33" spans="1:21" ht="12.75" customHeight="1">
      <c r="A33" s="4" t="s">
        <v>27</v>
      </c>
      <c r="B33" s="5">
        <v>20997489.676431384</v>
      </c>
      <c r="C33" s="202">
        <v>2963851.3113124319</v>
      </c>
      <c r="D33" s="202">
        <v>771366.00835341483</v>
      </c>
      <c r="E33" s="202">
        <v>972800.9374515739</v>
      </c>
      <c r="F33" s="202">
        <v>80946.289431345125</v>
      </c>
      <c r="G33" s="202">
        <v>709121.60514570505</v>
      </c>
      <c r="H33" s="202">
        <v>131321.19940671316</v>
      </c>
      <c r="I33" s="5">
        <f t="shared" si="3"/>
        <v>26626897.02753257</v>
      </c>
      <c r="J33" s="5">
        <f t="shared" si="0"/>
        <v>27912976.153962392</v>
      </c>
      <c r="K33" s="5">
        <f>+'COEF Art 14 F I'!AP34</f>
        <v>25077570.217978403</v>
      </c>
      <c r="L33" s="5">
        <f t="shared" si="4"/>
        <v>-2835405.9359839894</v>
      </c>
      <c r="M33" s="181">
        <f t="shared" si="5"/>
        <v>-0.10158020844300004</v>
      </c>
      <c r="N33" s="5">
        <f t="shared" si="6"/>
        <v>27912976.153962392</v>
      </c>
      <c r="O33" s="5">
        <f t="shared" si="7"/>
        <v>2835405.9359839894</v>
      </c>
      <c r="P33" s="5">
        <f t="shared" si="8"/>
        <v>0</v>
      </c>
      <c r="Q33" s="5">
        <f t="shared" si="11"/>
        <v>0</v>
      </c>
      <c r="R33" s="5">
        <f t="shared" si="9"/>
        <v>0</v>
      </c>
      <c r="S33" s="5">
        <f t="shared" si="1"/>
        <v>27912976.153962392</v>
      </c>
      <c r="T33" s="181">
        <f t="shared" si="2"/>
        <v>4.8299999999999968E-2</v>
      </c>
      <c r="U33" s="184">
        <f t="shared" si="10"/>
        <v>3.5826889444693869E-3</v>
      </c>
    </row>
    <row r="34" spans="1:21" ht="12.75" customHeight="1">
      <c r="A34" s="4" t="s">
        <v>28</v>
      </c>
      <c r="B34" s="5">
        <v>11471401.74041779</v>
      </c>
      <c r="C34" s="202">
        <v>1619218.7549490104</v>
      </c>
      <c r="D34" s="202">
        <v>421414.63132433518</v>
      </c>
      <c r="E34" s="202">
        <v>531463.07196372247</v>
      </c>
      <c r="F34" s="202">
        <v>44222.781854991714</v>
      </c>
      <c r="G34" s="202">
        <v>387409.11131633562</v>
      </c>
      <c r="H34" s="202">
        <v>71743.730257389965</v>
      </c>
      <c r="I34" s="5">
        <f t="shared" si="3"/>
        <v>14546873.822083576</v>
      </c>
      <c r="J34" s="5">
        <f t="shared" si="0"/>
        <v>15249487.827690212</v>
      </c>
      <c r="K34" s="5">
        <f>+'COEF Art 14 F I'!AP35</f>
        <v>16401368.974426862</v>
      </c>
      <c r="L34" s="5">
        <f t="shared" si="4"/>
        <v>1151881.1467366498</v>
      </c>
      <c r="M34" s="181">
        <f t="shared" si="5"/>
        <v>7.5535726822578891E-2</v>
      </c>
      <c r="N34" s="5">
        <f t="shared" si="6"/>
        <v>0</v>
      </c>
      <c r="O34" s="5">
        <f t="shared" si="7"/>
        <v>0</v>
      </c>
      <c r="P34" s="5">
        <f t="shared" si="8"/>
        <v>16401368.974426862</v>
      </c>
      <c r="Q34" s="5">
        <f t="shared" si="11"/>
        <v>1151881.1467366498</v>
      </c>
      <c r="R34" s="5">
        <f t="shared" si="9"/>
        <v>437581.11016710819</v>
      </c>
      <c r="S34" s="5">
        <f t="shared" si="1"/>
        <v>15963787.864259753</v>
      </c>
      <c r="T34" s="181">
        <f t="shared" si="2"/>
        <v>9.7403336242950278E-2</v>
      </c>
      <c r="U34" s="184">
        <f t="shared" si="10"/>
        <v>2.0489856036013956E-3</v>
      </c>
    </row>
    <row r="35" spans="1:21" ht="12.75" customHeight="1">
      <c r="A35" s="4" t="s">
        <v>29</v>
      </c>
      <c r="B35" s="5">
        <v>16809759.413881905</v>
      </c>
      <c r="C35" s="202">
        <v>2372742.0872411542</v>
      </c>
      <c r="D35" s="202">
        <v>617525.10515681026</v>
      </c>
      <c r="E35" s="202">
        <v>778785.93908845424</v>
      </c>
      <c r="F35" s="202">
        <v>64802.3964652625</v>
      </c>
      <c r="G35" s="202">
        <v>567694.69881272723</v>
      </c>
      <c r="H35" s="202">
        <v>105130.55617534323</v>
      </c>
      <c r="I35" s="5">
        <f t="shared" si="3"/>
        <v>21316440.196821656</v>
      </c>
      <c r="J35" s="5">
        <f t="shared" si="0"/>
        <v>22346024.258328144</v>
      </c>
      <c r="K35" s="5">
        <f>+'COEF Art 14 F I'!AP36</f>
        <v>18182335.805423103</v>
      </c>
      <c r="L35" s="5">
        <f t="shared" si="4"/>
        <v>-4163688.4529050402</v>
      </c>
      <c r="M35" s="181">
        <f t="shared" si="5"/>
        <v>-0.18632793040816978</v>
      </c>
      <c r="N35" s="5">
        <f t="shared" si="6"/>
        <v>22346024.258328144</v>
      </c>
      <c r="O35" s="5">
        <f t="shared" si="7"/>
        <v>4163688.4529050402</v>
      </c>
      <c r="P35" s="5">
        <f t="shared" si="8"/>
        <v>0</v>
      </c>
      <c r="Q35" s="5">
        <f t="shared" si="11"/>
        <v>0</v>
      </c>
      <c r="R35" s="5">
        <f t="shared" si="9"/>
        <v>0</v>
      </c>
      <c r="S35" s="5">
        <f t="shared" si="1"/>
        <v>22346024.258328144</v>
      </c>
      <c r="T35" s="181">
        <f t="shared" si="2"/>
        <v>4.8300000000000065E-2</v>
      </c>
      <c r="U35" s="184">
        <f t="shared" si="10"/>
        <v>2.8681590104032029E-3</v>
      </c>
    </row>
    <row r="36" spans="1:21" ht="12.75" customHeight="1">
      <c r="A36" s="4" t="s">
        <v>30</v>
      </c>
      <c r="B36" s="5">
        <v>15457056.03370185</v>
      </c>
      <c r="C36" s="202">
        <v>2181804.4204559885</v>
      </c>
      <c r="D36" s="202">
        <v>567832.05027573742</v>
      </c>
      <c r="E36" s="202">
        <v>716116.01346348226</v>
      </c>
      <c r="F36" s="202">
        <v>59587.662655929205</v>
      </c>
      <c r="G36" s="202">
        <v>522011.56206538598</v>
      </c>
      <c r="H36" s="202">
        <v>96670.56247780376</v>
      </c>
      <c r="I36" s="5">
        <f t="shared" si="3"/>
        <v>19601078.305096176</v>
      </c>
      <c r="J36" s="5">
        <f t="shared" si="0"/>
        <v>20547810.387232322</v>
      </c>
      <c r="K36" s="5">
        <f>+'COEF Art 14 F I'!AP37</f>
        <v>21239134.916205071</v>
      </c>
      <c r="L36" s="5">
        <f t="shared" si="4"/>
        <v>691324.52897274867</v>
      </c>
      <c r="M36" s="181">
        <f t="shared" si="5"/>
        <v>3.3644681157964797E-2</v>
      </c>
      <c r="N36" s="5">
        <f t="shared" si="6"/>
        <v>0</v>
      </c>
      <c r="O36" s="5">
        <f t="shared" si="7"/>
        <v>0</v>
      </c>
      <c r="P36" s="5">
        <f t="shared" si="8"/>
        <v>21239134.916205071</v>
      </c>
      <c r="Q36" s="5">
        <f t="shared" si="11"/>
        <v>691324.52897274867</v>
      </c>
      <c r="R36" s="5">
        <f t="shared" si="9"/>
        <v>262623.06291814876</v>
      </c>
      <c r="S36" s="5">
        <f t="shared" si="1"/>
        <v>20976511.853286922</v>
      </c>
      <c r="T36" s="181">
        <f t="shared" si="2"/>
        <v>7.0171320515215796E-2</v>
      </c>
      <c r="U36" s="184">
        <f t="shared" si="10"/>
        <v>2.6923792251953701E-3</v>
      </c>
    </row>
    <row r="37" spans="1:21" ht="12.75" customHeight="1">
      <c r="A37" s="4" t="s">
        <v>31</v>
      </c>
      <c r="B37" s="5">
        <v>146976776.61061856</v>
      </c>
      <c r="C37" s="202">
        <v>20746161.508002289</v>
      </c>
      <c r="D37" s="202">
        <v>5399354.4581683828</v>
      </c>
      <c r="E37" s="202">
        <v>6809344.7490014546</v>
      </c>
      <c r="F37" s="202">
        <v>566602.24067467044</v>
      </c>
      <c r="G37" s="202">
        <v>4963660.3877581675</v>
      </c>
      <c r="H37" s="202">
        <v>919213.05293477781</v>
      </c>
      <c r="I37" s="5">
        <f t="shared" si="3"/>
        <v>186381113.00715828</v>
      </c>
      <c r="J37" s="5">
        <f t="shared" si="0"/>
        <v>195383320.76540402</v>
      </c>
      <c r="K37" s="5">
        <f>+'COEF Art 14 F I'!AP38</f>
        <v>191179814.15423512</v>
      </c>
      <c r="L37" s="5">
        <f t="shared" si="4"/>
        <v>-4203506.6111688912</v>
      </c>
      <c r="M37" s="181">
        <f t="shared" si="5"/>
        <v>-2.1514152767502733E-2</v>
      </c>
      <c r="N37" s="5">
        <f t="shared" si="6"/>
        <v>195383320.76540402</v>
      </c>
      <c r="O37" s="5">
        <f t="shared" si="7"/>
        <v>4203506.6111688912</v>
      </c>
      <c r="P37" s="5">
        <f t="shared" si="8"/>
        <v>0</v>
      </c>
      <c r="Q37" s="5">
        <f t="shared" si="11"/>
        <v>0</v>
      </c>
      <c r="R37" s="5">
        <f t="shared" si="9"/>
        <v>0</v>
      </c>
      <c r="S37" s="5">
        <f t="shared" si="1"/>
        <v>195383320.76540402</v>
      </c>
      <c r="T37" s="181">
        <f t="shared" si="2"/>
        <v>4.8299999999999954E-2</v>
      </c>
      <c r="U37" s="184">
        <f t="shared" si="10"/>
        <v>2.5077858390265585E-2</v>
      </c>
    </row>
    <row r="38" spans="1:21" ht="12.75" customHeight="1">
      <c r="A38" s="4" t="s">
        <v>32</v>
      </c>
      <c r="B38" s="5">
        <v>28642439.294303101</v>
      </c>
      <c r="C38" s="202">
        <v>4042956.2090412104</v>
      </c>
      <c r="D38" s="202">
        <v>1052211.6885596451</v>
      </c>
      <c r="E38" s="202">
        <v>1326986.8077455515</v>
      </c>
      <c r="F38" s="202">
        <v>110417.92218327834</v>
      </c>
      <c r="G38" s="202">
        <v>967304.79884281906</v>
      </c>
      <c r="H38" s="202">
        <v>179133.76979933886</v>
      </c>
      <c r="I38" s="5">
        <f t="shared" si="3"/>
        <v>36321450.490474939</v>
      </c>
      <c r="J38" s="5">
        <f t="shared" si="0"/>
        <v>38075776.549164876</v>
      </c>
      <c r="K38" s="5">
        <f>+'COEF Art 14 F I'!AP39</f>
        <v>34446398.06261348</v>
      </c>
      <c r="L38" s="5">
        <f t="shared" si="4"/>
        <v>-3629378.4865513965</v>
      </c>
      <c r="M38" s="181">
        <f t="shared" si="5"/>
        <v>-9.5319880918646696E-2</v>
      </c>
      <c r="N38" s="5">
        <f t="shared" si="6"/>
        <v>38075776.549164876</v>
      </c>
      <c r="O38" s="5">
        <f t="shared" si="7"/>
        <v>3629378.4865513965</v>
      </c>
      <c r="P38" s="5">
        <f t="shared" si="8"/>
        <v>0</v>
      </c>
      <c r="Q38" s="5">
        <f t="shared" si="11"/>
        <v>0</v>
      </c>
      <c r="R38" s="5">
        <f t="shared" si="9"/>
        <v>0</v>
      </c>
      <c r="S38" s="5">
        <f t="shared" si="1"/>
        <v>38075776.549164876</v>
      </c>
      <c r="T38" s="181">
        <f t="shared" si="2"/>
        <v>4.8299999999999926E-2</v>
      </c>
      <c r="U38" s="184">
        <f t="shared" si="10"/>
        <v>4.8871056580405215E-3</v>
      </c>
    </row>
    <row r="39" spans="1:21" s="11" customFormat="1" ht="12.75" customHeight="1">
      <c r="A39" s="4" t="s">
        <v>33</v>
      </c>
      <c r="B39" s="5">
        <v>105014849.53165476</v>
      </c>
      <c r="C39" s="202">
        <v>14823124.301427007</v>
      </c>
      <c r="D39" s="202">
        <v>3857836.6533019841</v>
      </c>
      <c r="E39" s="202">
        <v>4865274.1658636238</v>
      </c>
      <c r="F39" s="202">
        <v>404837.07984959421</v>
      </c>
      <c r="G39" s="202">
        <v>3546533.4100203705</v>
      </c>
      <c r="H39" s="202">
        <v>656777.36760560225</v>
      </c>
      <c r="I39" s="5">
        <f t="shared" si="3"/>
        <v>133169232.50972293</v>
      </c>
      <c r="J39" s="5">
        <f t="shared" si="0"/>
        <v>139601306.43994254</v>
      </c>
      <c r="K39" s="5">
        <f>+'COEF Art 14 F I'!AP40</f>
        <v>132353684.30541423</v>
      </c>
      <c r="L39" s="5">
        <f t="shared" si="4"/>
        <v>-7247622.1345283091</v>
      </c>
      <c r="M39" s="181">
        <f t="shared" si="5"/>
        <v>-5.1916578142098456E-2</v>
      </c>
      <c r="N39" s="5">
        <f t="shared" si="6"/>
        <v>139601306.43994254</v>
      </c>
      <c r="O39" s="5">
        <f t="shared" si="7"/>
        <v>7247622.1345283091</v>
      </c>
      <c r="P39" s="5">
        <f t="shared" si="8"/>
        <v>0</v>
      </c>
      <c r="Q39" s="5">
        <f t="shared" si="11"/>
        <v>0</v>
      </c>
      <c r="R39" s="5">
        <f t="shared" si="9"/>
        <v>0</v>
      </c>
      <c r="S39" s="5">
        <f t="shared" ref="S39:S57" si="12">IF(O39&lt;&gt;0,K39+O39,K39-R39)</f>
        <v>139601306.43994254</v>
      </c>
      <c r="T39" s="181">
        <f t="shared" ref="T39:T58" si="13">+(S39-I39)/I39</f>
        <v>4.8299999999999912E-2</v>
      </c>
      <c r="U39" s="184">
        <f t="shared" si="10"/>
        <v>1.7918120033390512E-2</v>
      </c>
    </row>
    <row r="40" spans="1:21" ht="12.75" customHeight="1">
      <c r="A40" s="4" t="s">
        <v>34</v>
      </c>
      <c r="B40" s="5">
        <v>21201866.178504594</v>
      </c>
      <c r="C40" s="202">
        <v>2992699.5961788408</v>
      </c>
      <c r="D40" s="202">
        <v>778874.00521614891</v>
      </c>
      <c r="E40" s="202">
        <v>982269.57660201832</v>
      </c>
      <c r="F40" s="202">
        <v>81734.170256389014</v>
      </c>
      <c r="G40" s="202">
        <v>716023.75370756444</v>
      </c>
      <c r="H40" s="202">
        <v>132599.39826748069</v>
      </c>
      <c r="I40" s="5">
        <f t="shared" si="3"/>
        <v>26886066.678733036</v>
      </c>
      <c r="J40" s="5">
        <f t="shared" si="0"/>
        <v>28184663.699315842</v>
      </c>
      <c r="K40" s="5">
        <f>+'COEF Art 14 F I'!AP41</f>
        <v>30590034.493261352</v>
      </c>
      <c r="L40" s="5">
        <f t="shared" si="4"/>
        <v>2405370.7939455099</v>
      </c>
      <c r="M40" s="181">
        <f t="shared" si="5"/>
        <v>8.5343249776079405E-2</v>
      </c>
      <c r="N40" s="5">
        <f t="shared" si="6"/>
        <v>0</v>
      </c>
      <c r="O40" s="5">
        <f t="shared" si="7"/>
        <v>0</v>
      </c>
      <c r="P40" s="5">
        <f t="shared" si="8"/>
        <v>30590034.493261352</v>
      </c>
      <c r="Q40" s="5">
        <f t="shared" si="11"/>
        <v>2405370.7939455099</v>
      </c>
      <c r="R40" s="5">
        <f t="shared" si="9"/>
        <v>913761.65445553034</v>
      </c>
      <c r="S40" s="5">
        <f t="shared" si="12"/>
        <v>29676272.838805821</v>
      </c>
      <c r="T40" s="181">
        <f t="shared" si="13"/>
        <v>0.1037788901371671</v>
      </c>
      <c r="U40" s="184">
        <f t="shared" si="10"/>
        <v>3.8090117666493965E-3</v>
      </c>
    </row>
    <row r="41" spans="1:21" ht="12.75" customHeight="1">
      <c r="A41" s="4" t="s">
        <v>35</v>
      </c>
      <c r="B41" s="5">
        <v>20006809.988561384</v>
      </c>
      <c r="C41" s="202">
        <v>2824014.2480615564</v>
      </c>
      <c r="D41" s="202">
        <v>734972.29424045898</v>
      </c>
      <c r="E41" s="202">
        <v>926903.349505438</v>
      </c>
      <c r="F41" s="202">
        <v>77127.173623534836</v>
      </c>
      <c r="G41" s="202">
        <v>675664.6357022624</v>
      </c>
      <c r="H41" s="202">
        <v>125125.35186289361</v>
      </c>
      <c r="I41" s="5">
        <f t="shared" si="3"/>
        <v>25370617.041557532</v>
      </c>
      <c r="J41" s="5">
        <f t="shared" si="0"/>
        <v>26596017.84466476</v>
      </c>
      <c r="K41" s="5">
        <f>+'COEF Art 14 F I'!AP42</f>
        <v>29680321.552151814</v>
      </c>
      <c r="L41" s="5">
        <f t="shared" si="4"/>
        <v>3084303.7074870542</v>
      </c>
      <c r="M41" s="181">
        <f t="shared" si="5"/>
        <v>0.11596862829244095</v>
      </c>
      <c r="N41" s="5">
        <f t="shared" si="6"/>
        <v>0</v>
      </c>
      <c r="O41" s="5">
        <f t="shared" si="7"/>
        <v>0</v>
      </c>
      <c r="P41" s="5">
        <f t="shared" si="8"/>
        <v>29680321.552151814</v>
      </c>
      <c r="Q41" s="5">
        <f t="shared" si="11"/>
        <v>3084303.7074870542</v>
      </c>
      <c r="R41" s="5">
        <f t="shared" si="9"/>
        <v>1171677.3420923734</v>
      </c>
      <c r="S41" s="5">
        <f t="shared" si="12"/>
        <v>28508644.210059442</v>
      </c>
      <c r="T41" s="181">
        <f t="shared" si="13"/>
        <v>0.12368745952697029</v>
      </c>
      <c r="U41" s="184">
        <f t="shared" si="10"/>
        <v>3.6591441869122292E-3</v>
      </c>
    </row>
    <row r="42" spans="1:21" ht="12.75" customHeight="1">
      <c r="A42" s="4" t="s">
        <v>36</v>
      </c>
      <c r="B42" s="5">
        <v>22613926.876078855</v>
      </c>
      <c r="C42" s="202">
        <v>3192015.7056117598</v>
      </c>
      <c r="D42" s="202">
        <v>830747.61680566624</v>
      </c>
      <c r="E42" s="202">
        <v>1047689.4906729467</v>
      </c>
      <c r="F42" s="202">
        <v>87177.729257084051</v>
      </c>
      <c r="G42" s="202">
        <v>763711.48990311264</v>
      </c>
      <c r="H42" s="202">
        <v>141430.62082300748</v>
      </c>
      <c r="I42" s="5">
        <f t="shared" si="3"/>
        <v>28676699.529152431</v>
      </c>
      <c r="J42" s="5">
        <f t="shared" si="0"/>
        <v>30061784.116410494</v>
      </c>
      <c r="K42" s="5">
        <f>+'COEF Art 14 F I'!AP43</f>
        <v>29939816.877587773</v>
      </c>
      <c r="L42" s="5">
        <f t="shared" si="4"/>
        <v>-121967.23882272094</v>
      </c>
      <c r="M42" s="181">
        <f t="shared" si="5"/>
        <v>-4.0572189045872354E-3</v>
      </c>
      <c r="N42" s="5">
        <f t="shared" si="6"/>
        <v>30061784.116410494</v>
      </c>
      <c r="O42" s="5">
        <f t="shared" si="7"/>
        <v>121967.23882272094</v>
      </c>
      <c r="P42" s="5">
        <f t="shared" si="8"/>
        <v>0</v>
      </c>
      <c r="Q42" s="5">
        <f t="shared" si="11"/>
        <v>0</v>
      </c>
      <c r="R42" s="5">
        <f t="shared" si="9"/>
        <v>0</v>
      </c>
      <c r="S42" s="5">
        <f t="shared" si="12"/>
        <v>30061784.116410494</v>
      </c>
      <c r="T42" s="181">
        <f t="shared" si="13"/>
        <v>4.830000000000003E-2</v>
      </c>
      <c r="U42" s="184">
        <f t="shared" si="10"/>
        <v>3.8584929464642714E-3</v>
      </c>
    </row>
    <row r="43" spans="1:21" ht="12.75" customHeight="1">
      <c r="A43" s="4" t="s">
        <v>37</v>
      </c>
      <c r="B43" s="5">
        <v>31852696.246518105</v>
      </c>
      <c r="C43" s="202">
        <v>4496092.4850481506</v>
      </c>
      <c r="D43" s="202">
        <v>1170144.0285287597</v>
      </c>
      <c r="E43" s="202">
        <v>1475716.0616087182</v>
      </c>
      <c r="F43" s="202">
        <v>122793.61053495121</v>
      </c>
      <c r="G43" s="202">
        <v>1075720.7379843476</v>
      </c>
      <c r="H43" s="202">
        <v>199211.15999526353</v>
      </c>
      <c r="I43" s="5">
        <f t="shared" si="3"/>
        <v>40392374.330218293</v>
      </c>
      <c r="J43" s="5">
        <f t="shared" si="0"/>
        <v>42343326.010367833</v>
      </c>
      <c r="K43" s="5">
        <f>+'COEF Art 14 F I'!AP44</f>
        <v>37834727.709512204</v>
      </c>
      <c r="L43" s="5">
        <f t="shared" si="4"/>
        <v>-4508598.3008556291</v>
      </c>
      <c r="M43" s="181">
        <f t="shared" si="5"/>
        <v>-0.10647718839449909</v>
      </c>
      <c r="N43" s="5">
        <f t="shared" si="6"/>
        <v>42343326.010367833</v>
      </c>
      <c r="O43" s="5">
        <f t="shared" si="7"/>
        <v>4508598.3008556291</v>
      </c>
      <c r="P43" s="5">
        <f t="shared" si="8"/>
        <v>0</v>
      </c>
      <c r="Q43" s="5">
        <f t="shared" si="11"/>
        <v>0</v>
      </c>
      <c r="R43" s="5">
        <f t="shared" si="9"/>
        <v>0</v>
      </c>
      <c r="S43" s="5">
        <f t="shared" si="12"/>
        <v>42343326.010367833</v>
      </c>
      <c r="T43" s="181">
        <f t="shared" si="13"/>
        <v>4.8299999999999919E-2</v>
      </c>
      <c r="U43" s="184">
        <f t="shared" si="10"/>
        <v>5.4348545684503391E-3</v>
      </c>
    </row>
    <row r="44" spans="1:21" s="11" customFormat="1" ht="12.75" customHeight="1">
      <c r="A44" s="4" t="s">
        <v>38</v>
      </c>
      <c r="B44" s="5">
        <v>74729366.826373518</v>
      </c>
      <c r="C44" s="202">
        <v>10548248.160850508</v>
      </c>
      <c r="D44" s="202">
        <v>2745265.9476880203</v>
      </c>
      <c r="E44" s="202">
        <v>3462166.1552931815</v>
      </c>
      <c r="F44" s="202">
        <v>288085.1496709417</v>
      </c>
      <c r="G44" s="202">
        <v>2523740.1885674577</v>
      </c>
      <c r="H44" s="202">
        <v>467367.77747098112</v>
      </c>
      <c r="I44" s="5">
        <f t="shared" si="3"/>
        <v>94764240.205914602</v>
      </c>
      <c r="J44" s="5">
        <f t="shared" si="0"/>
        <v>99341353.007860273</v>
      </c>
      <c r="K44" s="5">
        <f>+'COEF Art 14 F I'!AP45</f>
        <v>93416776.450458676</v>
      </c>
      <c r="L44" s="5">
        <f t="shared" si="4"/>
        <v>-5924576.5574015975</v>
      </c>
      <c r="M44" s="181">
        <f t="shared" si="5"/>
        <v>-5.9638573242834954E-2</v>
      </c>
      <c r="N44" s="5">
        <f t="shared" si="6"/>
        <v>99341353.007860273</v>
      </c>
      <c r="O44" s="5">
        <f t="shared" si="7"/>
        <v>5924576.5574015975</v>
      </c>
      <c r="P44" s="5">
        <f t="shared" si="8"/>
        <v>0</v>
      </c>
      <c r="Q44" s="5">
        <f t="shared" si="11"/>
        <v>0</v>
      </c>
      <c r="R44" s="5">
        <f t="shared" si="9"/>
        <v>0</v>
      </c>
      <c r="S44" s="5">
        <f t="shared" si="12"/>
        <v>99341353.007860273</v>
      </c>
      <c r="T44" s="181">
        <f t="shared" si="13"/>
        <v>4.8299999999999961E-2</v>
      </c>
      <c r="U44" s="184">
        <f t="shared" si="10"/>
        <v>1.2750670698343592E-2</v>
      </c>
    </row>
    <row r="45" spans="1:21" ht="12.75" customHeight="1">
      <c r="A45" s="4" t="s">
        <v>39</v>
      </c>
      <c r="B45" s="5">
        <v>1401888181.6267445</v>
      </c>
      <c r="C45" s="202">
        <v>197880231.84936696</v>
      </c>
      <c r="D45" s="202">
        <v>51499912.965053618</v>
      </c>
      <c r="E45" s="202">
        <v>64948627.588551342</v>
      </c>
      <c r="F45" s="202">
        <v>5404343.4833909571</v>
      </c>
      <c r="G45" s="202">
        <v>47344192.706095994</v>
      </c>
      <c r="H45" s="202">
        <v>8767602.23637826</v>
      </c>
      <c r="I45" s="5">
        <f t="shared" si="3"/>
        <v>1777733092.4555814</v>
      </c>
      <c r="J45" s="5">
        <f t="shared" si="0"/>
        <v>1863597600.8211861</v>
      </c>
      <c r="K45" s="5">
        <f>+'COEF Art 14 F I'!AP46</f>
        <v>2157116355.1431923</v>
      </c>
      <c r="L45" s="5">
        <f t="shared" si="4"/>
        <v>293518754.32200623</v>
      </c>
      <c r="M45" s="181">
        <f t="shared" si="5"/>
        <v>0.15750114412718094</v>
      </c>
      <c r="N45" s="5">
        <f t="shared" si="6"/>
        <v>0</v>
      </c>
      <c r="O45" s="5">
        <f t="shared" si="7"/>
        <v>0</v>
      </c>
      <c r="P45" s="5">
        <f t="shared" si="8"/>
        <v>2157116355.1431923</v>
      </c>
      <c r="Q45" s="5">
        <f t="shared" si="11"/>
        <v>293518754.32200623</v>
      </c>
      <c r="R45" s="5">
        <f t="shared" si="9"/>
        <v>111503051.10467662</v>
      </c>
      <c r="S45" s="5">
        <f t="shared" si="12"/>
        <v>2045613304.0385156</v>
      </c>
      <c r="T45" s="181">
        <f t="shared" si="13"/>
        <v>0.15068640659262938</v>
      </c>
      <c r="U45" s="184">
        <f t="shared" si="10"/>
        <v>0.26255875147867114</v>
      </c>
    </row>
    <row r="46" spans="1:21" ht="12.75" customHeight="1">
      <c r="A46" s="4" t="s">
        <v>40</v>
      </c>
      <c r="B46" s="5">
        <v>7987263.9307073141</v>
      </c>
      <c r="C46" s="202">
        <v>1127423.470120677</v>
      </c>
      <c r="D46" s="202">
        <v>293420.97511829878</v>
      </c>
      <c r="E46" s="202">
        <v>370045.08439819218</v>
      </c>
      <c r="F46" s="202">
        <v>30791.27018813516</v>
      </c>
      <c r="G46" s="202">
        <v>269743.74111125537</v>
      </c>
      <c r="H46" s="202">
        <v>49953.451365940979</v>
      </c>
      <c r="I46" s="5">
        <f t="shared" si="3"/>
        <v>10128641.923009813</v>
      </c>
      <c r="J46" s="5">
        <f t="shared" si="0"/>
        <v>10617855.327891186</v>
      </c>
      <c r="K46" s="5">
        <f>+'COEF Art 14 F I'!AP47</f>
        <v>8079304.6648150077</v>
      </c>
      <c r="L46" s="5">
        <f t="shared" si="4"/>
        <v>-2538550.6630761782</v>
      </c>
      <c r="M46" s="181">
        <f t="shared" si="5"/>
        <v>-0.23908318437979323</v>
      </c>
      <c r="N46" s="5">
        <f t="shared" si="6"/>
        <v>10617855.327891186</v>
      </c>
      <c r="O46" s="5">
        <f t="shared" si="7"/>
        <v>2538550.6630761782</v>
      </c>
      <c r="P46" s="5">
        <f t="shared" si="8"/>
        <v>0</v>
      </c>
      <c r="Q46" s="5">
        <f t="shared" si="11"/>
        <v>0</v>
      </c>
      <c r="R46" s="5">
        <f t="shared" si="9"/>
        <v>0</v>
      </c>
      <c r="S46" s="5">
        <f t="shared" si="12"/>
        <v>10617855.327891186</v>
      </c>
      <c r="T46" s="181">
        <f t="shared" si="13"/>
        <v>4.8299999999999912E-2</v>
      </c>
      <c r="U46" s="184">
        <f t="shared" si="10"/>
        <v>1.3628239671537529E-3</v>
      </c>
    </row>
    <row r="47" spans="1:21" s="11" customFormat="1" ht="12.75" customHeight="1">
      <c r="A47" s="4" t="s">
        <v>41</v>
      </c>
      <c r="B47" s="5">
        <v>22055288.490343686</v>
      </c>
      <c r="C47" s="202">
        <v>3113162.4170694686</v>
      </c>
      <c r="D47" s="202">
        <v>810225.4178027208</v>
      </c>
      <c r="E47" s="202">
        <v>1021808.113722087</v>
      </c>
      <c r="F47" s="202">
        <v>85024.152560273462</v>
      </c>
      <c r="G47" s="202">
        <v>744845.30375708197</v>
      </c>
      <c r="H47" s="202">
        <v>137936.81923153237</v>
      </c>
      <c r="I47" s="5">
        <f t="shared" si="3"/>
        <v>27968290.714486852</v>
      </c>
      <c r="J47" s="5">
        <f t="shared" si="0"/>
        <v>29319159.155996569</v>
      </c>
      <c r="K47" s="5">
        <f>+'COEF Art 14 F I'!AP48</f>
        <v>53173521.488189548</v>
      </c>
      <c r="L47" s="5">
        <f t="shared" si="4"/>
        <v>23854362.33219298</v>
      </c>
      <c r="M47" s="181">
        <f t="shared" si="5"/>
        <v>0.8136100426779842</v>
      </c>
      <c r="N47" s="5">
        <f t="shared" si="6"/>
        <v>0</v>
      </c>
      <c r="O47" s="5">
        <f t="shared" si="7"/>
        <v>0</v>
      </c>
      <c r="P47" s="5">
        <f t="shared" si="8"/>
        <v>53173521.488189548</v>
      </c>
      <c r="Q47" s="5">
        <f t="shared" si="11"/>
        <v>23854362.33219298</v>
      </c>
      <c r="R47" s="5">
        <f t="shared" si="9"/>
        <v>9061888.3564693872</v>
      </c>
      <c r="S47" s="5">
        <f t="shared" si="12"/>
        <v>44111633.131720163</v>
      </c>
      <c r="T47" s="181">
        <f t="shared" si="13"/>
        <v>0.57720160956677546</v>
      </c>
      <c r="U47" s="184">
        <f t="shared" si="10"/>
        <v>5.6618204906490775E-3</v>
      </c>
    </row>
    <row r="48" spans="1:21" ht="12.75" customHeight="1">
      <c r="A48" s="4" t="s">
        <v>42</v>
      </c>
      <c r="B48" s="5">
        <v>16940744.022520985</v>
      </c>
      <c r="C48" s="202">
        <v>2391230.9118606243</v>
      </c>
      <c r="D48" s="202">
        <v>622336.96963578486</v>
      </c>
      <c r="E48" s="202">
        <v>784854.37641307653</v>
      </c>
      <c r="F48" s="202">
        <v>65307.348162124203</v>
      </c>
      <c r="G48" s="202">
        <v>572118.275981182</v>
      </c>
      <c r="H48" s="202">
        <v>105949.75200186195</v>
      </c>
      <c r="I48" s="5">
        <f t="shared" si="3"/>
        <v>21482541.656575643</v>
      </c>
      <c r="J48" s="5">
        <f t="shared" si="0"/>
        <v>22520148.418588247</v>
      </c>
      <c r="K48" s="5">
        <f>+'COEF Art 14 F I'!AP49</f>
        <v>14769830.509976996</v>
      </c>
      <c r="L48" s="5">
        <f t="shared" si="4"/>
        <v>-7750317.908611251</v>
      </c>
      <c r="M48" s="181">
        <f t="shared" si="5"/>
        <v>-0.34415039210905457</v>
      </c>
      <c r="N48" s="5">
        <f t="shared" si="6"/>
        <v>22520148.418588247</v>
      </c>
      <c r="O48" s="5">
        <f t="shared" si="7"/>
        <v>7750317.908611251</v>
      </c>
      <c r="P48" s="5">
        <f t="shared" si="8"/>
        <v>0</v>
      </c>
      <c r="Q48" s="5">
        <f t="shared" si="11"/>
        <v>0</v>
      </c>
      <c r="R48" s="5">
        <f t="shared" si="9"/>
        <v>0</v>
      </c>
      <c r="S48" s="5">
        <f t="shared" si="12"/>
        <v>22520148.418588247</v>
      </c>
      <c r="T48" s="181">
        <f t="shared" si="13"/>
        <v>4.8300000000000051E-2</v>
      </c>
      <c r="U48" s="184">
        <f t="shared" si="10"/>
        <v>2.890508211021867E-3</v>
      </c>
    </row>
    <row r="49" spans="1:21" ht="12.75" customHeight="1">
      <c r="A49" s="4" t="s">
        <v>43</v>
      </c>
      <c r="B49" s="5">
        <v>18324287.173424091</v>
      </c>
      <c r="C49" s="202">
        <v>2586521.6940089422</v>
      </c>
      <c r="D49" s="202">
        <v>673162.95760589605</v>
      </c>
      <c r="E49" s="202">
        <v>848953.08987566538</v>
      </c>
      <c r="F49" s="202">
        <v>70640.970707464192</v>
      </c>
      <c r="G49" s="202">
        <v>618842.92521665664</v>
      </c>
      <c r="H49" s="202">
        <v>114602.62188332574</v>
      </c>
      <c r="I49" s="5">
        <f t="shared" si="3"/>
        <v>23237011.43272204</v>
      </c>
      <c r="J49" s="5">
        <f t="shared" si="0"/>
        <v>24359359.084922515</v>
      </c>
      <c r="K49" s="5">
        <f>+'COEF Art 14 F I'!AP50</f>
        <v>25647528.825052857</v>
      </c>
      <c r="L49" s="5">
        <f t="shared" si="4"/>
        <v>1288169.7401303425</v>
      </c>
      <c r="M49" s="181">
        <f t="shared" si="5"/>
        <v>5.2881922534968047E-2</v>
      </c>
      <c r="N49" s="5">
        <f t="shared" si="6"/>
        <v>0</v>
      </c>
      <c r="O49" s="5">
        <f t="shared" si="7"/>
        <v>0</v>
      </c>
      <c r="P49" s="5">
        <f t="shared" si="8"/>
        <v>25647528.825052857</v>
      </c>
      <c r="Q49" s="5">
        <f t="shared" si="11"/>
        <v>1288169.7401303425</v>
      </c>
      <c r="R49" s="5">
        <f t="shared" si="9"/>
        <v>489354.95347488509</v>
      </c>
      <c r="S49" s="5">
        <f t="shared" si="12"/>
        <v>25158173.871577971</v>
      </c>
      <c r="T49" s="181">
        <f t="shared" si="13"/>
        <v>8.2676829781586136E-2</v>
      </c>
      <c r="U49" s="184">
        <f t="shared" si="10"/>
        <v>3.2291043024427193E-3</v>
      </c>
    </row>
    <row r="50" spans="1:21" ht="12.75" customHeight="1">
      <c r="A50" s="4" t="s">
        <v>44</v>
      </c>
      <c r="B50" s="5">
        <v>54618112.049358256</v>
      </c>
      <c r="C50" s="202">
        <v>7709491.2541189073</v>
      </c>
      <c r="D50" s="202">
        <v>2006456.7586192188</v>
      </c>
      <c r="E50" s="202">
        <v>2530423.9422053113</v>
      </c>
      <c r="F50" s="202">
        <v>210555.33657928117</v>
      </c>
      <c r="G50" s="202">
        <v>1844548.2714032405</v>
      </c>
      <c r="H50" s="202">
        <v>341589.21348120784</v>
      </c>
      <c r="I50" s="5">
        <f t="shared" si="3"/>
        <v>69261176.825765416</v>
      </c>
      <c r="J50" s="5">
        <f t="shared" si="0"/>
        <v>72606491.66644989</v>
      </c>
      <c r="K50" s="5">
        <f>+'COEF Art 14 F I'!AP51</f>
        <v>43369478.549561292</v>
      </c>
      <c r="L50" s="5">
        <f t="shared" si="4"/>
        <v>-29237013.116888598</v>
      </c>
      <c r="M50" s="181">
        <f t="shared" si="5"/>
        <v>-0.40267767310947594</v>
      </c>
      <c r="N50" s="5">
        <f t="shared" si="6"/>
        <v>72606491.66644989</v>
      </c>
      <c r="O50" s="5">
        <f t="shared" si="7"/>
        <v>29237013.116888598</v>
      </c>
      <c r="P50" s="5">
        <f t="shared" si="8"/>
        <v>0</v>
      </c>
      <c r="Q50" s="5">
        <f t="shared" si="11"/>
        <v>0</v>
      </c>
      <c r="R50" s="5">
        <f t="shared" si="9"/>
        <v>0</v>
      </c>
      <c r="S50" s="5">
        <f t="shared" si="12"/>
        <v>72606491.66644989</v>
      </c>
      <c r="T50" s="181">
        <f t="shared" si="13"/>
        <v>4.8300000000000058E-2</v>
      </c>
      <c r="U50" s="184">
        <f t="shared" si="10"/>
        <v>9.3191952572628991E-3</v>
      </c>
    </row>
    <row r="51" spans="1:21" ht="12.75" customHeight="1">
      <c r="A51" s="4" t="s">
        <v>45</v>
      </c>
      <c r="B51" s="5">
        <v>47001748.859349623</v>
      </c>
      <c r="C51" s="202">
        <v>6634421.4064372238</v>
      </c>
      <c r="D51" s="202">
        <v>1726661.2324596685</v>
      </c>
      <c r="E51" s="202">
        <v>2177562.463743506</v>
      </c>
      <c r="F51" s="202">
        <v>181193.90582288505</v>
      </c>
      <c r="G51" s="202">
        <v>1587330.4909018956</v>
      </c>
      <c r="H51" s="202">
        <v>293955.42655515752</v>
      </c>
      <c r="I51" s="5">
        <f t="shared" si="3"/>
        <v>59602873.785269968</v>
      </c>
      <c r="J51" s="5">
        <f t="shared" si="0"/>
        <v>62481692.589098506</v>
      </c>
      <c r="K51" s="5">
        <f>+'COEF Art 14 F I'!AP52</f>
        <v>62104049.768754542</v>
      </c>
      <c r="L51" s="5">
        <f t="shared" si="4"/>
        <v>-377642.8203439638</v>
      </c>
      <c r="M51" s="181">
        <f t="shared" si="5"/>
        <v>-6.0440555416364158E-3</v>
      </c>
      <c r="N51" s="5">
        <f t="shared" si="6"/>
        <v>62481692.589098506</v>
      </c>
      <c r="O51" s="5">
        <f t="shared" si="7"/>
        <v>377642.8203439638</v>
      </c>
      <c r="P51" s="5">
        <f t="shared" si="8"/>
        <v>0</v>
      </c>
      <c r="Q51" s="5">
        <f t="shared" si="11"/>
        <v>0</v>
      </c>
      <c r="R51" s="5">
        <f t="shared" si="9"/>
        <v>0</v>
      </c>
      <c r="S51" s="5">
        <f t="shared" si="12"/>
        <v>62481692.589098506</v>
      </c>
      <c r="T51" s="181">
        <f t="shared" si="13"/>
        <v>4.8299999999999968E-2</v>
      </c>
      <c r="U51" s="184">
        <f t="shared" si="10"/>
        <v>8.0196560924199779E-3</v>
      </c>
    </row>
    <row r="52" spans="1:21" ht="12.75" customHeight="1">
      <c r="A52" s="4" t="s">
        <v>46</v>
      </c>
      <c r="B52" s="5">
        <v>425297684.76315486</v>
      </c>
      <c r="C52" s="202">
        <v>60031895.245948687</v>
      </c>
      <c r="D52" s="202">
        <v>15623780.866811644</v>
      </c>
      <c r="E52" s="202">
        <v>19703783.300247163</v>
      </c>
      <c r="F52" s="202">
        <v>1639542.1555540059</v>
      </c>
      <c r="G52" s="202">
        <v>14363039.655284002</v>
      </c>
      <c r="H52" s="202">
        <v>2659870.4382593478</v>
      </c>
      <c r="I52" s="5">
        <f t="shared" si="3"/>
        <v>539319596.42525971</v>
      </c>
      <c r="J52" s="5">
        <f t="shared" si="0"/>
        <v>565368732.93259978</v>
      </c>
      <c r="K52" s="5">
        <f>+'COEF Art 14 F I'!AP53</f>
        <v>536023866.65847415</v>
      </c>
      <c r="L52" s="5">
        <f t="shared" si="4"/>
        <v>-29344866.274125636</v>
      </c>
      <c r="M52" s="181">
        <f t="shared" si="5"/>
        <v>-5.1903942621503218E-2</v>
      </c>
      <c r="N52" s="5">
        <f t="shared" si="6"/>
        <v>565368732.93259978</v>
      </c>
      <c r="O52" s="5">
        <f t="shared" si="7"/>
        <v>29344866.274125636</v>
      </c>
      <c r="P52" s="5">
        <f t="shared" si="8"/>
        <v>0</v>
      </c>
      <c r="Q52" s="5">
        <f t="shared" si="11"/>
        <v>0</v>
      </c>
      <c r="R52" s="5">
        <f t="shared" si="9"/>
        <v>0</v>
      </c>
      <c r="S52" s="5">
        <f t="shared" si="12"/>
        <v>565368732.93259978</v>
      </c>
      <c r="T52" s="181">
        <f t="shared" si="13"/>
        <v>4.8300000000000058E-2</v>
      </c>
      <c r="U52" s="184">
        <f t="shared" si="10"/>
        <v>7.2566260862110002E-2</v>
      </c>
    </row>
    <row r="53" spans="1:21" ht="12.75" customHeight="1">
      <c r="A53" s="4" t="s">
        <v>47</v>
      </c>
      <c r="B53" s="5">
        <v>724304822.74862874</v>
      </c>
      <c r="C53" s="202">
        <v>102237545.1434126</v>
      </c>
      <c r="D53" s="202">
        <v>26608138.809256099</v>
      </c>
      <c r="E53" s="202">
        <v>33556602.309545174</v>
      </c>
      <c r="F53" s="202">
        <v>2792228.4388400866</v>
      </c>
      <c r="G53" s="202">
        <v>24461028.743535973</v>
      </c>
      <c r="H53" s="202">
        <v>4529902.3609605283</v>
      </c>
      <c r="I53" s="5">
        <f t="shared" si="3"/>
        <v>918490268.55417907</v>
      </c>
      <c r="J53" s="5">
        <f t="shared" si="0"/>
        <v>962853348.52534592</v>
      </c>
      <c r="K53" s="5">
        <f>+'COEF Art 14 F I'!AP54</f>
        <v>1161559462.7643185</v>
      </c>
      <c r="L53" s="5">
        <f t="shared" si="4"/>
        <v>198706114.23897254</v>
      </c>
      <c r="M53" s="181">
        <f t="shared" si="5"/>
        <v>0.20637214851389371</v>
      </c>
      <c r="N53" s="5">
        <f t="shared" si="6"/>
        <v>0</v>
      </c>
      <c r="O53" s="5">
        <f t="shared" si="7"/>
        <v>0</v>
      </c>
      <c r="P53" s="5">
        <f t="shared" si="8"/>
        <v>1161559462.7643185</v>
      </c>
      <c r="Q53" s="5">
        <f t="shared" si="11"/>
        <v>198706114.23897254</v>
      </c>
      <c r="R53" s="5">
        <f t="shared" si="9"/>
        <v>75485254.977926031</v>
      </c>
      <c r="S53" s="5">
        <f t="shared" si="12"/>
        <v>1086074207.7863925</v>
      </c>
      <c r="T53" s="181">
        <f t="shared" si="13"/>
        <v>0.18245586803658997</v>
      </c>
      <c r="U53" s="184">
        <f t="shared" si="10"/>
        <v>0.13939989901640421</v>
      </c>
    </row>
    <row r="54" spans="1:21" s="11" customFormat="1" ht="12.75" customHeight="1">
      <c r="A54" s="4" t="s">
        <v>48</v>
      </c>
      <c r="B54" s="5">
        <v>221441748.31500369</v>
      </c>
      <c r="C54" s="202">
        <v>31257089.5967311</v>
      </c>
      <c r="D54" s="202">
        <v>8134907.5586131345</v>
      </c>
      <c r="E54" s="202">
        <v>10259261.638955295</v>
      </c>
      <c r="F54" s="202">
        <v>853668.1349777797</v>
      </c>
      <c r="G54" s="202">
        <v>7478471.4949613456</v>
      </c>
      <c r="H54" s="202">
        <v>1384927.2668101583</v>
      </c>
      <c r="I54" s="5">
        <f t="shared" si="3"/>
        <v>280810074.00605249</v>
      </c>
      <c r="J54" s="5">
        <f t="shared" si="0"/>
        <v>294373200.58054483</v>
      </c>
      <c r="K54" s="5">
        <f>+'COEF Art 14 F I'!AP55</f>
        <v>274426182.35399985</v>
      </c>
      <c r="L54" s="5">
        <f t="shared" si="4"/>
        <v>-19947018.226544976</v>
      </c>
      <c r="M54" s="181">
        <f t="shared" si="5"/>
        <v>-6.7760985671272672E-2</v>
      </c>
      <c r="N54" s="5">
        <f t="shared" si="6"/>
        <v>294373200.58054483</v>
      </c>
      <c r="O54" s="5">
        <f t="shared" si="7"/>
        <v>19947018.226544976</v>
      </c>
      <c r="P54" s="5">
        <f t="shared" si="8"/>
        <v>0</v>
      </c>
      <c r="Q54" s="5">
        <f t="shared" si="11"/>
        <v>0</v>
      </c>
      <c r="R54" s="5">
        <f t="shared" si="9"/>
        <v>0</v>
      </c>
      <c r="S54" s="5">
        <f t="shared" si="12"/>
        <v>294373200.58054483</v>
      </c>
      <c r="T54" s="181">
        <f t="shared" si="13"/>
        <v>4.8300000000000003E-2</v>
      </c>
      <c r="U54" s="184">
        <f t="shared" si="10"/>
        <v>3.7783416768271579E-2</v>
      </c>
    </row>
    <row r="55" spans="1:21" s="11" customFormat="1" ht="12.75" customHeight="1">
      <c r="A55" s="4" t="s">
        <v>49</v>
      </c>
      <c r="B55" s="5">
        <v>59031167.450255796</v>
      </c>
      <c r="C55" s="202">
        <v>8332405.7185797393</v>
      </c>
      <c r="D55" s="202">
        <v>2168575.2300050557</v>
      </c>
      <c r="E55" s="202">
        <v>2734878.1173081729</v>
      </c>
      <c r="F55" s="202">
        <v>227567.8683277868</v>
      </c>
      <c r="G55" s="202">
        <v>1993584.7980335688</v>
      </c>
      <c r="H55" s="202">
        <v>369189.07123694004</v>
      </c>
      <c r="I55" s="5">
        <f t="shared" si="3"/>
        <v>74857368.253747046</v>
      </c>
      <c r="J55" s="5">
        <f t="shared" si="0"/>
        <v>78472979.140403032</v>
      </c>
      <c r="K55" s="5">
        <f>+'COEF Art 14 F I'!AP56</f>
        <v>102133115.67264704</v>
      </c>
      <c r="L55" s="5">
        <f t="shared" si="4"/>
        <v>23660136.532244012</v>
      </c>
      <c r="M55" s="181">
        <f t="shared" si="5"/>
        <v>0.30150679624271104</v>
      </c>
      <c r="N55" s="5">
        <f t="shared" si="6"/>
        <v>0</v>
      </c>
      <c r="O55" s="5">
        <f t="shared" si="7"/>
        <v>0</v>
      </c>
      <c r="P55" s="5">
        <f t="shared" si="8"/>
        <v>102133115.67264704</v>
      </c>
      <c r="Q55" s="5">
        <f t="shared" si="11"/>
        <v>23660136.532244012</v>
      </c>
      <c r="R55" s="5">
        <f t="shared" si="9"/>
        <v>8988105.1007875446</v>
      </c>
      <c r="S55" s="5">
        <f t="shared" si="12"/>
        <v>93145010.571859494</v>
      </c>
      <c r="T55" s="181">
        <f t="shared" si="13"/>
        <v>0.24429982972580719</v>
      </c>
      <c r="U55" s="184">
        <f t="shared" si="10"/>
        <v>1.1955357170357249E-2</v>
      </c>
    </row>
    <row r="56" spans="1:21" ht="12.75" customHeight="1">
      <c r="A56" s="4" t="s">
        <v>50</v>
      </c>
      <c r="B56" s="5">
        <v>14182129.555242509</v>
      </c>
      <c r="C56" s="202">
        <v>2001845.1694579963</v>
      </c>
      <c r="D56" s="202">
        <v>520996.21590754075</v>
      </c>
      <c r="E56" s="202">
        <v>657049.4444336046</v>
      </c>
      <c r="F56" s="202">
        <v>54672.762383593654</v>
      </c>
      <c r="G56" s="202">
        <v>478955.08603993838</v>
      </c>
      <c r="H56" s="202">
        <v>88696.99626171538</v>
      </c>
      <c r="I56" s="5">
        <f t="shared" si="3"/>
        <v>17984345.229726899</v>
      </c>
      <c r="J56" s="5">
        <f t="shared" si="0"/>
        <v>18852989.104322709</v>
      </c>
      <c r="K56" s="5">
        <f>+'COEF Art 14 F I'!AP57</f>
        <v>13725710.498415848</v>
      </c>
      <c r="L56" s="5">
        <f t="shared" si="4"/>
        <v>-5127278.6059068609</v>
      </c>
      <c r="M56" s="181">
        <f t="shared" si="5"/>
        <v>-0.27196104434873153</v>
      </c>
      <c r="N56" s="5">
        <f t="shared" si="6"/>
        <v>18852989.104322709</v>
      </c>
      <c r="O56" s="5">
        <f t="shared" si="7"/>
        <v>5127278.6059068609</v>
      </c>
      <c r="P56" s="5">
        <f t="shared" si="8"/>
        <v>0</v>
      </c>
      <c r="Q56" s="5">
        <f t="shared" si="11"/>
        <v>0</v>
      </c>
      <c r="R56" s="5">
        <f t="shared" si="9"/>
        <v>0</v>
      </c>
      <c r="S56" s="5">
        <f t="shared" si="12"/>
        <v>18852989.104322709</v>
      </c>
      <c r="T56" s="181">
        <f t="shared" si="13"/>
        <v>4.830000000000003E-2</v>
      </c>
      <c r="U56" s="184">
        <f t="shared" si="10"/>
        <v>2.4198206333032137E-3</v>
      </c>
    </row>
    <row r="57" spans="1:21" ht="12.75" customHeight="1">
      <c r="A57" s="4" t="s">
        <v>51</v>
      </c>
      <c r="B57" s="5">
        <v>19538877.032701243</v>
      </c>
      <c r="C57" s="202">
        <v>2757964.2713169348</v>
      </c>
      <c r="D57" s="202">
        <v>717782.25953077164</v>
      </c>
      <c r="E57" s="202">
        <v>905224.30000276084</v>
      </c>
      <c r="F57" s="202">
        <v>75323.270534942145</v>
      </c>
      <c r="G57" s="202">
        <v>659861.72907734208</v>
      </c>
      <c r="H57" s="202">
        <v>122198.83455281158</v>
      </c>
      <c r="I57" s="5">
        <f t="shared" si="3"/>
        <v>24777231.69771681</v>
      </c>
      <c r="J57" s="5">
        <f t="shared" si="0"/>
        <v>25973971.988716532</v>
      </c>
      <c r="K57" s="5">
        <f>+'COEF Art 14 F I'!AP58</f>
        <v>9565575.8616202846</v>
      </c>
      <c r="L57" s="5">
        <f t="shared" si="4"/>
        <v>-16408396.127096247</v>
      </c>
      <c r="M57" s="181">
        <f t="shared" si="5"/>
        <v>-0.63172456389127896</v>
      </c>
      <c r="N57" s="5">
        <f t="shared" si="6"/>
        <v>25973971.988716532</v>
      </c>
      <c r="O57" s="5">
        <f t="shared" si="7"/>
        <v>16408396.127096247</v>
      </c>
      <c r="P57" s="5">
        <f t="shared" si="8"/>
        <v>0</v>
      </c>
      <c r="Q57" s="5">
        <f t="shared" si="11"/>
        <v>0</v>
      </c>
      <c r="R57" s="5">
        <f t="shared" si="9"/>
        <v>0</v>
      </c>
      <c r="S57" s="5">
        <f t="shared" si="12"/>
        <v>25973971.988716532</v>
      </c>
      <c r="T57" s="181">
        <f t="shared" si="13"/>
        <v>4.8299999999999996E-2</v>
      </c>
      <c r="U57" s="184">
        <f t="shared" si="10"/>
        <v>3.3338136992146707E-3</v>
      </c>
    </row>
    <row r="58" spans="1:21" s="191" customFormat="1" ht="16.5" customHeight="1" thickBot="1">
      <c r="A58" s="6" t="s">
        <v>52</v>
      </c>
      <c r="B58" s="7">
        <f>SUM(B7:B57)</f>
        <v>5552739458.5442934</v>
      </c>
      <c r="C58" s="7">
        <f t="shared" ref="C58:I58" si="14">SUM(C7:C57)</f>
        <v>783783889.36908042</v>
      </c>
      <c r="D58" s="7">
        <f t="shared" si="14"/>
        <v>203986025.83315057</v>
      </c>
      <c r="E58" s="7">
        <f t="shared" si="14"/>
        <v>257255044.95710856</v>
      </c>
      <c r="F58" s="7">
        <f t="shared" si="14"/>
        <v>21406066.261950191</v>
      </c>
      <c r="G58" s="7">
        <f t="shared" si="14"/>
        <v>187525631.79999995</v>
      </c>
      <c r="H58" s="7">
        <f t="shared" si="14"/>
        <v>34727599.199999988</v>
      </c>
      <c r="I58" s="7">
        <f t="shared" si="14"/>
        <v>7041423715.9655819</v>
      </c>
      <c r="J58" s="7">
        <f>SUM(J7:J57)</f>
        <v>7381524481.4467201</v>
      </c>
      <c r="K58" s="7">
        <f>SUM(K7:K57)</f>
        <v>7791068827.5217934</v>
      </c>
      <c r="L58" s="7">
        <f>SUM(L7:L57)</f>
        <v>409544346.0750708</v>
      </c>
      <c r="M58" s="182">
        <f t="shared" si="5"/>
        <v>5.5482352880418251E-2</v>
      </c>
      <c r="N58" s="7">
        <f t="shared" ref="N58:S58" si="15">SUM(N7:N57)</f>
        <v>2635156171.478416</v>
      </c>
      <c r="O58" s="7">
        <f t="shared" si="15"/>
        <v>250887386.87295958</v>
      </c>
      <c r="P58" s="7">
        <f t="shared" si="15"/>
        <v>5406800042.9163361</v>
      </c>
      <c r="Q58" s="7">
        <f t="shared" si="15"/>
        <v>660431732.94803023</v>
      </c>
      <c r="R58" s="7">
        <f t="shared" si="15"/>
        <v>250887386.87295964</v>
      </c>
      <c r="S58" s="7">
        <f t="shared" si="15"/>
        <v>7791068827.5217915</v>
      </c>
      <c r="T58" s="182">
        <f t="shared" si="13"/>
        <v>0.10646215052454228</v>
      </c>
      <c r="U58" s="185">
        <f>SUM(U7:U57)</f>
        <v>1.0000000000000002</v>
      </c>
    </row>
    <row r="59" spans="1:21" ht="14.4" thickTop="1">
      <c r="K59" s="192">
        <f>+(K58-I58)/I58</f>
        <v>0.10646215052454254</v>
      </c>
      <c r="M59" s="193"/>
      <c r="N59" s="193"/>
      <c r="O59" s="193"/>
      <c r="P59" s="194"/>
      <c r="Q59" s="193"/>
      <c r="R59" s="193"/>
      <c r="S59" s="195"/>
      <c r="T59" s="193"/>
      <c r="U59" s="196"/>
    </row>
    <row r="60" spans="1:21">
      <c r="A60" s="98" t="s">
        <v>187</v>
      </c>
      <c r="B60" s="98"/>
      <c r="C60" s="98"/>
      <c r="D60" s="98"/>
      <c r="E60" s="98"/>
      <c r="F60" s="98"/>
      <c r="G60" s="98"/>
      <c r="H60" s="98"/>
      <c r="K60" s="197"/>
      <c r="M60" s="198"/>
    </row>
    <row r="61" spans="1:21">
      <c r="A61" s="98" t="s">
        <v>237</v>
      </c>
      <c r="B61" s="98"/>
      <c r="C61" s="98"/>
      <c r="D61" s="98"/>
      <c r="E61" s="98"/>
      <c r="F61" s="98"/>
      <c r="G61" s="98"/>
      <c r="H61" s="98"/>
      <c r="K61" s="199"/>
      <c r="L61" s="200"/>
    </row>
    <row r="65" spans="18:18">
      <c r="R65" s="201"/>
    </row>
  </sheetData>
  <mergeCells count="19">
    <mergeCell ref="D3:D4"/>
    <mergeCell ref="E3:E4"/>
    <mergeCell ref="F3:F4"/>
    <mergeCell ref="G3:G4"/>
    <mergeCell ref="H3:H4"/>
    <mergeCell ref="A1:U1"/>
    <mergeCell ref="O3:O4"/>
    <mergeCell ref="A3:A4"/>
    <mergeCell ref="I3:I4"/>
    <mergeCell ref="K3:K4"/>
    <mergeCell ref="J3:J4"/>
    <mergeCell ref="U3:U4"/>
    <mergeCell ref="T3:T4"/>
    <mergeCell ref="S3:S4"/>
    <mergeCell ref="P3:P4"/>
    <mergeCell ref="L3:M4"/>
    <mergeCell ref="Q3:Q4"/>
    <mergeCell ref="B3:B4"/>
    <mergeCell ref="C3:C4"/>
  </mergeCells>
  <conditionalFormatting sqref="T7:T57">
    <cfRule type="cellIs" dxfId="0" priority="1" operator="lessThan">
      <formula>$N$4-0.00001</formula>
    </cfRule>
  </conditionalFormatting>
  <printOptions horizontalCentered="1" verticalCentered="1"/>
  <pageMargins left="0.19685039370078741" right="0.19685039370078741" top="0.39370078740157483" bottom="0.19685039370078741" header="0.11811023622047245" footer="0.15748031496062992"/>
  <pageSetup scale="65" orientation="landscape" horizontalDpi="300" verticalDpi="300" r:id="rId1"/>
  <headerFooter alignWithMargins="0">
    <oddHeader>&amp;LANEXO I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="89" zoomScaleNormal="89" workbookViewId="0">
      <selection sqref="A1:N1"/>
    </sheetView>
  </sheetViews>
  <sheetFormatPr baseColWidth="10" defaultColWidth="9.6640625" defaultRowHeight="13.2"/>
  <cols>
    <col min="1" max="1" width="28.6640625" style="14" customWidth="1"/>
    <col min="2" max="2" width="12.44140625" style="14" customWidth="1"/>
    <col min="3" max="3" width="14.109375" style="81" customWidth="1"/>
    <col min="4" max="4" width="2.109375" style="11" customWidth="1"/>
    <col min="5" max="5" width="15.5546875" style="14" customWidth="1"/>
    <col min="6" max="6" width="15.6640625" style="81" customWidth="1"/>
    <col min="7" max="7" width="2" style="11" customWidth="1"/>
    <col min="8" max="8" width="16.109375" style="81" customWidth="1"/>
    <col min="9" max="9" width="2.109375" style="11" customWidth="1"/>
    <col min="10" max="10" width="15.21875" style="14" customWidth="1"/>
    <col min="11" max="11" width="18.33203125" style="14" customWidth="1"/>
    <col min="12" max="12" width="18.44140625" style="14" customWidth="1"/>
    <col min="13" max="13" width="15.6640625" style="14" customWidth="1"/>
    <col min="14" max="14" width="15.6640625" style="81" customWidth="1"/>
    <col min="15" max="16384" width="9.6640625" style="14"/>
  </cols>
  <sheetData>
    <row r="1" spans="1:14" s="96" customFormat="1" ht="40.799999999999997" customHeight="1">
      <c r="A1" s="306" t="s">
        <v>245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ht="35.4" customHeight="1" thickBot="1">
      <c r="B2" s="307" t="s">
        <v>127</v>
      </c>
      <c r="C2" s="308"/>
      <c r="E2" s="309" t="s">
        <v>128</v>
      </c>
      <c r="F2" s="309"/>
      <c r="H2" s="280" t="s">
        <v>242</v>
      </c>
    </row>
    <row r="3" spans="1:14" ht="39" customHeight="1" thickBot="1">
      <c r="A3" s="8" t="s">
        <v>0</v>
      </c>
      <c r="B3" s="8" t="s">
        <v>160</v>
      </c>
      <c r="C3" s="125" t="s">
        <v>115</v>
      </c>
      <c r="E3" s="86" t="s">
        <v>177</v>
      </c>
      <c r="F3" s="125" t="s">
        <v>116</v>
      </c>
      <c r="H3" s="125" t="s">
        <v>122</v>
      </c>
      <c r="J3" s="132" t="s">
        <v>119</v>
      </c>
      <c r="K3" s="132" t="s">
        <v>120</v>
      </c>
      <c r="L3" s="132" t="s">
        <v>121</v>
      </c>
      <c r="M3" s="132" t="s">
        <v>165</v>
      </c>
      <c r="N3" s="134" t="s">
        <v>114</v>
      </c>
    </row>
    <row r="4" spans="1:14" s="17" customFormat="1" ht="10.199999999999999">
      <c r="A4" s="87"/>
      <c r="B4" s="108" t="s">
        <v>57</v>
      </c>
      <c r="C4" s="121" t="s">
        <v>75</v>
      </c>
      <c r="D4" s="16"/>
      <c r="E4" s="88" t="s">
        <v>56</v>
      </c>
      <c r="F4" s="121" t="s">
        <v>76</v>
      </c>
      <c r="G4" s="16"/>
      <c r="H4" s="111" t="s">
        <v>72</v>
      </c>
      <c r="I4" s="16"/>
      <c r="J4" s="135">
        <f>+M4*0.35</f>
        <v>81607504.325454563</v>
      </c>
      <c r="K4" s="135">
        <f>+M4*0.35</f>
        <v>81607504.325454563</v>
      </c>
      <c r="L4" s="135">
        <f>+M4*0.3</f>
        <v>69949289.421818197</v>
      </c>
      <c r="M4" s="135">
        <f>+'PART PEF2019'!P12</f>
        <v>233164298.07272732</v>
      </c>
      <c r="N4" s="136"/>
    </row>
    <row r="5" spans="1:14" s="25" customFormat="1" ht="21" thickBot="1">
      <c r="A5" s="18"/>
      <c r="B5" s="18"/>
      <c r="C5" s="89"/>
      <c r="D5" s="19"/>
      <c r="E5" s="90"/>
      <c r="F5" s="91"/>
      <c r="G5" s="19"/>
      <c r="H5" s="21"/>
      <c r="I5" s="19"/>
      <c r="J5" s="135" t="s">
        <v>117</v>
      </c>
      <c r="K5" s="135" t="s">
        <v>71</v>
      </c>
      <c r="L5" s="135" t="s">
        <v>118</v>
      </c>
      <c r="M5" s="137" t="s">
        <v>131</v>
      </c>
      <c r="N5" s="138" t="s">
        <v>73</v>
      </c>
    </row>
    <row r="6" spans="1:14" ht="13.8" thickTop="1">
      <c r="A6" s="2" t="s">
        <v>1</v>
      </c>
      <c r="B6" s="139">
        <v>2639</v>
      </c>
      <c r="C6" s="126">
        <f t="shared" ref="C6:C56" si="0">+B6/$B$57</f>
        <v>5.1547962458863201E-4</v>
      </c>
      <c r="E6" s="92">
        <v>2997</v>
      </c>
      <c r="F6" s="126">
        <f t="shared" ref="F6:F57" si="1">(E6/E$57)</f>
        <v>5.6540598300273027E-4</v>
      </c>
      <c r="H6" s="140">
        <f>+'COEF Art 14 F I'!AQ8</f>
        <v>4.4676387536875023E-4</v>
      </c>
      <c r="J6" s="141">
        <f t="shared" ref="J6:J37" si="2">+C6*J$4</f>
        <v>42067.005693300482</v>
      </c>
      <c r="K6" s="142">
        <f t="shared" ref="K6:K37" si="3">+F6*K$4</f>
        <v>46141.371203533199</v>
      </c>
      <c r="L6" s="142">
        <f t="shared" ref="L6:L37" si="4">+H6*L$4</f>
        <v>31250.815621381822</v>
      </c>
      <c r="M6" s="142">
        <f>SUM(J6:L6)</f>
        <v>119459.19251821551</v>
      </c>
      <c r="N6" s="143">
        <f>+M6/M$57</f>
        <v>5.1233912526760174E-4</v>
      </c>
    </row>
    <row r="7" spans="1:14">
      <c r="A7" s="4" t="s">
        <v>2</v>
      </c>
      <c r="B7" s="144">
        <v>2439</v>
      </c>
      <c r="C7" s="127">
        <f t="shared" si="0"/>
        <v>4.7641334004231659E-4</v>
      </c>
      <c r="E7" s="93">
        <v>3480</v>
      </c>
      <c r="F7" s="127">
        <f t="shared" si="1"/>
        <v>6.5652746775091803E-4</v>
      </c>
      <c r="H7" s="145">
        <f>+'COEF Art 14 F I'!AQ9</f>
        <v>2.4368318122312263E-3</v>
      </c>
      <c r="J7" s="146">
        <f t="shared" si="2"/>
        <v>38878.90370820761</v>
      </c>
      <c r="K7" s="147">
        <f t="shared" si="3"/>
        <v>53577.568164262775</v>
      </c>
      <c r="L7" s="147">
        <f t="shared" si="4"/>
        <v>170454.65370605577</v>
      </c>
      <c r="M7" s="147">
        <f t="shared" ref="M7:M56" si="5">SUM(J7:L7)</f>
        <v>262911.12557852617</v>
      </c>
      <c r="N7" s="148">
        <f t="shared" ref="N7:N56" si="6">+M7/M$57</f>
        <v>1.1275788263969998E-3</v>
      </c>
    </row>
    <row r="8" spans="1:14">
      <c r="A8" s="4" t="s">
        <v>3</v>
      </c>
      <c r="B8" s="144">
        <v>1292</v>
      </c>
      <c r="C8" s="127">
        <f t="shared" si="0"/>
        <v>2.5236819816919762E-4</v>
      </c>
      <c r="E8" s="93">
        <v>1247</v>
      </c>
      <c r="F8" s="127">
        <f t="shared" si="1"/>
        <v>2.3525567594407894E-4</v>
      </c>
      <c r="H8" s="145">
        <f>+'COEF Art 14 F I'!AQ10</f>
        <v>2.654868796154375E-3</v>
      </c>
      <c r="J8" s="146">
        <f t="shared" si="2"/>
        <v>20595.13882369997</v>
      </c>
      <c r="K8" s="147">
        <f t="shared" si="3"/>
        <v>19198.62859219416</v>
      </c>
      <c r="L8" s="147">
        <f t="shared" si="4"/>
        <v>185706.18579915643</v>
      </c>
      <c r="M8" s="147">
        <f t="shared" si="5"/>
        <v>225499.95321505057</v>
      </c>
      <c r="N8" s="148">
        <f t="shared" si="6"/>
        <v>9.6712899478595905E-4</v>
      </c>
    </row>
    <row r="9" spans="1:14" ht="13.5" customHeight="1">
      <c r="A9" s="4" t="s">
        <v>4</v>
      </c>
      <c r="B9" s="144">
        <v>34353</v>
      </c>
      <c r="C9" s="127">
        <f t="shared" si="0"/>
        <v>6.7102203650978689E-3</v>
      </c>
      <c r="E9" s="93">
        <v>36535</v>
      </c>
      <c r="F9" s="127">
        <f t="shared" si="1"/>
        <v>6.8925951247930427E-3</v>
      </c>
      <c r="H9" s="145">
        <f>+'COEF Art 14 F I'!AQ11</f>
        <v>7.3200387525291831E-3</v>
      </c>
      <c r="J9" s="146">
        <f t="shared" si="2"/>
        <v>547604.33746947767</v>
      </c>
      <c r="K9" s="147">
        <f t="shared" si="3"/>
        <v>562487.48646015523</v>
      </c>
      <c r="L9" s="147">
        <f t="shared" si="4"/>
        <v>512031.50927958888</v>
      </c>
      <c r="M9" s="147">
        <f t="shared" si="5"/>
        <v>1622123.3332092219</v>
      </c>
      <c r="N9" s="148">
        <f t="shared" si="6"/>
        <v>6.9569970472205733E-3</v>
      </c>
    </row>
    <row r="10" spans="1:14">
      <c r="A10" s="4" t="s">
        <v>5</v>
      </c>
      <c r="B10" s="144">
        <v>18194</v>
      </c>
      <c r="C10" s="127">
        <f t="shared" si="0"/>
        <v>3.5538599051783142E-3</v>
      </c>
      <c r="E10" s="93">
        <v>19787</v>
      </c>
      <c r="F10" s="127">
        <f t="shared" si="1"/>
        <v>3.7329623575825905E-3</v>
      </c>
      <c r="H10" s="145">
        <f>+'COEF Art 14 F I'!AQ12</f>
        <v>7.2844235978765321E-3</v>
      </c>
      <c r="J10" s="146">
        <f t="shared" si="2"/>
        <v>290021.63758389879</v>
      </c>
      <c r="K10" s="147">
        <f t="shared" si="3"/>
        <v>304637.74174318032</v>
      </c>
      <c r="L10" s="147">
        <f t="shared" si="4"/>
        <v>509540.25451898773</v>
      </c>
      <c r="M10" s="147">
        <f t="shared" si="5"/>
        <v>1104199.6338460669</v>
      </c>
      <c r="N10" s="148">
        <f t="shared" si="6"/>
        <v>4.7357148713292755E-3</v>
      </c>
    </row>
    <row r="11" spans="1:14">
      <c r="A11" s="4" t="s">
        <v>6</v>
      </c>
      <c r="B11" s="144">
        <v>597207</v>
      </c>
      <c r="C11" s="127">
        <f t="shared" si="0"/>
        <v>0.11665329297525698</v>
      </c>
      <c r="E11" s="93">
        <v>636331</v>
      </c>
      <c r="F11" s="127">
        <f t="shared" si="1"/>
        <v>0.12004850002339351</v>
      </c>
      <c r="H11" s="145">
        <f>+'COEF Art 14 F I'!AQ13</f>
        <v>6.2991998515920161E-2</v>
      </c>
      <c r="J11" s="146">
        <f t="shared" si="2"/>
        <v>9519784.1110568028</v>
      </c>
      <c r="K11" s="147">
        <f t="shared" si="3"/>
        <v>9796858.4849234186</v>
      </c>
      <c r="L11" s="147">
        <f t="shared" si="4"/>
        <v>4406245.5354488418</v>
      </c>
      <c r="M11" s="147">
        <f t="shared" si="5"/>
        <v>23722888.131429061</v>
      </c>
      <c r="N11" s="148">
        <f t="shared" si="6"/>
        <v>0.1017432271043037</v>
      </c>
    </row>
    <row r="12" spans="1:14">
      <c r="A12" s="4" t="s">
        <v>7</v>
      </c>
      <c r="B12" s="144">
        <v>16152</v>
      </c>
      <c r="C12" s="127">
        <f t="shared" si="0"/>
        <v>3.1549931399604335E-3</v>
      </c>
      <c r="E12" s="93">
        <v>16364</v>
      </c>
      <c r="F12" s="127">
        <f t="shared" si="1"/>
        <v>3.0871883569758684E-3</v>
      </c>
      <c r="H12" s="145">
        <f>+'COEF Art 14 F I'!AQ14</f>
        <v>1.0420916955353356E-2</v>
      </c>
      <c r="J12" s="146">
        <f t="shared" si="2"/>
        <v>257471.11631610055</v>
      </c>
      <c r="K12" s="147">
        <f t="shared" si="3"/>
        <v>251937.73719540113</v>
      </c>
      <c r="L12" s="147">
        <f t="shared" si="4"/>
        <v>728935.73615074437</v>
      </c>
      <c r="M12" s="147">
        <f t="shared" si="5"/>
        <v>1238344.5896622459</v>
      </c>
      <c r="N12" s="148">
        <f t="shared" si="6"/>
        <v>5.3110386105337101E-3</v>
      </c>
    </row>
    <row r="13" spans="1:14">
      <c r="A13" s="4" t="s">
        <v>8</v>
      </c>
      <c r="B13" s="144">
        <v>3977</v>
      </c>
      <c r="C13" s="127">
        <f t="shared" si="0"/>
        <v>7.7683306820348224E-4</v>
      </c>
      <c r="E13" s="93">
        <v>4216</v>
      </c>
      <c r="F13" s="127">
        <f t="shared" si="1"/>
        <v>7.9537925403387079E-4</v>
      </c>
      <c r="H13" s="145">
        <f>+'COEF Art 14 F I'!AQ15</f>
        <v>1.3580209499982647E-3</v>
      </c>
      <c r="J13" s="146">
        <f t="shared" si="2"/>
        <v>63395.407973571819</v>
      </c>
      <c r="K13" s="147">
        <f t="shared" si="3"/>
        <v>64908.915913945937</v>
      </c>
      <c r="L13" s="147">
        <f t="shared" si="4"/>
        <v>94992.600472321108</v>
      </c>
      <c r="M13" s="147">
        <f t="shared" si="5"/>
        <v>223296.92435983889</v>
      </c>
      <c r="N13" s="148">
        <f t="shared" si="6"/>
        <v>9.5768059778255277E-4</v>
      </c>
    </row>
    <row r="14" spans="1:14">
      <c r="A14" s="4" t="s">
        <v>9</v>
      </c>
      <c r="B14" s="144">
        <v>95534</v>
      </c>
      <c r="C14" s="127">
        <f t="shared" si="0"/>
        <v>1.8660792139238488E-2</v>
      </c>
      <c r="E14" s="93">
        <v>100728</v>
      </c>
      <c r="F14" s="127">
        <f t="shared" si="1"/>
        <v>1.9003074359659332E-2</v>
      </c>
      <c r="H14" s="145">
        <f>+'COEF Art 14 F I'!AQ16</f>
        <v>1.2560790500063174E-2</v>
      </c>
      <c r="J14" s="146">
        <f t="shared" si="2"/>
        <v>1522860.6752193135</v>
      </c>
      <c r="K14" s="147">
        <f t="shared" si="3"/>
        <v>1550793.4730028335</v>
      </c>
      <c r="L14" s="147">
        <f t="shared" si="4"/>
        <v>878618.37005574349</v>
      </c>
      <c r="M14" s="147">
        <f t="shared" si="5"/>
        <v>3952272.5182778905</v>
      </c>
      <c r="N14" s="148">
        <f t="shared" si="6"/>
        <v>1.6950590424633184E-2</v>
      </c>
    </row>
    <row r="15" spans="1:14">
      <c r="A15" s="4" t="s">
        <v>10</v>
      </c>
      <c r="B15" s="144">
        <v>38306</v>
      </c>
      <c r="C15" s="127">
        <f t="shared" si="0"/>
        <v>7.4823654791557935E-3</v>
      </c>
      <c r="E15" s="93">
        <v>23214</v>
      </c>
      <c r="F15" s="127">
        <f t="shared" si="1"/>
        <v>4.3794909874625889E-3</v>
      </c>
      <c r="H15" s="145">
        <f>+'COEF Art 14 F I'!AQ17</f>
        <v>2.9134243997998152E-3</v>
      </c>
      <c r="J15" s="146">
        <f t="shared" si="2"/>
        <v>610617.1732048383</v>
      </c>
      <c r="K15" s="147">
        <f t="shared" si="3"/>
        <v>357399.32970264251</v>
      </c>
      <c r="L15" s="147">
        <f t="shared" si="4"/>
        <v>203791.96655018424</v>
      </c>
      <c r="M15" s="147">
        <f t="shared" si="5"/>
        <v>1171808.469457665</v>
      </c>
      <c r="N15" s="148">
        <f t="shared" si="6"/>
        <v>5.0256770832563767E-3</v>
      </c>
    </row>
    <row r="16" spans="1:14">
      <c r="A16" s="4" t="s">
        <v>11</v>
      </c>
      <c r="B16" s="144">
        <v>7757</v>
      </c>
      <c r="C16" s="127">
        <f t="shared" si="0"/>
        <v>1.5151858461288437E-3</v>
      </c>
      <c r="E16" s="93">
        <v>8146</v>
      </c>
      <c r="F16" s="127">
        <f t="shared" si="1"/>
        <v>1.5368025150284421E-3</v>
      </c>
      <c r="H16" s="145">
        <f>+'COEF Art 14 F I'!AQ18</f>
        <v>4.219487055374057E-3</v>
      </c>
      <c r="J16" s="146">
        <f t="shared" si="2"/>
        <v>123650.53549182715</v>
      </c>
      <c r="K16" s="147">
        <f t="shared" si="3"/>
        <v>125414.61789255304</v>
      </c>
      <c r="L16" s="147">
        <f t="shared" si="4"/>
        <v>295150.12124797533</v>
      </c>
      <c r="M16" s="147">
        <f t="shared" si="5"/>
        <v>544215.27463235555</v>
      </c>
      <c r="N16" s="148">
        <f t="shared" si="6"/>
        <v>2.3340420430172665E-3</v>
      </c>
    </row>
    <row r="17" spans="1:14">
      <c r="A17" s="4" t="s">
        <v>12</v>
      </c>
      <c r="B17" s="144">
        <v>10835</v>
      </c>
      <c r="C17" s="127">
        <f t="shared" si="0"/>
        <v>2.1164159652966382E-3</v>
      </c>
      <c r="E17" s="93">
        <v>11557</v>
      </c>
      <c r="F17" s="127">
        <f t="shared" si="1"/>
        <v>2.1803126278153334E-3</v>
      </c>
      <c r="H17" s="145">
        <f>+'COEF Art 14 F I'!AQ19</f>
        <v>7.0644351540848725E-3</v>
      </c>
      <c r="J17" s="146">
        <f t="shared" si="2"/>
        <v>172715.42504240648</v>
      </c>
      <c r="K17" s="147">
        <f t="shared" si="3"/>
        <v>177929.87220528303</v>
      </c>
      <c r="L17" s="147">
        <f t="shared" si="4"/>
        <v>494152.21919474954</v>
      </c>
      <c r="M17" s="147">
        <f t="shared" si="5"/>
        <v>844797.51644243905</v>
      </c>
      <c r="N17" s="148">
        <f t="shared" si="6"/>
        <v>3.6231855538146505E-3</v>
      </c>
    </row>
    <row r="18" spans="1:14">
      <c r="A18" s="4" t="s">
        <v>13</v>
      </c>
      <c r="B18" s="144">
        <v>42715</v>
      </c>
      <c r="C18" s="127">
        <f t="shared" si="0"/>
        <v>8.3435817219793176E-3</v>
      </c>
      <c r="E18" s="93">
        <v>35078</v>
      </c>
      <c r="F18" s="127">
        <f t="shared" si="1"/>
        <v>6.6177214120019257E-3</v>
      </c>
      <c r="H18" s="145">
        <f>+'COEF Art 14 F I'!AQ20</f>
        <v>3.8663688905713691E-3</v>
      </c>
      <c r="J18" s="146">
        <f t="shared" si="2"/>
        <v>680898.88146621082</v>
      </c>
      <c r="K18" s="147">
        <f t="shared" si="3"/>
        <v>540055.72875460039</v>
      </c>
      <c r="L18" s="147">
        <f t="shared" si="4"/>
        <v>270449.75653809082</v>
      </c>
      <c r="M18" s="147">
        <f t="shared" si="5"/>
        <v>1491404.3667589021</v>
      </c>
      <c r="N18" s="148">
        <f t="shared" si="6"/>
        <v>6.3963667640648441E-3</v>
      </c>
    </row>
    <row r="19" spans="1:14">
      <c r="A19" s="4" t="s">
        <v>14</v>
      </c>
      <c r="B19" s="144">
        <v>34110</v>
      </c>
      <c r="C19" s="127">
        <f t="shared" si="0"/>
        <v>6.6627548293740953E-3</v>
      </c>
      <c r="E19" s="93">
        <v>37995</v>
      </c>
      <c r="F19" s="127">
        <f t="shared" si="1"/>
        <v>7.1680348095391174E-3</v>
      </c>
      <c r="H19" s="145">
        <f>+'COEF Art 14 F I'!AQ21</f>
        <v>2.3570333897761312E-2</v>
      </c>
      <c r="J19" s="146">
        <f t="shared" si="2"/>
        <v>543730.79355758976</v>
      </c>
      <c r="K19" s="147">
        <f t="shared" si="3"/>
        <v>584965.43172447244</v>
      </c>
      <c r="L19" s="147">
        <f t="shared" si="4"/>
        <v>1648728.1075833982</v>
      </c>
      <c r="M19" s="147">
        <f t="shared" si="5"/>
        <v>2777424.3328654608</v>
      </c>
      <c r="N19" s="148">
        <f t="shared" si="6"/>
        <v>1.1911876542948016E-2</v>
      </c>
    </row>
    <row r="20" spans="1:14">
      <c r="A20" s="4" t="s">
        <v>15</v>
      </c>
      <c r="B20" s="144">
        <v>1632</v>
      </c>
      <c r="C20" s="127">
        <f t="shared" si="0"/>
        <v>3.1878088189793386E-4</v>
      </c>
      <c r="E20" s="93">
        <v>1822</v>
      </c>
      <c r="F20" s="127">
        <f t="shared" si="1"/>
        <v>3.4373363397763578E-4</v>
      </c>
      <c r="H20" s="145">
        <f>+'COEF Art 14 F I'!AQ22</f>
        <v>3.0255048816726811E-3</v>
      </c>
      <c r="J20" s="146">
        <f t="shared" si="2"/>
        <v>26014.912198357859</v>
      </c>
      <c r="K20" s="147">
        <f t="shared" si="3"/>
        <v>28051.244021634127</v>
      </c>
      <c r="L20" s="147">
        <f t="shared" si="4"/>
        <v>211631.91661524618</v>
      </c>
      <c r="M20" s="147">
        <f t="shared" si="5"/>
        <v>265698.07283523818</v>
      </c>
      <c r="N20" s="148">
        <f t="shared" si="6"/>
        <v>1.1395315450582536E-3</v>
      </c>
    </row>
    <row r="21" spans="1:14">
      <c r="A21" s="4" t="s">
        <v>16</v>
      </c>
      <c r="B21" s="144">
        <v>2861</v>
      </c>
      <c r="C21" s="127">
        <f t="shared" si="0"/>
        <v>5.588432004350421E-4</v>
      </c>
      <c r="E21" s="93">
        <v>3654</v>
      </c>
      <c r="F21" s="127">
        <f t="shared" si="1"/>
        <v>6.8935384113846386E-4</v>
      </c>
      <c r="H21" s="145">
        <f>+'COEF Art 14 F I'!AQ23</f>
        <v>1.1288486414847778E-3</v>
      </c>
      <c r="J21" s="146">
        <f t="shared" si="2"/>
        <v>45605.798896753571</v>
      </c>
      <c r="K21" s="147">
        <f t="shared" si="3"/>
        <v>56256.446572475907</v>
      </c>
      <c r="L21" s="147">
        <f t="shared" si="4"/>
        <v>78962.160336645014</v>
      </c>
      <c r="M21" s="147">
        <f t="shared" si="5"/>
        <v>180824.4058058745</v>
      </c>
      <c r="N21" s="148">
        <f t="shared" si="6"/>
        <v>7.7552355699616032E-4</v>
      </c>
    </row>
    <row r="22" spans="1:14">
      <c r="A22" s="4" t="s">
        <v>17</v>
      </c>
      <c r="B22" s="144">
        <v>41130</v>
      </c>
      <c r="C22" s="127">
        <f t="shared" si="0"/>
        <v>8.0339814169497672E-3</v>
      </c>
      <c r="E22" s="93">
        <v>42420</v>
      </c>
      <c r="F22" s="127">
        <f t="shared" si="1"/>
        <v>8.0028434431017072E-3</v>
      </c>
      <c r="H22" s="145">
        <f>+'COEF Art 14 F I'!AQ24</f>
        <v>1.7531571126368085E-2</v>
      </c>
      <c r="J22" s="146">
        <f t="shared" si="2"/>
        <v>655633.1732343497</v>
      </c>
      <c r="K22" s="147">
        <f t="shared" si="3"/>
        <v>653092.08089885826</v>
      </c>
      <c r="L22" s="147">
        <f t="shared" si="4"/>
        <v>1226320.9427375125</v>
      </c>
      <c r="M22" s="147">
        <f t="shared" si="5"/>
        <v>2535046.1968707205</v>
      </c>
      <c r="N22" s="148">
        <f t="shared" si="6"/>
        <v>1.087236003892844E-2</v>
      </c>
    </row>
    <row r="23" spans="1:14">
      <c r="A23" s="4" t="s">
        <v>18</v>
      </c>
      <c r="B23" s="144">
        <v>247370</v>
      </c>
      <c r="C23" s="127">
        <f t="shared" si="0"/>
        <v>4.8319134041110233E-2</v>
      </c>
      <c r="E23" s="93">
        <v>204735</v>
      </c>
      <c r="F23" s="127">
        <f t="shared" si="1"/>
        <v>3.8624756066087416E-2</v>
      </c>
      <c r="H23" s="145">
        <f>+'COEF Art 14 F I'!AQ25</f>
        <v>2.3505232293335766E-2</v>
      </c>
      <c r="J23" s="146">
        <f t="shared" si="2"/>
        <v>3943203.9402621221</v>
      </c>
      <c r="K23" s="147">
        <f t="shared" si="3"/>
        <v>3152069.947732856</v>
      </c>
      <c r="L23" s="147">
        <f t="shared" si="4"/>
        <v>1644174.296613611</v>
      </c>
      <c r="M23" s="147">
        <f t="shared" si="5"/>
        <v>8739448.1846085899</v>
      </c>
      <c r="N23" s="148">
        <f t="shared" si="6"/>
        <v>3.7481931225519897E-2</v>
      </c>
    </row>
    <row r="24" spans="1:14">
      <c r="A24" s="4" t="s">
        <v>19</v>
      </c>
      <c r="B24" s="144">
        <v>5479</v>
      </c>
      <c r="C24" s="127">
        <f t="shared" si="0"/>
        <v>1.0702208651463111E-3</v>
      </c>
      <c r="E24" s="93">
        <v>5835</v>
      </c>
      <c r="F24" s="127">
        <f t="shared" si="1"/>
        <v>1.1008154523927029E-3</v>
      </c>
      <c r="H24" s="145">
        <f>+'COEF Art 14 F I'!AQ26</f>
        <v>2.7232098342419302E-3</v>
      </c>
      <c r="J24" s="146">
        <f t="shared" si="2"/>
        <v>87338.053881619315</v>
      </c>
      <c r="K24" s="147">
        <f t="shared" si="3"/>
        <v>89834.80179266473</v>
      </c>
      <c r="L24" s="147">
        <f t="shared" si="4"/>
        <v>190486.59285173033</v>
      </c>
      <c r="M24" s="147">
        <f t="shared" si="5"/>
        <v>367659.44852601434</v>
      </c>
      <c r="N24" s="148">
        <f t="shared" si="6"/>
        <v>1.5768256614112335E-3</v>
      </c>
    </row>
    <row r="25" spans="1:14">
      <c r="A25" s="4" t="s">
        <v>20</v>
      </c>
      <c r="B25" s="144">
        <v>425148</v>
      </c>
      <c r="C25" s="127">
        <f t="shared" si="0"/>
        <v>8.3044763711484545E-2</v>
      </c>
      <c r="E25" s="93">
        <v>425926</v>
      </c>
      <c r="F25" s="127">
        <f t="shared" si="1"/>
        <v>8.0354056962436068E-2</v>
      </c>
      <c r="H25" s="145">
        <f>+'COEF Art 14 F I'!AQ27</f>
        <v>4.570827657850287E-2</v>
      </c>
      <c r="J25" s="146">
        <f t="shared" si="2"/>
        <v>6777075.9137913268</v>
      </c>
      <c r="K25" s="147">
        <f t="shared" si="3"/>
        <v>6557494.0511298236</v>
      </c>
      <c r="L25" s="147">
        <f t="shared" si="4"/>
        <v>3197261.4673622111</v>
      </c>
      <c r="M25" s="147">
        <f t="shared" si="5"/>
        <v>16531831.432283361</v>
      </c>
      <c r="N25" s="148">
        <f t="shared" si="6"/>
        <v>7.0902070209423046E-2</v>
      </c>
    </row>
    <row r="26" spans="1:14">
      <c r="A26" s="4" t="s">
        <v>21</v>
      </c>
      <c r="B26" s="144">
        <v>14795</v>
      </c>
      <c r="C26" s="127">
        <f t="shared" si="0"/>
        <v>2.8899283993136836E-3</v>
      </c>
      <c r="E26" s="93">
        <v>15163</v>
      </c>
      <c r="F26" s="127">
        <f t="shared" si="1"/>
        <v>2.8606109176744741E-3</v>
      </c>
      <c r="H26" s="145">
        <f>+'COEF Art 14 F I'!AQ28</f>
        <v>6.3385163746026161E-3</v>
      </c>
      <c r="J26" s="146">
        <f t="shared" si="2"/>
        <v>235839.84434724541</v>
      </c>
      <c r="K26" s="147">
        <f t="shared" si="3"/>
        <v>233447.31783756221</v>
      </c>
      <c r="L26" s="147">
        <f t="shared" si="4"/>
        <v>443374.7163920122</v>
      </c>
      <c r="M26" s="147">
        <f t="shared" si="5"/>
        <v>912661.87857681978</v>
      </c>
      <c r="N26" s="148">
        <f t="shared" si="6"/>
        <v>3.9142436733266388E-3</v>
      </c>
    </row>
    <row r="27" spans="1:14">
      <c r="A27" s="4" t="s">
        <v>22</v>
      </c>
      <c r="B27" s="144">
        <v>1044</v>
      </c>
      <c r="C27" s="127">
        <f t="shared" si="0"/>
        <v>2.0392600533176652E-4</v>
      </c>
      <c r="E27" s="93">
        <v>1220</v>
      </c>
      <c r="F27" s="127">
        <f t="shared" si="1"/>
        <v>2.3016192834945977E-4</v>
      </c>
      <c r="H27" s="145">
        <f>+'COEF Art 14 F I'!AQ29</f>
        <v>5.2818104864373039E-4</v>
      </c>
      <c r="J27" s="146">
        <f t="shared" si="2"/>
        <v>16641.892362184808</v>
      </c>
      <c r="K27" s="147">
        <f t="shared" si="3"/>
        <v>18782.940563333501</v>
      </c>
      <c r="L27" s="147">
        <f t="shared" si="4"/>
        <v>36945.88903869973</v>
      </c>
      <c r="M27" s="147">
        <f t="shared" si="5"/>
        <v>72370.721964218043</v>
      </c>
      <c r="N27" s="148">
        <f t="shared" si="6"/>
        <v>3.1038509138154826E-4</v>
      </c>
    </row>
    <row r="28" spans="1:14">
      <c r="A28" s="4" t="s">
        <v>23</v>
      </c>
      <c r="B28" s="144">
        <v>6011</v>
      </c>
      <c r="C28" s="127">
        <f t="shared" si="0"/>
        <v>1.17413718203951E-3</v>
      </c>
      <c r="E28" s="93">
        <v>6369</v>
      </c>
      <c r="F28" s="127">
        <f t="shared" si="1"/>
        <v>1.2015584603751715E-3</v>
      </c>
      <c r="H28" s="145">
        <f>+'COEF Art 14 F I'!AQ30</f>
        <v>5.2015325600007394E-3</v>
      </c>
      <c r="J28" s="146">
        <f t="shared" si="2"/>
        <v>95818.405161966337</v>
      </c>
      <c r="K28" s="147">
        <f t="shared" si="3"/>
        <v>98056.187252353338</v>
      </c>
      <c r="L28" s="147">
        <f t="shared" si="4"/>
        <v>363843.50647650263</v>
      </c>
      <c r="M28" s="147">
        <f t="shared" si="5"/>
        <v>557718.09889082238</v>
      </c>
      <c r="N28" s="148">
        <f t="shared" si="6"/>
        <v>2.3919532428453602E-3</v>
      </c>
    </row>
    <row r="29" spans="1:14">
      <c r="A29" s="4" t="s">
        <v>24</v>
      </c>
      <c r="B29" s="144">
        <v>67294</v>
      </c>
      <c r="C29" s="127">
        <f t="shared" si="0"/>
        <v>1.3144632761298751E-2</v>
      </c>
      <c r="E29" s="93">
        <v>82657</v>
      </c>
      <c r="F29" s="127">
        <f t="shared" si="1"/>
        <v>1.5593847960312537E-2</v>
      </c>
      <c r="H29" s="145">
        <f>+'COEF Art 14 F I'!AQ31</f>
        <v>5.1002466585912069E-3</v>
      </c>
      <c r="J29" s="146">
        <f t="shared" si="2"/>
        <v>1072700.6749241997</v>
      </c>
      <c r="K29" s="147">
        <f t="shared" si="3"/>
        <v>1272575.0148716862</v>
      </c>
      <c r="L29" s="147">
        <f t="shared" si="4"/>
        <v>356758.62964445748</v>
      </c>
      <c r="M29" s="147">
        <f t="shared" si="5"/>
        <v>2702034.3194403434</v>
      </c>
      <c r="N29" s="148">
        <f t="shared" si="6"/>
        <v>1.1588542250141311E-2</v>
      </c>
    </row>
    <row r="30" spans="1:14">
      <c r="A30" s="4" t="s">
        <v>25</v>
      </c>
      <c r="B30" s="144">
        <v>682880</v>
      </c>
      <c r="C30" s="127">
        <f t="shared" si="0"/>
        <v>0.1333879219549394</v>
      </c>
      <c r="E30" s="93">
        <v>720743</v>
      </c>
      <c r="F30" s="127">
        <f t="shared" si="1"/>
        <v>0.1359734415773563</v>
      </c>
      <c r="H30" s="145">
        <f>+'COEF Art 14 F I'!AQ32</f>
        <v>8.12986223709566E-2</v>
      </c>
      <c r="J30" s="146">
        <f t="shared" si="2"/>
        <v>10885455.417901112</v>
      </c>
      <c r="K30" s="147">
        <f t="shared" si="3"/>
        <v>11096453.221671049</v>
      </c>
      <c r="L30" s="147">
        <f t="shared" si="4"/>
        <v>5686780.8658211464</v>
      </c>
      <c r="M30" s="147">
        <f t="shared" si="5"/>
        <v>27668689.505393304</v>
      </c>
      <c r="N30" s="148">
        <f t="shared" si="6"/>
        <v>0.11866606394759042</v>
      </c>
    </row>
    <row r="31" spans="1:14">
      <c r="A31" s="4" t="s">
        <v>26</v>
      </c>
      <c r="B31" s="144">
        <v>1764</v>
      </c>
      <c r="C31" s="127">
        <f t="shared" si="0"/>
        <v>3.4456462969850206E-4</v>
      </c>
      <c r="E31" s="93">
        <v>2105</v>
      </c>
      <c r="F31" s="127">
        <f t="shared" si="1"/>
        <v>3.9712365506197768E-4</v>
      </c>
      <c r="H31" s="145">
        <f>+'COEF Art 14 F I'!AQ33</f>
        <v>1.3775116841786806E-3</v>
      </c>
      <c r="J31" s="146">
        <f t="shared" si="2"/>
        <v>28119.059508519156</v>
      </c>
      <c r="K31" s="147">
        <f t="shared" si="3"/>
        <v>32408.270398210669</v>
      </c>
      <c r="L31" s="147">
        <f t="shared" si="4"/>
        <v>96355.963478550751</v>
      </c>
      <c r="M31" s="147">
        <f t="shared" si="5"/>
        <v>156883.29338528059</v>
      </c>
      <c r="N31" s="148">
        <f t="shared" si="6"/>
        <v>6.72844404919772E-4</v>
      </c>
    </row>
    <row r="32" spans="1:14">
      <c r="A32" s="4" t="s">
        <v>27</v>
      </c>
      <c r="B32" s="144">
        <v>13836</v>
      </c>
      <c r="C32" s="127">
        <f t="shared" si="0"/>
        <v>2.702605564914101E-3</v>
      </c>
      <c r="E32" s="93">
        <v>18447</v>
      </c>
      <c r="F32" s="127">
        <f t="shared" si="1"/>
        <v>3.4801615510348231E-3</v>
      </c>
      <c r="H32" s="145">
        <f>+'COEF Art 14 F I'!AQ34</f>
        <v>3.2187586547037543E-3</v>
      </c>
      <c r="J32" s="146">
        <f t="shared" si="2"/>
        <v>220552.89532872508</v>
      </c>
      <c r="K32" s="147">
        <f t="shared" si="3"/>
        <v>284007.29882935499</v>
      </c>
      <c r="L32" s="147">
        <f t="shared" si="4"/>
        <v>225149.88071685508</v>
      </c>
      <c r="M32" s="147">
        <f t="shared" si="5"/>
        <v>729710.07487493509</v>
      </c>
      <c r="N32" s="148">
        <f t="shared" si="6"/>
        <v>3.1295960869932487E-3</v>
      </c>
    </row>
    <row r="33" spans="1:14">
      <c r="A33" s="4" t="s">
        <v>28</v>
      </c>
      <c r="B33" s="144">
        <v>1511</v>
      </c>
      <c r="C33" s="127">
        <f t="shared" si="0"/>
        <v>2.9514577974741303E-4</v>
      </c>
      <c r="E33" s="93">
        <v>1785</v>
      </c>
      <c r="F33" s="127">
        <f t="shared" si="1"/>
        <v>3.3675331319982433E-4</v>
      </c>
      <c r="H33" s="145">
        <f>+'COEF Art 14 F I'!AQ35</f>
        <v>2.1051500554698423E-3</v>
      </c>
      <c r="J33" s="146">
        <f t="shared" si="2"/>
        <v>24086.110497376671</v>
      </c>
      <c r="K33" s="147">
        <f t="shared" si="3"/>
        <v>27481.59746356582</v>
      </c>
      <c r="L33" s="147">
        <f t="shared" si="4"/>
        <v>147253.75050641663</v>
      </c>
      <c r="M33" s="147">
        <f t="shared" si="5"/>
        <v>198821.45846735913</v>
      </c>
      <c r="N33" s="148">
        <f t="shared" si="6"/>
        <v>8.5270969917248564E-4</v>
      </c>
    </row>
    <row r="34" spans="1:14">
      <c r="A34" s="4" t="s">
        <v>29</v>
      </c>
      <c r="B34" s="144">
        <v>6921</v>
      </c>
      <c r="C34" s="127">
        <f t="shared" si="0"/>
        <v>1.3518887767252452E-3</v>
      </c>
      <c r="E34" s="93">
        <v>7416</v>
      </c>
      <c r="F34" s="127">
        <f t="shared" si="1"/>
        <v>1.3990826726554045E-3</v>
      </c>
      <c r="H34" s="145">
        <f>+'COEF Art 14 F I'!AQ36</f>
        <v>2.333740877913229E-3</v>
      </c>
      <c r="J34" s="146">
        <f t="shared" si="2"/>
        <v>110324.26919413892</v>
      </c>
      <c r="K34" s="147">
        <f t="shared" si="3"/>
        <v>114175.64526039445</v>
      </c>
      <c r="L34" s="147">
        <f t="shared" si="4"/>
        <v>163243.51610468054</v>
      </c>
      <c r="M34" s="147">
        <f t="shared" si="5"/>
        <v>387743.43055921391</v>
      </c>
      <c r="N34" s="148">
        <f t="shared" si="6"/>
        <v>1.6629622706571957E-3</v>
      </c>
    </row>
    <row r="35" spans="1:14">
      <c r="A35" s="4" t="s">
        <v>30</v>
      </c>
      <c r="B35" s="144">
        <v>3571</v>
      </c>
      <c r="C35" s="127">
        <f t="shared" si="0"/>
        <v>6.9752851057446193E-4</v>
      </c>
      <c r="E35" s="93">
        <v>3719</v>
      </c>
      <c r="F35" s="127">
        <f t="shared" si="1"/>
        <v>7.0161656682921384E-4</v>
      </c>
      <c r="H35" s="145">
        <f>+'COEF Art 14 F I'!AQ37</f>
        <v>2.7260874453038145E-3</v>
      </c>
      <c r="J35" s="146">
        <f t="shared" si="2"/>
        <v>56923.560943833283</v>
      </c>
      <c r="K35" s="147">
        <f t="shared" si="3"/>
        <v>57257.17701232565</v>
      </c>
      <c r="L35" s="147">
        <f t="shared" si="4"/>
        <v>190687.8797007415</v>
      </c>
      <c r="M35" s="147">
        <f t="shared" si="5"/>
        <v>304868.61765690043</v>
      </c>
      <c r="N35" s="148">
        <f t="shared" si="6"/>
        <v>1.3075270106824306E-3</v>
      </c>
    </row>
    <row r="36" spans="1:14">
      <c r="A36" s="4" t="s">
        <v>31</v>
      </c>
      <c r="B36" s="144">
        <v>333481</v>
      </c>
      <c r="C36" s="127">
        <f t="shared" si="0"/>
        <v>6.5139318183949066E-2</v>
      </c>
      <c r="E36" s="93">
        <v>363859</v>
      </c>
      <c r="F36" s="127">
        <f t="shared" si="1"/>
        <v>6.8644663186316457E-2</v>
      </c>
      <c r="H36" s="145">
        <f>+'COEF Art 14 F I'!AQ38</f>
        <v>2.4538329513775606E-2</v>
      </c>
      <c r="J36" s="146">
        <f t="shared" si="2"/>
        <v>5315857.1904537845</v>
      </c>
      <c r="K36" s="147">
        <f t="shared" si="3"/>
        <v>5601919.6478966922</v>
      </c>
      <c r="L36" s="147">
        <f t="shared" si="4"/>
        <v>1716438.7130870332</v>
      </c>
      <c r="M36" s="147">
        <f t="shared" si="5"/>
        <v>12634215.55143751</v>
      </c>
      <c r="N36" s="148">
        <f t="shared" si="6"/>
        <v>5.4185892333725602E-2</v>
      </c>
    </row>
    <row r="37" spans="1:14">
      <c r="A37" s="4" t="s">
        <v>32</v>
      </c>
      <c r="B37" s="144">
        <v>5238</v>
      </c>
      <c r="C37" s="127">
        <f t="shared" si="0"/>
        <v>1.0231459922680009E-3</v>
      </c>
      <c r="E37" s="93">
        <v>6266</v>
      </c>
      <c r="F37" s="127">
        <f t="shared" si="1"/>
        <v>1.1821267565882909E-3</v>
      </c>
      <c r="H37" s="145">
        <f>+'COEF Art 14 F I'!AQ39</f>
        <v>4.4212673286792535E-3</v>
      </c>
      <c r="J37" s="146">
        <f t="shared" si="2"/>
        <v>83496.390989582389</v>
      </c>
      <c r="K37" s="147">
        <f t="shared" si="3"/>
        <v>96470.414401514514</v>
      </c>
      <c r="L37" s="147">
        <f t="shared" si="4"/>
        <v>309264.50798501412</v>
      </c>
      <c r="M37" s="147">
        <f t="shared" si="5"/>
        <v>489231.31337611104</v>
      </c>
      <c r="N37" s="148">
        <f t="shared" si="6"/>
        <v>2.0982256607034776E-3</v>
      </c>
    </row>
    <row r="38" spans="1:14">
      <c r="A38" s="4" t="s">
        <v>33</v>
      </c>
      <c r="B38" s="144">
        <v>79853</v>
      </c>
      <c r="C38" s="127">
        <f t="shared" si="0"/>
        <v>1.5597800099384627E-2</v>
      </c>
      <c r="E38" s="93">
        <v>88540</v>
      </c>
      <c r="F38" s="127">
        <f t="shared" si="1"/>
        <v>1.6703718963984562E-2</v>
      </c>
      <c r="H38" s="145">
        <f>+'COEF Art 14 F I'!AQ40</f>
        <v>1.6987872554517489E-2</v>
      </c>
      <c r="J38" s="146">
        <f t="shared" ref="J38:J56" si="7">+C38*J$4</f>
        <v>1272897.5390781066</v>
      </c>
      <c r="K38" s="147">
        <f t="shared" ref="K38:K56" si="8">+F38*K$4</f>
        <v>1363148.8176045476</v>
      </c>
      <c r="L38" s="147">
        <f t="shared" ref="L38:L56" si="9">+H38*L$4</f>
        <v>1188289.6139769058</v>
      </c>
      <c r="M38" s="147">
        <f t="shared" si="5"/>
        <v>3824335.9706595605</v>
      </c>
      <c r="N38" s="148">
        <f t="shared" si="6"/>
        <v>1.6401893438534459E-2</v>
      </c>
    </row>
    <row r="39" spans="1:14">
      <c r="A39" s="4" t="s">
        <v>34</v>
      </c>
      <c r="B39" s="144">
        <v>5630</v>
      </c>
      <c r="C39" s="127">
        <f t="shared" si="0"/>
        <v>1.0997159099787792E-3</v>
      </c>
      <c r="E39" s="93">
        <v>5910</v>
      </c>
      <c r="F39" s="127">
        <f t="shared" si="1"/>
        <v>1.1149647512666452E-3</v>
      </c>
      <c r="H39" s="145">
        <f>+'COEF Art 14 F I'!AQ41</f>
        <v>3.9262949885903549E-3</v>
      </c>
      <c r="J39" s="146">
        <f t="shared" si="7"/>
        <v>89745.070880364423</v>
      </c>
      <c r="K39" s="147">
        <f t="shared" si="8"/>
        <v>90989.490761722118</v>
      </c>
      <c r="L39" s="147">
        <f t="shared" si="9"/>
        <v>274641.54451234109</v>
      </c>
      <c r="M39" s="147">
        <f t="shared" si="5"/>
        <v>455376.10615442763</v>
      </c>
      <c r="N39" s="148">
        <f t="shared" si="6"/>
        <v>1.9530267280130043E-3</v>
      </c>
    </row>
    <row r="40" spans="1:14">
      <c r="A40" s="4" t="s">
        <v>35</v>
      </c>
      <c r="B40" s="144">
        <v>955</v>
      </c>
      <c r="C40" s="127">
        <f t="shared" si="0"/>
        <v>1.8654150870865615E-4</v>
      </c>
      <c r="E40" s="93">
        <v>807</v>
      </c>
      <c r="F40" s="127">
        <f t="shared" si="1"/>
        <v>1.5224645588361805E-4</v>
      </c>
      <c r="H40" s="145">
        <f>+'COEF Art 14 F I'!AQ42</f>
        <v>3.8095314274861334E-3</v>
      </c>
      <c r="J40" s="146">
        <f t="shared" si="7"/>
        <v>15223.186978818476</v>
      </c>
      <c r="K40" s="147">
        <f t="shared" si="8"/>
        <v>12424.453307057487</v>
      </c>
      <c r="L40" s="147">
        <f t="shared" si="9"/>
        <v>266474.01638273976</v>
      </c>
      <c r="M40" s="147">
        <f t="shared" si="5"/>
        <v>294121.6566686157</v>
      </c>
      <c r="N40" s="148">
        <f t="shared" si="6"/>
        <v>1.2614352158531355E-3</v>
      </c>
    </row>
    <row r="41" spans="1:14">
      <c r="A41" s="4" t="s">
        <v>36</v>
      </c>
      <c r="B41" s="144">
        <v>6996</v>
      </c>
      <c r="C41" s="127">
        <f t="shared" si="0"/>
        <v>1.3665386334301135E-3</v>
      </c>
      <c r="E41" s="93">
        <v>7441</v>
      </c>
      <c r="F41" s="127">
        <f t="shared" si="1"/>
        <v>1.4037991056133853E-3</v>
      </c>
      <c r="H41" s="145">
        <f>+'COEF Art 14 F I'!AQ43</f>
        <v>3.8428381959386593E-3</v>
      </c>
      <c r="J41" s="146">
        <f t="shared" si="7"/>
        <v>111519.80743854876</v>
      </c>
      <c r="K41" s="147">
        <f t="shared" si="8"/>
        <v>114560.54158341359</v>
      </c>
      <c r="L41" s="147">
        <f t="shared" si="9"/>
        <v>268803.80116893101</v>
      </c>
      <c r="M41" s="147">
        <f t="shared" si="5"/>
        <v>494884.15019089333</v>
      </c>
      <c r="N41" s="148">
        <f t="shared" si="6"/>
        <v>2.1224696674468219E-3</v>
      </c>
    </row>
    <row r="42" spans="1:14">
      <c r="A42" s="4" t="s">
        <v>37</v>
      </c>
      <c r="B42" s="144">
        <v>5326</v>
      </c>
      <c r="C42" s="127">
        <f t="shared" si="0"/>
        <v>1.0403351574683798E-3</v>
      </c>
      <c r="E42" s="93">
        <v>5821</v>
      </c>
      <c r="F42" s="127">
        <f t="shared" si="1"/>
        <v>1.0981742499362338E-3</v>
      </c>
      <c r="H42" s="145">
        <f>+'COEF Art 14 F I'!AQ44</f>
        <v>4.8561665346687471E-3</v>
      </c>
      <c r="J42" s="146">
        <f t="shared" si="7"/>
        <v>84899.155863023261</v>
      </c>
      <c r="K42" s="147">
        <f t="shared" si="8"/>
        <v>89619.259851774012</v>
      </c>
      <c r="L42" s="147">
        <f t="shared" si="9"/>
        <v>339685.39841409214</v>
      </c>
      <c r="M42" s="147">
        <f t="shared" si="5"/>
        <v>514203.81412888941</v>
      </c>
      <c r="N42" s="148">
        <f t="shared" si="6"/>
        <v>2.2053282529922386E-3</v>
      </c>
    </row>
    <row r="43" spans="1:14">
      <c r="A43" s="4" t="s">
        <v>38</v>
      </c>
      <c r="B43" s="144">
        <v>60829</v>
      </c>
      <c r="C43" s="127">
        <f t="shared" si="0"/>
        <v>1.1881815113339104E-2</v>
      </c>
      <c r="E43" s="93">
        <v>66164</v>
      </c>
      <c r="F43" s="127">
        <f t="shared" si="1"/>
        <v>1.2482322809273489E-2</v>
      </c>
      <c r="H43" s="145">
        <f>+'COEF Art 14 F I'!AQ45</f>
        <v>1.1990238890005155E-2</v>
      </c>
      <c r="J43" s="146">
        <f t="shared" si="7"/>
        <v>969645.27825607231</v>
      </c>
      <c r="K43" s="147">
        <f t="shared" si="8"/>
        <v>1018651.2126495064</v>
      </c>
      <c r="L43" s="147">
        <f t="shared" si="9"/>
        <v>838708.69035371079</v>
      </c>
      <c r="M43" s="147">
        <f t="shared" si="5"/>
        <v>2827005.1812592894</v>
      </c>
      <c r="N43" s="148">
        <f t="shared" si="6"/>
        <v>1.2124519939915951E-2</v>
      </c>
    </row>
    <row r="44" spans="1:14">
      <c r="A44" s="4" t="s">
        <v>39</v>
      </c>
      <c r="B44" s="144">
        <v>1109171</v>
      </c>
      <c r="C44" s="127">
        <f t="shared" si="0"/>
        <v>0.21665594948260614</v>
      </c>
      <c r="E44" s="93">
        <v>1216302</v>
      </c>
      <c r="F44" s="127">
        <f t="shared" si="1"/>
        <v>0.22946427358631524</v>
      </c>
      <c r="H44" s="145">
        <f>+'COEF Art 14 F I'!AQ46</f>
        <v>0.27687040159666187</v>
      </c>
      <c r="J44" s="146">
        <f t="shared" si="7"/>
        <v>17680751.334537245</v>
      </c>
      <c r="K44" s="147">
        <f t="shared" si="8"/>
        <v>18726006.699232511</v>
      </c>
      <c r="L44" s="147">
        <f t="shared" si="9"/>
        <v>19366887.853619937</v>
      </c>
      <c r="M44" s="147">
        <f t="shared" si="5"/>
        <v>55773645.88738969</v>
      </c>
      <c r="N44" s="148">
        <f t="shared" si="6"/>
        <v>0.23920319855312097</v>
      </c>
    </row>
    <row r="45" spans="1:14">
      <c r="A45" s="4" t="s">
        <v>40</v>
      </c>
      <c r="B45" s="144">
        <v>971</v>
      </c>
      <c r="C45" s="127">
        <f t="shared" si="0"/>
        <v>1.8966681147236138E-4</v>
      </c>
      <c r="E45" s="93">
        <v>1131</v>
      </c>
      <c r="F45" s="127">
        <f t="shared" si="1"/>
        <v>2.1337142701904836E-4</v>
      </c>
      <c r="H45" s="145">
        <f>+'COEF Art 14 F I'!AQ47</f>
        <v>1.0369956733375307E-3</v>
      </c>
      <c r="J45" s="146">
        <f t="shared" si="7"/>
        <v>15478.235137625907</v>
      </c>
      <c r="K45" s="147">
        <f t="shared" si="8"/>
        <v>17412.709653385402</v>
      </c>
      <c r="L45" s="147">
        <f t="shared" si="9"/>
        <v>72537.110483460172</v>
      </c>
      <c r="M45" s="147">
        <f t="shared" si="5"/>
        <v>105428.05527447148</v>
      </c>
      <c r="N45" s="148">
        <f t="shared" si="6"/>
        <v>4.5216208547325248E-4</v>
      </c>
    </row>
    <row r="46" spans="1:14">
      <c r="A46" s="4" t="s">
        <v>41</v>
      </c>
      <c r="B46" s="144">
        <v>87168</v>
      </c>
      <c r="C46" s="127">
        <f t="shared" si="0"/>
        <v>1.7026649456666116E-2</v>
      </c>
      <c r="E46" s="93">
        <v>30099</v>
      </c>
      <c r="F46" s="127">
        <f t="shared" si="1"/>
        <v>5.6783966240904829E-3</v>
      </c>
      <c r="H46" s="145">
        <f>+'COEF Art 14 F I'!AQ48</f>
        <v>6.8249328385285414E-3</v>
      </c>
      <c r="J46" s="146">
        <f t="shared" si="7"/>
        <v>1389502.3691828786</v>
      </c>
      <c r="K46" s="147">
        <f t="shared" si="8"/>
        <v>463399.77706211066</v>
      </c>
      <c r="L46" s="147">
        <f t="shared" si="9"/>
        <v>477399.20240670413</v>
      </c>
      <c r="M46" s="147">
        <f t="shared" si="5"/>
        <v>2330301.3486516932</v>
      </c>
      <c r="N46" s="148">
        <f t="shared" si="6"/>
        <v>9.9942459798233688E-3</v>
      </c>
    </row>
    <row r="47" spans="1:14">
      <c r="A47" s="4" t="s">
        <v>42</v>
      </c>
      <c r="B47" s="144">
        <v>4469</v>
      </c>
      <c r="C47" s="127">
        <f t="shared" si="0"/>
        <v>8.7293612818741819E-4</v>
      </c>
      <c r="E47" s="93">
        <v>5066</v>
      </c>
      <c r="F47" s="127">
        <f t="shared" si="1"/>
        <v>9.5573797460521566E-4</v>
      </c>
      <c r="H47" s="145">
        <f>+'COEF Art 14 F I'!AQ49</f>
        <v>1.895738676804249E-3</v>
      </c>
      <c r="J47" s="146">
        <f t="shared" si="7"/>
        <v>71238.138856900288</v>
      </c>
      <c r="K47" s="147">
        <f t="shared" si="8"/>
        <v>77995.39089659632</v>
      </c>
      <c r="L47" s="147">
        <f t="shared" si="9"/>
        <v>132605.57337191509</v>
      </c>
      <c r="M47" s="147">
        <f t="shared" si="5"/>
        <v>281839.10312541167</v>
      </c>
      <c r="N47" s="148">
        <f t="shared" si="6"/>
        <v>1.2087575390186962E-3</v>
      </c>
    </row>
    <row r="48" spans="1:14">
      <c r="A48" s="4" t="s">
        <v>43</v>
      </c>
      <c r="B48" s="144">
        <v>2640</v>
      </c>
      <c r="C48" s="127">
        <f t="shared" si="0"/>
        <v>5.1567495601136364E-4</v>
      </c>
      <c r="E48" s="93">
        <v>2777</v>
      </c>
      <c r="F48" s="127">
        <f t="shared" si="1"/>
        <v>5.2390137297249979E-4</v>
      </c>
      <c r="H48" s="145">
        <f>+'COEF Art 14 F I'!AQ50</f>
        <v>3.291914035524045E-3</v>
      </c>
      <c r="J48" s="146">
        <f t="shared" si="7"/>
        <v>42082.946203225947</v>
      </c>
      <c r="K48" s="147">
        <f t="shared" si="8"/>
        <v>42754.283560964861</v>
      </c>
      <c r="L48" s="147">
        <f t="shared" si="9"/>
        <v>230267.04762261693</v>
      </c>
      <c r="M48" s="147">
        <f t="shared" si="5"/>
        <v>315104.27738680772</v>
      </c>
      <c r="N48" s="148">
        <f t="shared" si="6"/>
        <v>1.3514259258015653E-3</v>
      </c>
    </row>
    <row r="49" spans="1:14">
      <c r="A49" s="4" t="s">
        <v>44</v>
      </c>
      <c r="B49" s="144">
        <v>35456</v>
      </c>
      <c r="C49" s="127">
        <f t="shared" si="0"/>
        <v>6.9256709243707987E-3</v>
      </c>
      <c r="E49" s="93">
        <v>38520</v>
      </c>
      <c r="F49" s="127">
        <f t="shared" si="1"/>
        <v>7.2670799016567129E-3</v>
      </c>
      <c r="H49" s="145">
        <f>+'COEF Art 14 F I'!AQ51</f>
        <v>5.5665633958154092E-3</v>
      </c>
      <c r="J49" s="146">
        <f t="shared" si="7"/>
        <v>565186.71991726488</v>
      </c>
      <c r="K49" s="147">
        <f t="shared" si="8"/>
        <v>593048.25450787414</v>
      </c>
      <c r="L49" s="147">
        <f t="shared" si="9"/>
        <v>389377.15405879117</v>
      </c>
      <c r="M49" s="147">
        <f t="shared" si="5"/>
        <v>1547612.1284839301</v>
      </c>
      <c r="N49" s="148">
        <f t="shared" si="6"/>
        <v>6.6374318078542497E-3</v>
      </c>
    </row>
    <row r="50" spans="1:14">
      <c r="A50" s="4" t="s">
        <v>45</v>
      </c>
      <c r="B50" s="144">
        <v>54192</v>
      </c>
      <c r="C50" s="127">
        <f t="shared" si="0"/>
        <v>1.0585400460669627E-2</v>
      </c>
      <c r="E50" s="93">
        <v>38080</v>
      </c>
      <c r="F50" s="127">
        <f t="shared" si="1"/>
        <v>7.1840706815962524E-3</v>
      </c>
      <c r="H50" s="145">
        <f>+'COEF Art 14 F I'!AQ52</f>
        <v>7.971184845572566E-3</v>
      </c>
      <c r="J50" s="146">
        <f t="shared" si="7"/>
        <v>863848.11388076539</v>
      </c>
      <c r="K50" s="147">
        <f t="shared" si="8"/>
        <v>586274.07922273746</v>
      </c>
      <c r="L50" s="147">
        <f t="shared" si="9"/>
        <v>557578.71579776658</v>
      </c>
      <c r="M50" s="147">
        <f t="shared" si="5"/>
        <v>2007700.9089012695</v>
      </c>
      <c r="N50" s="148">
        <f t="shared" si="6"/>
        <v>8.6106703534648259E-3</v>
      </c>
    </row>
    <row r="51" spans="1:14">
      <c r="A51" s="4" t="s">
        <v>46</v>
      </c>
      <c r="B51" s="144">
        <v>430143</v>
      </c>
      <c r="C51" s="127">
        <f t="shared" si="0"/>
        <v>8.4020444168028771E-2</v>
      </c>
      <c r="E51" s="93">
        <v>459392</v>
      </c>
      <c r="F51" s="127">
        <f t="shared" si="1"/>
        <v>8.6667662777307392E-2</v>
      </c>
      <c r="H51" s="145">
        <f>+'COEF Art 14 F I'!AQ53</f>
        <v>6.8799785822065987E-2</v>
      </c>
      <c r="J51" s="146">
        <f t="shared" si="7"/>
        <v>6856698.7608690215</v>
      </c>
      <c r="K51" s="147">
        <f t="shared" si="8"/>
        <v>7072731.6649761507</v>
      </c>
      <c r="L51" s="147">
        <f t="shared" si="9"/>
        <v>4812496.1306267977</v>
      </c>
      <c r="M51" s="147">
        <f t="shared" si="5"/>
        <v>18741926.55647197</v>
      </c>
      <c r="N51" s="148">
        <f t="shared" si="6"/>
        <v>8.038077317748743E-2</v>
      </c>
    </row>
    <row r="52" spans="1:14">
      <c r="A52" s="4" t="s">
        <v>47</v>
      </c>
      <c r="B52" s="144">
        <v>123156</v>
      </c>
      <c r="C52" s="127">
        <f t="shared" si="0"/>
        <v>2.4056236697930111E-2</v>
      </c>
      <c r="E52" s="93">
        <v>135338</v>
      </c>
      <c r="F52" s="127">
        <f t="shared" si="1"/>
        <v>2.5532504146687857E-2</v>
      </c>
      <c r="H52" s="145">
        <f>+'COEF Art 14 F I'!AQ54</f>
        <v>0.14908858957337576</v>
      </c>
      <c r="J52" s="146">
        <f t="shared" si="7"/>
        <v>1963169.4403804904</v>
      </c>
      <c r="K52" s="147">
        <f t="shared" si="8"/>
        <v>2083643.9425905158</v>
      </c>
      <c r="L52" s="147">
        <f t="shared" si="9"/>
        <v>10428640.901558727</v>
      </c>
      <c r="M52" s="147">
        <f t="shared" si="5"/>
        <v>14475454.284529734</v>
      </c>
      <c r="N52" s="148">
        <f t="shared" si="6"/>
        <v>6.2082636167629004E-2</v>
      </c>
    </row>
    <row r="53" spans="1:14">
      <c r="A53" s="4" t="s">
        <v>48</v>
      </c>
      <c r="B53" s="144">
        <v>296954</v>
      </c>
      <c r="C53" s="127">
        <f t="shared" si="0"/>
        <v>5.8004447305832756E-2</v>
      </c>
      <c r="E53" s="93">
        <v>296472</v>
      </c>
      <c r="F53" s="127">
        <f t="shared" si="1"/>
        <v>5.593161247673855E-2</v>
      </c>
      <c r="H53" s="145">
        <f>+'COEF Art 14 F I'!AQ55</f>
        <v>3.5223175206024991E-2</v>
      </c>
      <c r="J53" s="146">
        <f t="shared" si="7"/>
        <v>4733598.1844063476</v>
      </c>
      <c r="K53" s="147">
        <f t="shared" si="8"/>
        <v>4564439.3071250897</v>
      </c>
      <c r="L53" s="147">
        <f t="shared" si="9"/>
        <v>2463836.0768416529</v>
      </c>
      <c r="M53" s="147">
        <f t="shared" si="5"/>
        <v>11761873.56837309</v>
      </c>
      <c r="N53" s="148">
        <f t="shared" si="6"/>
        <v>5.0444573485707439E-2</v>
      </c>
    </row>
    <row r="54" spans="1:14">
      <c r="A54" s="4" t="s">
        <v>49</v>
      </c>
      <c r="B54" s="144">
        <v>42407</v>
      </c>
      <c r="C54" s="127">
        <f t="shared" si="0"/>
        <v>8.2834196437779912E-3</v>
      </c>
      <c r="E54" s="93">
        <v>44571</v>
      </c>
      <c r="F54" s="127">
        <f t="shared" si="1"/>
        <v>8.4086453348063694E-3</v>
      </c>
      <c r="H54" s="145">
        <f>+'COEF Art 14 F I'!AQ56</f>
        <v>1.3108999282853705E-2</v>
      </c>
      <c r="J54" s="146">
        <f t="shared" si="7"/>
        <v>675989.20440916775</v>
      </c>
      <c r="K54" s="147">
        <f t="shared" si="8"/>
        <v>686208.56053142413</v>
      </c>
      <c r="L54" s="147">
        <f t="shared" si="9"/>
        <v>916965.18486674107</v>
      </c>
      <c r="M54" s="147">
        <f t="shared" si="5"/>
        <v>2279162.9498073328</v>
      </c>
      <c r="N54" s="148">
        <f t="shared" si="6"/>
        <v>9.7749225273606345E-3</v>
      </c>
    </row>
    <row r="55" spans="1:14">
      <c r="A55" s="4" t="s">
        <v>50</v>
      </c>
      <c r="B55" s="144">
        <v>1632</v>
      </c>
      <c r="C55" s="127">
        <f t="shared" si="0"/>
        <v>3.1878088189793386E-4</v>
      </c>
      <c r="E55" s="93">
        <v>2105</v>
      </c>
      <c r="F55" s="127">
        <f t="shared" si="1"/>
        <v>3.9712365506197768E-4</v>
      </c>
      <c r="H55" s="145">
        <f>+'COEF Art 14 F I'!AQ57</f>
        <v>1.7617236867334624E-3</v>
      </c>
      <c r="J55" s="146">
        <f t="shared" si="7"/>
        <v>26014.912198357859</v>
      </c>
      <c r="K55" s="147">
        <f t="shared" si="8"/>
        <v>32408.270398210669</v>
      </c>
      <c r="L55" s="147">
        <f t="shared" si="9"/>
        <v>123231.32004459154</v>
      </c>
      <c r="M55" s="147">
        <f t="shared" si="5"/>
        <v>181654.50264116007</v>
      </c>
      <c r="N55" s="148">
        <f t="shared" si="6"/>
        <v>7.7908369395600764E-4</v>
      </c>
    </row>
    <row r="56" spans="1:14">
      <c r="A56" s="4" t="s">
        <v>51</v>
      </c>
      <c r="B56" s="144">
        <v>4080</v>
      </c>
      <c r="C56" s="127">
        <f t="shared" si="0"/>
        <v>7.9695220474483466E-4</v>
      </c>
      <c r="E56" s="93">
        <v>4264</v>
      </c>
      <c r="F56" s="127">
        <f t="shared" si="1"/>
        <v>8.0443480531319376E-4</v>
      </c>
      <c r="H56" s="145">
        <f>+'COEF Art 14 F I'!AQ58</f>
        <v>1.227761693983511E-3</v>
      </c>
      <c r="J56" s="146">
        <f t="shared" si="7"/>
        <v>65037.280495894644</v>
      </c>
      <c r="K56" s="147">
        <f t="shared" si="8"/>
        <v>65647.916854142662</v>
      </c>
      <c r="L56" s="147">
        <f t="shared" si="9"/>
        <v>85881.0580734744</v>
      </c>
      <c r="M56" s="147">
        <f t="shared" si="5"/>
        <v>216566.25542351173</v>
      </c>
      <c r="N56" s="148">
        <f t="shared" si="6"/>
        <v>9.2881396171536317E-4</v>
      </c>
    </row>
    <row r="57" spans="1:14" ht="13.8" thickBot="1">
      <c r="A57" s="6" t="s">
        <v>52</v>
      </c>
      <c r="B57" s="149">
        <f>SUM(B6:B56)</f>
        <v>5119504</v>
      </c>
      <c r="C57" s="128">
        <f>SUM(C6:C56)</f>
        <v>0.99999999999999989</v>
      </c>
      <c r="E57" s="150">
        <f>SUM(E6:E56)</f>
        <v>5300616</v>
      </c>
      <c r="F57" s="128">
        <f t="shared" si="1"/>
        <v>1</v>
      </c>
      <c r="H57" s="151">
        <f>SUM(H6:H56)</f>
        <v>1</v>
      </c>
      <c r="J57" s="152">
        <f>SUM(J6:J56)</f>
        <v>81607504.325454563</v>
      </c>
      <c r="K57" s="153">
        <f>SUM(K6:K56)</f>
        <v>81607504.325454563</v>
      </c>
      <c r="L57" s="153">
        <f>SUM(L6:L56)</f>
        <v>69949289.421818182</v>
      </c>
      <c r="M57" s="153">
        <f>SUM(M6:M56)</f>
        <v>233164298.07272738</v>
      </c>
      <c r="N57" s="154">
        <f>SUM(N6:N56)</f>
        <v>0.99999999999999978</v>
      </c>
    </row>
    <row r="58" spans="1:14" ht="15.75" customHeight="1" thickTop="1">
      <c r="A58" s="14" t="s">
        <v>97</v>
      </c>
    </row>
    <row r="59" spans="1:14">
      <c r="A59" s="14" t="s">
        <v>161</v>
      </c>
    </row>
    <row r="60" spans="1:14">
      <c r="A60" s="14" t="s">
        <v>135</v>
      </c>
    </row>
  </sheetData>
  <mergeCells count="3">
    <mergeCell ref="A1:N1"/>
    <mergeCell ref="B2:C2"/>
    <mergeCell ref="E2:F2"/>
  </mergeCells>
  <printOptions horizontalCentered="1"/>
  <pageMargins left="0.19685039370078741" right="0.19685039370078741" top="0.11811023622047245" bottom="0.11811023622047245" header="0.15748031496062992" footer="0.15748031496062992"/>
  <pageSetup scale="70" orientation="landscape" r:id="rId1"/>
  <headerFooter alignWithMargins="0">
    <oddHeader>&amp;L&amp;"Arial,Negrita"ANEXO 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63"/>
  <sheetViews>
    <sheetView topLeftCell="I1" zoomScale="85" zoomScaleNormal="85" workbookViewId="0">
      <selection activeCell="B2" sqref="B1:B1048576"/>
    </sheetView>
  </sheetViews>
  <sheetFormatPr baseColWidth="10" defaultColWidth="11.44140625" defaultRowHeight="13.2"/>
  <cols>
    <col min="1" max="1" width="28.21875" style="208" bestFit="1" customWidth="1"/>
    <col min="2" max="2" width="16.33203125" style="208" customWidth="1"/>
    <col min="3" max="3" width="16.21875" style="208" customWidth="1"/>
    <col min="4" max="4" width="13.5546875" style="208" customWidth="1"/>
    <col min="5" max="5" width="16.88671875" style="208" customWidth="1"/>
    <col min="6" max="6" width="17.33203125" style="208" customWidth="1"/>
    <col min="7" max="7" width="17.77734375" style="208" customWidth="1"/>
    <col min="8" max="8" width="12.88671875" style="208" customWidth="1"/>
    <col min="9" max="9" width="17.21875" style="208" customWidth="1"/>
    <col min="10" max="10" width="20.44140625" style="208" customWidth="1"/>
    <col min="11" max="11" width="4.6640625" style="208" customWidth="1"/>
    <col min="12" max="12" width="33.21875" style="208" customWidth="1"/>
    <col min="13" max="13" width="21.44140625" style="208" customWidth="1"/>
    <col min="14" max="14" width="17.77734375" style="208" customWidth="1"/>
    <col min="15" max="15" width="17.77734375" style="208" bestFit="1" customWidth="1"/>
    <col min="16" max="16" width="22.77734375" style="208" customWidth="1"/>
    <col min="17" max="17" width="20.77734375" style="208" customWidth="1"/>
    <col min="18" max="18" width="0.21875" style="208" customWidth="1"/>
    <col min="19" max="20" width="11.44140625" style="208" customWidth="1"/>
    <col min="21" max="21" width="21.21875" style="208" customWidth="1"/>
    <col min="22" max="22" width="16.77734375" style="208" bestFit="1" customWidth="1"/>
    <col min="23" max="24" width="15.21875" style="208" bestFit="1" customWidth="1"/>
    <col min="25" max="25" width="14.21875" style="208" bestFit="1" customWidth="1"/>
    <col min="26" max="26" width="13.21875" style="208" bestFit="1" customWidth="1"/>
    <col min="27" max="27" width="12.5546875" style="208" bestFit="1" customWidth="1"/>
    <col min="28" max="28" width="14.21875" style="208" bestFit="1" customWidth="1"/>
    <col min="29" max="16384" width="11.44140625" style="208"/>
  </cols>
  <sheetData>
    <row r="1" spans="1:29" ht="40.200000000000003" thickBot="1">
      <c r="A1" s="247"/>
      <c r="B1" s="310" t="s">
        <v>218</v>
      </c>
      <c r="C1" s="310"/>
      <c r="D1" s="310"/>
      <c r="E1" s="310"/>
      <c r="F1" s="310" t="s">
        <v>217</v>
      </c>
      <c r="G1" s="310"/>
      <c r="H1" s="310"/>
      <c r="I1" s="310"/>
      <c r="J1" s="258" t="s">
        <v>216</v>
      </c>
      <c r="L1" s="311" t="s">
        <v>215</v>
      </c>
      <c r="M1" s="311"/>
      <c r="N1" s="311"/>
      <c r="O1" s="311"/>
      <c r="P1" s="311"/>
      <c r="Q1" s="311"/>
      <c r="T1" s="257"/>
    </row>
    <row r="2" spans="1:29" ht="67.2" thickTop="1" thickBot="1">
      <c r="A2" s="256" t="s">
        <v>0</v>
      </c>
      <c r="B2" s="255" t="s">
        <v>214</v>
      </c>
      <c r="C2" s="254" t="s">
        <v>213</v>
      </c>
      <c r="D2" s="254" t="s">
        <v>212</v>
      </c>
      <c r="E2" s="253" t="s">
        <v>211</v>
      </c>
      <c r="F2" s="254" t="s">
        <v>170</v>
      </c>
      <c r="G2" s="254" t="s">
        <v>210</v>
      </c>
      <c r="H2" s="254" t="s">
        <v>209</v>
      </c>
      <c r="I2" s="251" t="s">
        <v>208</v>
      </c>
      <c r="J2" s="252" t="s">
        <v>207</v>
      </c>
      <c r="L2" s="256" t="s">
        <v>0</v>
      </c>
      <c r="M2" s="255" t="s">
        <v>206</v>
      </c>
      <c r="N2" s="254" t="s">
        <v>205</v>
      </c>
      <c r="O2" s="253" t="s">
        <v>204</v>
      </c>
      <c r="P2" s="252" t="s">
        <v>203</v>
      </c>
      <c r="Q2" s="251" t="s">
        <v>114</v>
      </c>
    </row>
    <row r="3" spans="1:29" ht="21" thickTop="1">
      <c r="A3" s="247"/>
      <c r="B3" s="250" t="s">
        <v>202</v>
      </c>
      <c r="C3" s="250" t="s">
        <v>201</v>
      </c>
      <c r="D3" s="250" t="s">
        <v>200</v>
      </c>
      <c r="E3" s="250" t="s">
        <v>199</v>
      </c>
      <c r="F3" s="250" t="s">
        <v>198</v>
      </c>
      <c r="G3" s="250" t="s">
        <v>197</v>
      </c>
      <c r="H3" s="250"/>
      <c r="I3" s="250" t="s">
        <v>196</v>
      </c>
      <c r="J3" s="250" t="s">
        <v>195</v>
      </c>
      <c r="M3" s="249">
        <f>M4*P3</f>
        <v>64555901.670201883</v>
      </c>
      <c r="N3" s="249">
        <f>P3*N4</f>
        <v>38733541.002121128</v>
      </c>
      <c r="O3" s="249">
        <f>P3*O4</f>
        <v>25822360.668080755</v>
      </c>
      <c r="P3" s="249">
        <f>+'PART PEF2019'!P6</f>
        <v>129111803.34040377</v>
      </c>
    </row>
    <row r="4" spans="1:29" ht="13.8" thickBot="1">
      <c r="F4" s="248"/>
      <c r="G4" s="247"/>
      <c r="H4" s="247"/>
      <c r="I4" s="247"/>
      <c r="M4" s="246">
        <v>0.5</v>
      </c>
      <c r="N4" s="246">
        <v>0.3</v>
      </c>
      <c r="O4" s="246">
        <v>0.2</v>
      </c>
      <c r="P4" s="245" t="s">
        <v>194</v>
      </c>
      <c r="Q4" s="245"/>
    </row>
    <row r="5" spans="1:29" ht="13.8" thickTop="1">
      <c r="A5" s="239" t="s">
        <v>1</v>
      </c>
      <c r="B5" s="238">
        <v>501046</v>
      </c>
      <c r="C5" s="237">
        <v>121403</v>
      </c>
      <c r="D5" s="244">
        <f t="shared" ref="D5:D36" si="0">IFERROR(C5/B5,0)</f>
        <v>0.2422991102613333</v>
      </c>
      <c r="E5" s="243">
        <f t="shared" ref="E5:E36" si="1">IFERROR(D5/$D$56,0)</f>
        <v>1.7780268481691834E-2</v>
      </c>
      <c r="F5" s="237">
        <v>115989</v>
      </c>
      <c r="G5" s="242">
        <f t="shared" ref="G5:G36" si="2">IFERROR((C5/F5)-1,0)</f>
        <v>4.6676840045176693E-2</v>
      </c>
      <c r="H5" s="241">
        <f t="shared" ref="H5:H36" si="3">IF(G5&lt;0,0,G5)</f>
        <v>4.6676840045176693E-2</v>
      </c>
      <c r="I5" s="234">
        <f t="shared" ref="I5:I36" si="4">IFERROR(H5/$H$56,0)</f>
        <v>1.7449647979400611E-2</v>
      </c>
      <c r="J5" s="240">
        <f t="shared" ref="J5:J36" si="5">IFERROR(C5/$C$56,0)</f>
        <v>5.9730996016329647E-5</v>
      </c>
      <c r="L5" s="239" t="s">
        <v>1</v>
      </c>
      <c r="M5" s="238">
        <f t="shared" ref="M5:M36" si="6">IFERROR($M$3*E5,0)</f>
        <v>1147821.2637738877</v>
      </c>
      <c r="N5" s="237">
        <f t="shared" ref="N5:N36" si="7">IFERROR($N$3*I5,0)</f>
        <v>675886.65548269369</v>
      </c>
      <c r="O5" s="236">
        <f t="shared" ref="O5:O36" si="8">IFERROR($O$3*J5,0)</f>
        <v>1542.3953221973588</v>
      </c>
      <c r="P5" s="235">
        <f t="shared" ref="P5:P36" si="9">IFERROR(SUM(M5:O5),0)</f>
        <v>1825250.3145787788</v>
      </c>
      <c r="Q5" s="234">
        <f t="shared" ref="Q5:Q36" si="10">IFERROR(P5/$P$56,0)</f>
        <v>1.4136974833869364E-2</v>
      </c>
      <c r="S5" s="209"/>
      <c r="T5" s="209"/>
      <c r="AC5" s="209"/>
    </row>
    <row r="6" spans="1:29">
      <c r="A6" s="228" t="s">
        <v>2</v>
      </c>
      <c r="B6" s="227">
        <v>2275034</v>
      </c>
      <c r="C6" s="226">
        <v>836482</v>
      </c>
      <c r="D6" s="233">
        <f t="shared" si="0"/>
        <v>0.36767890062302366</v>
      </c>
      <c r="E6" s="232">
        <f t="shared" si="1"/>
        <v>2.6980823664930771E-2</v>
      </c>
      <c r="F6" s="226">
        <v>996699</v>
      </c>
      <c r="G6" s="231">
        <f t="shared" si="2"/>
        <v>-0.16074762791976316</v>
      </c>
      <c r="H6" s="230">
        <f t="shared" si="3"/>
        <v>0</v>
      </c>
      <c r="I6" s="223">
        <f t="shared" si="4"/>
        <v>0</v>
      </c>
      <c r="J6" s="229">
        <f t="shared" si="5"/>
        <v>4.1155410500343039E-4</v>
      </c>
      <c r="L6" s="228" t="s">
        <v>2</v>
      </c>
      <c r="M6" s="227">
        <f t="shared" si="6"/>
        <v>1741771.3994943269</v>
      </c>
      <c r="N6" s="226">
        <f t="shared" si="7"/>
        <v>0</v>
      </c>
      <c r="O6" s="225">
        <f t="shared" si="8"/>
        <v>10627.298533827758</v>
      </c>
      <c r="P6" s="224">
        <f t="shared" si="9"/>
        <v>1752398.6980281547</v>
      </c>
      <c r="Q6" s="223">
        <f t="shared" si="10"/>
        <v>1.357272265346607E-2</v>
      </c>
      <c r="S6" s="209"/>
      <c r="T6" s="209"/>
      <c r="U6" s="209"/>
      <c r="V6" s="209"/>
      <c r="W6" s="209"/>
      <c r="X6" s="209"/>
      <c r="Y6" s="209"/>
      <c r="Z6" s="209"/>
    </row>
    <row r="7" spans="1:29">
      <c r="A7" s="228" t="s">
        <v>3</v>
      </c>
      <c r="B7" s="227">
        <v>0</v>
      </c>
      <c r="C7" s="226">
        <v>0</v>
      </c>
      <c r="D7" s="233">
        <f t="shared" si="0"/>
        <v>0</v>
      </c>
      <c r="E7" s="232">
        <f t="shared" si="1"/>
        <v>0</v>
      </c>
      <c r="F7" s="226">
        <v>0</v>
      </c>
      <c r="G7" s="231">
        <f t="shared" si="2"/>
        <v>0</v>
      </c>
      <c r="H7" s="230">
        <f t="shared" si="3"/>
        <v>0</v>
      </c>
      <c r="I7" s="223">
        <f t="shared" si="4"/>
        <v>0</v>
      </c>
      <c r="J7" s="229">
        <f t="shared" si="5"/>
        <v>0</v>
      </c>
      <c r="L7" s="228" t="s">
        <v>3</v>
      </c>
      <c r="M7" s="227">
        <f t="shared" si="6"/>
        <v>0</v>
      </c>
      <c r="N7" s="226">
        <f t="shared" si="7"/>
        <v>0</v>
      </c>
      <c r="O7" s="225">
        <f t="shared" si="8"/>
        <v>0</v>
      </c>
      <c r="P7" s="224">
        <f t="shared" si="9"/>
        <v>0</v>
      </c>
      <c r="Q7" s="223">
        <f t="shared" si="10"/>
        <v>0</v>
      </c>
      <c r="S7" s="209"/>
      <c r="T7" s="209"/>
      <c r="U7" s="209"/>
      <c r="V7" s="209"/>
      <c r="W7" s="209"/>
      <c r="X7" s="209"/>
      <c r="Y7" s="209"/>
      <c r="Z7" s="209"/>
    </row>
    <row r="8" spans="1:29">
      <c r="A8" s="228" t="s">
        <v>4</v>
      </c>
      <c r="B8" s="227">
        <v>34304269</v>
      </c>
      <c r="C8" s="226">
        <v>15242673</v>
      </c>
      <c r="D8" s="233">
        <f t="shared" si="0"/>
        <v>0.44433749630403141</v>
      </c>
      <c r="E8" s="232">
        <f t="shared" si="1"/>
        <v>3.2606145240266712E-2</v>
      </c>
      <c r="F8" s="226">
        <v>14228172</v>
      </c>
      <c r="G8" s="231">
        <f t="shared" si="2"/>
        <v>7.130227270235423E-2</v>
      </c>
      <c r="H8" s="230">
        <f t="shared" si="3"/>
        <v>7.130227270235423E-2</v>
      </c>
      <c r="I8" s="223">
        <f t="shared" si="4"/>
        <v>2.6655608168485584E-2</v>
      </c>
      <c r="J8" s="229">
        <f t="shared" si="5"/>
        <v>7.4994855171718611E-3</v>
      </c>
      <c r="L8" s="228" t="s">
        <v>4</v>
      </c>
      <c r="M8" s="227">
        <f t="shared" si="6"/>
        <v>2104919.1059749792</v>
      </c>
      <c r="N8" s="226">
        <f t="shared" si="7"/>
        <v>1032466.0919305112</v>
      </c>
      <c r="O8" s="225">
        <f t="shared" si="8"/>
        <v>193654.41984945993</v>
      </c>
      <c r="P8" s="224">
        <f t="shared" si="9"/>
        <v>3331039.6177549502</v>
      </c>
      <c r="Q8" s="223">
        <f t="shared" si="10"/>
        <v>2.57996521741134E-2</v>
      </c>
      <c r="S8" s="209"/>
      <c r="T8" s="209"/>
      <c r="U8" s="209"/>
      <c r="V8" s="209"/>
      <c r="W8" s="209"/>
      <c r="X8" s="209"/>
      <c r="Y8" s="209"/>
      <c r="Z8" s="209"/>
    </row>
    <row r="9" spans="1:29">
      <c r="A9" s="228" t="s">
        <v>5</v>
      </c>
      <c r="B9" s="227">
        <v>10108332</v>
      </c>
      <c r="C9" s="226">
        <v>2322895</v>
      </c>
      <c r="D9" s="233">
        <f t="shared" si="0"/>
        <v>0.22980003031162807</v>
      </c>
      <c r="E9" s="232">
        <f t="shared" si="1"/>
        <v>1.6863067436090822E-2</v>
      </c>
      <c r="F9" s="226">
        <v>3579757</v>
      </c>
      <c r="G9" s="231">
        <f t="shared" si="2"/>
        <v>-0.35110260277443417</v>
      </c>
      <c r="H9" s="230">
        <f t="shared" si="3"/>
        <v>0</v>
      </c>
      <c r="I9" s="223">
        <f t="shared" si="4"/>
        <v>0</v>
      </c>
      <c r="J9" s="229">
        <f t="shared" si="5"/>
        <v>1.1428781166145157E-3</v>
      </c>
      <c r="L9" s="228" t="s">
        <v>5</v>
      </c>
      <c r="M9" s="227">
        <f t="shared" si="6"/>
        <v>1088610.5232622626</v>
      </c>
      <c r="N9" s="226">
        <f t="shared" si="7"/>
        <v>0</v>
      </c>
      <c r="O9" s="225">
        <f t="shared" si="8"/>
        <v>29511.810926876882</v>
      </c>
      <c r="P9" s="224">
        <f t="shared" si="9"/>
        <v>1118122.3341891395</v>
      </c>
      <c r="Q9" s="223">
        <f t="shared" si="10"/>
        <v>8.6601093413683147E-3</v>
      </c>
      <c r="S9" s="209"/>
      <c r="T9" s="209"/>
      <c r="U9" s="209"/>
      <c r="V9" s="209"/>
      <c r="W9" s="209"/>
      <c r="X9" s="209"/>
      <c r="Y9" s="209"/>
      <c r="Z9" s="209"/>
    </row>
    <row r="10" spans="1:29">
      <c r="A10" s="228" t="s">
        <v>6</v>
      </c>
      <c r="B10" s="227">
        <v>653982108</v>
      </c>
      <c r="C10" s="226">
        <v>263928665.28</v>
      </c>
      <c r="D10" s="233">
        <f t="shared" si="0"/>
        <v>0.40357169110809987</v>
      </c>
      <c r="E10" s="232">
        <f t="shared" si="1"/>
        <v>2.9614689925081095E-2</v>
      </c>
      <c r="F10" s="226">
        <v>243619322.05000001</v>
      </c>
      <c r="G10" s="231">
        <f t="shared" si="2"/>
        <v>8.3365075721833382E-2</v>
      </c>
      <c r="H10" s="230">
        <f t="shared" si="3"/>
        <v>8.3365075721833382E-2</v>
      </c>
      <c r="I10" s="223">
        <f t="shared" si="4"/>
        <v>3.1165160788822251E-2</v>
      </c>
      <c r="J10" s="229">
        <f t="shared" si="5"/>
        <v>0.12985446862462116</v>
      </c>
      <c r="L10" s="228" t="s">
        <v>6</v>
      </c>
      <c r="M10" s="227">
        <f t="shared" si="6"/>
        <v>1911803.0107970536</v>
      </c>
      <c r="N10" s="226">
        <f t="shared" si="7"/>
        <v>1207137.0332515442</v>
      </c>
      <c r="O10" s="225">
        <f t="shared" si="8"/>
        <v>3353148.9231869439</v>
      </c>
      <c r="P10" s="224">
        <f t="shared" si="9"/>
        <v>6472088.9672355419</v>
      </c>
      <c r="Q10" s="223">
        <f t="shared" si="10"/>
        <v>5.0127786924111455E-2</v>
      </c>
      <c r="S10" s="209"/>
      <c r="T10" s="209"/>
      <c r="U10" s="209"/>
      <c r="V10" s="209"/>
      <c r="W10" s="209"/>
      <c r="X10" s="209"/>
      <c r="Y10" s="209"/>
      <c r="Z10" s="209"/>
    </row>
    <row r="11" spans="1:29">
      <c r="A11" s="228" t="s">
        <v>7</v>
      </c>
      <c r="B11" s="227">
        <v>0</v>
      </c>
      <c r="C11" s="226">
        <v>0</v>
      </c>
      <c r="D11" s="233">
        <f t="shared" si="0"/>
        <v>0</v>
      </c>
      <c r="E11" s="232">
        <f t="shared" si="1"/>
        <v>0</v>
      </c>
      <c r="F11" s="226">
        <v>0</v>
      </c>
      <c r="G11" s="231">
        <f t="shared" si="2"/>
        <v>0</v>
      </c>
      <c r="H11" s="230">
        <f t="shared" si="3"/>
        <v>0</v>
      </c>
      <c r="I11" s="223">
        <f t="shared" si="4"/>
        <v>0</v>
      </c>
      <c r="J11" s="229">
        <f t="shared" si="5"/>
        <v>0</v>
      </c>
      <c r="L11" s="228" t="s">
        <v>7</v>
      </c>
      <c r="M11" s="227">
        <f t="shared" si="6"/>
        <v>0</v>
      </c>
      <c r="N11" s="226">
        <f t="shared" si="7"/>
        <v>0</v>
      </c>
      <c r="O11" s="225">
        <f t="shared" si="8"/>
        <v>0</v>
      </c>
      <c r="P11" s="224">
        <f t="shared" si="9"/>
        <v>0</v>
      </c>
      <c r="Q11" s="223">
        <f t="shared" si="10"/>
        <v>0</v>
      </c>
      <c r="S11" s="209"/>
      <c r="T11" s="209"/>
      <c r="U11" s="209"/>
      <c r="V11" s="209"/>
      <c r="W11" s="209"/>
      <c r="X11" s="209"/>
      <c r="Y11" s="209"/>
      <c r="Z11" s="209"/>
    </row>
    <row r="12" spans="1:29">
      <c r="A12" s="228" t="s">
        <v>8</v>
      </c>
      <c r="B12" s="227">
        <v>2146802</v>
      </c>
      <c r="C12" s="226">
        <v>721021</v>
      </c>
      <c r="D12" s="233">
        <f t="shared" si="0"/>
        <v>0.33585817415858565</v>
      </c>
      <c r="E12" s="232">
        <f t="shared" si="1"/>
        <v>2.4645771508899503E-2</v>
      </c>
      <c r="F12" s="226">
        <v>739085</v>
      </c>
      <c r="G12" s="231">
        <f t="shared" si="2"/>
        <v>-2.4441031816367587E-2</v>
      </c>
      <c r="H12" s="230">
        <f t="shared" si="3"/>
        <v>0</v>
      </c>
      <c r="I12" s="223">
        <f t="shared" si="4"/>
        <v>0</v>
      </c>
      <c r="J12" s="229">
        <f t="shared" si="5"/>
        <v>3.5474660822788578E-4</v>
      </c>
      <c r="L12" s="228" t="s">
        <v>8</v>
      </c>
      <c r="M12" s="227">
        <f t="shared" si="6"/>
        <v>1591030.0021147793</v>
      </c>
      <c r="N12" s="226">
        <f t="shared" si="7"/>
        <v>0</v>
      </c>
      <c r="O12" s="225">
        <f t="shared" si="8"/>
        <v>9160.3948634388107</v>
      </c>
      <c r="P12" s="224">
        <f t="shared" si="9"/>
        <v>1600190.3969782181</v>
      </c>
      <c r="Q12" s="223">
        <f t="shared" si="10"/>
        <v>1.2393835076095327E-2</v>
      </c>
      <c r="S12" s="209"/>
      <c r="T12" s="209"/>
      <c r="U12" s="209"/>
      <c r="V12" s="209"/>
      <c r="W12" s="209"/>
      <c r="X12" s="209"/>
      <c r="Y12" s="209"/>
      <c r="Z12" s="209"/>
    </row>
    <row r="13" spans="1:29">
      <c r="A13" s="228" t="s">
        <v>9</v>
      </c>
      <c r="B13" s="227">
        <v>98384121</v>
      </c>
      <c r="C13" s="226">
        <v>28310880.329999998</v>
      </c>
      <c r="D13" s="233">
        <f t="shared" si="0"/>
        <v>0.28775863464796314</v>
      </c>
      <c r="E13" s="232">
        <f t="shared" si="1"/>
        <v>2.1116155880421931E-2</v>
      </c>
      <c r="F13" s="226">
        <v>26808501</v>
      </c>
      <c r="G13" s="231">
        <f t="shared" si="2"/>
        <v>5.6041153886224215E-2</v>
      </c>
      <c r="H13" s="230">
        <f t="shared" si="3"/>
        <v>5.6041153886224215E-2</v>
      </c>
      <c r="I13" s="223">
        <f t="shared" si="4"/>
        <v>2.0950398671537349E-2</v>
      </c>
      <c r="J13" s="229">
        <f t="shared" si="5"/>
        <v>1.3929121028393164E-2</v>
      </c>
      <c r="L13" s="228" t="s">
        <v>9</v>
      </c>
      <c r="M13" s="227">
        <f t="shared" si="6"/>
        <v>1363172.4826691735</v>
      </c>
      <c r="N13" s="226">
        <f t="shared" si="7"/>
        <v>811483.12595477595</v>
      </c>
      <c r="O13" s="225">
        <f t="shared" si="8"/>
        <v>359682.78698451619</v>
      </c>
      <c r="P13" s="224">
        <f t="shared" si="9"/>
        <v>2534338.3956084657</v>
      </c>
      <c r="Q13" s="223">
        <f t="shared" si="10"/>
        <v>1.9629021747350803E-2</v>
      </c>
      <c r="S13" s="209"/>
      <c r="T13" s="209"/>
      <c r="U13" s="209"/>
      <c r="V13" s="209"/>
      <c r="W13" s="209"/>
      <c r="X13" s="209"/>
      <c r="Y13" s="209"/>
      <c r="Z13" s="209"/>
    </row>
    <row r="14" spans="1:29">
      <c r="A14" s="228" t="s">
        <v>10</v>
      </c>
      <c r="B14" s="227">
        <v>21304607</v>
      </c>
      <c r="C14" s="226">
        <v>4203660</v>
      </c>
      <c r="D14" s="233">
        <f t="shared" si="0"/>
        <v>0.19731225269726871</v>
      </c>
      <c r="E14" s="232">
        <f t="shared" si="1"/>
        <v>1.4479066076227022E-2</v>
      </c>
      <c r="F14" s="226">
        <v>4025421.55</v>
      </c>
      <c r="G14" s="231">
        <f t="shared" si="2"/>
        <v>4.4278207334583319E-2</v>
      </c>
      <c r="H14" s="230">
        <f t="shared" si="3"/>
        <v>4.4278207334583319E-2</v>
      </c>
      <c r="I14" s="223">
        <f t="shared" si="4"/>
        <v>1.6552944252429813E-2</v>
      </c>
      <c r="J14" s="229">
        <f t="shared" si="5"/>
        <v>2.0682256510465499E-3</v>
      </c>
      <c r="L14" s="228" t="s">
        <v>10</v>
      </c>
      <c r="M14" s="227">
        <f t="shared" si="6"/>
        <v>934709.16589326737</v>
      </c>
      <c r="N14" s="226">
        <f t="shared" si="7"/>
        <v>641154.14490731538</v>
      </c>
      <c r="O14" s="225">
        <f t="shared" si="8"/>
        <v>53406.46870430014</v>
      </c>
      <c r="P14" s="224">
        <f t="shared" si="9"/>
        <v>1629269.7795048829</v>
      </c>
      <c r="Q14" s="223">
        <f t="shared" si="10"/>
        <v>1.2619061444051762E-2</v>
      </c>
      <c r="S14" s="209"/>
      <c r="T14" s="209"/>
      <c r="U14" s="209"/>
      <c r="V14" s="209"/>
      <c r="W14" s="209"/>
      <c r="X14" s="209"/>
      <c r="Y14" s="209"/>
      <c r="Z14" s="209"/>
    </row>
    <row r="15" spans="1:29">
      <c r="A15" s="228" t="s">
        <v>11</v>
      </c>
      <c r="B15" s="227">
        <v>2970608</v>
      </c>
      <c r="C15" s="226">
        <v>3866062</v>
      </c>
      <c r="D15" s="233">
        <f t="shared" si="0"/>
        <v>1.3014379547890533</v>
      </c>
      <c r="E15" s="232">
        <f t="shared" si="1"/>
        <v>9.5501449524332052E-2</v>
      </c>
      <c r="F15" s="226">
        <v>5594177</v>
      </c>
      <c r="G15" s="231">
        <f t="shared" si="2"/>
        <v>-0.30891317882862845</v>
      </c>
      <c r="H15" s="230">
        <f t="shared" si="3"/>
        <v>0</v>
      </c>
      <c r="I15" s="223">
        <f t="shared" si="4"/>
        <v>0</v>
      </c>
      <c r="J15" s="229">
        <f t="shared" si="5"/>
        <v>1.9021254328219518E-3</v>
      </c>
      <c r="L15" s="228" t="s">
        <v>11</v>
      </c>
      <c r="M15" s="227">
        <f t="shared" si="6"/>
        <v>6165182.1848545279</v>
      </c>
      <c r="N15" s="226">
        <f t="shared" si="7"/>
        <v>0</v>
      </c>
      <c r="O15" s="225">
        <f t="shared" si="8"/>
        <v>49117.368962257649</v>
      </c>
      <c r="P15" s="224">
        <f t="shared" si="9"/>
        <v>6214299.553816786</v>
      </c>
      <c r="Q15" s="223">
        <f t="shared" si="10"/>
        <v>4.813114984873041E-2</v>
      </c>
      <c r="S15" s="209"/>
      <c r="T15" s="209"/>
      <c r="U15" s="209"/>
      <c r="V15" s="209"/>
      <c r="W15" s="209"/>
      <c r="X15" s="209"/>
      <c r="Y15" s="209"/>
      <c r="Z15" s="209"/>
    </row>
    <row r="16" spans="1:29">
      <c r="A16" s="228" t="s">
        <v>12</v>
      </c>
      <c r="B16" s="227">
        <v>4274726</v>
      </c>
      <c r="C16" s="226">
        <v>1407462</v>
      </c>
      <c r="D16" s="233">
        <f t="shared" si="0"/>
        <v>0.32925198012691342</v>
      </c>
      <c r="E16" s="232">
        <f t="shared" si="1"/>
        <v>2.4160999181842276E-2</v>
      </c>
      <c r="F16" s="226">
        <v>1434848</v>
      </c>
      <c r="G16" s="231">
        <f t="shared" si="2"/>
        <v>-1.9086342246704913E-2</v>
      </c>
      <c r="H16" s="230">
        <f t="shared" si="3"/>
        <v>0</v>
      </c>
      <c r="I16" s="223">
        <f t="shared" si="4"/>
        <v>0</v>
      </c>
      <c r="J16" s="229">
        <f t="shared" si="5"/>
        <v>6.9247965136887363E-4</v>
      </c>
      <c r="L16" s="228" t="s">
        <v>12</v>
      </c>
      <c r="M16" s="227">
        <f t="shared" si="6"/>
        <v>1559735.0874368381</v>
      </c>
      <c r="N16" s="226">
        <f t="shared" si="7"/>
        <v>0</v>
      </c>
      <c r="O16" s="225">
        <f t="shared" si="8"/>
        <v>17881.459312953877</v>
      </c>
      <c r="P16" s="224">
        <f t="shared" si="9"/>
        <v>1577616.5467497921</v>
      </c>
      <c r="Q16" s="223">
        <f t="shared" si="10"/>
        <v>1.2218995521194912E-2</v>
      </c>
      <c r="S16" s="209"/>
      <c r="T16" s="209"/>
      <c r="U16" s="209"/>
      <c r="V16" s="209"/>
      <c r="W16" s="209"/>
      <c r="X16" s="209"/>
      <c r="Y16" s="209"/>
      <c r="Z16" s="209"/>
    </row>
    <row r="17" spans="1:26">
      <c r="A17" s="228" t="s">
        <v>13</v>
      </c>
      <c r="B17" s="227">
        <v>41956827</v>
      </c>
      <c r="C17" s="226">
        <v>12855566</v>
      </c>
      <c r="D17" s="233">
        <f t="shared" si="0"/>
        <v>0.30639986193426877</v>
      </c>
      <c r="E17" s="232">
        <f t="shared" si="1"/>
        <v>2.2484076817569702E-2</v>
      </c>
      <c r="F17" s="226">
        <v>12542027</v>
      </c>
      <c r="G17" s="231">
        <f t="shared" si="2"/>
        <v>2.4999069129734819E-2</v>
      </c>
      <c r="H17" s="230">
        <f t="shared" si="3"/>
        <v>2.4999069129734819E-2</v>
      </c>
      <c r="I17" s="223">
        <f t="shared" si="4"/>
        <v>9.3456402726570242E-3</v>
      </c>
      <c r="J17" s="229">
        <f t="shared" si="5"/>
        <v>6.3250147157291239E-3</v>
      </c>
      <c r="L17" s="228" t="s">
        <v>13</v>
      </c>
      <c r="M17" s="227">
        <f t="shared" si="6"/>
        <v>1451479.8521802954</v>
      </c>
      <c r="N17" s="226">
        <f t="shared" si="7"/>
        <v>361989.74069203535</v>
      </c>
      <c r="O17" s="225">
        <f t="shared" si="8"/>
        <v>163326.81122047571</v>
      </c>
      <c r="P17" s="224">
        <f t="shared" si="9"/>
        <v>1976796.4040928064</v>
      </c>
      <c r="Q17" s="223">
        <f t="shared" si="10"/>
        <v>1.5310733433727781E-2</v>
      </c>
      <c r="S17" s="209"/>
      <c r="T17" s="209"/>
      <c r="U17" s="209"/>
      <c r="V17" s="209"/>
      <c r="W17" s="209"/>
      <c r="X17" s="209"/>
      <c r="Y17" s="209"/>
      <c r="Z17" s="209"/>
    </row>
    <row r="18" spans="1:26">
      <c r="A18" s="228" t="s">
        <v>14</v>
      </c>
      <c r="B18" s="227">
        <v>6139487</v>
      </c>
      <c r="C18" s="226">
        <v>602897</v>
      </c>
      <c r="D18" s="233">
        <f t="shared" si="0"/>
        <v>9.81998984605717E-2</v>
      </c>
      <c r="E18" s="232">
        <f t="shared" si="1"/>
        <v>7.2060543582708973E-3</v>
      </c>
      <c r="F18" s="226">
        <v>637894</v>
      </c>
      <c r="G18" s="231">
        <f t="shared" si="2"/>
        <v>-5.4863347201886237E-2</v>
      </c>
      <c r="H18" s="230">
        <f t="shared" si="3"/>
        <v>0</v>
      </c>
      <c r="I18" s="223">
        <f t="shared" si="4"/>
        <v>0</v>
      </c>
      <c r="J18" s="229">
        <f t="shared" si="5"/>
        <v>2.9662889965863362E-4</v>
      </c>
      <c r="L18" s="228" t="s">
        <v>14</v>
      </c>
      <c r="M18" s="227">
        <f t="shared" si="6"/>
        <v>465193.3365826658</v>
      </c>
      <c r="N18" s="226">
        <f t="shared" si="7"/>
        <v>0</v>
      </c>
      <c r="O18" s="225">
        <f t="shared" si="8"/>
        <v>7659.6584315611735</v>
      </c>
      <c r="P18" s="224">
        <f t="shared" si="9"/>
        <v>472852.995014227</v>
      </c>
      <c r="Q18" s="223">
        <f t="shared" si="10"/>
        <v>3.6623529590671753E-3</v>
      </c>
      <c r="S18" s="209"/>
      <c r="T18" s="209"/>
      <c r="U18" s="209"/>
      <c r="V18" s="209"/>
      <c r="W18" s="209"/>
      <c r="X18" s="209"/>
      <c r="Y18" s="209"/>
      <c r="Z18" s="209"/>
    </row>
    <row r="19" spans="1:26">
      <c r="A19" s="228" t="s">
        <v>15</v>
      </c>
      <c r="B19" s="227">
        <v>1456249</v>
      </c>
      <c r="C19" s="226">
        <v>363371</v>
      </c>
      <c r="D19" s="233">
        <f t="shared" si="0"/>
        <v>0.24952532156245258</v>
      </c>
      <c r="E19" s="232">
        <f t="shared" si="1"/>
        <v>1.8310538596595514E-2</v>
      </c>
      <c r="F19" s="226">
        <v>290883</v>
      </c>
      <c r="G19" s="231">
        <f t="shared" si="2"/>
        <v>0.24919985011155688</v>
      </c>
      <c r="H19" s="230">
        <f t="shared" si="3"/>
        <v>0.24919985011155688</v>
      </c>
      <c r="I19" s="223">
        <f t="shared" si="4"/>
        <v>9.3160755028775924E-2</v>
      </c>
      <c r="J19" s="229">
        <f t="shared" si="5"/>
        <v>1.7878068707898257E-4</v>
      </c>
      <c r="L19" s="228" t="s">
        <v>15</v>
      </c>
      <c r="M19" s="227">
        <f t="shared" si="6"/>
        <v>1182053.3291702564</v>
      </c>
      <c r="N19" s="226">
        <f t="shared" si="7"/>
        <v>3608445.9246956543</v>
      </c>
      <c r="O19" s="225">
        <f t="shared" si="8"/>
        <v>4616.5393822407723</v>
      </c>
      <c r="P19" s="224">
        <f t="shared" si="9"/>
        <v>4795115.7932481514</v>
      </c>
      <c r="Q19" s="223">
        <f t="shared" si="10"/>
        <v>3.7139251944346321E-2</v>
      </c>
      <c r="S19" s="209"/>
      <c r="T19" s="209"/>
      <c r="U19" s="209"/>
      <c r="V19" s="209"/>
      <c r="W19" s="209"/>
      <c r="X19" s="209"/>
      <c r="Y19" s="209"/>
      <c r="Z19" s="209"/>
    </row>
    <row r="20" spans="1:26">
      <c r="A20" s="228" t="s">
        <v>16</v>
      </c>
      <c r="B20" s="227">
        <v>2045528</v>
      </c>
      <c r="C20" s="226">
        <v>531178</v>
      </c>
      <c r="D20" s="233">
        <f t="shared" si="0"/>
        <v>0.25967769690759551</v>
      </c>
      <c r="E20" s="232">
        <f t="shared" si="1"/>
        <v>1.9055534973878359E-2</v>
      </c>
      <c r="F20" s="226">
        <v>471485</v>
      </c>
      <c r="G20" s="231">
        <f t="shared" si="2"/>
        <v>0.12660636075378862</v>
      </c>
      <c r="H20" s="230">
        <f t="shared" si="3"/>
        <v>0.12660636075378862</v>
      </c>
      <c r="I20" s="223">
        <f t="shared" si="4"/>
        <v>4.7330462494212952E-2</v>
      </c>
      <c r="J20" s="229">
        <f t="shared" si="5"/>
        <v>2.6134272630793265E-4</v>
      </c>
      <c r="L20" s="228" t="s">
        <v>16</v>
      </c>
      <c r="M20" s="227">
        <f t="shared" si="6"/>
        <v>1230147.2420467844</v>
      </c>
      <c r="N20" s="226">
        <f t="shared" si="7"/>
        <v>1833276.4096689536</v>
      </c>
      <c r="O20" s="225">
        <f t="shared" si="8"/>
        <v>6748.4861367029534</v>
      </c>
      <c r="P20" s="224">
        <f t="shared" si="9"/>
        <v>3070172.1378524406</v>
      </c>
      <c r="Q20" s="223">
        <f t="shared" si="10"/>
        <v>2.3779174780464644E-2</v>
      </c>
      <c r="S20" s="209"/>
      <c r="T20" s="209"/>
      <c r="U20" s="209"/>
      <c r="V20" s="209"/>
      <c r="W20" s="209"/>
      <c r="X20" s="209"/>
      <c r="Y20" s="209"/>
      <c r="Z20" s="209"/>
    </row>
    <row r="21" spans="1:26">
      <c r="A21" s="228" t="s">
        <v>17</v>
      </c>
      <c r="B21" s="227">
        <v>9607239</v>
      </c>
      <c r="C21" s="226">
        <v>1058773</v>
      </c>
      <c r="D21" s="233">
        <f t="shared" si="0"/>
        <v>0.11020575214169233</v>
      </c>
      <c r="E21" s="232">
        <f t="shared" si="1"/>
        <v>8.0870617279306389E-3</v>
      </c>
      <c r="F21" s="226">
        <v>892233</v>
      </c>
      <c r="G21" s="231">
        <f t="shared" si="2"/>
        <v>0.18665527950658634</v>
      </c>
      <c r="H21" s="230">
        <f t="shared" si="3"/>
        <v>0.18665527950658634</v>
      </c>
      <c r="I21" s="223">
        <f t="shared" si="4"/>
        <v>6.9779122102828106E-2</v>
      </c>
      <c r="J21" s="229">
        <f t="shared" si="5"/>
        <v>5.2092259536582614E-4</v>
      </c>
      <c r="L21" s="228" t="s">
        <v>17</v>
      </c>
      <c r="M21" s="227">
        <f t="shared" si="6"/>
        <v>522067.56170914328</v>
      </c>
      <c r="N21" s="226">
        <f t="shared" si="7"/>
        <v>2702792.4870619089</v>
      </c>
      <c r="O21" s="225">
        <f t="shared" si="8"/>
        <v>13451.451137689055</v>
      </c>
      <c r="P21" s="224">
        <f t="shared" si="9"/>
        <v>3238311.4999087411</v>
      </c>
      <c r="Q21" s="223">
        <f t="shared" si="10"/>
        <v>2.508145201388691E-2</v>
      </c>
      <c r="S21" s="209"/>
      <c r="T21" s="209"/>
      <c r="U21" s="209"/>
      <c r="V21" s="209"/>
      <c r="W21" s="209"/>
      <c r="X21" s="209"/>
      <c r="Y21" s="209"/>
      <c r="Z21" s="209"/>
    </row>
    <row r="22" spans="1:26">
      <c r="A22" s="228" t="s">
        <v>18</v>
      </c>
      <c r="B22" s="227">
        <v>354652384</v>
      </c>
      <c r="C22" s="226">
        <v>84817135</v>
      </c>
      <c r="D22" s="233">
        <f t="shared" si="0"/>
        <v>0.23915568829222927</v>
      </c>
      <c r="E22" s="232">
        <f t="shared" si="1"/>
        <v>1.7549599510181223E-2</v>
      </c>
      <c r="F22" s="226">
        <v>74155651.00999999</v>
      </c>
      <c r="G22" s="231">
        <f t="shared" si="2"/>
        <v>0.14377169972605719</v>
      </c>
      <c r="H22" s="230">
        <f t="shared" si="3"/>
        <v>0.14377169972605719</v>
      </c>
      <c r="I22" s="223">
        <f t="shared" si="4"/>
        <v>5.3747544760777491E-2</v>
      </c>
      <c r="J22" s="229">
        <f t="shared" si="5"/>
        <v>4.1730533453057127E-2</v>
      </c>
      <c r="L22" s="228" t="s">
        <v>18</v>
      </c>
      <c r="M22" s="227">
        <f t="shared" si="6"/>
        <v>1132930.2203306821</v>
      </c>
      <c r="N22" s="226">
        <f t="shared" si="7"/>
        <v>2081832.7287549155</v>
      </c>
      <c r="O22" s="225">
        <f t="shared" si="8"/>
        <v>1077580.8856962505</v>
      </c>
      <c r="P22" s="224">
        <f t="shared" si="9"/>
        <v>4292343.8347818479</v>
      </c>
      <c r="Q22" s="223">
        <f t="shared" si="10"/>
        <v>3.3245169873935276E-2</v>
      </c>
      <c r="S22" s="209"/>
      <c r="T22" s="209"/>
      <c r="U22" s="209"/>
      <c r="V22" s="209"/>
      <c r="W22" s="209"/>
      <c r="X22" s="209"/>
      <c r="Y22" s="209"/>
      <c r="Z22" s="209"/>
    </row>
    <row r="23" spans="1:26">
      <c r="A23" s="228" t="s">
        <v>19</v>
      </c>
      <c r="B23" s="227">
        <v>4705374</v>
      </c>
      <c r="C23" s="226">
        <v>1347671</v>
      </c>
      <c r="D23" s="233">
        <f t="shared" si="0"/>
        <v>0.2864110270511972</v>
      </c>
      <c r="E23" s="232">
        <f t="shared" si="1"/>
        <v>2.1017266434015698E-2</v>
      </c>
      <c r="F23" s="226">
        <v>1274026</v>
      </c>
      <c r="G23" s="231">
        <f t="shared" si="2"/>
        <v>5.780494275627035E-2</v>
      </c>
      <c r="H23" s="230">
        <f t="shared" si="3"/>
        <v>5.780494275627035E-2</v>
      </c>
      <c r="I23" s="223">
        <f t="shared" si="4"/>
        <v>2.1609772675058186E-2</v>
      </c>
      <c r="J23" s="229">
        <f t="shared" si="5"/>
        <v>6.6306212476069783E-4</v>
      </c>
      <c r="L23" s="228" t="s">
        <v>19</v>
      </c>
      <c r="M23" s="227">
        <f t="shared" si="6"/>
        <v>1356788.5852907519</v>
      </c>
      <c r="N23" s="226">
        <f t="shared" si="7"/>
        <v>837023.01595588296</v>
      </c>
      <c r="O23" s="225">
        <f t="shared" si="8"/>
        <v>17121.829330914697</v>
      </c>
      <c r="P23" s="224">
        <f t="shared" si="9"/>
        <v>2210933.4305775496</v>
      </c>
      <c r="Q23" s="223">
        <f t="shared" si="10"/>
        <v>1.7124177444477442E-2</v>
      </c>
      <c r="S23" s="209"/>
      <c r="T23" s="209"/>
      <c r="U23" s="209"/>
      <c r="V23" s="209"/>
      <c r="W23" s="209"/>
      <c r="X23" s="209"/>
      <c r="Y23" s="209"/>
      <c r="Z23" s="209"/>
    </row>
    <row r="24" spans="1:26">
      <c r="A24" s="228" t="s">
        <v>20</v>
      </c>
      <c r="B24" s="227">
        <v>422301629</v>
      </c>
      <c r="C24" s="226">
        <v>139338983</v>
      </c>
      <c r="D24" s="233">
        <f t="shared" si="0"/>
        <v>0.3299513272774991</v>
      </c>
      <c r="E24" s="232">
        <f t="shared" si="1"/>
        <v>2.4212318314157322E-2</v>
      </c>
      <c r="F24" s="226">
        <v>127647607.33</v>
      </c>
      <c r="G24" s="231">
        <f t="shared" si="2"/>
        <v>9.1591028727823875E-2</v>
      </c>
      <c r="H24" s="230">
        <f t="shared" si="3"/>
        <v>9.1591028727823875E-2</v>
      </c>
      <c r="I24" s="223">
        <f t="shared" si="4"/>
        <v>3.4240347200556631E-2</v>
      </c>
      <c r="J24" s="229">
        <f t="shared" si="5"/>
        <v>6.8555606026971527E-2</v>
      </c>
      <c r="L24" s="228" t="s">
        <v>20</v>
      </c>
      <c r="M24" s="227">
        <f t="shared" si="6"/>
        <v>1563048.0402963683</v>
      </c>
      <c r="N24" s="226">
        <f t="shared" si="7"/>
        <v>1326249.8922196236</v>
      </c>
      <c r="O24" s="225">
        <f t="shared" si="8"/>
        <v>1770267.5846473095</v>
      </c>
      <c r="P24" s="224">
        <f t="shared" si="9"/>
        <v>4659565.5171633009</v>
      </c>
      <c r="Q24" s="223">
        <f t="shared" si="10"/>
        <v>3.6089384522639947E-2</v>
      </c>
      <c r="S24" s="209"/>
      <c r="T24" s="209"/>
      <c r="U24" s="209"/>
      <c r="V24" s="209"/>
      <c r="W24" s="209"/>
      <c r="X24" s="209"/>
      <c r="Y24" s="209"/>
      <c r="Z24" s="209"/>
    </row>
    <row r="25" spans="1:26">
      <c r="A25" s="228" t="s">
        <v>21</v>
      </c>
      <c r="B25" s="227">
        <v>12413879</v>
      </c>
      <c r="C25" s="226">
        <v>3647488</v>
      </c>
      <c r="D25" s="233">
        <f t="shared" si="0"/>
        <v>0.29382338912760469</v>
      </c>
      <c r="E25" s="232">
        <f t="shared" si="1"/>
        <v>2.1561196569210538E-2</v>
      </c>
      <c r="F25" s="226">
        <v>4150430.84</v>
      </c>
      <c r="G25" s="231">
        <f t="shared" si="2"/>
        <v>-0.12117846541444832</v>
      </c>
      <c r="H25" s="230">
        <f t="shared" si="3"/>
        <v>0</v>
      </c>
      <c r="I25" s="223">
        <f t="shared" si="4"/>
        <v>0</v>
      </c>
      <c r="J25" s="229">
        <f t="shared" si="5"/>
        <v>1.794585728504322E-3</v>
      </c>
      <c r="L25" s="228" t="s">
        <v>21</v>
      </c>
      <c r="M25" s="227">
        <f t="shared" si="6"/>
        <v>1391902.4856138497</v>
      </c>
      <c r="N25" s="226">
        <f t="shared" si="7"/>
        <v>0</v>
      </c>
      <c r="O25" s="225">
        <f t="shared" si="8"/>
        <v>46340.439931229055</v>
      </c>
      <c r="P25" s="224">
        <f t="shared" si="9"/>
        <v>1438242.9255450787</v>
      </c>
      <c r="Q25" s="223">
        <f t="shared" si="10"/>
        <v>1.1139515430306132E-2</v>
      </c>
      <c r="S25" s="209"/>
      <c r="T25" s="209"/>
      <c r="U25" s="209"/>
      <c r="V25" s="209"/>
      <c r="W25" s="209"/>
      <c r="X25" s="209"/>
      <c r="Y25" s="209"/>
      <c r="Z25" s="209"/>
    </row>
    <row r="26" spans="1:26">
      <c r="A26" s="228" t="s">
        <v>22</v>
      </c>
      <c r="B26" s="227">
        <v>784275</v>
      </c>
      <c r="C26" s="226">
        <v>228955</v>
      </c>
      <c r="D26" s="233">
        <f t="shared" si="0"/>
        <v>0.29193203914443278</v>
      </c>
      <c r="E26" s="232">
        <f t="shared" si="1"/>
        <v>2.1422406499129926E-2</v>
      </c>
      <c r="F26" s="226">
        <v>221868</v>
      </c>
      <c r="G26" s="231">
        <f t="shared" si="2"/>
        <v>3.1942416211441005E-2</v>
      </c>
      <c r="H26" s="230">
        <f t="shared" si="3"/>
        <v>3.1942416211441005E-2</v>
      </c>
      <c r="I26" s="223">
        <f t="shared" si="4"/>
        <v>1.1941337887519264E-2</v>
      </c>
      <c r="J26" s="229">
        <f t="shared" si="5"/>
        <v>1.1264721788521498E-4</v>
      </c>
      <c r="L26" s="228" t="s">
        <v>22</v>
      </c>
      <c r="M26" s="227">
        <f t="shared" si="6"/>
        <v>1382942.7674969253</v>
      </c>
      <c r="N26" s="226">
        <f t="shared" si="7"/>
        <v>462530.30068640993</v>
      </c>
      <c r="O26" s="225">
        <f t="shared" si="8"/>
        <v>2908.8170884878982</v>
      </c>
      <c r="P26" s="224">
        <f t="shared" si="9"/>
        <v>1848381.885271823</v>
      </c>
      <c r="Q26" s="223">
        <f t="shared" si="10"/>
        <v>1.4316134059397783E-2</v>
      </c>
      <c r="S26" s="209"/>
      <c r="T26" s="209"/>
      <c r="U26" s="209"/>
      <c r="V26" s="209"/>
      <c r="W26" s="209"/>
      <c r="X26" s="209"/>
      <c r="Y26" s="209"/>
      <c r="Z26" s="209"/>
    </row>
    <row r="27" spans="1:26">
      <c r="A27" s="228" t="s">
        <v>23</v>
      </c>
      <c r="B27" s="227">
        <v>0</v>
      </c>
      <c r="C27" s="226">
        <v>0</v>
      </c>
      <c r="D27" s="233">
        <f t="shared" si="0"/>
        <v>0</v>
      </c>
      <c r="E27" s="232">
        <f t="shared" si="1"/>
        <v>0</v>
      </c>
      <c r="F27" s="226">
        <v>0</v>
      </c>
      <c r="G27" s="231">
        <f t="shared" si="2"/>
        <v>0</v>
      </c>
      <c r="H27" s="230">
        <f t="shared" si="3"/>
        <v>0</v>
      </c>
      <c r="I27" s="223">
        <f t="shared" si="4"/>
        <v>0</v>
      </c>
      <c r="J27" s="229">
        <f t="shared" si="5"/>
        <v>0</v>
      </c>
      <c r="L27" s="228" t="s">
        <v>23</v>
      </c>
      <c r="M27" s="227">
        <f t="shared" si="6"/>
        <v>0</v>
      </c>
      <c r="N27" s="226">
        <f t="shared" si="7"/>
        <v>0</v>
      </c>
      <c r="O27" s="225">
        <f t="shared" si="8"/>
        <v>0</v>
      </c>
      <c r="P27" s="224">
        <f t="shared" si="9"/>
        <v>0</v>
      </c>
      <c r="Q27" s="223">
        <f t="shared" si="10"/>
        <v>0</v>
      </c>
      <c r="S27" s="209"/>
      <c r="T27" s="209"/>
      <c r="U27" s="209"/>
      <c r="V27" s="209"/>
      <c r="W27" s="209"/>
      <c r="X27" s="209"/>
      <c r="Y27" s="209"/>
      <c r="Z27" s="209"/>
    </row>
    <row r="28" spans="1:26">
      <c r="A28" s="228" t="s">
        <v>24</v>
      </c>
      <c r="B28" s="227">
        <v>0</v>
      </c>
      <c r="C28" s="226">
        <v>0</v>
      </c>
      <c r="D28" s="233">
        <f t="shared" si="0"/>
        <v>0</v>
      </c>
      <c r="E28" s="232">
        <f t="shared" si="1"/>
        <v>0</v>
      </c>
      <c r="F28" s="226">
        <v>0</v>
      </c>
      <c r="G28" s="231">
        <f t="shared" si="2"/>
        <v>0</v>
      </c>
      <c r="H28" s="230">
        <f t="shared" si="3"/>
        <v>0</v>
      </c>
      <c r="I28" s="223">
        <f t="shared" si="4"/>
        <v>0</v>
      </c>
      <c r="J28" s="229">
        <f t="shared" si="5"/>
        <v>0</v>
      </c>
      <c r="L28" s="228" t="s">
        <v>24</v>
      </c>
      <c r="M28" s="227">
        <f t="shared" si="6"/>
        <v>0</v>
      </c>
      <c r="N28" s="226">
        <f t="shared" si="7"/>
        <v>0</v>
      </c>
      <c r="O28" s="225">
        <f t="shared" si="8"/>
        <v>0</v>
      </c>
      <c r="P28" s="224">
        <f t="shared" si="9"/>
        <v>0</v>
      </c>
      <c r="Q28" s="223">
        <f t="shared" si="10"/>
        <v>0</v>
      </c>
      <c r="S28" s="209"/>
      <c r="T28" s="209"/>
      <c r="U28" s="209"/>
      <c r="V28" s="209"/>
      <c r="W28" s="209"/>
      <c r="X28" s="209"/>
      <c r="Y28" s="209"/>
      <c r="Z28" s="209"/>
    </row>
    <row r="29" spans="1:26">
      <c r="A29" s="228" t="s">
        <v>25</v>
      </c>
      <c r="B29" s="227">
        <v>531696647</v>
      </c>
      <c r="C29" s="226">
        <v>252087113.56999999</v>
      </c>
      <c r="D29" s="233">
        <f t="shared" si="0"/>
        <v>0.47411830597833354</v>
      </c>
      <c r="E29" s="232">
        <f t="shared" si="1"/>
        <v>3.4791505273327292E-2</v>
      </c>
      <c r="F29" s="226">
        <v>228201604.11000001</v>
      </c>
      <c r="G29" s="231">
        <f t="shared" si="2"/>
        <v>0.10466845556653692</v>
      </c>
      <c r="H29" s="230">
        <f t="shared" si="3"/>
        <v>0.10466845556653692</v>
      </c>
      <c r="I29" s="223">
        <f t="shared" si="4"/>
        <v>3.9129206313363876E-2</v>
      </c>
      <c r="J29" s="229">
        <f t="shared" si="5"/>
        <v>0.12402835495348311</v>
      </c>
      <c r="L29" s="228" t="s">
        <v>25</v>
      </c>
      <c r="M29" s="227">
        <f t="shared" si="6"/>
        <v>2245996.9933832269</v>
      </c>
      <c r="N29" s="226">
        <f t="shared" si="7"/>
        <v>1515612.7171191366</v>
      </c>
      <c r="O29" s="225">
        <f t="shared" si="8"/>
        <v>3202704.9146775808</v>
      </c>
      <c r="P29" s="224">
        <f t="shared" si="9"/>
        <v>6964314.6251799446</v>
      </c>
      <c r="Q29" s="223">
        <f t="shared" si="10"/>
        <v>5.3940185521369428E-2</v>
      </c>
      <c r="S29" s="209"/>
      <c r="T29" s="209"/>
      <c r="U29" s="209"/>
      <c r="V29" s="209"/>
      <c r="W29" s="209"/>
      <c r="X29" s="209"/>
      <c r="Y29" s="209"/>
      <c r="Z29" s="209"/>
    </row>
    <row r="30" spans="1:26">
      <c r="A30" s="228" t="s">
        <v>26</v>
      </c>
      <c r="B30" s="227">
        <v>818878</v>
      </c>
      <c r="C30" s="226">
        <v>228664</v>
      </c>
      <c r="D30" s="233">
        <f t="shared" si="0"/>
        <v>0.27924061948177875</v>
      </c>
      <c r="E30" s="232">
        <f t="shared" si="1"/>
        <v>2.0491091279802757E-2</v>
      </c>
      <c r="F30" s="226">
        <v>207054</v>
      </c>
      <c r="G30" s="231">
        <f t="shared" si="2"/>
        <v>0.10436890859389347</v>
      </c>
      <c r="H30" s="230">
        <f t="shared" si="3"/>
        <v>0.10436890859389347</v>
      </c>
      <c r="I30" s="223">
        <f t="shared" si="4"/>
        <v>3.9017223813673146E-2</v>
      </c>
      <c r="J30" s="229">
        <f t="shared" si="5"/>
        <v>1.1250404415935357E-4</v>
      </c>
      <c r="L30" s="228" t="s">
        <v>26</v>
      </c>
      <c r="M30" s="227">
        <f t="shared" si="6"/>
        <v>1322820.873774078</v>
      </c>
      <c r="N30" s="226">
        <f t="shared" si="7"/>
        <v>1511275.2383758456</v>
      </c>
      <c r="O30" s="225">
        <f t="shared" si="8"/>
        <v>2905.120004900512</v>
      </c>
      <c r="P30" s="224">
        <f t="shared" si="9"/>
        <v>2837001.2321548243</v>
      </c>
      <c r="Q30" s="223">
        <f t="shared" si="10"/>
        <v>2.1973213592835189E-2</v>
      </c>
      <c r="S30" s="209"/>
      <c r="T30" s="209"/>
      <c r="U30" s="209"/>
      <c r="V30" s="209"/>
      <c r="W30" s="209"/>
      <c r="X30" s="209"/>
      <c r="Y30" s="209"/>
      <c r="Z30" s="209"/>
    </row>
    <row r="31" spans="1:26">
      <c r="A31" s="228" t="s">
        <v>27</v>
      </c>
      <c r="B31" s="227">
        <v>2180533</v>
      </c>
      <c r="C31" s="226">
        <v>558660</v>
      </c>
      <c r="D31" s="233">
        <f t="shared" si="0"/>
        <v>0.25620341448627471</v>
      </c>
      <c r="E31" s="232">
        <f t="shared" si="1"/>
        <v>1.8800586971115658E-2</v>
      </c>
      <c r="F31" s="226">
        <v>642185</v>
      </c>
      <c r="G31" s="231">
        <f t="shared" si="2"/>
        <v>-0.1300637666715978</v>
      </c>
      <c r="H31" s="230">
        <f t="shared" si="3"/>
        <v>0</v>
      </c>
      <c r="I31" s="223">
        <f t="shared" si="4"/>
        <v>0</v>
      </c>
      <c r="J31" s="229">
        <f t="shared" si="5"/>
        <v>2.7486403329804633E-4</v>
      </c>
      <c r="L31" s="228" t="s">
        <v>27</v>
      </c>
      <c r="M31" s="227">
        <f t="shared" si="6"/>
        <v>1213688.843849421</v>
      </c>
      <c r="N31" s="226">
        <f t="shared" si="7"/>
        <v>0</v>
      </c>
      <c r="O31" s="225">
        <f t="shared" si="8"/>
        <v>7097.63820250551</v>
      </c>
      <c r="P31" s="224">
        <f t="shared" si="9"/>
        <v>1220786.4820519264</v>
      </c>
      <c r="Q31" s="223">
        <f t="shared" si="10"/>
        <v>9.4552662922174364E-3</v>
      </c>
      <c r="S31" s="209"/>
      <c r="T31" s="209"/>
      <c r="U31" s="209"/>
      <c r="V31" s="209"/>
      <c r="W31" s="209"/>
      <c r="X31" s="209"/>
      <c r="Y31" s="209"/>
      <c r="Z31" s="209"/>
    </row>
    <row r="32" spans="1:26">
      <c r="A32" s="228" t="s">
        <v>28</v>
      </c>
      <c r="B32" s="227">
        <v>678268</v>
      </c>
      <c r="C32" s="226">
        <v>282361</v>
      </c>
      <c r="D32" s="233">
        <f t="shared" si="0"/>
        <v>0.41629709790230413</v>
      </c>
      <c r="E32" s="232">
        <f t="shared" si="1"/>
        <v>3.0548499170586215E-2</v>
      </c>
      <c r="F32" s="226">
        <v>360817</v>
      </c>
      <c r="G32" s="231">
        <f t="shared" si="2"/>
        <v>-0.21743986563825979</v>
      </c>
      <c r="H32" s="230">
        <f t="shared" si="3"/>
        <v>0</v>
      </c>
      <c r="I32" s="223">
        <f t="shared" si="4"/>
        <v>0</v>
      </c>
      <c r="J32" s="229">
        <f t="shared" si="5"/>
        <v>1.3892328662526343E-4</v>
      </c>
      <c r="L32" s="228" t="s">
        <v>28</v>
      </c>
      <c r="M32" s="227">
        <f t="shared" si="6"/>
        <v>1972085.9086286074</v>
      </c>
      <c r="N32" s="226">
        <f t="shared" si="7"/>
        <v>0</v>
      </c>
      <c r="O32" s="225">
        <f t="shared" si="8"/>
        <v>3587.3272124327113</v>
      </c>
      <c r="P32" s="224">
        <f t="shared" si="9"/>
        <v>1975673.23584104</v>
      </c>
      <c r="Q32" s="223">
        <f t="shared" si="10"/>
        <v>1.5302034242618157E-2</v>
      </c>
      <c r="S32" s="209"/>
      <c r="T32" s="209"/>
      <c r="U32" s="209"/>
      <c r="V32" s="209"/>
      <c r="W32" s="209"/>
      <c r="X32" s="209"/>
      <c r="Y32" s="209"/>
      <c r="Z32" s="209"/>
    </row>
    <row r="33" spans="1:26">
      <c r="A33" s="228" t="s">
        <v>29</v>
      </c>
      <c r="B33" s="227">
        <v>1784944</v>
      </c>
      <c r="C33" s="226">
        <v>494360</v>
      </c>
      <c r="D33" s="233">
        <f t="shared" si="0"/>
        <v>0.27696106992712377</v>
      </c>
      <c r="E33" s="232">
        <f t="shared" si="1"/>
        <v>2.0323814548759991E-2</v>
      </c>
      <c r="F33" s="226">
        <v>457885</v>
      </c>
      <c r="G33" s="231">
        <f t="shared" si="2"/>
        <v>7.9659739891020598E-2</v>
      </c>
      <c r="H33" s="230">
        <f t="shared" si="3"/>
        <v>7.9659739891020598E-2</v>
      </c>
      <c r="I33" s="223">
        <f t="shared" si="4"/>
        <v>2.9779959780558536E-2</v>
      </c>
      <c r="J33" s="229">
        <f t="shared" si="5"/>
        <v>2.43228051947915E-4</v>
      </c>
      <c r="L33" s="228" t="s">
        <v>29</v>
      </c>
      <c r="M33" s="227">
        <f t="shared" si="6"/>
        <v>1312022.1735731685</v>
      </c>
      <c r="N33" s="226">
        <f t="shared" si="7"/>
        <v>1153483.2932017823</v>
      </c>
      <c r="O33" s="225">
        <f t="shared" si="8"/>
        <v>6280.7224819937428</v>
      </c>
      <c r="P33" s="224">
        <f t="shared" si="9"/>
        <v>2471786.1892569447</v>
      </c>
      <c r="Q33" s="223">
        <f t="shared" si="10"/>
        <v>1.9144540818937138E-2</v>
      </c>
      <c r="S33" s="209"/>
      <c r="T33" s="209"/>
      <c r="U33" s="209"/>
      <c r="V33" s="209"/>
      <c r="W33" s="209"/>
      <c r="X33" s="209"/>
      <c r="Y33" s="209"/>
      <c r="Z33" s="209"/>
    </row>
    <row r="34" spans="1:26">
      <c r="A34" s="228" t="s">
        <v>30</v>
      </c>
      <c r="B34" s="227">
        <v>550784</v>
      </c>
      <c r="C34" s="226">
        <v>111314</v>
      </c>
      <c r="D34" s="233">
        <f t="shared" si="0"/>
        <v>0.20210100511271206</v>
      </c>
      <c r="E34" s="232">
        <f t="shared" si="1"/>
        <v>1.4830471838910586E-2</v>
      </c>
      <c r="F34" s="226">
        <v>71527</v>
      </c>
      <c r="G34" s="231">
        <f t="shared" si="2"/>
        <v>0.55625148545304581</v>
      </c>
      <c r="H34" s="230">
        <f t="shared" si="3"/>
        <v>0.55625148545304581</v>
      </c>
      <c r="I34" s="223">
        <f t="shared" si="4"/>
        <v>0.20794879430098293</v>
      </c>
      <c r="J34" s="229">
        <f t="shared" si="5"/>
        <v>5.4767148180536878E-5</v>
      </c>
      <c r="L34" s="228" t="s">
        <v>30</v>
      </c>
      <c r="M34" s="227">
        <f t="shared" si="6"/>
        <v>957394.48175540986</v>
      </c>
      <c r="N34" s="226">
        <f t="shared" si="7"/>
        <v>8054593.1503987741</v>
      </c>
      <c r="O34" s="225">
        <f t="shared" si="8"/>
        <v>1414.2170530800458</v>
      </c>
      <c r="P34" s="224">
        <f t="shared" si="9"/>
        <v>9013401.8492072634</v>
      </c>
      <c r="Q34" s="223">
        <f t="shared" si="10"/>
        <v>6.9810827639386258E-2</v>
      </c>
      <c r="S34" s="209"/>
      <c r="T34" s="209"/>
      <c r="U34" s="209"/>
      <c r="V34" s="209"/>
      <c r="W34" s="209"/>
      <c r="X34" s="209"/>
      <c r="Y34" s="209"/>
      <c r="Z34" s="209"/>
    </row>
    <row r="35" spans="1:26">
      <c r="A35" s="228" t="s">
        <v>31</v>
      </c>
      <c r="B35" s="227">
        <v>0</v>
      </c>
      <c r="C35" s="226">
        <v>0</v>
      </c>
      <c r="D35" s="233">
        <f t="shared" si="0"/>
        <v>0</v>
      </c>
      <c r="E35" s="232">
        <f t="shared" si="1"/>
        <v>0</v>
      </c>
      <c r="F35" s="226">
        <v>0</v>
      </c>
      <c r="G35" s="231">
        <f t="shared" si="2"/>
        <v>0</v>
      </c>
      <c r="H35" s="230">
        <f t="shared" si="3"/>
        <v>0</v>
      </c>
      <c r="I35" s="223">
        <f t="shared" si="4"/>
        <v>0</v>
      </c>
      <c r="J35" s="229">
        <f t="shared" si="5"/>
        <v>0</v>
      </c>
      <c r="L35" s="228" t="s">
        <v>31</v>
      </c>
      <c r="M35" s="227">
        <f t="shared" si="6"/>
        <v>0</v>
      </c>
      <c r="N35" s="226">
        <f t="shared" si="7"/>
        <v>0</v>
      </c>
      <c r="O35" s="225">
        <f t="shared" si="8"/>
        <v>0</v>
      </c>
      <c r="P35" s="224">
        <f t="shared" si="9"/>
        <v>0</v>
      </c>
      <c r="Q35" s="223">
        <f t="shared" si="10"/>
        <v>0</v>
      </c>
      <c r="S35" s="209"/>
      <c r="T35" s="209"/>
      <c r="U35" s="209"/>
      <c r="V35" s="209"/>
      <c r="W35" s="209"/>
      <c r="X35" s="209"/>
      <c r="Y35" s="209"/>
      <c r="Z35" s="209"/>
    </row>
    <row r="36" spans="1:26">
      <c r="A36" s="228" t="s">
        <v>32</v>
      </c>
      <c r="B36" s="227">
        <v>3683050</v>
      </c>
      <c r="C36" s="226">
        <v>1144646</v>
      </c>
      <c r="D36" s="233">
        <f t="shared" si="0"/>
        <v>0.3107875266423209</v>
      </c>
      <c r="E36" s="232">
        <f t="shared" si="1"/>
        <v>2.2806050168741598E-2</v>
      </c>
      <c r="F36" s="226">
        <v>1230552</v>
      </c>
      <c r="G36" s="231">
        <f t="shared" si="2"/>
        <v>-6.9810946632080539E-2</v>
      </c>
      <c r="H36" s="230">
        <f t="shared" si="3"/>
        <v>0</v>
      </c>
      <c r="I36" s="223">
        <f t="shared" si="4"/>
        <v>0</v>
      </c>
      <c r="J36" s="229">
        <f t="shared" si="5"/>
        <v>5.6317262066100232E-4</v>
      </c>
      <c r="L36" s="228" t="s">
        <v>32</v>
      </c>
      <c r="M36" s="227">
        <f t="shared" si="6"/>
        <v>1472265.1321789736</v>
      </c>
      <c r="N36" s="226">
        <f t="shared" si="7"/>
        <v>0</v>
      </c>
      <c r="O36" s="225">
        <f t="shared" si="8"/>
        <v>14542.446529096629</v>
      </c>
      <c r="P36" s="224">
        <f t="shared" si="9"/>
        <v>1486807.5787080703</v>
      </c>
      <c r="Q36" s="223">
        <f t="shared" si="10"/>
        <v>1.1515659608502999E-2</v>
      </c>
      <c r="S36" s="209"/>
      <c r="T36" s="209"/>
      <c r="U36" s="209"/>
      <c r="V36" s="209"/>
      <c r="W36" s="209"/>
      <c r="X36" s="209"/>
      <c r="Y36" s="209"/>
      <c r="Z36" s="209"/>
    </row>
    <row r="37" spans="1:26">
      <c r="A37" s="228" t="s">
        <v>33</v>
      </c>
      <c r="B37" s="227">
        <v>38008782</v>
      </c>
      <c r="C37" s="226">
        <v>10001944</v>
      </c>
      <c r="D37" s="233">
        <f t="shared" ref="D37:D55" si="11">IFERROR(C37/B37,0)</f>
        <v>0.26314823768885831</v>
      </c>
      <c r="E37" s="232">
        <f t="shared" ref="E37:E55" si="12">IFERROR(D37/$D$56,0)</f>
        <v>1.9310208409537941E-2</v>
      </c>
      <c r="F37" s="226">
        <v>10573187</v>
      </c>
      <c r="G37" s="231">
        <f t="shared" ref="G37:G55" si="13">IFERROR((C37/F37)-1,0)</f>
        <v>-5.4027513180273878E-2</v>
      </c>
      <c r="H37" s="230">
        <f t="shared" ref="H37:H55" si="14">IF(G37&lt;0,0,G37)</f>
        <v>0</v>
      </c>
      <c r="I37" s="223">
        <f t="shared" ref="I37:I55" si="15">IFERROR(H37/$H$56,0)</f>
        <v>0</v>
      </c>
      <c r="J37" s="229">
        <f t="shared" ref="J37:J55" si="16">IFERROR(C37/$C$56,0)</f>
        <v>4.9210157674814646E-3</v>
      </c>
      <c r="L37" s="228" t="s">
        <v>33</v>
      </c>
      <c r="M37" s="227">
        <f t="shared" ref="M37:M55" si="17">IFERROR($M$3*E37,0)</f>
        <v>1246587.9153172367</v>
      </c>
      <c r="N37" s="226">
        <f t="shared" ref="N37:N55" si="18">IFERROR($N$3*I37,0)</f>
        <v>0</v>
      </c>
      <c r="O37" s="225">
        <f t="shared" ref="O37:O55" si="19">IFERROR($O$3*J37,0)</f>
        <v>127072.2440012186</v>
      </c>
      <c r="P37" s="224">
        <f t="shared" ref="P37:P55" si="20">IFERROR(SUM(M37:O37),0)</f>
        <v>1373660.1593184553</v>
      </c>
      <c r="Q37" s="223">
        <f t="shared" ref="Q37:Q55" si="21">IFERROR(P37/$P$56,0)</f>
        <v>1.0639307358265262E-2</v>
      </c>
      <c r="S37" s="209"/>
      <c r="T37" s="209"/>
      <c r="U37" s="209"/>
      <c r="V37" s="209"/>
      <c r="W37" s="209"/>
      <c r="X37" s="209"/>
      <c r="Y37" s="209"/>
      <c r="Z37" s="209"/>
    </row>
    <row r="38" spans="1:26">
      <c r="A38" s="228" t="s">
        <v>34</v>
      </c>
      <c r="B38" s="227">
        <v>0</v>
      </c>
      <c r="C38" s="226">
        <v>0</v>
      </c>
      <c r="D38" s="233">
        <f t="shared" si="11"/>
        <v>0</v>
      </c>
      <c r="E38" s="232">
        <f t="shared" si="12"/>
        <v>0</v>
      </c>
      <c r="F38" s="226">
        <v>0</v>
      </c>
      <c r="G38" s="231">
        <f t="shared" si="13"/>
        <v>0</v>
      </c>
      <c r="H38" s="230">
        <f t="shared" si="14"/>
        <v>0</v>
      </c>
      <c r="I38" s="223">
        <f t="shared" si="15"/>
        <v>0</v>
      </c>
      <c r="J38" s="229">
        <f t="shared" si="16"/>
        <v>0</v>
      </c>
      <c r="L38" s="228" t="s">
        <v>34</v>
      </c>
      <c r="M38" s="227">
        <f t="shared" si="17"/>
        <v>0</v>
      </c>
      <c r="N38" s="226">
        <f t="shared" si="18"/>
        <v>0</v>
      </c>
      <c r="O38" s="225">
        <f t="shared" si="19"/>
        <v>0</v>
      </c>
      <c r="P38" s="224">
        <f t="shared" si="20"/>
        <v>0</v>
      </c>
      <c r="Q38" s="223">
        <f t="shared" si="21"/>
        <v>0</v>
      </c>
      <c r="S38" s="209"/>
      <c r="T38" s="209"/>
      <c r="U38" s="209"/>
      <c r="V38" s="209"/>
      <c r="W38" s="209"/>
      <c r="X38" s="209"/>
      <c r="Y38" s="209"/>
      <c r="Z38" s="209"/>
    </row>
    <row r="39" spans="1:26">
      <c r="A39" s="228" t="s">
        <v>35</v>
      </c>
      <c r="B39" s="227">
        <v>737314</v>
      </c>
      <c r="C39" s="226">
        <v>296444</v>
      </c>
      <c r="D39" s="233">
        <f t="shared" si="11"/>
        <v>0.40205936683692428</v>
      </c>
      <c r="E39" s="232">
        <f t="shared" si="12"/>
        <v>2.9503713324531968E-2</v>
      </c>
      <c r="F39" s="226">
        <v>262924</v>
      </c>
      <c r="G39" s="231">
        <f t="shared" si="13"/>
        <v>0.12748931250095086</v>
      </c>
      <c r="H39" s="230">
        <f t="shared" si="14"/>
        <v>0.12748931250095086</v>
      </c>
      <c r="I39" s="223">
        <f t="shared" si="15"/>
        <v>4.7660544761047335E-2</v>
      </c>
      <c r="J39" s="229">
        <f t="shared" si="16"/>
        <v>1.4585220614865224E-4</v>
      </c>
      <c r="L39" s="228" t="s">
        <v>35</v>
      </c>
      <c r="M39" s="227">
        <f t="shared" si="17"/>
        <v>1904638.8162843108</v>
      </c>
      <c r="N39" s="226">
        <f t="shared" si="18"/>
        <v>1846061.6646854563</v>
      </c>
      <c r="O39" s="225">
        <f t="shared" si="19"/>
        <v>3766.2482714057637</v>
      </c>
      <c r="P39" s="224">
        <f t="shared" si="20"/>
        <v>3754466.7292411728</v>
      </c>
      <c r="Q39" s="223">
        <f t="shared" si="21"/>
        <v>2.907919053180991E-2</v>
      </c>
      <c r="S39" s="209"/>
      <c r="T39" s="209"/>
      <c r="U39" s="209"/>
      <c r="V39" s="209"/>
      <c r="W39" s="209"/>
      <c r="X39" s="209"/>
      <c r="Y39" s="209"/>
      <c r="Z39" s="209"/>
    </row>
    <row r="40" spans="1:26">
      <c r="A40" s="228" t="s">
        <v>36</v>
      </c>
      <c r="B40" s="227">
        <v>752319</v>
      </c>
      <c r="C40" s="226">
        <v>94052</v>
      </c>
      <c r="D40" s="233">
        <f t="shared" si="11"/>
        <v>0.12501611683341773</v>
      </c>
      <c r="E40" s="232">
        <f t="shared" si="12"/>
        <v>9.173868279744337E-3</v>
      </c>
      <c r="F40" s="226">
        <v>85535</v>
      </c>
      <c r="G40" s="231">
        <f t="shared" si="13"/>
        <v>9.9573274098322395E-2</v>
      </c>
      <c r="H40" s="230">
        <f t="shared" si="14"/>
        <v>9.9573274098322395E-2</v>
      </c>
      <c r="I40" s="223">
        <f t="shared" si="15"/>
        <v>3.7224426064198395E-2</v>
      </c>
      <c r="J40" s="229">
        <f t="shared" si="16"/>
        <v>4.6274141803150139E-5</v>
      </c>
      <c r="L40" s="228" t="s">
        <v>36</v>
      </c>
      <c r="M40" s="227">
        <f t="shared" si="17"/>
        <v>592227.33860255952</v>
      </c>
      <c r="N40" s="226">
        <f t="shared" si="18"/>
        <v>1441833.833238055</v>
      </c>
      <c r="O40" s="225">
        <f t="shared" si="19"/>
        <v>1194.9075792468557</v>
      </c>
      <c r="P40" s="224">
        <f t="shared" si="20"/>
        <v>2035256.0794198615</v>
      </c>
      <c r="Q40" s="223">
        <f t="shared" si="21"/>
        <v>1.5763516787492316E-2</v>
      </c>
      <c r="S40" s="209"/>
      <c r="T40" s="209"/>
      <c r="U40" s="209"/>
      <c r="V40" s="209"/>
      <c r="W40" s="209"/>
      <c r="X40" s="209"/>
      <c r="Y40" s="209"/>
      <c r="Z40" s="209"/>
    </row>
    <row r="41" spans="1:26">
      <c r="A41" s="228" t="s">
        <v>37</v>
      </c>
      <c r="B41" s="227">
        <v>4368244</v>
      </c>
      <c r="C41" s="226">
        <v>601205</v>
      </c>
      <c r="D41" s="233">
        <f t="shared" si="11"/>
        <v>0.13763081915753791</v>
      </c>
      <c r="E41" s="232">
        <f t="shared" si="12"/>
        <v>1.0099553866858407E-2</v>
      </c>
      <c r="F41" s="226">
        <v>684339</v>
      </c>
      <c r="G41" s="231">
        <f t="shared" si="13"/>
        <v>-0.12148072811866628</v>
      </c>
      <c r="H41" s="230">
        <f t="shared" si="14"/>
        <v>0</v>
      </c>
      <c r="I41" s="223">
        <f t="shared" si="15"/>
        <v>0</v>
      </c>
      <c r="J41" s="229">
        <f t="shared" si="16"/>
        <v>2.9579642562372813E-4</v>
      </c>
      <c r="L41" s="228" t="s">
        <v>37</v>
      </c>
      <c r="M41" s="227">
        <f t="shared" si="17"/>
        <v>651985.80634181853</v>
      </c>
      <c r="N41" s="226">
        <f t="shared" si="18"/>
        <v>0</v>
      </c>
      <c r="O41" s="225">
        <f t="shared" si="19"/>
        <v>7638.1619867850313</v>
      </c>
      <c r="P41" s="224">
        <f t="shared" si="20"/>
        <v>659623.96832860354</v>
      </c>
      <c r="Q41" s="223">
        <f t="shared" si="21"/>
        <v>5.1089362185539481E-3</v>
      </c>
      <c r="S41" s="209"/>
      <c r="T41" s="209"/>
      <c r="U41" s="209"/>
      <c r="V41" s="209"/>
      <c r="W41" s="209"/>
      <c r="X41" s="209"/>
      <c r="Y41" s="209"/>
      <c r="Z41" s="209"/>
    </row>
    <row r="42" spans="1:26">
      <c r="A42" s="228" t="s">
        <v>38</v>
      </c>
      <c r="B42" s="227">
        <v>54997682</v>
      </c>
      <c r="C42" s="226">
        <v>16720965.199999999</v>
      </c>
      <c r="D42" s="233">
        <f t="shared" si="11"/>
        <v>0.304030362588736</v>
      </c>
      <c r="E42" s="232">
        <f t="shared" si="12"/>
        <v>2.2310199437313018E-2</v>
      </c>
      <c r="F42" s="226">
        <v>16186491</v>
      </c>
      <c r="G42" s="231">
        <f t="shared" si="13"/>
        <v>3.3019769386706477E-2</v>
      </c>
      <c r="H42" s="230">
        <f t="shared" si="14"/>
        <v>3.3019769386706477E-2</v>
      </c>
      <c r="I42" s="223">
        <f t="shared" si="15"/>
        <v>1.234409509301297E-2</v>
      </c>
      <c r="J42" s="229">
        <f t="shared" si="16"/>
        <v>8.2268140470201454E-3</v>
      </c>
      <c r="L42" s="228" t="s">
        <v>38</v>
      </c>
      <c r="M42" s="227">
        <f t="shared" si="17"/>
        <v>1440255.0411177727</v>
      </c>
      <c r="N42" s="226">
        <f t="shared" si="18"/>
        <v>478130.51341930008</v>
      </c>
      <c r="O42" s="225">
        <f t="shared" si="19"/>
        <v>212435.75947138725</v>
      </c>
      <c r="P42" s="224">
        <f t="shared" si="20"/>
        <v>2130821.3140084599</v>
      </c>
      <c r="Q42" s="223">
        <f t="shared" si="21"/>
        <v>1.6503691055964428E-2</v>
      </c>
      <c r="S42" s="209"/>
      <c r="T42" s="209"/>
      <c r="U42" s="209"/>
      <c r="V42" s="209"/>
      <c r="W42" s="209"/>
      <c r="X42" s="209"/>
      <c r="Y42" s="209"/>
      <c r="Z42" s="209"/>
    </row>
    <row r="43" spans="1:26">
      <c r="A43" s="228" t="s">
        <v>39</v>
      </c>
      <c r="B43" s="227">
        <v>0</v>
      </c>
      <c r="C43" s="226">
        <v>0</v>
      </c>
      <c r="D43" s="233">
        <f t="shared" si="11"/>
        <v>0</v>
      </c>
      <c r="E43" s="232">
        <f t="shared" si="12"/>
        <v>0</v>
      </c>
      <c r="F43" s="226">
        <v>0</v>
      </c>
      <c r="G43" s="231">
        <f t="shared" si="13"/>
        <v>0</v>
      </c>
      <c r="H43" s="230">
        <f t="shared" si="14"/>
        <v>0</v>
      </c>
      <c r="I43" s="223">
        <f t="shared" si="15"/>
        <v>0</v>
      </c>
      <c r="J43" s="229">
        <f t="shared" si="16"/>
        <v>0</v>
      </c>
      <c r="L43" s="228" t="s">
        <v>39</v>
      </c>
      <c r="M43" s="227">
        <f t="shared" si="17"/>
        <v>0</v>
      </c>
      <c r="N43" s="226">
        <f t="shared" si="18"/>
        <v>0</v>
      </c>
      <c r="O43" s="225">
        <f t="shared" si="19"/>
        <v>0</v>
      </c>
      <c r="P43" s="224">
        <f t="shared" si="20"/>
        <v>0</v>
      </c>
      <c r="Q43" s="223">
        <f t="shared" si="21"/>
        <v>0</v>
      </c>
      <c r="S43" s="209"/>
      <c r="T43" s="209"/>
      <c r="U43" s="209"/>
      <c r="V43" s="209"/>
      <c r="W43" s="209"/>
      <c r="X43" s="209"/>
      <c r="Y43" s="209"/>
      <c r="Z43" s="209"/>
    </row>
    <row r="44" spans="1:26">
      <c r="A44" s="228" t="s">
        <v>40</v>
      </c>
      <c r="B44" s="227">
        <v>1283549</v>
      </c>
      <c r="C44" s="226">
        <v>476354</v>
      </c>
      <c r="D44" s="233">
        <f t="shared" si="11"/>
        <v>0.371122567194552</v>
      </c>
      <c r="E44" s="232">
        <f t="shared" si="12"/>
        <v>2.7233525031176656E-2</v>
      </c>
      <c r="F44" s="226">
        <v>507232</v>
      </c>
      <c r="G44" s="231">
        <f t="shared" si="13"/>
        <v>-6.0875496814081109E-2</v>
      </c>
      <c r="H44" s="230">
        <f t="shared" si="14"/>
        <v>0</v>
      </c>
      <c r="I44" s="223">
        <f t="shared" si="15"/>
        <v>0</v>
      </c>
      <c r="J44" s="229">
        <f t="shared" si="16"/>
        <v>2.3436899315801665E-4</v>
      </c>
      <c r="L44" s="228" t="s">
        <v>40</v>
      </c>
      <c r="M44" s="227">
        <f t="shared" si="17"/>
        <v>1758084.764045622</v>
      </c>
      <c r="N44" s="226">
        <f t="shared" si="18"/>
        <v>0</v>
      </c>
      <c r="O44" s="225">
        <f t="shared" si="19"/>
        <v>6051.9606707412568</v>
      </c>
      <c r="P44" s="224">
        <f t="shared" si="20"/>
        <v>1764136.7247163632</v>
      </c>
      <c r="Q44" s="223">
        <f t="shared" si="21"/>
        <v>1.3663636314219931E-2</v>
      </c>
      <c r="S44" s="209"/>
      <c r="T44" s="209"/>
      <c r="U44" s="209"/>
      <c r="V44" s="209"/>
      <c r="W44" s="209"/>
      <c r="X44" s="209"/>
      <c r="Y44" s="209"/>
      <c r="Z44" s="209"/>
    </row>
    <row r="45" spans="1:26">
      <c r="A45" s="228" t="s">
        <v>41</v>
      </c>
      <c r="B45" s="227">
        <v>0</v>
      </c>
      <c r="C45" s="226">
        <v>0</v>
      </c>
      <c r="D45" s="233">
        <f t="shared" si="11"/>
        <v>0</v>
      </c>
      <c r="E45" s="232">
        <f t="shared" si="12"/>
        <v>0</v>
      </c>
      <c r="F45" s="226">
        <v>0</v>
      </c>
      <c r="G45" s="231">
        <f t="shared" si="13"/>
        <v>0</v>
      </c>
      <c r="H45" s="230">
        <f t="shared" si="14"/>
        <v>0</v>
      </c>
      <c r="I45" s="223">
        <f t="shared" si="15"/>
        <v>0</v>
      </c>
      <c r="J45" s="229">
        <f t="shared" si="16"/>
        <v>0</v>
      </c>
      <c r="L45" s="228" t="s">
        <v>41</v>
      </c>
      <c r="M45" s="227">
        <f t="shared" si="17"/>
        <v>0</v>
      </c>
      <c r="N45" s="226">
        <f t="shared" si="18"/>
        <v>0</v>
      </c>
      <c r="O45" s="225">
        <f t="shared" si="19"/>
        <v>0</v>
      </c>
      <c r="P45" s="224">
        <f t="shared" si="20"/>
        <v>0</v>
      </c>
      <c r="Q45" s="223">
        <f t="shared" si="21"/>
        <v>0</v>
      </c>
      <c r="S45" s="209"/>
      <c r="T45" s="209"/>
      <c r="U45" s="209"/>
      <c r="V45" s="209"/>
      <c r="W45" s="209"/>
      <c r="X45" s="209"/>
      <c r="Y45" s="209"/>
      <c r="Z45" s="209"/>
    </row>
    <row r="46" spans="1:26">
      <c r="A46" s="228" t="s">
        <v>42</v>
      </c>
      <c r="B46" s="227">
        <v>5999815</v>
      </c>
      <c r="C46" s="226">
        <v>704593</v>
      </c>
      <c r="D46" s="233">
        <f t="shared" si="11"/>
        <v>0.11743578760345111</v>
      </c>
      <c r="E46" s="232">
        <f t="shared" si="12"/>
        <v>8.6176124654202373E-3</v>
      </c>
      <c r="F46" s="226">
        <v>745242</v>
      </c>
      <c r="G46" s="231">
        <f t="shared" si="13"/>
        <v>-5.4544698232252053E-2</v>
      </c>
      <c r="H46" s="230">
        <f t="shared" si="14"/>
        <v>0</v>
      </c>
      <c r="I46" s="223">
        <f t="shared" si="15"/>
        <v>0</v>
      </c>
      <c r="J46" s="229">
        <f t="shared" si="16"/>
        <v>3.4666393479678223E-4</v>
      </c>
      <c r="L46" s="228" t="s">
        <v>42</v>
      </c>
      <c r="M46" s="227">
        <f t="shared" si="17"/>
        <v>556317.74294957484</v>
      </c>
      <c r="N46" s="226">
        <f t="shared" si="18"/>
        <v>0</v>
      </c>
      <c r="O46" s="225">
        <f t="shared" si="19"/>
        <v>8951.6811549385402</v>
      </c>
      <c r="P46" s="224">
        <f t="shared" si="20"/>
        <v>565269.42410451337</v>
      </c>
      <c r="Q46" s="223">
        <f t="shared" si="21"/>
        <v>4.378139019669474E-3</v>
      </c>
      <c r="S46" s="209"/>
      <c r="T46" s="209"/>
      <c r="U46" s="209"/>
      <c r="V46" s="209"/>
      <c r="W46" s="209"/>
      <c r="X46" s="209"/>
      <c r="Y46" s="209"/>
      <c r="Z46" s="209"/>
    </row>
    <row r="47" spans="1:26">
      <c r="A47" s="228" t="s">
        <v>43</v>
      </c>
      <c r="B47" s="227">
        <v>1019262</v>
      </c>
      <c r="C47" s="226">
        <v>625255</v>
      </c>
      <c r="D47" s="233">
        <f t="shared" si="11"/>
        <v>0.61343893915401537</v>
      </c>
      <c r="E47" s="232">
        <f t="shared" si="12"/>
        <v>4.5015060201907799E-2</v>
      </c>
      <c r="F47" s="226">
        <v>536095</v>
      </c>
      <c r="G47" s="231">
        <f t="shared" si="13"/>
        <v>0.16631380632164072</v>
      </c>
      <c r="H47" s="230">
        <f t="shared" si="14"/>
        <v>0.16631380632164072</v>
      </c>
      <c r="I47" s="223">
        <f t="shared" si="15"/>
        <v>6.2174675312596066E-2</v>
      </c>
      <c r="J47" s="229">
        <f t="shared" si="16"/>
        <v>3.076291682593527E-4</v>
      </c>
      <c r="L47" s="228" t="s">
        <v>43</v>
      </c>
      <c r="M47" s="227">
        <f t="shared" si="17"/>
        <v>2905987.8000725778</v>
      </c>
      <c r="N47" s="226">
        <f t="shared" si="18"/>
        <v>2408245.3355140081</v>
      </c>
      <c r="O47" s="225">
        <f t="shared" si="19"/>
        <v>7943.7113348147059</v>
      </c>
      <c r="P47" s="224">
        <f t="shared" si="20"/>
        <v>5322176.8469214002</v>
      </c>
      <c r="Q47" s="223">
        <f t="shared" si="21"/>
        <v>4.1221458528384582E-2</v>
      </c>
      <c r="S47" s="209"/>
      <c r="T47" s="209"/>
      <c r="U47" s="209"/>
      <c r="V47" s="209"/>
      <c r="W47" s="209"/>
      <c r="X47" s="209"/>
      <c r="Y47" s="209"/>
      <c r="Z47" s="209"/>
    </row>
    <row r="48" spans="1:26">
      <c r="A48" s="228" t="s">
        <v>44</v>
      </c>
      <c r="B48" s="227">
        <v>18416508</v>
      </c>
      <c r="C48" s="226">
        <v>6249012</v>
      </c>
      <c r="D48" s="233">
        <f t="shared" si="11"/>
        <v>0.33931579211433566</v>
      </c>
      <c r="E48" s="232">
        <f t="shared" si="12"/>
        <v>2.4899496648434875E-2</v>
      </c>
      <c r="F48" s="226">
        <v>6777223</v>
      </c>
      <c r="G48" s="231">
        <f t="shared" si="13"/>
        <v>-7.793915000288465E-2</v>
      </c>
      <c r="H48" s="230">
        <f t="shared" si="14"/>
        <v>0</v>
      </c>
      <c r="I48" s="223">
        <f t="shared" si="15"/>
        <v>0</v>
      </c>
      <c r="J48" s="229">
        <f t="shared" si="16"/>
        <v>3.0745509656103735E-3</v>
      </c>
      <c r="L48" s="228" t="s">
        <v>44</v>
      </c>
      <c r="M48" s="227">
        <f t="shared" si="17"/>
        <v>1607409.457273883</v>
      </c>
      <c r="N48" s="226">
        <f t="shared" si="18"/>
        <v>0</v>
      </c>
      <c r="O48" s="225">
        <f t="shared" si="19"/>
        <v>79392.163926387017</v>
      </c>
      <c r="P48" s="224">
        <f t="shared" si="20"/>
        <v>1686801.62120027</v>
      </c>
      <c r="Q48" s="223">
        <f t="shared" si="21"/>
        <v>1.306465851733951E-2</v>
      </c>
      <c r="S48" s="209"/>
      <c r="T48" s="209"/>
      <c r="U48" s="209"/>
      <c r="V48" s="209"/>
      <c r="W48" s="209"/>
      <c r="X48" s="209"/>
      <c r="Y48" s="209"/>
      <c r="Z48" s="209"/>
    </row>
    <row r="49" spans="1:26">
      <c r="A49" s="228" t="s">
        <v>45</v>
      </c>
      <c r="B49" s="227">
        <v>345400602</v>
      </c>
      <c r="C49" s="226">
        <v>19718538</v>
      </c>
      <c r="D49" s="233">
        <f t="shared" si="11"/>
        <v>5.7088892971877331E-2</v>
      </c>
      <c r="E49" s="232">
        <f t="shared" si="12"/>
        <v>4.1892677330418338E-3</v>
      </c>
      <c r="F49" s="226">
        <v>21565896.16</v>
      </c>
      <c r="G49" s="231">
        <f t="shared" si="13"/>
        <v>-8.566108944855455E-2</v>
      </c>
      <c r="H49" s="230">
        <f t="shared" si="14"/>
        <v>0</v>
      </c>
      <c r="I49" s="223">
        <f t="shared" si="15"/>
        <v>0</v>
      </c>
      <c r="J49" s="229">
        <f t="shared" si="16"/>
        <v>9.7016376426105194E-3</v>
      </c>
      <c r="L49" s="228" t="s">
        <v>45</v>
      </c>
      <c r="M49" s="227">
        <f t="shared" si="17"/>
        <v>270441.95584439818</v>
      </c>
      <c r="N49" s="226">
        <f t="shared" si="18"/>
        <v>0</v>
      </c>
      <c r="O49" s="225">
        <f t="shared" si="19"/>
        <v>250519.18627851756</v>
      </c>
      <c r="P49" s="224">
        <f t="shared" si="20"/>
        <v>520961.14212291571</v>
      </c>
      <c r="Q49" s="223">
        <f t="shared" si="21"/>
        <v>4.0349613950430201E-3</v>
      </c>
      <c r="S49" s="209"/>
      <c r="T49" s="209"/>
      <c r="U49" s="209"/>
      <c r="V49" s="209"/>
      <c r="W49" s="209"/>
      <c r="X49" s="209"/>
      <c r="Y49" s="209"/>
      <c r="Z49" s="209"/>
    </row>
    <row r="50" spans="1:26">
      <c r="A50" s="228" t="s">
        <v>46</v>
      </c>
      <c r="B50" s="227">
        <v>628178081</v>
      </c>
      <c r="C50" s="226">
        <v>290272983.67000002</v>
      </c>
      <c r="D50" s="233">
        <f t="shared" si="11"/>
        <v>0.46208709353231958</v>
      </c>
      <c r="E50" s="232">
        <f t="shared" si="12"/>
        <v>3.3908637039846465E-2</v>
      </c>
      <c r="F50" s="226">
        <v>273934217.07000005</v>
      </c>
      <c r="G50" s="231">
        <f t="shared" si="13"/>
        <v>5.9644854793093671E-2</v>
      </c>
      <c r="H50" s="230">
        <f t="shared" si="14"/>
        <v>5.9644854793093671E-2</v>
      </c>
      <c r="I50" s="223">
        <f t="shared" si="15"/>
        <v>2.229760452752624E-2</v>
      </c>
      <c r="J50" s="229">
        <f t="shared" si="16"/>
        <v>0.14281602951525821</v>
      </c>
      <c r="L50" s="228" t="s">
        <v>46</v>
      </c>
      <c r="M50" s="227">
        <f t="shared" si="17"/>
        <v>2189002.6385148936</v>
      </c>
      <c r="N50" s="226">
        <f t="shared" si="18"/>
        <v>863665.17921601934</v>
      </c>
      <c r="O50" s="225">
        <f t="shared" si="19"/>
        <v>3687847.0233262638</v>
      </c>
      <c r="P50" s="224">
        <f t="shared" si="20"/>
        <v>6740514.8410571767</v>
      </c>
      <c r="Q50" s="223">
        <f t="shared" si="21"/>
        <v>5.220680578123274E-2</v>
      </c>
      <c r="S50" s="209"/>
      <c r="T50" s="209"/>
      <c r="U50" s="209"/>
      <c r="V50" s="209"/>
      <c r="W50" s="209"/>
      <c r="X50" s="209"/>
      <c r="Y50" s="209"/>
      <c r="Z50" s="209"/>
    </row>
    <row r="51" spans="1:26">
      <c r="A51" s="228" t="s">
        <v>47</v>
      </c>
      <c r="B51" s="227">
        <v>1066601268</v>
      </c>
      <c r="C51" s="226">
        <v>691961660.51999998</v>
      </c>
      <c r="D51" s="233">
        <f t="shared" si="11"/>
        <v>0.64875383264592179</v>
      </c>
      <c r="E51" s="232">
        <f t="shared" si="12"/>
        <v>4.7606519522625956E-2</v>
      </c>
      <c r="F51" s="226">
        <v>648216317.71000004</v>
      </c>
      <c r="G51" s="231">
        <f t="shared" si="13"/>
        <v>6.7485716750455005E-2</v>
      </c>
      <c r="H51" s="230">
        <f t="shared" si="14"/>
        <v>6.7485716750455005E-2</v>
      </c>
      <c r="I51" s="223">
        <f t="shared" si="15"/>
        <v>2.5228828682344911E-2</v>
      </c>
      <c r="J51" s="229">
        <f t="shared" si="16"/>
        <v>0.34044924085873468</v>
      </c>
      <c r="L51" s="228" t="s">
        <v>47</v>
      </c>
      <c r="M51" s="227">
        <f t="shared" si="17"/>
        <v>3073281.7931631873</v>
      </c>
      <c r="N51" s="226">
        <f t="shared" si="18"/>
        <v>977201.87020309619</v>
      </c>
      <c r="O51" s="225">
        <f t="shared" si="19"/>
        <v>8791203.0866285414</v>
      </c>
      <c r="P51" s="224">
        <f t="shared" si="20"/>
        <v>12841686.749994826</v>
      </c>
      <c r="Q51" s="223">
        <f t="shared" si="21"/>
        <v>9.9461756537763374E-2</v>
      </c>
      <c r="S51" s="209"/>
      <c r="T51" s="209"/>
      <c r="U51" s="209"/>
      <c r="V51" s="209"/>
      <c r="W51" s="209"/>
      <c r="X51" s="209"/>
      <c r="Y51" s="209"/>
      <c r="Z51" s="209"/>
    </row>
    <row r="52" spans="1:26">
      <c r="A52" s="228" t="s">
        <v>48</v>
      </c>
      <c r="B52" s="227">
        <v>260271541</v>
      </c>
      <c r="C52" s="226">
        <v>108456329.03999999</v>
      </c>
      <c r="D52" s="233">
        <f t="shared" si="11"/>
        <v>0.41670452567843363</v>
      </c>
      <c r="E52" s="232">
        <f t="shared" si="12"/>
        <v>3.057839682575576E-2</v>
      </c>
      <c r="F52" s="226">
        <v>121128581.79000001</v>
      </c>
      <c r="G52" s="231">
        <f t="shared" si="13"/>
        <v>-0.1046181880670396</v>
      </c>
      <c r="H52" s="230">
        <f t="shared" si="14"/>
        <v>0</v>
      </c>
      <c r="I52" s="223">
        <f t="shared" si="15"/>
        <v>0</v>
      </c>
      <c r="J52" s="229">
        <f t="shared" si="16"/>
        <v>5.3361157119955663E-2</v>
      </c>
      <c r="L52" s="228" t="s">
        <v>48</v>
      </c>
      <c r="M52" s="227">
        <f t="shared" si="17"/>
        <v>1974015.9787159022</v>
      </c>
      <c r="N52" s="226">
        <f t="shared" si="18"/>
        <v>0</v>
      </c>
      <c r="O52" s="225">
        <f t="shared" si="19"/>
        <v>1377911.0448176204</v>
      </c>
      <c r="P52" s="224">
        <f t="shared" si="20"/>
        <v>3351927.0235335226</v>
      </c>
      <c r="Q52" s="223">
        <f t="shared" si="21"/>
        <v>2.5961429836869009E-2</v>
      </c>
      <c r="S52" s="209"/>
      <c r="T52" s="209"/>
      <c r="U52" s="209"/>
      <c r="V52" s="209"/>
      <c r="W52" s="209"/>
      <c r="X52" s="209"/>
      <c r="Y52" s="209"/>
      <c r="Z52" s="209"/>
    </row>
    <row r="53" spans="1:26">
      <c r="A53" s="228" t="s">
        <v>49</v>
      </c>
      <c r="B53" s="227">
        <v>164659580</v>
      </c>
      <c r="C53" s="226">
        <v>65213950.950000003</v>
      </c>
      <c r="D53" s="233">
        <f t="shared" si="11"/>
        <v>0.39605318409047324</v>
      </c>
      <c r="E53" s="232">
        <f t="shared" si="12"/>
        <v>2.90629707164934E-2</v>
      </c>
      <c r="F53" s="226">
        <v>61393149</v>
      </c>
      <c r="G53" s="231">
        <f t="shared" si="13"/>
        <v>6.2234988956178183E-2</v>
      </c>
      <c r="H53" s="230">
        <f t="shared" si="14"/>
        <v>6.2234988956178183E-2</v>
      </c>
      <c r="I53" s="223">
        <f t="shared" si="15"/>
        <v>2.3265899067634349E-2</v>
      </c>
      <c r="J53" s="229">
        <f t="shared" si="16"/>
        <v>3.2085650637987261E-2</v>
      </c>
      <c r="L53" s="228" t="s">
        <v>49</v>
      </c>
      <c r="M53" s="227">
        <f t="shared" si="17"/>
        <v>1876186.2798179046</v>
      </c>
      <c r="N53" s="226">
        <f t="shared" si="18"/>
        <v>901170.65548742679</v>
      </c>
      <c r="O53" s="225">
        <f t="shared" si="19"/>
        <v>828527.24304414238</v>
      </c>
      <c r="P53" s="224">
        <f t="shared" si="20"/>
        <v>3605884.1783494735</v>
      </c>
      <c r="Q53" s="223">
        <f t="shared" si="21"/>
        <v>2.792838520613445E-2</v>
      </c>
      <c r="S53" s="209"/>
      <c r="T53" s="209"/>
      <c r="U53" s="209"/>
      <c r="V53" s="209"/>
      <c r="W53" s="209"/>
      <c r="X53" s="209"/>
      <c r="Y53" s="209"/>
      <c r="Z53" s="209"/>
    </row>
    <row r="54" spans="1:26">
      <c r="A54" s="228" t="s">
        <v>50</v>
      </c>
      <c r="B54" s="227">
        <v>0</v>
      </c>
      <c r="C54" s="226">
        <v>0</v>
      </c>
      <c r="D54" s="233">
        <f t="shared" si="11"/>
        <v>0</v>
      </c>
      <c r="E54" s="232">
        <f t="shared" si="12"/>
        <v>0</v>
      </c>
      <c r="F54" s="226">
        <v>0</v>
      </c>
      <c r="G54" s="231">
        <f t="shared" si="13"/>
        <v>0</v>
      </c>
      <c r="H54" s="230">
        <f t="shared" si="14"/>
        <v>0</v>
      </c>
      <c r="I54" s="223">
        <f t="shared" si="15"/>
        <v>0</v>
      </c>
      <c r="J54" s="229">
        <f t="shared" si="16"/>
        <v>0</v>
      </c>
      <c r="L54" s="228" t="s">
        <v>50</v>
      </c>
      <c r="M54" s="227">
        <f t="shared" si="17"/>
        <v>0</v>
      </c>
      <c r="N54" s="226">
        <f t="shared" si="18"/>
        <v>0</v>
      </c>
      <c r="O54" s="225">
        <f t="shared" si="19"/>
        <v>0</v>
      </c>
      <c r="P54" s="224">
        <f t="shared" si="20"/>
        <v>0</v>
      </c>
      <c r="Q54" s="223">
        <f t="shared" si="21"/>
        <v>0</v>
      </c>
      <c r="S54" s="209"/>
      <c r="T54" s="209"/>
      <c r="U54" s="209"/>
      <c r="V54" s="209"/>
      <c r="W54" s="209"/>
      <c r="X54" s="209"/>
      <c r="Y54" s="209"/>
      <c r="Z54" s="209"/>
    </row>
    <row r="55" spans="1:26">
      <c r="A55" s="228" t="s">
        <v>51</v>
      </c>
      <c r="B55" s="227">
        <v>2885796</v>
      </c>
      <c r="C55" s="226">
        <v>442199</v>
      </c>
      <c r="D55" s="233">
        <f t="shared" si="11"/>
        <v>0.15323293815640468</v>
      </c>
      <c r="E55" s="232">
        <f t="shared" si="12"/>
        <v>1.124446052534326E-2</v>
      </c>
      <c r="F55" s="226">
        <v>482832</v>
      </c>
      <c r="G55" s="231">
        <f t="shared" si="13"/>
        <v>-8.4155565496901619E-2</v>
      </c>
      <c r="H55" s="230">
        <f t="shared" si="14"/>
        <v>0</v>
      </c>
      <c r="I55" s="223">
        <f t="shared" si="15"/>
        <v>0</v>
      </c>
      <c r="J55" s="229">
        <f t="shared" si="16"/>
        <v>2.1756453059170659E-4</v>
      </c>
      <c r="L55" s="228" t="s">
        <v>51</v>
      </c>
      <c r="M55" s="227">
        <f t="shared" si="17"/>
        <v>725896.28800852608</v>
      </c>
      <c r="N55" s="226">
        <f t="shared" si="18"/>
        <v>0</v>
      </c>
      <c r="O55" s="225">
        <f t="shared" si="19"/>
        <v>5618.0297775207364</v>
      </c>
      <c r="P55" s="224">
        <f t="shared" si="20"/>
        <v>731514.31778604677</v>
      </c>
      <c r="Q55" s="223">
        <f t="shared" si="21"/>
        <v>5.6657431687899698E-3</v>
      </c>
      <c r="S55" s="209"/>
      <c r="T55" s="209"/>
      <c r="U55" s="209"/>
      <c r="V55" s="209"/>
      <c r="W55" s="209"/>
      <c r="X55" s="209"/>
      <c r="Y55" s="209"/>
      <c r="Z55" s="209"/>
    </row>
    <row r="56" spans="1:26" ht="13.8" thickBot="1">
      <c r="A56" s="215" t="s">
        <v>52</v>
      </c>
      <c r="B56" s="222">
        <f>SUM(B5:B55)</f>
        <v>4821287971</v>
      </c>
      <c r="C56" s="221">
        <f>SUM(C5:C55)</f>
        <v>2032495824.5599999</v>
      </c>
      <c r="D56" s="220">
        <f>SUM(D5:D55)</f>
        <v>13.627415722705553</v>
      </c>
      <c r="E56" s="219">
        <f>SUM(E5:E55)</f>
        <v>0.99999999999999989</v>
      </c>
      <c r="F56" s="213">
        <f>SUM(F5:F55)</f>
        <v>1917676962.6199999</v>
      </c>
      <c r="G56" s="218"/>
      <c r="H56" s="217">
        <f>SUM(H5:H55)</f>
        <v>2.6749445089252752</v>
      </c>
      <c r="I56" s="210">
        <f>SUM(I5:I55)</f>
        <v>0.99999999999999989</v>
      </c>
      <c r="J56" s="216">
        <f>SUM(J5:J55)</f>
        <v>1</v>
      </c>
      <c r="L56" s="215" t="s">
        <v>52</v>
      </c>
      <c r="M56" s="214">
        <f>SUM(M5:M55)</f>
        <v>64555901.670201868</v>
      </c>
      <c r="N56" s="213">
        <f>SUM(N5:N55)</f>
        <v>38733541.002121121</v>
      </c>
      <c r="O56" s="212">
        <f>SUM(O5:O55)</f>
        <v>25822360.668080751</v>
      </c>
      <c r="P56" s="211">
        <f>SUM(P5:P55)</f>
        <v>129111803.34040378</v>
      </c>
      <c r="Q56" s="210">
        <f>SUM(Q5:Q55)</f>
        <v>0.99999999999999956</v>
      </c>
      <c r="S56" s="209"/>
      <c r="T56" s="209"/>
      <c r="U56" s="209"/>
      <c r="V56" s="209"/>
      <c r="W56" s="209"/>
      <c r="X56" s="209"/>
      <c r="Y56" s="209"/>
      <c r="Z56" s="209"/>
    </row>
    <row r="57" spans="1:26" ht="13.8" thickTop="1"/>
    <row r="59" spans="1:26">
      <c r="L59" s="312" t="s">
        <v>193</v>
      </c>
      <c r="M59" s="312"/>
      <c r="N59" s="312"/>
      <c r="O59" s="312"/>
      <c r="P59" s="312"/>
      <c r="Q59" s="312"/>
    </row>
    <row r="60" spans="1:26">
      <c r="L60" s="312"/>
      <c r="M60" s="312"/>
      <c r="N60" s="312"/>
      <c r="O60" s="312"/>
      <c r="P60" s="312"/>
      <c r="Q60" s="312"/>
    </row>
    <row r="61" spans="1:26">
      <c r="L61" s="312"/>
      <c r="M61" s="312"/>
      <c r="N61" s="312"/>
      <c r="O61" s="312"/>
      <c r="P61" s="312"/>
      <c r="Q61" s="312"/>
    </row>
    <row r="62" spans="1:26">
      <c r="L62" s="312"/>
      <c r="M62" s="312"/>
      <c r="N62" s="312"/>
      <c r="O62" s="312"/>
      <c r="P62" s="312"/>
      <c r="Q62" s="312"/>
    </row>
    <row r="63" spans="1:26">
      <c r="L63" s="312"/>
      <c r="M63" s="312"/>
      <c r="N63" s="312"/>
      <c r="O63" s="312"/>
      <c r="P63" s="312"/>
      <c r="Q63" s="312"/>
    </row>
  </sheetData>
  <mergeCells count="4">
    <mergeCell ref="B1:E1"/>
    <mergeCell ref="F1:I1"/>
    <mergeCell ref="L1:Q1"/>
    <mergeCell ref="L59:Q63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scale="70" orientation="landscape" r:id="rId1"/>
  <headerFooter>
    <oddHeader>&amp;L&amp;"Arial,Negrita"ANEXO 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PART MES</vt:lpstr>
      <vt:lpstr>Ajuste 1er Sem</vt:lpstr>
      <vt:lpstr>Calculo Coef Actualizado</vt:lpstr>
      <vt:lpstr>pagado 1er Sem</vt:lpstr>
      <vt:lpstr>COEF Art 14 F I</vt:lpstr>
      <vt:lpstr>PART PEF2019</vt:lpstr>
      <vt:lpstr>CALCULO GARANTIA</vt:lpstr>
      <vt:lpstr>COEF Art 14 F II</vt:lpstr>
      <vt:lpstr>Art.14 Frac.III</vt:lpstr>
      <vt:lpstr>'Ajuste 1er Sem'!Área_de_impresión</vt:lpstr>
      <vt:lpstr>'Art.14 Frac.III'!Área_de_impresión</vt:lpstr>
      <vt:lpstr>'Calculo Coef Actualizado'!Área_de_impresión</vt:lpstr>
      <vt:lpstr>'CALCULO GARANTIA'!Área_de_impresión</vt:lpstr>
      <vt:lpstr>'COEF Art 14 F I'!Área_de_impresión</vt:lpstr>
      <vt:lpstr>'COEF Art 14 F II'!Área_de_impresión</vt:lpstr>
      <vt:lpstr>'pagado 1er Sem'!Área_de_impresión</vt:lpstr>
      <vt:lpstr>'PART MES'!Área_de_impresión</vt:lpstr>
      <vt:lpstr>'PART PEF2019'!Área_de_impresión</vt:lpstr>
      <vt:lpstr>'Ajuste 1er Sem'!Títulos_a_imprimir</vt:lpstr>
      <vt:lpstr>'Calculo Coef Actualizado'!Títulos_a_imprimir</vt:lpstr>
      <vt:lpstr>'COEF Art 14 F I'!Títulos_a_imprimir</vt:lpstr>
      <vt:lpstr>'pagado 1er Sem'!Títulos_a_imprimir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Cesar Gabriel Rivera Cantu</cp:lastModifiedBy>
  <cp:lastPrinted>2019-07-17T16:09:28Z</cp:lastPrinted>
  <dcterms:created xsi:type="dcterms:W3CDTF">2009-12-17T23:31:03Z</dcterms:created>
  <dcterms:modified xsi:type="dcterms:W3CDTF">2019-09-06T23:04:13Z</dcterms:modified>
</cp:coreProperties>
</file>