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APORTACIONES FEDERALES\FISM\"/>
    </mc:Choice>
  </mc:AlternateContent>
  <bookViews>
    <workbookView xWindow="0" yWindow="1290" windowWidth="10530" windowHeight="6855" activeTab="1"/>
  </bookViews>
  <sheets>
    <sheet name="PART MES" sheetId="41" r:id="rId1"/>
    <sheet name="DIST MES" sheetId="42" r:id="rId2"/>
    <sheet name="COEF Art 14 F I" sheetId="1" r:id="rId3"/>
    <sheet name="CALCULO GARANTIA" sheetId="28" r:id="rId4"/>
    <sheet name="COEF Art 14 F II" sheetId="36" r:id="rId5"/>
    <sheet name="Art.14 Frac.III" sheetId="44" r:id="rId6"/>
    <sheet name="ISR_2019" sheetId="4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'DIST MES'!#REF!</definedName>
    <definedName name="A_impresión_IM" localSheetId="3">#REF!</definedName>
    <definedName name="A_impresión_IM" localSheetId="4">#REF!</definedName>
    <definedName name="A_impresión_IM" localSheetId="1">#REF!</definedName>
    <definedName name="A_impresión_IM" localSheetId="6">#REF!</definedName>
    <definedName name="A_impresión_IM" localSheetId="0">#REF!</definedName>
    <definedName name="A_impresión_IM">#REF!</definedName>
    <definedName name="AJUSTES" localSheetId="3" hidden="1">{"'beneficiarios'!$A$1:$C$7"}</definedName>
    <definedName name="AJUSTES" localSheetId="1" hidden="1">{"'beneficiarios'!$A$1:$C$7"}</definedName>
    <definedName name="AJUSTES" localSheetId="6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5">'Art.14 Frac.III'!$A$1:$R$56</definedName>
    <definedName name="_xlnm.Print_Area" localSheetId="3">'CALCULO GARANTIA'!$A$1:$Q$61</definedName>
    <definedName name="_xlnm.Print_Area" localSheetId="2">'COEF Art 14 F I'!$A$3:$AQ$61</definedName>
    <definedName name="_xlnm.Print_Area" localSheetId="4">'COEF Art 14 F II'!$A$3:$N$63</definedName>
    <definedName name="_xlnm.Print_Area" localSheetId="1">'DIST MES'!$A$1:$L$57</definedName>
    <definedName name="_xlnm.Print_Area" localSheetId="0">'PART MES'!$A$1:$D$18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 localSheetId="6">#REF!</definedName>
    <definedName name="_xlnm.Database" localSheetId="0">#REF!</definedName>
    <definedName name="_xlnm.Database">#REF!</definedName>
    <definedName name="cierre_2001" localSheetId="4">'[1]deuda c sadm'!#REF!</definedName>
    <definedName name="cierre_2001" localSheetId="1">'[1]deuda c sadm'!#REF!</definedName>
    <definedName name="cierre_2001" localSheetId="6">'[1]deuda c sadm'!#REF!</definedName>
    <definedName name="cierre_2001" localSheetId="0">'[1]deuda c sadm'!#REF!</definedName>
    <definedName name="cierre_2001">'[1]deuda c sadm'!#REF!</definedName>
    <definedName name="deuda" localSheetId="4">'[1]deuda c sadm'!#REF!</definedName>
    <definedName name="deuda" localSheetId="1">'[1]deuda c sadm'!#REF!</definedName>
    <definedName name="deuda" localSheetId="6">'[1]deuda c sadm'!#REF!</definedName>
    <definedName name="deuda" localSheetId="0">'[1]deuda c sadm'!#REF!</definedName>
    <definedName name="deuda">'[1]deuda c sadm'!#REF!</definedName>
    <definedName name="Deuda_ingTot" localSheetId="4">'[1]deuda c sadm'!#REF!</definedName>
    <definedName name="Deuda_ingTot" localSheetId="1">'[1]deuda c sadm'!#REF!</definedName>
    <definedName name="Deuda_ingTot" localSheetId="6">'[1]deuda c sadm'!#REF!</definedName>
    <definedName name="Deuda_ingTot" localSheetId="0">'[1]deuda c sadm'!#REF!</definedName>
    <definedName name="Deuda_ingTot">'[1]deuda c sadm'!#REF!</definedName>
    <definedName name="ENERO" localSheetId="3">#REF!</definedName>
    <definedName name="ENERO" localSheetId="4">#REF!</definedName>
    <definedName name="ENERO" localSheetId="1">#REF!</definedName>
    <definedName name="ENERO" localSheetId="6">#REF!</definedName>
    <definedName name="ENERO" localSheetId="0">#REF!</definedName>
    <definedName name="ENERO">#REF!</definedName>
    <definedName name="ENEROAJUSTE" localSheetId="6">#REF!</definedName>
    <definedName name="ENEROAJUSTE">#REF!</definedName>
    <definedName name="Estado">'[2]Compendio de nombres'!$C$2:$C$33</definedName>
    <definedName name="Estado1" localSheetId="6">#REF!</definedName>
    <definedName name="Estado1">#REF!</definedName>
    <definedName name="Fto_1" localSheetId="3">#REF!</definedName>
    <definedName name="Fto_1" localSheetId="4">#REF!</definedName>
    <definedName name="Fto_1" localSheetId="1">#REF!</definedName>
    <definedName name="Fto_1" localSheetId="6">#REF!</definedName>
    <definedName name="Fto_1" localSheetId="0">#REF!</definedName>
    <definedName name="Fto_1">#REF!</definedName>
    <definedName name="HTML_CodePage" hidden="1">1252</definedName>
    <definedName name="HTML_Control" localSheetId="3" hidden="1">{"'beneficiarios'!$A$1:$C$7"}</definedName>
    <definedName name="HTML_Control" localSheetId="1" hidden="1">{"'beneficiarios'!$A$1:$C$7"}</definedName>
    <definedName name="HTML_Control" localSheetId="6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3" hidden="1">{"'beneficiarios'!$A$1:$C$7"}</definedName>
    <definedName name="INDICADORES" localSheetId="1" hidden="1">{"'beneficiarios'!$A$1:$C$7"}</definedName>
    <definedName name="INDICADORES" localSheetId="6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3" hidden="1">{"'beneficiarios'!$A$1:$C$7"}</definedName>
    <definedName name="ingresofederales" localSheetId="1" hidden="1">{"'beneficiarios'!$A$1:$C$7"}</definedName>
    <definedName name="ingresofederales" localSheetId="6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MUNICIPIOS" localSheetId="5">[3]IMPORTE!$A$3:$A$53</definedName>
    <definedName name="MUNICIPIOS" localSheetId="6" hidden="1">{"'beneficiarios'!$A$1:$C$7"}</definedName>
    <definedName name="MUNICIPIOS" hidden="1">{"'beneficiarios'!$A$1:$C$7"}</definedName>
    <definedName name="Notas_Fto_1" localSheetId="4">#REF!</definedName>
    <definedName name="Notas_Fto_1" localSheetId="1">#REF!</definedName>
    <definedName name="Notas_Fto_1" localSheetId="6">#REF!</definedName>
    <definedName name="Notas_Fto_1" localSheetId="0">#REF!</definedName>
    <definedName name="Notas_Fto_1">#REF!</definedName>
    <definedName name="Partidas">[4]TECHO!$B$1:$Q$2798</definedName>
    <definedName name="SINAJUSTE" localSheetId="3" hidden="1">{"'beneficiarios'!$A$1:$C$7"}</definedName>
    <definedName name="SINAJUSTE" localSheetId="1" hidden="1">{"'beneficiarios'!$A$1:$C$7"}</definedName>
    <definedName name="SINAJUSTE" localSheetId="6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1">#REF!</definedName>
    <definedName name="t" localSheetId="6">#REF!</definedName>
    <definedName name="t" localSheetId="0">#REF!</definedName>
    <definedName name="t">#REF!</definedName>
    <definedName name="_xlnm.Print_Titles" localSheetId="2">'COEF Art 14 F I'!$A:$A,'COEF Art 14 F I'!$3:$3</definedName>
    <definedName name="_xlnm.Print_Titles" localSheetId="1">'DIST MES'!$1:$3</definedName>
    <definedName name="TOT" localSheetId="4">#REF!</definedName>
    <definedName name="TOT" localSheetId="1">#REF!</definedName>
    <definedName name="TOT" localSheetId="6">#REF!</definedName>
    <definedName name="TOT" localSheetId="0">#REF!</definedName>
    <definedName name="TOT">#REF!</definedName>
    <definedName name="TOTAL" localSheetId="4">#REF!</definedName>
    <definedName name="TOTAL" localSheetId="1">#REF!</definedName>
    <definedName name="TOTAL" localSheetId="6">#REF!</definedName>
    <definedName name="TOTAL" localSheetId="0">#REF!</definedName>
    <definedName name="TOTAL">#REF!</definedName>
    <definedName name="UNO" localSheetId="6">#REF!</definedName>
    <definedName name="UNO">#REF!</definedName>
  </definedNames>
  <calcPr calcId="152511"/>
</workbook>
</file>

<file path=xl/calcChain.xml><?xml version="1.0" encoding="utf-8"?>
<calcChain xmlns="http://schemas.openxmlformats.org/spreadsheetml/2006/main">
  <c r="D14" i="41" l="1"/>
  <c r="B14" i="41"/>
  <c r="K57" i="42" l="1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56" i="45"/>
  <c r="L56" i="45"/>
  <c r="K56" i="45"/>
  <c r="J56" i="45"/>
  <c r="I56" i="45"/>
  <c r="H56" i="45"/>
  <c r="G56" i="45"/>
  <c r="F56" i="45"/>
  <c r="E56" i="45"/>
  <c r="D56" i="45"/>
  <c r="C56" i="45"/>
  <c r="B56" i="45"/>
  <c r="N56" i="45" s="1"/>
  <c r="M55" i="45"/>
  <c r="L55" i="45"/>
  <c r="K55" i="45"/>
  <c r="J55" i="45"/>
  <c r="I55" i="45"/>
  <c r="H55" i="45"/>
  <c r="G55" i="45"/>
  <c r="F55" i="45"/>
  <c r="E55" i="45"/>
  <c r="D55" i="45"/>
  <c r="C55" i="45"/>
  <c r="B55" i="45"/>
  <c r="N55" i="45" s="1"/>
  <c r="M54" i="45"/>
  <c r="L54" i="45"/>
  <c r="K54" i="45"/>
  <c r="J54" i="45"/>
  <c r="I54" i="45"/>
  <c r="H54" i="45"/>
  <c r="G54" i="45"/>
  <c r="F54" i="45"/>
  <c r="E54" i="45"/>
  <c r="D54" i="45"/>
  <c r="C54" i="45"/>
  <c r="B54" i="45"/>
  <c r="N54" i="45" s="1"/>
  <c r="M53" i="45"/>
  <c r="L53" i="45"/>
  <c r="K53" i="45"/>
  <c r="J53" i="45"/>
  <c r="I53" i="45"/>
  <c r="H53" i="45"/>
  <c r="G53" i="45"/>
  <c r="F53" i="45"/>
  <c r="E53" i="45"/>
  <c r="D53" i="45"/>
  <c r="C53" i="45"/>
  <c r="B53" i="45"/>
  <c r="N53" i="45" s="1"/>
  <c r="M52" i="45"/>
  <c r="L52" i="45"/>
  <c r="K52" i="45"/>
  <c r="J52" i="45"/>
  <c r="I52" i="45"/>
  <c r="H52" i="45"/>
  <c r="G52" i="45"/>
  <c r="F52" i="45"/>
  <c r="E52" i="45"/>
  <c r="D52" i="45"/>
  <c r="C52" i="45"/>
  <c r="B52" i="45"/>
  <c r="N52" i="45" s="1"/>
  <c r="M51" i="45"/>
  <c r="L51" i="45"/>
  <c r="K51" i="45"/>
  <c r="J51" i="45"/>
  <c r="I51" i="45"/>
  <c r="H51" i="45"/>
  <c r="G51" i="45"/>
  <c r="F51" i="45"/>
  <c r="E51" i="45"/>
  <c r="D51" i="45"/>
  <c r="C51" i="45"/>
  <c r="B51" i="45"/>
  <c r="N51" i="45" s="1"/>
  <c r="M50" i="45"/>
  <c r="L50" i="45"/>
  <c r="K50" i="45"/>
  <c r="J50" i="45"/>
  <c r="I50" i="45"/>
  <c r="H50" i="45"/>
  <c r="G50" i="45"/>
  <c r="F50" i="45"/>
  <c r="E50" i="45"/>
  <c r="D50" i="45"/>
  <c r="C50" i="45"/>
  <c r="B50" i="45"/>
  <c r="N50" i="45" s="1"/>
  <c r="M49" i="45"/>
  <c r="L49" i="45"/>
  <c r="K49" i="45"/>
  <c r="J49" i="45"/>
  <c r="I49" i="45"/>
  <c r="H49" i="45"/>
  <c r="G49" i="45"/>
  <c r="F49" i="45"/>
  <c r="E49" i="45"/>
  <c r="D49" i="45"/>
  <c r="C49" i="45"/>
  <c r="B49" i="45"/>
  <c r="N49" i="45" s="1"/>
  <c r="M48" i="45"/>
  <c r="L48" i="45"/>
  <c r="K48" i="45"/>
  <c r="J48" i="45"/>
  <c r="I48" i="45"/>
  <c r="H48" i="45"/>
  <c r="G48" i="45"/>
  <c r="F48" i="45"/>
  <c r="E48" i="45"/>
  <c r="D48" i="45"/>
  <c r="C48" i="45"/>
  <c r="B48" i="45"/>
  <c r="N48" i="45" s="1"/>
  <c r="M47" i="45"/>
  <c r="L47" i="45"/>
  <c r="K47" i="45"/>
  <c r="J47" i="45"/>
  <c r="I47" i="45"/>
  <c r="H47" i="45"/>
  <c r="G47" i="45"/>
  <c r="F47" i="45"/>
  <c r="E47" i="45"/>
  <c r="D47" i="45"/>
  <c r="C47" i="45"/>
  <c r="B47" i="45"/>
  <c r="N47" i="45" s="1"/>
  <c r="M46" i="45"/>
  <c r="L46" i="45"/>
  <c r="K46" i="45"/>
  <c r="J46" i="45"/>
  <c r="I46" i="45"/>
  <c r="H46" i="45"/>
  <c r="G46" i="45"/>
  <c r="F46" i="45"/>
  <c r="E46" i="45"/>
  <c r="D46" i="45"/>
  <c r="C46" i="45"/>
  <c r="B46" i="45"/>
  <c r="N46" i="45" s="1"/>
  <c r="M45" i="45"/>
  <c r="L45" i="45"/>
  <c r="K45" i="45"/>
  <c r="J45" i="45"/>
  <c r="I45" i="45"/>
  <c r="H45" i="45"/>
  <c r="G45" i="45"/>
  <c r="F45" i="45"/>
  <c r="E45" i="45"/>
  <c r="D45" i="45"/>
  <c r="C45" i="45"/>
  <c r="B45" i="45"/>
  <c r="N45" i="45" s="1"/>
  <c r="M44" i="45"/>
  <c r="L44" i="45"/>
  <c r="K44" i="45"/>
  <c r="J44" i="45"/>
  <c r="I44" i="45"/>
  <c r="H44" i="45"/>
  <c r="G44" i="45"/>
  <c r="F44" i="45"/>
  <c r="E44" i="45"/>
  <c r="D44" i="45"/>
  <c r="C44" i="45"/>
  <c r="B44" i="45"/>
  <c r="N44" i="45" s="1"/>
  <c r="M43" i="45"/>
  <c r="L43" i="45"/>
  <c r="K43" i="45"/>
  <c r="J43" i="45"/>
  <c r="I43" i="45"/>
  <c r="H43" i="45"/>
  <c r="G43" i="45"/>
  <c r="F43" i="45"/>
  <c r="E43" i="45"/>
  <c r="D43" i="45"/>
  <c r="C43" i="45"/>
  <c r="B43" i="45"/>
  <c r="N43" i="45" s="1"/>
  <c r="M42" i="45"/>
  <c r="L42" i="45"/>
  <c r="K42" i="45"/>
  <c r="J42" i="45"/>
  <c r="I42" i="45"/>
  <c r="H42" i="45"/>
  <c r="G42" i="45"/>
  <c r="F42" i="45"/>
  <c r="E42" i="45"/>
  <c r="D42" i="45"/>
  <c r="C42" i="45"/>
  <c r="B42" i="45"/>
  <c r="N42" i="45" s="1"/>
  <c r="M41" i="45"/>
  <c r="L41" i="45"/>
  <c r="K41" i="45"/>
  <c r="J41" i="45"/>
  <c r="I41" i="45"/>
  <c r="H41" i="45"/>
  <c r="G41" i="45"/>
  <c r="F41" i="45"/>
  <c r="E41" i="45"/>
  <c r="D41" i="45"/>
  <c r="C41" i="45"/>
  <c r="B41" i="45"/>
  <c r="N41" i="45" s="1"/>
  <c r="M40" i="45"/>
  <c r="L40" i="45"/>
  <c r="K40" i="45"/>
  <c r="J40" i="45"/>
  <c r="I40" i="45"/>
  <c r="H40" i="45"/>
  <c r="G40" i="45"/>
  <c r="F40" i="45"/>
  <c r="E40" i="45"/>
  <c r="D40" i="45"/>
  <c r="C40" i="45"/>
  <c r="B40" i="45"/>
  <c r="N40" i="45" s="1"/>
  <c r="M39" i="45"/>
  <c r="L39" i="45"/>
  <c r="K39" i="45"/>
  <c r="J39" i="45"/>
  <c r="I39" i="45"/>
  <c r="H39" i="45"/>
  <c r="G39" i="45"/>
  <c r="F39" i="45"/>
  <c r="E39" i="45"/>
  <c r="D39" i="45"/>
  <c r="C39" i="45"/>
  <c r="B39" i="45"/>
  <c r="N39" i="45" s="1"/>
  <c r="M38" i="45"/>
  <c r="L38" i="45"/>
  <c r="K38" i="45"/>
  <c r="J38" i="45"/>
  <c r="I38" i="45"/>
  <c r="H38" i="45"/>
  <c r="G38" i="45"/>
  <c r="F38" i="45"/>
  <c r="E38" i="45"/>
  <c r="D38" i="45"/>
  <c r="C38" i="45"/>
  <c r="B38" i="45"/>
  <c r="N38" i="45" s="1"/>
  <c r="M37" i="45"/>
  <c r="L37" i="45"/>
  <c r="K37" i="45"/>
  <c r="J37" i="45"/>
  <c r="I37" i="45"/>
  <c r="H37" i="45"/>
  <c r="G37" i="45"/>
  <c r="F37" i="45"/>
  <c r="E37" i="45"/>
  <c r="D37" i="45"/>
  <c r="C37" i="45"/>
  <c r="B37" i="45"/>
  <c r="N37" i="45" s="1"/>
  <c r="M36" i="45"/>
  <c r="L36" i="45"/>
  <c r="K36" i="45"/>
  <c r="J36" i="45"/>
  <c r="I36" i="45"/>
  <c r="H36" i="45"/>
  <c r="G36" i="45"/>
  <c r="F36" i="45"/>
  <c r="E36" i="45"/>
  <c r="D36" i="45"/>
  <c r="C36" i="45"/>
  <c r="B36" i="45"/>
  <c r="N36" i="45" s="1"/>
  <c r="M35" i="45"/>
  <c r="L35" i="45"/>
  <c r="K35" i="45"/>
  <c r="J35" i="45"/>
  <c r="I35" i="45"/>
  <c r="H35" i="45"/>
  <c r="G35" i="45"/>
  <c r="F35" i="45"/>
  <c r="E35" i="45"/>
  <c r="D35" i="45"/>
  <c r="C35" i="45"/>
  <c r="B35" i="45"/>
  <c r="N35" i="45" s="1"/>
  <c r="M34" i="45"/>
  <c r="L34" i="45"/>
  <c r="K34" i="45"/>
  <c r="J34" i="45"/>
  <c r="I34" i="45"/>
  <c r="H34" i="45"/>
  <c r="G34" i="45"/>
  <c r="F34" i="45"/>
  <c r="E34" i="45"/>
  <c r="D34" i="45"/>
  <c r="C34" i="45"/>
  <c r="B34" i="45"/>
  <c r="N34" i="45" s="1"/>
  <c r="M33" i="45"/>
  <c r="L33" i="45"/>
  <c r="K33" i="45"/>
  <c r="J33" i="45"/>
  <c r="I33" i="45"/>
  <c r="H33" i="45"/>
  <c r="G33" i="45"/>
  <c r="F33" i="45"/>
  <c r="E33" i="45"/>
  <c r="D33" i="45"/>
  <c r="C33" i="45"/>
  <c r="B33" i="45"/>
  <c r="N33" i="45" s="1"/>
  <c r="M32" i="45"/>
  <c r="L32" i="45"/>
  <c r="K32" i="45"/>
  <c r="J32" i="45"/>
  <c r="I32" i="45"/>
  <c r="H32" i="45"/>
  <c r="G32" i="45"/>
  <c r="F32" i="45"/>
  <c r="E32" i="45"/>
  <c r="D32" i="45"/>
  <c r="C32" i="45"/>
  <c r="B32" i="45"/>
  <c r="N32" i="45" s="1"/>
  <c r="M31" i="45"/>
  <c r="L31" i="45"/>
  <c r="K31" i="45"/>
  <c r="J31" i="45"/>
  <c r="I31" i="45"/>
  <c r="H31" i="45"/>
  <c r="G31" i="45"/>
  <c r="F31" i="45"/>
  <c r="E31" i="45"/>
  <c r="D31" i="45"/>
  <c r="C31" i="45"/>
  <c r="B31" i="45"/>
  <c r="N31" i="45" s="1"/>
  <c r="M30" i="45"/>
  <c r="L30" i="45"/>
  <c r="K30" i="45"/>
  <c r="J30" i="45"/>
  <c r="I30" i="45"/>
  <c r="H30" i="45"/>
  <c r="G30" i="45"/>
  <c r="F30" i="45"/>
  <c r="E30" i="45"/>
  <c r="D30" i="45"/>
  <c r="C30" i="45"/>
  <c r="B30" i="45"/>
  <c r="N30" i="45" s="1"/>
  <c r="M29" i="45"/>
  <c r="L29" i="45"/>
  <c r="K29" i="45"/>
  <c r="J29" i="45"/>
  <c r="I29" i="45"/>
  <c r="H29" i="45"/>
  <c r="G29" i="45"/>
  <c r="F29" i="45"/>
  <c r="E29" i="45"/>
  <c r="D29" i="45"/>
  <c r="C29" i="45"/>
  <c r="B29" i="45"/>
  <c r="N29" i="45" s="1"/>
  <c r="M28" i="45"/>
  <c r="L28" i="45"/>
  <c r="K28" i="45"/>
  <c r="J28" i="45"/>
  <c r="I28" i="45"/>
  <c r="H28" i="45"/>
  <c r="G28" i="45"/>
  <c r="F28" i="45"/>
  <c r="E28" i="45"/>
  <c r="D28" i="45"/>
  <c r="C28" i="45"/>
  <c r="B28" i="45"/>
  <c r="N28" i="45" s="1"/>
  <c r="M27" i="45"/>
  <c r="L27" i="45"/>
  <c r="K27" i="45"/>
  <c r="J27" i="45"/>
  <c r="I27" i="45"/>
  <c r="H27" i="45"/>
  <c r="G27" i="45"/>
  <c r="F27" i="45"/>
  <c r="E27" i="45"/>
  <c r="D27" i="45"/>
  <c r="C27" i="45"/>
  <c r="B27" i="45"/>
  <c r="N27" i="45" s="1"/>
  <c r="M26" i="45"/>
  <c r="L26" i="45"/>
  <c r="K26" i="45"/>
  <c r="J26" i="45"/>
  <c r="I26" i="45"/>
  <c r="H26" i="45"/>
  <c r="G26" i="45"/>
  <c r="F26" i="45"/>
  <c r="E26" i="45"/>
  <c r="D26" i="45"/>
  <c r="C26" i="45"/>
  <c r="B26" i="45"/>
  <c r="N26" i="45" s="1"/>
  <c r="M25" i="45"/>
  <c r="L25" i="45"/>
  <c r="K25" i="45"/>
  <c r="J25" i="45"/>
  <c r="I25" i="45"/>
  <c r="H25" i="45"/>
  <c r="G25" i="45"/>
  <c r="F25" i="45"/>
  <c r="E25" i="45"/>
  <c r="D25" i="45"/>
  <c r="C25" i="45"/>
  <c r="B25" i="45"/>
  <c r="N25" i="45" s="1"/>
  <c r="M24" i="45"/>
  <c r="L24" i="45"/>
  <c r="K24" i="45"/>
  <c r="J24" i="45"/>
  <c r="I24" i="45"/>
  <c r="H24" i="45"/>
  <c r="G24" i="45"/>
  <c r="F24" i="45"/>
  <c r="E24" i="45"/>
  <c r="D24" i="45"/>
  <c r="C24" i="45"/>
  <c r="B24" i="45"/>
  <c r="N24" i="45" s="1"/>
  <c r="M23" i="45"/>
  <c r="L23" i="45"/>
  <c r="K23" i="45"/>
  <c r="J23" i="45"/>
  <c r="I23" i="45"/>
  <c r="H23" i="45"/>
  <c r="G23" i="45"/>
  <c r="F23" i="45"/>
  <c r="E23" i="45"/>
  <c r="D23" i="45"/>
  <c r="C23" i="45"/>
  <c r="B23" i="45"/>
  <c r="N23" i="45" s="1"/>
  <c r="M22" i="45"/>
  <c r="L22" i="45"/>
  <c r="K22" i="45"/>
  <c r="J22" i="45"/>
  <c r="I22" i="45"/>
  <c r="H22" i="45"/>
  <c r="G22" i="45"/>
  <c r="F22" i="45"/>
  <c r="E22" i="45"/>
  <c r="D22" i="45"/>
  <c r="C22" i="45"/>
  <c r="B22" i="45"/>
  <c r="N22" i="45" s="1"/>
  <c r="M21" i="45"/>
  <c r="L21" i="45"/>
  <c r="K21" i="45"/>
  <c r="J21" i="45"/>
  <c r="I21" i="45"/>
  <c r="H21" i="45"/>
  <c r="G21" i="45"/>
  <c r="F21" i="45"/>
  <c r="E21" i="45"/>
  <c r="D21" i="45"/>
  <c r="C21" i="45"/>
  <c r="B21" i="45"/>
  <c r="N21" i="45" s="1"/>
  <c r="M20" i="45"/>
  <c r="L20" i="45"/>
  <c r="K20" i="45"/>
  <c r="J20" i="45"/>
  <c r="I20" i="45"/>
  <c r="H20" i="45"/>
  <c r="G20" i="45"/>
  <c r="F20" i="45"/>
  <c r="E20" i="45"/>
  <c r="D20" i="45"/>
  <c r="C20" i="45"/>
  <c r="B20" i="45"/>
  <c r="N20" i="45" s="1"/>
  <c r="M19" i="45"/>
  <c r="L19" i="45"/>
  <c r="K19" i="45"/>
  <c r="J19" i="45"/>
  <c r="I19" i="45"/>
  <c r="H19" i="45"/>
  <c r="G19" i="45"/>
  <c r="F19" i="45"/>
  <c r="E19" i="45"/>
  <c r="D19" i="45"/>
  <c r="C19" i="45"/>
  <c r="B19" i="45"/>
  <c r="N19" i="45" s="1"/>
  <c r="M18" i="45"/>
  <c r="L18" i="45"/>
  <c r="K18" i="45"/>
  <c r="J18" i="45"/>
  <c r="I18" i="45"/>
  <c r="H18" i="45"/>
  <c r="G18" i="45"/>
  <c r="F18" i="45"/>
  <c r="E18" i="45"/>
  <c r="D18" i="45"/>
  <c r="C18" i="45"/>
  <c r="B18" i="45"/>
  <c r="N18" i="45" s="1"/>
  <c r="M17" i="45"/>
  <c r="L17" i="45"/>
  <c r="K17" i="45"/>
  <c r="J17" i="45"/>
  <c r="I17" i="45"/>
  <c r="H17" i="45"/>
  <c r="G17" i="45"/>
  <c r="F17" i="45"/>
  <c r="E17" i="45"/>
  <c r="D17" i="45"/>
  <c r="C17" i="45"/>
  <c r="B17" i="45"/>
  <c r="N17" i="45" s="1"/>
  <c r="M16" i="45"/>
  <c r="L16" i="45"/>
  <c r="K16" i="45"/>
  <c r="J16" i="45"/>
  <c r="I16" i="45"/>
  <c r="H16" i="45"/>
  <c r="G16" i="45"/>
  <c r="F16" i="45"/>
  <c r="E16" i="45"/>
  <c r="D16" i="45"/>
  <c r="C16" i="45"/>
  <c r="B16" i="45"/>
  <c r="N16" i="45" s="1"/>
  <c r="M15" i="45"/>
  <c r="L15" i="45"/>
  <c r="K15" i="45"/>
  <c r="J15" i="45"/>
  <c r="I15" i="45"/>
  <c r="H15" i="45"/>
  <c r="G15" i="45"/>
  <c r="F15" i="45"/>
  <c r="E15" i="45"/>
  <c r="D15" i="45"/>
  <c r="C15" i="45"/>
  <c r="B15" i="45"/>
  <c r="N15" i="45" s="1"/>
  <c r="M14" i="45"/>
  <c r="L14" i="45"/>
  <c r="K14" i="45"/>
  <c r="J14" i="45"/>
  <c r="I14" i="45"/>
  <c r="H14" i="45"/>
  <c r="G14" i="45"/>
  <c r="F14" i="45"/>
  <c r="E14" i="45"/>
  <c r="D14" i="45"/>
  <c r="C14" i="45"/>
  <c r="B14" i="45"/>
  <c r="N14" i="45" s="1"/>
  <c r="M13" i="45"/>
  <c r="L13" i="45"/>
  <c r="K13" i="45"/>
  <c r="J13" i="45"/>
  <c r="I13" i="45"/>
  <c r="H13" i="45"/>
  <c r="G13" i="45"/>
  <c r="F13" i="45"/>
  <c r="E13" i="45"/>
  <c r="D13" i="45"/>
  <c r="C13" i="45"/>
  <c r="B13" i="45"/>
  <c r="N13" i="45" s="1"/>
  <c r="M12" i="45"/>
  <c r="L12" i="45"/>
  <c r="K12" i="45"/>
  <c r="J12" i="45"/>
  <c r="I12" i="45"/>
  <c r="H12" i="45"/>
  <c r="G12" i="45"/>
  <c r="F12" i="45"/>
  <c r="E12" i="45"/>
  <c r="D12" i="45"/>
  <c r="C12" i="45"/>
  <c r="B12" i="45"/>
  <c r="N12" i="45" s="1"/>
  <c r="M11" i="45"/>
  <c r="L11" i="45"/>
  <c r="K11" i="45"/>
  <c r="J11" i="45"/>
  <c r="I11" i="45"/>
  <c r="H11" i="45"/>
  <c r="G11" i="45"/>
  <c r="F11" i="45"/>
  <c r="E11" i="45"/>
  <c r="D11" i="45"/>
  <c r="C11" i="45"/>
  <c r="B11" i="45"/>
  <c r="N11" i="45" s="1"/>
  <c r="M10" i="45"/>
  <c r="L10" i="45"/>
  <c r="K10" i="45"/>
  <c r="J10" i="45"/>
  <c r="I10" i="45"/>
  <c r="H10" i="45"/>
  <c r="G10" i="45"/>
  <c r="F10" i="45"/>
  <c r="E10" i="45"/>
  <c r="D10" i="45"/>
  <c r="C10" i="45"/>
  <c r="B10" i="45"/>
  <c r="N10" i="45" s="1"/>
  <c r="M9" i="45"/>
  <c r="L9" i="45"/>
  <c r="K9" i="45"/>
  <c r="J9" i="45"/>
  <c r="I9" i="45"/>
  <c r="H9" i="45"/>
  <c r="G9" i="45"/>
  <c r="F9" i="45"/>
  <c r="E9" i="45"/>
  <c r="D9" i="45"/>
  <c r="C9" i="45"/>
  <c r="B9" i="45"/>
  <c r="N9" i="45" s="1"/>
  <c r="M8" i="45"/>
  <c r="L8" i="45"/>
  <c r="K8" i="45"/>
  <c r="J8" i="45"/>
  <c r="I8" i="45"/>
  <c r="H8" i="45"/>
  <c r="G8" i="45"/>
  <c r="F8" i="45"/>
  <c r="E8" i="45"/>
  <c r="D8" i="45"/>
  <c r="C8" i="45"/>
  <c r="B8" i="45"/>
  <c r="N8" i="45" s="1"/>
  <c r="M7" i="45"/>
  <c r="L7" i="45"/>
  <c r="K7" i="45"/>
  <c r="J7" i="45"/>
  <c r="I7" i="45"/>
  <c r="H7" i="45"/>
  <c r="G7" i="45"/>
  <c r="F7" i="45"/>
  <c r="E7" i="45"/>
  <c r="D7" i="45"/>
  <c r="C7" i="45"/>
  <c r="B7" i="45"/>
  <c r="N7" i="45" s="1"/>
  <c r="M6" i="45"/>
  <c r="M57" i="45" s="1"/>
  <c r="L6" i="45"/>
  <c r="L57" i="45" s="1"/>
  <c r="K6" i="45"/>
  <c r="K57" i="45" s="1"/>
  <c r="J6" i="45"/>
  <c r="J57" i="45" s="1"/>
  <c r="I6" i="45"/>
  <c r="I57" i="45" s="1"/>
  <c r="H6" i="45"/>
  <c r="H57" i="45" s="1"/>
  <c r="G6" i="45"/>
  <c r="G57" i="45" s="1"/>
  <c r="F6" i="45"/>
  <c r="F57" i="45" s="1"/>
  <c r="E6" i="45"/>
  <c r="E57" i="45" s="1"/>
  <c r="D6" i="45"/>
  <c r="D57" i="45" s="1"/>
  <c r="C6" i="45"/>
  <c r="C57" i="45" s="1"/>
  <c r="B6" i="45"/>
  <c r="B57" i="45" s="1"/>
  <c r="N6" i="45" l="1"/>
  <c r="B8" i="41"/>
  <c r="B9" i="41"/>
  <c r="B10" i="41"/>
  <c r="B11" i="41"/>
  <c r="B12" i="41"/>
  <c r="B7" i="41"/>
  <c r="B6" i="41"/>
  <c r="B5" i="41"/>
  <c r="B4" i="41"/>
  <c r="O6" i="45" l="1"/>
  <c r="N57" i="45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O7" i="45" l="1"/>
  <c r="O12" i="45"/>
  <c r="O16" i="45"/>
  <c r="O20" i="45"/>
  <c r="O25" i="45"/>
  <c r="O28" i="45"/>
  <c r="O30" i="45"/>
  <c r="O32" i="45"/>
  <c r="O34" i="45"/>
  <c r="O36" i="45"/>
  <c r="O38" i="45"/>
  <c r="O40" i="45"/>
  <c r="O42" i="45"/>
  <c r="O44" i="45"/>
  <c r="O46" i="45"/>
  <c r="O48" i="45"/>
  <c r="O50" i="45"/>
  <c r="O52" i="45"/>
  <c r="O54" i="45"/>
  <c r="O56" i="45"/>
  <c r="O10" i="45"/>
  <c r="O13" i="45"/>
  <c r="O17" i="45"/>
  <c r="O21" i="45"/>
  <c r="O24" i="45"/>
  <c r="O9" i="45"/>
  <c r="O14" i="45"/>
  <c r="O18" i="45"/>
  <c r="O22" i="45"/>
  <c r="O26" i="45"/>
  <c r="O29" i="45"/>
  <c r="O31" i="45"/>
  <c r="O33" i="45"/>
  <c r="O35" i="45"/>
  <c r="O37" i="45"/>
  <c r="O39" i="45"/>
  <c r="O41" i="45"/>
  <c r="O43" i="45"/>
  <c r="O45" i="45"/>
  <c r="O47" i="45"/>
  <c r="O49" i="45"/>
  <c r="O51" i="45"/>
  <c r="O53" i="45"/>
  <c r="O55" i="45"/>
  <c r="O8" i="45"/>
  <c r="O11" i="45"/>
  <c r="O15" i="45"/>
  <c r="O19" i="45"/>
  <c r="O23" i="45"/>
  <c r="O27" i="45"/>
  <c r="O57" i="45"/>
  <c r="I58" i="28"/>
  <c r="D12" i="41"/>
  <c r="M6" i="36" s="1"/>
  <c r="D5" i="44" l="1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50" i="44"/>
  <c r="E46" i="44"/>
  <c r="E42" i="44"/>
  <c r="E38" i="44"/>
  <c r="E34" i="44"/>
  <c r="E30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E25" i="44"/>
  <c r="E21" i="44"/>
  <c r="E16" i="44"/>
  <c r="E12" i="44"/>
  <c r="E8" i="44"/>
  <c r="I26" i="44" l="1"/>
  <c r="E6" i="44"/>
  <c r="E10" i="44"/>
  <c r="E14" i="44"/>
  <c r="E18" i="44"/>
  <c r="E23" i="44"/>
  <c r="E27" i="44"/>
  <c r="E32" i="44"/>
  <c r="E36" i="44"/>
  <c r="E40" i="44"/>
  <c r="E44" i="44"/>
  <c r="E48" i="44"/>
  <c r="E52" i="44"/>
  <c r="I7" i="44"/>
  <c r="I18" i="44"/>
  <c r="I34" i="44"/>
  <c r="I11" i="44"/>
  <c r="I14" i="44"/>
  <c r="I22" i="44"/>
  <c r="I30" i="44"/>
  <c r="I38" i="44"/>
  <c r="I5" i="44"/>
  <c r="I9" i="44"/>
  <c r="I16" i="44"/>
  <c r="I20" i="44"/>
  <c r="I24" i="44"/>
  <c r="I28" i="44"/>
  <c r="I32" i="44"/>
  <c r="I36" i="44"/>
  <c r="I40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D6" i="41" l="1"/>
  <c r="P3" i="44" s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O5" i="44"/>
  <c r="N9" i="44"/>
  <c r="N20" i="44"/>
  <c r="N28" i="44"/>
  <c r="N36" i="44"/>
  <c r="N7" i="44"/>
  <c r="N18" i="44"/>
  <c r="N26" i="44"/>
  <c r="N34" i="44"/>
  <c r="N54" i="44"/>
  <c r="N16" i="44"/>
  <c r="N24" i="44"/>
  <c r="N32" i="44"/>
  <c r="N40" i="44"/>
  <c r="N11" i="44"/>
  <c r="N14" i="44"/>
  <c r="N22" i="44"/>
  <c r="N30" i="44"/>
  <c r="N38" i="44"/>
  <c r="N5" i="44"/>
  <c r="N47" i="44"/>
  <c r="N52" i="44"/>
  <c r="N35" i="44"/>
  <c r="N27" i="44"/>
  <c r="N19" i="44"/>
  <c r="N10" i="44"/>
  <c r="N51" i="44"/>
  <c r="N48" i="44"/>
  <c r="N53" i="44"/>
  <c r="N49" i="44"/>
  <c r="N41" i="44"/>
  <c r="N33" i="44"/>
  <c r="N25" i="44"/>
  <c r="N17" i="44"/>
  <c r="N12" i="44"/>
  <c r="N44" i="44"/>
  <c r="N50" i="44"/>
  <c r="N46" i="44"/>
  <c r="N39" i="44"/>
  <c r="N31" i="44"/>
  <c r="N23" i="44"/>
  <c r="N15" i="44"/>
  <c r="N6" i="44"/>
  <c r="N55" i="44"/>
  <c r="N42" i="44"/>
  <c r="N45" i="44"/>
  <c r="N43" i="44"/>
  <c r="N37" i="44"/>
  <c r="N29" i="44"/>
  <c r="N21" i="44"/>
  <c r="N13" i="44"/>
  <c r="N8" i="44"/>
  <c r="M10" i="44"/>
  <c r="M18" i="44"/>
  <c r="M25" i="44"/>
  <c r="M30" i="44"/>
  <c r="P30" i="44" s="1"/>
  <c r="D31" i="42" s="1"/>
  <c r="M38" i="44"/>
  <c r="M46" i="44"/>
  <c r="M8" i="44"/>
  <c r="M16" i="44"/>
  <c r="M23" i="44"/>
  <c r="M32" i="44"/>
  <c r="M40" i="44"/>
  <c r="M48" i="44"/>
  <c r="M5" i="44"/>
  <c r="M6" i="44"/>
  <c r="M14" i="44"/>
  <c r="M21" i="44"/>
  <c r="M34" i="44"/>
  <c r="M42" i="44"/>
  <c r="M50" i="44"/>
  <c r="M54" i="44"/>
  <c r="P54" i="44" s="1"/>
  <c r="D55" i="42" s="1"/>
  <c r="M12" i="44"/>
  <c r="M27" i="44"/>
  <c r="M36" i="44"/>
  <c r="M44" i="44"/>
  <c r="M52" i="44"/>
  <c r="M55" i="44"/>
  <c r="M53" i="44"/>
  <c r="M45" i="44"/>
  <c r="M37" i="44"/>
  <c r="M29" i="44"/>
  <c r="M22" i="44"/>
  <c r="M15" i="44"/>
  <c r="M7" i="44"/>
  <c r="M51" i="44"/>
  <c r="M43" i="44"/>
  <c r="M35" i="44"/>
  <c r="M28" i="44"/>
  <c r="M20" i="44"/>
  <c r="M13" i="44"/>
  <c r="P13" i="44" s="1"/>
  <c r="D14" i="42" s="1"/>
  <c r="M49" i="44"/>
  <c r="M41" i="44"/>
  <c r="M33" i="44"/>
  <c r="M26" i="44"/>
  <c r="M19" i="44"/>
  <c r="M11" i="44"/>
  <c r="M47" i="44"/>
  <c r="M39" i="44"/>
  <c r="M31" i="44"/>
  <c r="M24" i="44"/>
  <c r="M17" i="44"/>
  <c r="P17" i="44" s="1"/>
  <c r="D18" i="42" s="1"/>
  <c r="M9" i="44"/>
  <c r="P11" i="44" l="1"/>
  <c r="D12" i="42" s="1"/>
  <c r="P15" i="44"/>
  <c r="D16" i="42" s="1"/>
  <c r="P34" i="44"/>
  <c r="D35" i="42" s="1"/>
  <c r="P31" i="44"/>
  <c r="D32" i="42" s="1"/>
  <c r="P33" i="44"/>
  <c r="D34" i="42" s="1"/>
  <c r="P46" i="44"/>
  <c r="D47" i="42" s="1"/>
  <c r="P47" i="44"/>
  <c r="D48" i="42" s="1"/>
  <c r="P19" i="44"/>
  <c r="D20" i="42" s="1"/>
  <c r="P20" i="44"/>
  <c r="D21" i="42" s="1"/>
  <c r="P35" i="44"/>
  <c r="D36" i="42" s="1"/>
  <c r="P51" i="44"/>
  <c r="D52" i="42" s="1"/>
  <c r="P29" i="44"/>
  <c r="D30" i="42" s="1"/>
  <c r="P55" i="44"/>
  <c r="D56" i="42" s="1"/>
  <c r="P21" i="44"/>
  <c r="D22" i="42" s="1"/>
  <c r="P32" i="44"/>
  <c r="D33" i="42" s="1"/>
  <c r="P16" i="44"/>
  <c r="D17" i="42" s="1"/>
  <c r="P18" i="44"/>
  <c r="D19" i="42" s="1"/>
  <c r="P9" i="44"/>
  <c r="D10" i="42" s="1"/>
  <c r="P24" i="44"/>
  <c r="D25" i="42" s="1"/>
  <c r="P39" i="44"/>
  <c r="D40" i="42" s="1"/>
  <c r="P26" i="44"/>
  <c r="D27" i="42" s="1"/>
  <c r="P41" i="44"/>
  <c r="D42" i="42" s="1"/>
  <c r="P28" i="44"/>
  <c r="D29" i="42" s="1"/>
  <c r="P43" i="44"/>
  <c r="D44" i="42" s="1"/>
  <c r="P7" i="44"/>
  <c r="D8" i="42" s="1"/>
  <c r="P22" i="44"/>
  <c r="D23" i="42" s="1"/>
  <c r="P37" i="44"/>
  <c r="D38" i="42" s="1"/>
  <c r="P36" i="44"/>
  <c r="D37" i="42" s="1"/>
  <c r="P12" i="44"/>
  <c r="D13" i="42" s="1"/>
  <c r="P14" i="44"/>
  <c r="D15" i="42" s="1"/>
  <c r="P40" i="44"/>
  <c r="D41" i="42" s="1"/>
  <c r="P8" i="44"/>
  <c r="D9" i="42" s="1"/>
  <c r="P38" i="44"/>
  <c r="D39" i="42" s="1"/>
  <c r="O56" i="44"/>
  <c r="P45" i="44"/>
  <c r="D46" i="42" s="1"/>
  <c r="P44" i="44"/>
  <c r="D45" i="42" s="1"/>
  <c r="P49" i="44"/>
  <c r="D50" i="42" s="1"/>
  <c r="P48" i="44"/>
  <c r="D49" i="42" s="1"/>
  <c r="P10" i="44"/>
  <c r="D11" i="42" s="1"/>
  <c r="P27" i="44"/>
  <c r="D28" i="42" s="1"/>
  <c r="P52" i="44"/>
  <c r="D53" i="42" s="1"/>
  <c r="N56" i="44"/>
  <c r="M56" i="44"/>
  <c r="P5" i="44"/>
  <c r="D6" i="42" s="1"/>
  <c r="P42" i="44"/>
  <c r="D43" i="42" s="1"/>
  <c r="P6" i="44"/>
  <c r="D7" i="42" s="1"/>
  <c r="P23" i="44"/>
  <c r="D24" i="42" s="1"/>
  <c r="P50" i="44"/>
  <c r="D51" i="42" s="1"/>
  <c r="P25" i="44"/>
  <c r="D26" i="42" s="1"/>
  <c r="P53" i="44"/>
  <c r="D54" i="42" s="1"/>
  <c r="D58" i="28"/>
  <c r="F58" i="28"/>
  <c r="H58" i="28"/>
  <c r="C58" i="28"/>
  <c r="E58" i="28"/>
  <c r="G58" i="28"/>
  <c r="D11" i="41"/>
  <c r="D10" i="41"/>
  <c r="D9" i="41"/>
  <c r="D8" i="41"/>
  <c r="D7" i="41"/>
  <c r="D5" i="41"/>
  <c r="D4" i="41"/>
  <c r="AP6" i="1" l="1"/>
  <c r="P56" i="44"/>
  <c r="Q23" i="44" s="1"/>
  <c r="B58" i="28"/>
  <c r="Q49" i="44" l="1"/>
  <c r="Q52" i="44"/>
  <c r="Q45" i="44"/>
  <c r="Q10" i="44"/>
  <c r="Q42" i="44"/>
  <c r="Q44" i="44"/>
  <c r="Q27" i="44"/>
  <c r="Q25" i="44"/>
  <c r="Q48" i="44"/>
  <c r="D57" i="42"/>
  <c r="Q5" i="44"/>
  <c r="Q9" i="44"/>
  <c r="Q17" i="44"/>
  <c r="Q31" i="44"/>
  <c r="Q47" i="44"/>
  <c r="Q19" i="44"/>
  <c r="Q33" i="44"/>
  <c r="Q20" i="44"/>
  <c r="Q35" i="44"/>
  <c r="Q51" i="44"/>
  <c r="Q15" i="44"/>
  <c r="Q29" i="44"/>
  <c r="Q55" i="44"/>
  <c r="Q54" i="44"/>
  <c r="Q21" i="44"/>
  <c r="Q32" i="44"/>
  <c r="Q16" i="44"/>
  <c r="Q46" i="44"/>
  <c r="Q30" i="44"/>
  <c r="Q18" i="44"/>
  <c r="Q24" i="44"/>
  <c r="Q39" i="44"/>
  <c r="Q11" i="44"/>
  <c r="Q26" i="44"/>
  <c r="Q41" i="44"/>
  <c r="Q13" i="44"/>
  <c r="Q28" i="44"/>
  <c r="Q43" i="44"/>
  <c r="Q7" i="44"/>
  <c r="Q22" i="44"/>
  <c r="Q37" i="44"/>
  <c r="Q36" i="44"/>
  <c r="Q12" i="44"/>
  <c r="Q34" i="44"/>
  <c r="Q14" i="44"/>
  <c r="Q40" i="44"/>
  <c r="Q8" i="44"/>
  <c r="Q38" i="44"/>
  <c r="Q6" i="44"/>
  <c r="Q50" i="44"/>
  <c r="Q53" i="44"/>
  <c r="C59" i="1"/>
  <c r="B59" i="1"/>
  <c r="J6" i="36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9" i="36"/>
  <c r="F59" i="36" s="1"/>
  <c r="B59" i="36"/>
  <c r="C58" i="36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7" i="36"/>
  <c r="C12" i="36"/>
  <c r="F8" i="36"/>
  <c r="C23" i="36"/>
  <c r="C8" i="36"/>
  <c r="C16" i="36"/>
  <c r="C31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/>
  <c r="AJ9" i="1"/>
  <c r="AK9" i="1"/>
  <c r="C33" i="36"/>
  <c r="C35" i="36"/>
  <c r="C37" i="36"/>
  <c r="C39" i="36"/>
  <c r="C43" i="36"/>
  <c r="C47" i="36"/>
  <c r="C55" i="36"/>
  <c r="C40" i="36"/>
  <c r="C42" i="36"/>
  <c r="C44" i="36"/>
  <c r="C46" i="36"/>
  <c r="C49" i="36"/>
  <c r="C53" i="36"/>
  <c r="C57" i="36"/>
  <c r="AI11" i="1"/>
  <c r="AJ11" i="1"/>
  <c r="AK11" i="1"/>
  <c r="AF59" i="1"/>
  <c r="D8" i="1"/>
  <c r="E8" i="1" s="1"/>
  <c r="C48" i="36"/>
  <c r="C50" i="36"/>
  <c r="C52" i="36"/>
  <c r="C54" i="36"/>
  <c r="C56" i="36"/>
  <c r="AI30" i="1"/>
  <c r="AJ30" i="1"/>
  <c r="AK30" i="1"/>
  <c r="AI8" i="1"/>
  <c r="AJ8" i="1"/>
  <c r="AI18" i="1"/>
  <c r="AJ18" i="1"/>
  <c r="AK18" i="1"/>
  <c r="AI39" i="1"/>
  <c r="AJ39" i="1"/>
  <c r="AK39" i="1"/>
  <c r="AI50" i="1"/>
  <c r="AJ50" i="1"/>
  <c r="AK50" i="1"/>
  <c r="AI55" i="1"/>
  <c r="AJ55" i="1"/>
  <c r="AK55" i="1"/>
  <c r="AI46" i="1"/>
  <c r="AJ46" i="1"/>
  <c r="AK46" i="1"/>
  <c r="AI14" i="1"/>
  <c r="AJ14" i="1"/>
  <c r="AK14" i="1"/>
  <c r="AI43" i="1"/>
  <c r="AJ43" i="1"/>
  <c r="AK43" i="1"/>
  <c r="AI34" i="1"/>
  <c r="AJ34" i="1"/>
  <c r="AK34" i="1"/>
  <c r="AI51" i="1"/>
  <c r="AJ51" i="1"/>
  <c r="AK51" i="1"/>
  <c r="AI58" i="1"/>
  <c r="AJ58" i="1"/>
  <c r="AK58" i="1"/>
  <c r="AI42" i="1"/>
  <c r="AJ42" i="1"/>
  <c r="AK42" i="1"/>
  <c r="AI26" i="1"/>
  <c r="AJ26" i="1"/>
  <c r="AK26" i="1"/>
  <c r="AI10" i="1"/>
  <c r="AJ10" i="1"/>
  <c r="AK10" i="1"/>
  <c r="AI47" i="1"/>
  <c r="AJ47" i="1"/>
  <c r="AK47" i="1"/>
  <c r="AI54" i="1"/>
  <c r="AJ54" i="1"/>
  <c r="AK54" i="1"/>
  <c r="AI38" i="1"/>
  <c r="AJ38" i="1"/>
  <c r="AK38" i="1"/>
  <c r="AI22" i="1"/>
  <c r="AJ22" i="1"/>
  <c r="AK22" i="1"/>
  <c r="C59" i="36"/>
  <c r="AI27" i="1"/>
  <c r="AJ27" i="1"/>
  <c r="AK27" i="1"/>
  <c r="AI29" i="1"/>
  <c r="AJ29" i="1"/>
  <c r="AK29" i="1"/>
  <c r="AI19" i="1"/>
  <c r="AJ19" i="1"/>
  <c r="AK19" i="1"/>
  <c r="AI33" i="1"/>
  <c r="AJ33" i="1"/>
  <c r="AK33" i="1"/>
  <c r="AI23" i="1"/>
  <c r="AJ23" i="1"/>
  <c r="AK23" i="1"/>
  <c r="AI13" i="1"/>
  <c r="AJ13" i="1"/>
  <c r="AK13" i="1"/>
  <c r="AI57" i="1"/>
  <c r="AJ57" i="1"/>
  <c r="AK57" i="1"/>
  <c r="AI53" i="1"/>
  <c r="AJ53" i="1"/>
  <c r="AK53" i="1"/>
  <c r="AI49" i="1"/>
  <c r="AJ49" i="1"/>
  <c r="AK49" i="1"/>
  <c r="AI45" i="1"/>
  <c r="AJ45" i="1"/>
  <c r="AK45" i="1"/>
  <c r="AI41" i="1"/>
  <c r="AJ41" i="1"/>
  <c r="AK41" i="1"/>
  <c r="AI37" i="1"/>
  <c r="AJ37" i="1"/>
  <c r="AK37" i="1"/>
  <c r="AI56" i="1"/>
  <c r="AJ56" i="1"/>
  <c r="AK56" i="1"/>
  <c r="AI52" i="1"/>
  <c r="AJ52" i="1"/>
  <c r="AK52" i="1"/>
  <c r="AI48" i="1"/>
  <c r="AJ48" i="1"/>
  <c r="AK48" i="1"/>
  <c r="AI44" i="1"/>
  <c r="AJ44" i="1"/>
  <c r="AK44" i="1"/>
  <c r="AI40" i="1"/>
  <c r="AJ40" i="1"/>
  <c r="AK40" i="1"/>
  <c r="AI36" i="1"/>
  <c r="AJ36" i="1"/>
  <c r="AK36" i="1"/>
  <c r="AI32" i="1"/>
  <c r="AJ32" i="1"/>
  <c r="AK32" i="1"/>
  <c r="AI28" i="1"/>
  <c r="AJ28" i="1"/>
  <c r="AK28" i="1"/>
  <c r="AI24" i="1"/>
  <c r="AJ24" i="1"/>
  <c r="AK24" i="1"/>
  <c r="AI20" i="1"/>
  <c r="AJ20" i="1"/>
  <c r="AK20" i="1"/>
  <c r="AI16" i="1"/>
  <c r="AJ16" i="1"/>
  <c r="AK16" i="1"/>
  <c r="AI12" i="1"/>
  <c r="AJ12" i="1"/>
  <c r="AK12" i="1"/>
  <c r="AI21" i="1"/>
  <c r="AJ21" i="1"/>
  <c r="AK21" i="1"/>
  <c r="AI15" i="1"/>
  <c r="AJ15" i="1"/>
  <c r="AK15" i="1"/>
  <c r="AI35" i="1"/>
  <c r="AJ35" i="1"/>
  <c r="AK35" i="1"/>
  <c r="AI31" i="1"/>
  <c r="AJ31" i="1"/>
  <c r="AK31" i="1"/>
  <c r="AI25" i="1"/>
  <c r="AJ25" i="1"/>
  <c r="AK25" i="1"/>
  <c r="AI17" i="1"/>
  <c r="AJ17" i="1"/>
  <c r="AK17" i="1"/>
  <c r="AI59" i="1"/>
  <c r="AJ59" i="1"/>
  <c r="AK8" i="1"/>
  <c r="AK59" i="1"/>
  <c r="J59" i="1"/>
  <c r="K19" i="1"/>
  <c r="L19" i="1"/>
  <c r="G59" i="1"/>
  <c r="H11" i="1" s="1"/>
  <c r="I11" i="1" s="1"/>
  <c r="M11" i="1" s="1"/>
  <c r="H47" i="1"/>
  <c r="I47" i="1" s="1"/>
  <c r="M47" i="1" s="1"/>
  <c r="H25" i="1"/>
  <c r="I25" i="1" s="1"/>
  <c r="M25" i="1" s="1"/>
  <c r="H55" i="1"/>
  <c r="I55" i="1" s="1"/>
  <c r="M55" i="1" s="1"/>
  <c r="H39" i="1"/>
  <c r="I39" i="1" s="1"/>
  <c r="M39" i="1" s="1"/>
  <c r="H10" i="1"/>
  <c r="K59" i="1"/>
  <c r="K27" i="1"/>
  <c r="L27" i="1"/>
  <c r="K43" i="1"/>
  <c r="L43" i="1"/>
  <c r="K11" i="1"/>
  <c r="L11" i="1"/>
  <c r="H34" i="1"/>
  <c r="I34" i="1" s="1"/>
  <c r="M34" i="1" s="1"/>
  <c r="H48" i="1"/>
  <c r="I48" i="1" s="1"/>
  <c r="M48" i="1" s="1"/>
  <c r="H17" i="1"/>
  <c r="I17" i="1" s="1"/>
  <c r="M17" i="1" s="1"/>
  <c r="H57" i="1"/>
  <c r="I57" i="1" s="1"/>
  <c r="M57" i="1" s="1"/>
  <c r="H49" i="1"/>
  <c r="I49" i="1" s="1"/>
  <c r="M49" i="1" s="1"/>
  <c r="H45" i="1"/>
  <c r="I45" i="1" s="1"/>
  <c r="M45" i="1" s="1"/>
  <c r="H41" i="1"/>
  <c r="I41" i="1" s="1"/>
  <c r="M41" i="1" s="1"/>
  <c r="H37" i="1"/>
  <c r="I37" i="1" s="1"/>
  <c r="M37" i="1" s="1"/>
  <c r="H29" i="1"/>
  <c r="I29" i="1" s="1"/>
  <c r="M29" i="1" s="1"/>
  <c r="H21" i="1"/>
  <c r="I21" i="1" s="1"/>
  <c r="M21" i="1" s="1"/>
  <c r="H14" i="1"/>
  <c r="I14" i="1" s="1"/>
  <c r="M14" i="1" s="1"/>
  <c r="H51" i="1"/>
  <c r="I51" i="1" s="1"/>
  <c r="M51" i="1" s="1"/>
  <c r="H52" i="1"/>
  <c r="I52" i="1" s="1"/>
  <c r="M52" i="1" s="1"/>
  <c r="H42" i="1"/>
  <c r="I42" i="1" s="1"/>
  <c r="M42" i="1" s="1"/>
  <c r="H26" i="1"/>
  <c r="I26" i="1" s="1"/>
  <c r="M26" i="1" s="1"/>
  <c r="H9" i="1"/>
  <c r="I9" i="1" s="1"/>
  <c r="M9" i="1" s="1"/>
  <c r="K51" i="1"/>
  <c r="L51" i="1"/>
  <c r="K35" i="1"/>
  <c r="L35" i="1"/>
  <c r="H35" i="1"/>
  <c r="I35" i="1" s="1"/>
  <c r="M35" i="1" s="1"/>
  <c r="H31" i="1"/>
  <c r="I31" i="1" s="1"/>
  <c r="M31" i="1" s="1"/>
  <c r="H27" i="1"/>
  <c r="I27" i="1" s="1"/>
  <c r="M27" i="1" s="1"/>
  <c r="H23" i="1"/>
  <c r="I23" i="1" s="1"/>
  <c r="M23" i="1" s="1"/>
  <c r="H19" i="1"/>
  <c r="K8" i="1"/>
  <c r="L8" i="1"/>
  <c r="K55" i="1"/>
  <c r="L55" i="1"/>
  <c r="K47" i="1"/>
  <c r="L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I10" i="1"/>
  <c r="I19" i="1"/>
  <c r="M19" i="1" s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L59" i="1"/>
  <c r="M10" i="1"/>
  <c r="Q56" i="44" l="1"/>
  <c r="F28" i="36"/>
  <c r="F23" i="36"/>
  <c r="F44" i="36"/>
  <c r="F55" i="36"/>
  <c r="F29" i="36"/>
  <c r="F52" i="36"/>
  <c r="F36" i="36"/>
  <c r="F20" i="36"/>
  <c r="F39" i="36"/>
  <c r="F11" i="36"/>
  <c r="F41" i="36"/>
  <c r="F56" i="36"/>
  <c r="F48" i="36"/>
  <c r="F40" i="36"/>
  <c r="F32" i="36"/>
  <c r="F24" i="36"/>
  <c r="F16" i="36"/>
  <c r="F49" i="36"/>
  <c r="F51" i="36"/>
  <c r="F47" i="36"/>
  <c r="F31" i="36"/>
  <c r="F15" i="36"/>
  <c r="F45" i="36"/>
  <c r="F14" i="36"/>
  <c r="F12" i="36"/>
  <c r="F58" i="36"/>
  <c r="F54" i="36"/>
  <c r="F50" i="36"/>
  <c r="F46" i="36"/>
  <c r="F42" i="36"/>
  <c r="F38" i="36"/>
  <c r="F34" i="36"/>
  <c r="F30" i="36"/>
  <c r="F26" i="36"/>
  <c r="F22" i="36"/>
  <c r="F18" i="36"/>
  <c r="F57" i="36"/>
  <c r="F53" i="36"/>
  <c r="F43" i="36"/>
  <c r="F35" i="36"/>
  <c r="F27" i="36"/>
  <c r="F19" i="36"/>
  <c r="F13" i="36"/>
  <c r="F9" i="36"/>
  <c r="F37" i="36"/>
  <c r="F21" i="36"/>
  <c r="F10" i="36"/>
  <c r="F25" i="36"/>
  <c r="F33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56" i="36"/>
  <c r="J32" i="36"/>
  <c r="J19" i="36"/>
  <c r="J51" i="36"/>
  <c r="J35" i="36"/>
  <c r="J16" i="36"/>
  <c r="J48" i="36"/>
  <c r="J11" i="36"/>
  <c r="J27" i="36"/>
  <c r="J43" i="36"/>
  <c r="J8" i="36"/>
  <c r="J24" i="36"/>
  <c r="J40" i="36"/>
  <c r="AM6" i="1"/>
  <c r="J58" i="36"/>
  <c r="J54" i="36"/>
  <c r="J50" i="36"/>
  <c r="J46" i="36"/>
  <c r="J42" i="36"/>
  <c r="J38" i="36"/>
  <c r="J34" i="36"/>
  <c r="J30" i="36"/>
  <c r="J26" i="36"/>
  <c r="J22" i="36"/>
  <c r="J18" i="36"/>
  <c r="J14" i="36"/>
  <c r="J10" i="36"/>
  <c r="J57" i="36"/>
  <c r="J53" i="36"/>
  <c r="J49" i="36"/>
  <c r="J45" i="36"/>
  <c r="J41" i="36"/>
  <c r="J37" i="36"/>
  <c r="J33" i="36"/>
  <c r="J29" i="36"/>
  <c r="J25" i="36"/>
  <c r="J21" i="36"/>
  <c r="J17" i="36"/>
  <c r="J13" i="36"/>
  <c r="J9" i="36"/>
  <c r="K6" i="36"/>
  <c r="L6" i="36"/>
  <c r="J15" i="36"/>
  <c r="J23" i="36"/>
  <c r="J31" i="36"/>
  <c r="J39" i="36"/>
  <c r="J47" i="36"/>
  <c r="J55" i="36"/>
  <c r="J12" i="36"/>
  <c r="J20" i="36"/>
  <c r="J28" i="36"/>
  <c r="J36" i="36"/>
  <c r="J44" i="36"/>
  <c r="J52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I8" i="1" l="1"/>
  <c r="H59" i="1"/>
  <c r="AO6" i="1"/>
  <c r="AO56" i="1" s="1"/>
  <c r="AN6" i="1"/>
  <c r="AN37" i="1" s="1"/>
  <c r="AM49" i="1"/>
  <c r="AM40" i="1"/>
  <c r="AM32" i="1"/>
  <c r="AM18" i="1"/>
  <c r="AM51" i="1"/>
  <c r="AM44" i="1"/>
  <c r="AM34" i="1"/>
  <c r="AM28" i="1"/>
  <c r="AM26" i="1"/>
  <c r="AM16" i="1"/>
  <c r="AM11" i="1"/>
  <c r="AM9" i="1"/>
  <c r="J59" i="36"/>
  <c r="AM52" i="1"/>
  <c r="AM50" i="1"/>
  <c r="AM46" i="1"/>
  <c r="AM41" i="1"/>
  <c r="AM35" i="1"/>
  <c r="AM33" i="1"/>
  <c r="AM29" i="1"/>
  <c r="AM27" i="1"/>
  <c r="AM19" i="1"/>
  <c r="AM17" i="1"/>
  <c r="AM14" i="1"/>
  <c r="AM10" i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M8" i="1" l="1"/>
  <c r="M59" i="1" s="1"/>
  <c r="I59" i="1"/>
  <c r="AO15" i="1"/>
  <c r="AO46" i="1"/>
  <c r="AO36" i="1"/>
  <c r="AN55" i="1"/>
  <c r="AO21" i="1"/>
  <c r="AO32" i="1"/>
  <c r="AO11" i="1"/>
  <c r="AN17" i="1"/>
  <c r="AN54" i="1"/>
  <c r="AN25" i="1"/>
  <c r="AN13" i="1"/>
  <c r="AN36" i="1"/>
  <c r="AN49" i="1"/>
  <c r="AN10" i="1"/>
  <c r="AN27" i="1"/>
  <c r="AN16" i="1"/>
  <c r="AN47" i="1"/>
  <c r="AN48" i="1"/>
  <c r="AO51" i="1"/>
  <c r="AO29" i="1"/>
  <c r="AO47" i="1"/>
  <c r="AP47" i="1" s="1"/>
  <c r="K46" i="28" s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P46" i="1" s="1"/>
  <c r="K45" i="28" s="1"/>
  <c r="AN43" i="1"/>
  <c r="AN20" i="1"/>
  <c r="AN33" i="1"/>
  <c r="AN42" i="1"/>
  <c r="AN21" i="1"/>
  <c r="AN53" i="1"/>
  <c r="AN38" i="1"/>
  <c r="AN45" i="1"/>
  <c r="AN57" i="1"/>
  <c r="AN30" i="1"/>
  <c r="AN56" i="1"/>
  <c r="AP56" i="1" s="1"/>
  <c r="K55" i="28" s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K36" i="28" s="1"/>
  <c r="AO20" i="1"/>
  <c r="AO9" i="1"/>
  <c r="AO13" i="1"/>
  <c r="AO38" i="1"/>
  <c r="AP38" i="1" s="1"/>
  <c r="K37" i="28" s="1"/>
  <c r="AO8" i="1"/>
  <c r="AO39" i="1"/>
  <c r="AO25" i="1"/>
  <c r="AO33" i="1"/>
  <c r="AP33" i="1" s="1"/>
  <c r="K32" i="28" s="1"/>
  <c r="AO54" i="1"/>
  <c r="AO42" i="1"/>
  <c r="AO58" i="1"/>
  <c r="AO34" i="1"/>
  <c r="AO27" i="1"/>
  <c r="AO30" i="1"/>
  <c r="AO45" i="1"/>
  <c r="K59" i="36"/>
  <c r="F59" i="1"/>
  <c r="AM59" i="1"/>
  <c r="AP9" i="1" l="1"/>
  <c r="K8" i="28" s="1"/>
  <c r="AP48" i="1"/>
  <c r="K47" i="28" s="1"/>
  <c r="AP55" i="1"/>
  <c r="K54" i="28" s="1"/>
  <c r="AP36" i="1"/>
  <c r="K35" i="28" s="1"/>
  <c r="AP34" i="1"/>
  <c r="K33" i="28" s="1"/>
  <c r="AP12" i="1"/>
  <c r="K11" i="28" s="1"/>
  <c r="AP32" i="1"/>
  <c r="K31" i="28" s="1"/>
  <c r="AP11" i="1"/>
  <c r="K10" i="28" s="1"/>
  <c r="AP22" i="1"/>
  <c r="K21" i="28" s="1"/>
  <c r="AP29" i="1"/>
  <c r="K28" i="28" s="1"/>
  <c r="AP15" i="1"/>
  <c r="K14" i="28" s="1"/>
  <c r="AP57" i="1"/>
  <c r="K56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25" i="1"/>
  <c r="K24" i="28" s="1"/>
  <c r="AP8" i="1"/>
  <c r="K7" i="28" s="1"/>
  <c r="AP17" i="1"/>
  <c r="K16" i="28" s="1"/>
  <c r="AP42" i="1"/>
  <c r="K41" i="28" s="1"/>
  <c r="AP39" i="1"/>
  <c r="K38" i="28" s="1"/>
  <c r="AP27" i="1"/>
  <c r="K26" i="28" s="1"/>
  <c r="AP13" i="1"/>
  <c r="K12" i="28" s="1"/>
  <c r="AP51" i="1"/>
  <c r="K50" i="28" s="1"/>
  <c r="AP41" i="1"/>
  <c r="K40" i="28" s="1"/>
  <c r="AP35" i="1"/>
  <c r="K34" i="28" s="1"/>
  <c r="AP49" i="1"/>
  <c r="K48" i="28" s="1"/>
  <c r="AP10" i="1"/>
  <c r="K9" i="28" s="1"/>
  <c r="AP24" i="1"/>
  <c r="K23" i="28" s="1"/>
  <c r="AP53" i="1"/>
  <c r="K52" i="28" s="1"/>
  <c r="AP16" i="1"/>
  <c r="K15" i="28" s="1"/>
  <c r="AP18" i="1"/>
  <c r="K17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P58" i="1"/>
  <c r="K57" i="28" s="1"/>
  <c r="AN59" i="1"/>
  <c r="AP31" i="1"/>
  <c r="K30" i="28" s="1"/>
  <c r="AO59" i="1"/>
  <c r="AP59" i="1" l="1"/>
  <c r="AQ8" i="1" s="1"/>
  <c r="H8" i="36" s="1"/>
  <c r="AQ11" i="1" l="1"/>
  <c r="H11" i="36" s="1"/>
  <c r="L11" i="36" s="1"/>
  <c r="M11" i="36" s="1"/>
  <c r="AQ35" i="1"/>
  <c r="H35" i="36" s="1"/>
  <c r="L35" i="36" s="1"/>
  <c r="M35" i="36" s="1"/>
  <c r="AQ43" i="1"/>
  <c r="H43" i="36" s="1"/>
  <c r="L43" i="36" s="1"/>
  <c r="M43" i="36" s="1"/>
  <c r="AQ45" i="1"/>
  <c r="H45" i="36" s="1"/>
  <c r="L45" i="36" s="1"/>
  <c r="M45" i="36" s="1"/>
  <c r="AQ36" i="1"/>
  <c r="H36" i="36" s="1"/>
  <c r="L36" i="36" s="1"/>
  <c r="M36" i="36" s="1"/>
  <c r="AQ48" i="1"/>
  <c r="H48" i="36" s="1"/>
  <c r="L48" i="36" s="1"/>
  <c r="M48" i="36" s="1"/>
  <c r="AQ17" i="1"/>
  <c r="H17" i="36" s="1"/>
  <c r="L17" i="36" s="1"/>
  <c r="M17" i="36" s="1"/>
  <c r="AQ22" i="1"/>
  <c r="H22" i="36" s="1"/>
  <c r="L22" i="36" s="1"/>
  <c r="M22" i="36" s="1"/>
  <c r="AQ34" i="1"/>
  <c r="H34" i="36" s="1"/>
  <c r="L34" i="36" s="1"/>
  <c r="M34" i="36" s="1"/>
  <c r="AQ37" i="1"/>
  <c r="H37" i="36" s="1"/>
  <c r="L37" i="36" s="1"/>
  <c r="M37" i="36" s="1"/>
  <c r="AQ25" i="1"/>
  <c r="H25" i="36" s="1"/>
  <c r="L25" i="36" s="1"/>
  <c r="M25" i="36" s="1"/>
  <c r="AQ55" i="1"/>
  <c r="H55" i="36" s="1"/>
  <c r="L55" i="36" s="1"/>
  <c r="M55" i="36" s="1"/>
  <c r="AQ20" i="1"/>
  <c r="H20" i="36" s="1"/>
  <c r="L20" i="36" s="1"/>
  <c r="M20" i="36" s="1"/>
  <c r="AQ32" i="1"/>
  <c r="H32" i="36" s="1"/>
  <c r="L32" i="36" s="1"/>
  <c r="M32" i="36" s="1"/>
  <c r="AQ16" i="1"/>
  <c r="H16" i="36" s="1"/>
  <c r="L16" i="36" s="1"/>
  <c r="M16" i="36" s="1"/>
  <c r="AQ49" i="1"/>
  <c r="H49" i="36" s="1"/>
  <c r="L49" i="36" s="1"/>
  <c r="M49" i="36" s="1"/>
  <c r="AQ19" i="1"/>
  <c r="H19" i="36" s="1"/>
  <c r="L19" i="36" s="1"/>
  <c r="M19" i="36" s="1"/>
  <c r="AQ46" i="1"/>
  <c r="H46" i="36" s="1"/>
  <c r="L46" i="36" s="1"/>
  <c r="M46" i="36" s="1"/>
  <c r="AQ54" i="1"/>
  <c r="H54" i="36" s="1"/>
  <c r="L54" i="36" s="1"/>
  <c r="M54" i="36" s="1"/>
  <c r="AQ15" i="1"/>
  <c r="H15" i="36" s="1"/>
  <c r="L15" i="36" s="1"/>
  <c r="M15" i="36" s="1"/>
  <c r="AQ38" i="1"/>
  <c r="H38" i="36" s="1"/>
  <c r="L38" i="36" s="1"/>
  <c r="M38" i="36" s="1"/>
  <c r="AQ47" i="1"/>
  <c r="H47" i="36" s="1"/>
  <c r="L47" i="36" s="1"/>
  <c r="M47" i="36" s="1"/>
  <c r="AQ13" i="1"/>
  <c r="H13" i="36" s="1"/>
  <c r="L13" i="36" s="1"/>
  <c r="M13" i="36" s="1"/>
  <c r="AQ40" i="1"/>
  <c r="H40" i="36" s="1"/>
  <c r="L40" i="36" s="1"/>
  <c r="M40" i="36" s="1"/>
  <c r="AQ26" i="1"/>
  <c r="H26" i="36" s="1"/>
  <c r="L26" i="36" s="1"/>
  <c r="M26" i="36" s="1"/>
  <c r="AQ51" i="1"/>
  <c r="H51" i="36" s="1"/>
  <c r="L51" i="36" s="1"/>
  <c r="M51" i="36" s="1"/>
  <c r="AQ27" i="1"/>
  <c r="H27" i="36" s="1"/>
  <c r="L27" i="36" s="1"/>
  <c r="M27" i="36" s="1"/>
  <c r="AQ52" i="1"/>
  <c r="H52" i="36" s="1"/>
  <c r="L52" i="36" s="1"/>
  <c r="M52" i="36" s="1"/>
  <c r="AQ39" i="1"/>
  <c r="H39" i="36" s="1"/>
  <c r="L39" i="36" s="1"/>
  <c r="M39" i="36" s="1"/>
  <c r="AQ23" i="1"/>
  <c r="H23" i="36" s="1"/>
  <c r="L23" i="36" s="1"/>
  <c r="M23" i="36" s="1"/>
  <c r="AQ42" i="1"/>
  <c r="H42" i="36" s="1"/>
  <c r="L42" i="36" s="1"/>
  <c r="M42" i="36" s="1"/>
  <c r="AQ30" i="1"/>
  <c r="H30" i="36" s="1"/>
  <c r="L30" i="36" s="1"/>
  <c r="M30" i="36" s="1"/>
  <c r="AQ53" i="1"/>
  <c r="H53" i="36" s="1"/>
  <c r="L53" i="36" s="1"/>
  <c r="M53" i="36" s="1"/>
  <c r="AQ9" i="1"/>
  <c r="H9" i="36" s="1"/>
  <c r="L9" i="36" s="1"/>
  <c r="M9" i="36" s="1"/>
  <c r="AQ28" i="1"/>
  <c r="H28" i="36" s="1"/>
  <c r="L28" i="36" s="1"/>
  <c r="M28" i="36" s="1"/>
  <c r="AQ10" i="1"/>
  <c r="H10" i="36" s="1"/>
  <c r="L10" i="36" s="1"/>
  <c r="M10" i="36" s="1"/>
  <c r="AQ33" i="1"/>
  <c r="H33" i="36" s="1"/>
  <c r="L33" i="36" s="1"/>
  <c r="M33" i="36" s="1"/>
  <c r="AQ58" i="1"/>
  <c r="H58" i="36" s="1"/>
  <c r="L58" i="36" s="1"/>
  <c r="M58" i="36" s="1"/>
  <c r="AQ56" i="1"/>
  <c r="H56" i="36" s="1"/>
  <c r="L56" i="36" s="1"/>
  <c r="M56" i="36" s="1"/>
  <c r="AQ57" i="1"/>
  <c r="H57" i="36" s="1"/>
  <c r="L57" i="36" s="1"/>
  <c r="M57" i="36" s="1"/>
  <c r="AQ31" i="1"/>
  <c r="H31" i="36" s="1"/>
  <c r="L31" i="36" s="1"/>
  <c r="M31" i="36" s="1"/>
  <c r="AQ24" i="1"/>
  <c r="H24" i="36" s="1"/>
  <c r="L24" i="36" s="1"/>
  <c r="M24" i="36" s="1"/>
  <c r="AQ21" i="1"/>
  <c r="H21" i="36" s="1"/>
  <c r="L21" i="36" s="1"/>
  <c r="M21" i="36" s="1"/>
  <c r="AQ12" i="1"/>
  <c r="H12" i="36" s="1"/>
  <c r="L12" i="36" s="1"/>
  <c r="M12" i="36" s="1"/>
  <c r="AQ41" i="1"/>
  <c r="H41" i="36" s="1"/>
  <c r="L41" i="36" s="1"/>
  <c r="M41" i="36" s="1"/>
  <c r="AQ18" i="1"/>
  <c r="H18" i="36" s="1"/>
  <c r="L18" i="36" s="1"/>
  <c r="M18" i="36" s="1"/>
  <c r="AQ44" i="1"/>
  <c r="H44" i="36" s="1"/>
  <c r="L44" i="36" s="1"/>
  <c r="M44" i="36" s="1"/>
  <c r="AQ14" i="1"/>
  <c r="H14" i="36" s="1"/>
  <c r="L14" i="36" s="1"/>
  <c r="M14" i="36" s="1"/>
  <c r="AQ29" i="1"/>
  <c r="H29" i="36" s="1"/>
  <c r="L29" i="36" s="1"/>
  <c r="M29" i="36" s="1"/>
  <c r="AQ50" i="1"/>
  <c r="H50" i="36" s="1"/>
  <c r="L50" i="36" s="1"/>
  <c r="M50" i="36" s="1"/>
  <c r="L8" i="36"/>
  <c r="H59" i="36" l="1"/>
  <c r="AQ59" i="1"/>
  <c r="L59" i="36"/>
  <c r="M8" i="36"/>
  <c r="M59" i="36" l="1"/>
  <c r="N8" i="36" s="1"/>
  <c r="J6" i="42" s="1"/>
  <c r="K58" i="28" l="1"/>
  <c r="N58" i="36"/>
  <c r="J56" i="42" s="1"/>
  <c r="N39" i="36"/>
  <c r="J37" i="42" s="1"/>
  <c r="N56" i="36"/>
  <c r="J54" i="42" s="1"/>
  <c r="N15" i="36"/>
  <c r="J13" i="42" s="1"/>
  <c r="N57" i="36"/>
  <c r="J55" i="42" s="1"/>
  <c r="N25" i="36"/>
  <c r="J23" i="42" s="1"/>
  <c r="N31" i="36"/>
  <c r="J29" i="42" s="1"/>
  <c r="N22" i="36"/>
  <c r="J20" i="42" s="1"/>
  <c r="N24" i="36"/>
  <c r="J22" i="42" s="1"/>
  <c r="N30" i="36"/>
  <c r="J28" i="42" s="1"/>
  <c r="N21" i="36"/>
  <c r="J19" i="42" s="1"/>
  <c r="N13" i="36"/>
  <c r="J11" i="42" s="1"/>
  <c r="N12" i="36"/>
  <c r="J10" i="42" s="1"/>
  <c r="N32" i="36"/>
  <c r="J30" i="42" s="1"/>
  <c r="N41" i="36"/>
  <c r="J39" i="42" s="1"/>
  <c r="N11" i="36"/>
  <c r="J9" i="42" s="1"/>
  <c r="N18" i="36"/>
  <c r="J16" i="42" s="1"/>
  <c r="N28" i="36"/>
  <c r="J26" i="42" s="1"/>
  <c r="N44" i="36"/>
  <c r="J42" i="42" s="1"/>
  <c r="N51" i="36"/>
  <c r="J49" i="42" s="1"/>
  <c r="N14" i="36"/>
  <c r="J12" i="42" s="1"/>
  <c r="N19" i="36"/>
  <c r="J17" i="42" s="1"/>
  <c r="N29" i="36"/>
  <c r="J27" i="42" s="1"/>
  <c r="N35" i="36"/>
  <c r="J33" i="42" s="1"/>
  <c r="N50" i="36"/>
  <c r="J48" i="42" s="1"/>
  <c r="N54" i="36"/>
  <c r="J52" i="42" s="1"/>
  <c r="N43" i="36"/>
  <c r="J41" i="42" s="1"/>
  <c r="N37" i="36"/>
  <c r="J35" i="42" s="1"/>
  <c r="N23" i="36"/>
  <c r="J21" i="42" s="1"/>
  <c r="N48" i="36"/>
  <c r="J46" i="42" s="1"/>
  <c r="N38" i="36"/>
  <c r="J36" i="42" s="1"/>
  <c r="N42" i="36"/>
  <c r="J40" i="42" s="1"/>
  <c r="N55" i="36"/>
  <c r="J53" i="42" s="1"/>
  <c r="N47" i="36"/>
  <c r="J45" i="42" s="1"/>
  <c r="N45" i="36"/>
  <c r="J43" i="42" s="1"/>
  <c r="N20" i="36"/>
  <c r="J18" i="42" s="1"/>
  <c r="N53" i="36"/>
  <c r="J51" i="42" s="1"/>
  <c r="N36" i="36"/>
  <c r="J34" i="42" s="1"/>
  <c r="N40" i="36"/>
  <c r="J38" i="42" s="1"/>
  <c r="N9" i="36"/>
  <c r="J7" i="42" s="1"/>
  <c r="N16" i="36"/>
  <c r="J14" i="42" s="1"/>
  <c r="N26" i="36"/>
  <c r="J24" i="42" s="1"/>
  <c r="N34" i="36"/>
  <c r="J32" i="42" s="1"/>
  <c r="N49" i="36"/>
  <c r="J47" i="42" s="1"/>
  <c r="N10" i="36"/>
  <c r="J8" i="42" s="1"/>
  <c r="N17" i="36"/>
  <c r="J15" i="42" s="1"/>
  <c r="N27" i="36"/>
  <c r="J25" i="42" s="1"/>
  <c r="N33" i="36"/>
  <c r="J31" i="42" s="1"/>
  <c r="N46" i="36"/>
  <c r="J44" i="42" s="1"/>
  <c r="N52" i="36"/>
  <c r="J50" i="42" s="1"/>
  <c r="I61" i="28" l="1"/>
  <c r="J4" i="28" s="1"/>
  <c r="J57" i="42"/>
  <c r="N59" i="36"/>
  <c r="J8" i="28" l="1"/>
  <c r="M8" i="28" s="1"/>
  <c r="J12" i="28"/>
  <c r="M12" i="28" s="1"/>
  <c r="J16" i="28"/>
  <c r="M16" i="28" s="1"/>
  <c r="J20" i="28"/>
  <c r="M20" i="28" s="1"/>
  <c r="J24" i="28"/>
  <c r="M24" i="28" s="1"/>
  <c r="J28" i="28"/>
  <c r="M28" i="28" s="1"/>
  <c r="J32" i="28"/>
  <c r="M32" i="28" s="1"/>
  <c r="J36" i="28"/>
  <c r="M36" i="28" s="1"/>
  <c r="J40" i="28"/>
  <c r="M40" i="28" s="1"/>
  <c r="J44" i="28"/>
  <c r="M44" i="28" s="1"/>
  <c r="J48" i="28"/>
  <c r="M48" i="28" s="1"/>
  <c r="J52" i="28"/>
  <c r="M52" i="28" s="1"/>
  <c r="J56" i="28"/>
  <c r="M56" i="28" s="1"/>
  <c r="J9" i="28"/>
  <c r="M9" i="28" s="1"/>
  <c r="J13" i="28"/>
  <c r="M13" i="28" s="1"/>
  <c r="J17" i="28"/>
  <c r="M17" i="28" s="1"/>
  <c r="J21" i="28"/>
  <c r="M21" i="28" s="1"/>
  <c r="J25" i="28"/>
  <c r="M25" i="28" s="1"/>
  <c r="J29" i="28"/>
  <c r="M29" i="28" s="1"/>
  <c r="J33" i="28"/>
  <c r="M33" i="28" s="1"/>
  <c r="J37" i="28"/>
  <c r="M37" i="28" s="1"/>
  <c r="J41" i="28"/>
  <c r="M41" i="28" s="1"/>
  <c r="J45" i="28"/>
  <c r="M45" i="28" s="1"/>
  <c r="J49" i="28"/>
  <c r="M49" i="28" s="1"/>
  <c r="J53" i="28"/>
  <c r="M53" i="28" s="1"/>
  <c r="J10" i="28"/>
  <c r="M10" i="28" s="1"/>
  <c r="J14" i="28"/>
  <c r="M14" i="28" s="1"/>
  <c r="J18" i="28"/>
  <c r="M18" i="28" s="1"/>
  <c r="J22" i="28"/>
  <c r="M22" i="28" s="1"/>
  <c r="J26" i="28"/>
  <c r="M26" i="28" s="1"/>
  <c r="J30" i="28"/>
  <c r="M30" i="28" s="1"/>
  <c r="J34" i="28"/>
  <c r="M34" i="28" s="1"/>
  <c r="J38" i="28"/>
  <c r="M38" i="28" s="1"/>
  <c r="J42" i="28"/>
  <c r="M42" i="28" s="1"/>
  <c r="J46" i="28"/>
  <c r="M46" i="28" s="1"/>
  <c r="J50" i="28"/>
  <c r="M50" i="28" s="1"/>
  <c r="J54" i="28"/>
  <c r="M54" i="28" s="1"/>
  <c r="J7" i="28"/>
  <c r="M7" i="28" s="1"/>
  <c r="J11" i="28"/>
  <c r="M11" i="28" s="1"/>
  <c r="J15" i="28"/>
  <c r="M15" i="28" s="1"/>
  <c r="J19" i="28"/>
  <c r="M19" i="28" s="1"/>
  <c r="J23" i="28"/>
  <c r="M23" i="28" s="1"/>
  <c r="J27" i="28"/>
  <c r="M27" i="28" s="1"/>
  <c r="J31" i="28"/>
  <c r="M31" i="28" s="1"/>
  <c r="J35" i="28"/>
  <c r="M35" i="28" s="1"/>
  <c r="J39" i="28"/>
  <c r="M39" i="28" s="1"/>
  <c r="J43" i="28"/>
  <c r="M43" i="28" s="1"/>
  <c r="J47" i="28"/>
  <c r="M47" i="28" s="1"/>
  <c r="J51" i="28"/>
  <c r="M51" i="28" s="1"/>
  <c r="J55" i="28"/>
  <c r="M55" i="28" s="1"/>
  <c r="J57" i="28"/>
  <c r="M57" i="28" s="1"/>
  <c r="L24" i="28"/>
  <c r="L34" i="28" l="1"/>
  <c r="L45" i="28"/>
  <c r="L48" i="28"/>
  <c r="L43" i="28"/>
  <c r="L39" i="28"/>
  <c r="L49" i="28"/>
  <c r="L40" i="28"/>
  <c r="L22" i="28"/>
  <c r="L31" i="28"/>
  <c r="L26" i="28"/>
  <c r="L51" i="28"/>
  <c r="L37" i="28"/>
  <c r="L32" i="28"/>
  <c r="L54" i="28"/>
  <c r="L13" i="28"/>
  <c r="L29" i="28"/>
  <c r="L46" i="28"/>
  <c r="L30" i="28"/>
  <c r="L50" i="28"/>
  <c r="L25" i="28"/>
  <c r="L23" i="28"/>
  <c r="L44" i="28"/>
  <c r="L33" i="28"/>
  <c r="L20" i="28"/>
  <c r="L36" i="28"/>
  <c r="L15" i="28"/>
  <c r="L12" i="28"/>
  <c r="L14" i="28"/>
  <c r="L8" i="28"/>
  <c r="L27" i="28"/>
  <c r="L35" i="28"/>
  <c r="L38" i="28"/>
  <c r="L16" i="28"/>
  <c r="L21" i="28"/>
  <c r="L11" i="28"/>
  <c r="L19" i="28"/>
  <c r="L53" i="28"/>
  <c r="L57" i="28"/>
  <c r="L56" i="28"/>
  <c r="J58" i="28"/>
  <c r="L17" i="28"/>
  <c r="L42" i="28"/>
  <c r="L41" i="28"/>
  <c r="L7" i="28"/>
  <c r="L55" i="28"/>
  <c r="L18" i="28"/>
  <c r="L52" i="28"/>
  <c r="L28" i="28"/>
  <c r="L10" i="28"/>
  <c r="L47" i="28"/>
  <c r="L9" i="28"/>
  <c r="M58" i="28"/>
  <c r="L58" i="28" l="1"/>
  <c r="N4" i="28" s="1"/>
  <c r="N22" i="28" l="1"/>
  <c r="O22" i="28" s="1"/>
  <c r="P22" i="28" s="1"/>
  <c r="N19" i="28"/>
  <c r="O19" i="28" s="1"/>
  <c r="P19" i="28" s="1"/>
  <c r="N52" i="28"/>
  <c r="O52" i="28" s="1"/>
  <c r="N28" i="28"/>
  <c r="O28" i="28" s="1"/>
  <c r="P28" i="28" s="1"/>
  <c r="N12" i="28"/>
  <c r="O12" i="28" s="1"/>
  <c r="P12" i="28" s="1"/>
  <c r="N48" i="28"/>
  <c r="O48" i="28" s="1"/>
  <c r="P48" i="28" s="1"/>
  <c r="N44" i="28"/>
  <c r="O44" i="28" s="1"/>
  <c r="N34" i="28"/>
  <c r="O34" i="28" s="1"/>
  <c r="N13" i="28"/>
  <c r="O13" i="28" s="1"/>
  <c r="P13" i="28" s="1"/>
  <c r="N51" i="28"/>
  <c r="O51" i="28" s="1"/>
  <c r="N36" i="28"/>
  <c r="O36" i="28" s="1"/>
  <c r="N21" i="28"/>
  <c r="O21" i="28" s="1"/>
  <c r="N15" i="28"/>
  <c r="O15" i="28" s="1"/>
  <c r="P15" i="28" s="1"/>
  <c r="N46" i="28"/>
  <c r="O46" i="28" s="1"/>
  <c r="N30" i="28"/>
  <c r="O30" i="28" s="1"/>
  <c r="N57" i="28"/>
  <c r="O57" i="28" s="1"/>
  <c r="P57" i="28" s="1"/>
  <c r="N56" i="28"/>
  <c r="O56" i="28" s="1"/>
  <c r="P56" i="28" s="1"/>
  <c r="N9" i="28"/>
  <c r="O9" i="28" s="1"/>
  <c r="N8" i="28"/>
  <c r="O8" i="28" s="1"/>
  <c r="P8" i="28" s="1"/>
  <c r="N17" i="28"/>
  <c r="O17" i="28" s="1"/>
  <c r="P17" i="28" s="1"/>
  <c r="N27" i="28"/>
  <c r="O27" i="28" s="1"/>
  <c r="P27" i="28" s="1"/>
  <c r="N42" i="28"/>
  <c r="O42" i="28" s="1"/>
  <c r="P42" i="28" s="1"/>
  <c r="N41" i="28"/>
  <c r="O41" i="28" s="1"/>
  <c r="N16" i="28"/>
  <c r="O16" i="28" s="1"/>
  <c r="N24" i="28"/>
  <c r="O24" i="28" s="1"/>
  <c r="P24" i="28" s="1"/>
  <c r="N55" i="28"/>
  <c r="O55" i="28" s="1"/>
  <c r="P55" i="28" s="1"/>
  <c r="N18" i="28"/>
  <c r="O18" i="28" s="1"/>
  <c r="P18" i="28" s="1"/>
  <c r="N53" i="28"/>
  <c r="O53" i="28" s="1"/>
  <c r="P53" i="28" s="1"/>
  <c r="N43" i="28"/>
  <c r="O43" i="28" s="1"/>
  <c r="N23" i="28"/>
  <c r="O23" i="28" s="1"/>
  <c r="N49" i="28"/>
  <c r="O49" i="28" s="1"/>
  <c r="N39" i="28"/>
  <c r="O39" i="28" s="1"/>
  <c r="P39" i="28" s="1"/>
  <c r="N14" i="28"/>
  <c r="O14" i="28" s="1"/>
  <c r="N20" i="28"/>
  <c r="O20" i="28" s="1"/>
  <c r="N35" i="28"/>
  <c r="O35" i="28" s="1"/>
  <c r="P35" i="28" s="1"/>
  <c r="N50" i="28"/>
  <c r="O50" i="28" s="1"/>
  <c r="P50" i="28" s="1"/>
  <c r="N31" i="28"/>
  <c r="O31" i="28" s="1"/>
  <c r="P31" i="28" s="1"/>
  <c r="N26" i="28"/>
  <c r="O26" i="28" s="1"/>
  <c r="P26" i="28" s="1"/>
  <c r="N11" i="28"/>
  <c r="O11" i="28" s="1"/>
  <c r="N37" i="28"/>
  <c r="O37" i="28" s="1"/>
  <c r="P37" i="28" s="1"/>
  <c r="N25" i="28"/>
  <c r="O25" i="28" s="1"/>
  <c r="N10" i="28"/>
  <c r="O10" i="28" s="1"/>
  <c r="P10" i="28" s="1"/>
  <c r="N47" i="28"/>
  <c r="O47" i="28" s="1"/>
  <c r="P47" i="28" s="1"/>
  <c r="N32" i="28"/>
  <c r="O32" i="28" s="1"/>
  <c r="P32" i="28" s="1"/>
  <c r="N33" i="28"/>
  <c r="O33" i="28" s="1"/>
  <c r="P33" i="28" s="1"/>
  <c r="N54" i="28"/>
  <c r="O54" i="28" s="1"/>
  <c r="P54" i="28" s="1"/>
  <c r="N45" i="28"/>
  <c r="O45" i="28" s="1"/>
  <c r="P45" i="28" s="1"/>
  <c r="N38" i="28"/>
  <c r="O38" i="28" s="1"/>
  <c r="P38" i="28" s="1"/>
  <c r="N29" i="28"/>
  <c r="O29" i="28" s="1"/>
  <c r="N40" i="28"/>
  <c r="O40" i="28" s="1"/>
  <c r="N7" i="28"/>
  <c r="O7" i="28" s="1"/>
  <c r="P7" i="28" s="1"/>
  <c r="N58" i="28" l="1"/>
  <c r="P29" i="28"/>
  <c r="P25" i="28"/>
  <c r="P11" i="28"/>
  <c r="P14" i="28"/>
  <c r="P49" i="28"/>
  <c r="P43" i="28"/>
  <c r="P41" i="28"/>
  <c r="P30" i="28"/>
  <c r="P36" i="28"/>
  <c r="P44" i="28"/>
  <c r="P52" i="28"/>
  <c r="P40" i="28"/>
  <c r="P20" i="28"/>
  <c r="P23" i="28"/>
  <c r="P16" i="28"/>
  <c r="P9" i="28"/>
  <c r="O58" i="28"/>
  <c r="Q46" i="28" s="1"/>
  <c r="P46" i="28"/>
  <c r="P21" i="28"/>
  <c r="P51" i="28"/>
  <c r="P34" i="28"/>
  <c r="E45" i="42" l="1"/>
  <c r="G45" i="42"/>
  <c r="H45" i="42"/>
  <c r="B45" i="42"/>
  <c r="C45" i="42"/>
  <c r="F45" i="42"/>
  <c r="I45" i="42"/>
  <c r="Q34" i="28"/>
  <c r="Q51" i="28"/>
  <c r="Q21" i="28"/>
  <c r="P58" i="28"/>
  <c r="Q50" i="28"/>
  <c r="Q13" i="28"/>
  <c r="Q56" i="28"/>
  <c r="Q55" i="28"/>
  <c r="Q24" i="28"/>
  <c r="Q33" i="28"/>
  <c r="Q10" i="28"/>
  <c r="Q37" i="28"/>
  <c r="Q31" i="28"/>
  <c r="Q12" i="28"/>
  <c r="Q18" i="28"/>
  <c r="Q26" i="28"/>
  <c r="Q45" i="28"/>
  <c r="Q47" i="28"/>
  <c r="Q38" i="28"/>
  <c r="Q42" i="28"/>
  <c r="Q32" i="28"/>
  <c r="Q28" i="28"/>
  <c r="Q19" i="28"/>
  <c r="Q15" i="28"/>
  <c r="Q27" i="28"/>
  <c r="Q35" i="28"/>
  <c r="Q54" i="28"/>
  <c r="Q53" i="28"/>
  <c r="Q17" i="28"/>
  <c r="Q8" i="28"/>
  <c r="Q39" i="28"/>
  <c r="Q48" i="28"/>
  <c r="Q57" i="28"/>
  <c r="Q22" i="28"/>
  <c r="Q7" i="28"/>
  <c r="Q44" i="28"/>
  <c r="Q9" i="28"/>
  <c r="Q16" i="28"/>
  <c r="Q23" i="28"/>
  <c r="Q20" i="28"/>
  <c r="Q40" i="28"/>
  <c r="Q52" i="28"/>
  <c r="Q36" i="28"/>
  <c r="Q30" i="28"/>
  <c r="Q41" i="28"/>
  <c r="Q43" i="28"/>
  <c r="Q49" i="28"/>
  <c r="Q14" i="28"/>
  <c r="Q11" i="28"/>
  <c r="Q25" i="28"/>
  <c r="Q29" i="28"/>
  <c r="L45" i="42" l="1"/>
  <c r="G28" i="42"/>
  <c r="E28" i="42"/>
  <c r="H28" i="42"/>
  <c r="B28" i="42"/>
  <c r="I28" i="42"/>
  <c r="C28" i="42"/>
  <c r="F28" i="42"/>
  <c r="B10" i="42"/>
  <c r="E10" i="42"/>
  <c r="I10" i="42"/>
  <c r="C10" i="42"/>
  <c r="F10" i="42"/>
  <c r="H10" i="42"/>
  <c r="G10" i="42"/>
  <c r="B48" i="42"/>
  <c r="G48" i="42"/>
  <c r="I48" i="42"/>
  <c r="F48" i="42"/>
  <c r="E48" i="42"/>
  <c r="H48" i="42"/>
  <c r="C48" i="42"/>
  <c r="B40" i="42"/>
  <c r="L40" i="42" s="1"/>
  <c r="G40" i="42"/>
  <c r="I40" i="42"/>
  <c r="F40" i="42"/>
  <c r="E40" i="42"/>
  <c r="C40" i="42"/>
  <c r="H40" i="42"/>
  <c r="B35" i="42"/>
  <c r="I35" i="42"/>
  <c r="C35" i="42"/>
  <c r="F35" i="42"/>
  <c r="E35" i="42"/>
  <c r="G35" i="42"/>
  <c r="H35" i="42"/>
  <c r="B39" i="42"/>
  <c r="E39" i="42"/>
  <c r="G39" i="42"/>
  <c r="F39" i="42"/>
  <c r="I39" i="42"/>
  <c r="C39" i="42"/>
  <c r="H39" i="42"/>
  <c r="E22" i="42"/>
  <c r="I22" i="42"/>
  <c r="B22" i="42"/>
  <c r="G22" i="42"/>
  <c r="C22" i="42"/>
  <c r="F22" i="42"/>
  <c r="H22" i="42"/>
  <c r="B8" i="42"/>
  <c r="G8" i="42"/>
  <c r="I8" i="42"/>
  <c r="F8" i="42"/>
  <c r="E8" i="42"/>
  <c r="C8" i="42"/>
  <c r="H8" i="42"/>
  <c r="B6" i="42"/>
  <c r="E6" i="42"/>
  <c r="I6" i="42"/>
  <c r="C6" i="42"/>
  <c r="H6" i="42"/>
  <c r="G6" i="42"/>
  <c r="F6" i="42"/>
  <c r="B56" i="42"/>
  <c r="G56" i="42"/>
  <c r="I56" i="42"/>
  <c r="F56" i="42"/>
  <c r="E56" i="42"/>
  <c r="C56" i="42"/>
  <c r="H56" i="42"/>
  <c r="E38" i="42"/>
  <c r="I38" i="42"/>
  <c r="B38" i="42"/>
  <c r="G38" i="42"/>
  <c r="C38" i="42"/>
  <c r="F38" i="42"/>
  <c r="H38" i="42"/>
  <c r="B16" i="42"/>
  <c r="G16" i="42"/>
  <c r="I16" i="42"/>
  <c r="F16" i="42"/>
  <c r="E16" i="42"/>
  <c r="H16" i="42"/>
  <c r="C16" i="42"/>
  <c r="E53" i="42"/>
  <c r="G53" i="42"/>
  <c r="H53" i="42"/>
  <c r="B53" i="42"/>
  <c r="I53" i="42"/>
  <c r="F53" i="42"/>
  <c r="C53" i="42"/>
  <c r="B26" i="42"/>
  <c r="E26" i="42"/>
  <c r="I26" i="42"/>
  <c r="C26" i="42"/>
  <c r="F26" i="42"/>
  <c r="H26" i="42"/>
  <c r="G26" i="42"/>
  <c r="B18" i="42"/>
  <c r="E18" i="42"/>
  <c r="I18" i="42"/>
  <c r="C18" i="42"/>
  <c r="F18" i="42"/>
  <c r="H18" i="42"/>
  <c r="G18" i="42"/>
  <c r="B31" i="42"/>
  <c r="L31" i="42" s="1"/>
  <c r="E31" i="42"/>
  <c r="G31" i="42"/>
  <c r="F31" i="42"/>
  <c r="H31" i="42"/>
  <c r="I31" i="42"/>
  <c r="C31" i="42"/>
  <c r="E37" i="42"/>
  <c r="G37" i="42"/>
  <c r="H37" i="42"/>
  <c r="B37" i="42"/>
  <c r="I37" i="42"/>
  <c r="F37" i="42"/>
  <c r="C37" i="42"/>
  <c r="G44" i="42"/>
  <c r="E44" i="42"/>
  <c r="I44" i="42"/>
  <c r="H44" i="42"/>
  <c r="B44" i="42"/>
  <c r="C44" i="42"/>
  <c r="F44" i="42"/>
  <c r="B17" i="42"/>
  <c r="G17" i="42"/>
  <c r="I17" i="42"/>
  <c r="C17" i="42"/>
  <c r="H17" i="42"/>
  <c r="E17" i="42"/>
  <c r="F17" i="42"/>
  <c r="E30" i="42"/>
  <c r="I30" i="42"/>
  <c r="G30" i="42"/>
  <c r="C30" i="42"/>
  <c r="B30" i="42"/>
  <c r="F30" i="42"/>
  <c r="H30" i="42"/>
  <c r="B9" i="42"/>
  <c r="E9" i="42"/>
  <c r="I9" i="42"/>
  <c r="C9" i="42"/>
  <c r="H9" i="42"/>
  <c r="G9" i="42"/>
  <c r="F9" i="42"/>
  <c r="B23" i="42"/>
  <c r="E23" i="42"/>
  <c r="G23" i="42"/>
  <c r="F23" i="42"/>
  <c r="I23" i="42"/>
  <c r="C23" i="42"/>
  <c r="H23" i="42"/>
  <c r="B55" i="42"/>
  <c r="L55" i="42" s="1"/>
  <c r="E55" i="42"/>
  <c r="G55" i="42"/>
  <c r="F55" i="42"/>
  <c r="I55" i="42"/>
  <c r="C55" i="42"/>
  <c r="H55" i="42"/>
  <c r="B49" i="42"/>
  <c r="G49" i="42"/>
  <c r="I49" i="42"/>
  <c r="C49" i="42"/>
  <c r="H49" i="42"/>
  <c r="E49" i="42"/>
  <c r="F49" i="42"/>
  <c r="G20" i="42"/>
  <c r="B20" i="42"/>
  <c r="E20" i="42"/>
  <c r="H20" i="42"/>
  <c r="C20" i="42"/>
  <c r="I20" i="42"/>
  <c r="F20" i="42"/>
  <c r="B33" i="42"/>
  <c r="G33" i="42"/>
  <c r="I33" i="42"/>
  <c r="C33" i="42"/>
  <c r="H33" i="42"/>
  <c r="E33" i="42"/>
  <c r="F33" i="42"/>
  <c r="B24" i="42"/>
  <c r="G24" i="42"/>
  <c r="I24" i="42"/>
  <c r="F24" i="42"/>
  <c r="E24" i="42"/>
  <c r="C24" i="42"/>
  <c r="H24" i="42"/>
  <c r="E13" i="42"/>
  <c r="G13" i="42"/>
  <c r="H13" i="42"/>
  <c r="B13" i="42"/>
  <c r="C13" i="42"/>
  <c r="F13" i="42"/>
  <c r="I13" i="42"/>
  <c r="B42" i="42"/>
  <c r="E42" i="42"/>
  <c r="C42" i="42"/>
  <c r="F42" i="42"/>
  <c r="H42" i="42"/>
  <c r="G42" i="42"/>
  <c r="I42" i="42"/>
  <c r="E29" i="42"/>
  <c r="G29" i="42"/>
  <c r="H29" i="42"/>
  <c r="B29" i="42"/>
  <c r="C29" i="42"/>
  <c r="F29" i="42"/>
  <c r="I29" i="42"/>
  <c r="B51" i="42"/>
  <c r="I51" i="42"/>
  <c r="C51" i="42"/>
  <c r="F51" i="42"/>
  <c r="E51" i="42"/>
  <c r="G51" i="42"/>
  <c r="H51" i="42"/>
  <c r="B19" i="42"/>
  <c r="I19" i="42"/>
  <c r="C19" i="42"/>
  <c r="F19" i="42"/>
  <c r="E19" i="42"/>
  <c r="G19" i="42"/>
  <c r="H19" i="42"/>
  <c r="B15" i="42"/>
  <c r="E15" i="42"/>
  <c r="G15" i="42"/>
  <c r="F15" i="42"/>
  <c r="H15" i="42"/>
  <c r="I15" i="42"/>
  <c r="C15" i="42"/>
  <c r="B43" i="42"/>
  <c r="E43" i="42"/>
  <c r="G43" i="42"/>
  <c r="I43" i="42"/>
  <c r="C43" i="42"/>
  <c r="F43" i="42"/>
  <c r="H43" i="42"/>
  <c r="E21" i="42"/>
  <c r="G21" i="42"/>
  <c r="H21" i="42"/>
  <c r="B21" i="42"/>
  <c r="I21" i="42"/>
  <c r="F21" i="42"/>
  <c r="C21" i="42"/>
  <c r="B47" i="42"/>
  <c r="E47" i="42"/>
  <c r="G47" i="42"/>
  <c r="F47" i="42"/>
  <c r="H47" i="42"/>
  <c r="I47" i="42"/>
  <c r="C47" i="42"/>
  <c r="B7" i="42"/>
  <c r="E7" i="42"/>
  <c r="G7" i="42"/>
  <c r="F7" i="42"/>
  <c r="I7" i="42"/>
  <c r="C7" i="42"/>
  <c r="H7" i="42"/>
  <c r="G52" i="42"/>
  <c r="B52" i="42"/>
  <c r="E52" i="42"/>
  <c r="I52" i="42"/>
  <c r="H52" i="42"/>
  <c r="C52" i="42"/>
  <c r="F52" i="42"/>
  <c r="B34" i="42"/>
  <c r="E34" i="42"/>
  <c r="I34" i="42"/>
  <c r="C34" i="42"/>
  <c r="F34" i="42"/>
  <c r="H34" i="42"/>
  <c r="G34" i="42"/>
  <c r="E14" i="42"/>
  <c r="I14" i="42"/>
  <c r="G14" i="42"/>
  <c r="C14" i="42"/>
  <c r="B14" i="42"/>
  <c r="F14" i="42"/>
  <c r="H14" i="42"/>
  <c r="B27" i="42"/>
  <c r="E27" i="42"/>
  <c r="G27" i="42"/>
  <c r="I27" i="42"/>
  <c r="C27" i="42"/>
  <c r="F27" i="42"/>
  <c r="H27" i="42"/>
  <c r="B41" i="42"/>
  <c r="E41" i="42"/>
  <c r="I41" i="42"/>
  <c r="C41" i="42"/>
  <c r="H41" i="42"/>
  <c r="G41" i="42"/>
  <c r="F41" i="42"/>
  <c r="E46" i="42"/>
  <c r="G46" i="42"/>
  <c r="C46" i="42"/>
  <c r="B46" i="42"/>
  <c r="F46" i="42"/>
  <c r="H46" i="42"/>
  <c r="I46" i="42"/>
  <c r="B25" i="42"/>
  <c r="E25" i="42"/>
  <c r="I25" i="42"/>
  <c r="C25" i="42"/>
  <c r="H25" i="42"/>
  <c r="G25" i="42"/>
  <c r="F25" i="42"/>
  <c r="B11" i="42"/>
  <c r="E11" i="42"/>
  <c r="G11" i="42"/>
  <c r="I11" i="42"/>
  <c r="C11" i="42"/>
  <c r="F11" i="42"/>
  <c r="H11" i="42"/>
  <c r="G36" i="42"/>
  <c r="B36" i="42"/>
  <c r="E36" i="42"/>
  <c r="H36" i="42"/>
  <c r="C36" i="42"/>
  <c r="I36" i="42"/>
  <c r="F36" i="42"/>
  <c r="B32" i="42"/>
  <c r="L32" i="42" s="1"/>
  <c r="G32" i="42"/>
  <c r="I32" i="42"/>
  <c r="F32" i="42"/>
  <c r="E32" i="42"/>
  <c r="H32" i="42"/>
  <c r="C32" i="42"/>
  <c r="E54" i="42"/>
  <c r="B54" i="42"/>
  <c r="G54" i="42"/>
  <c r="C54" i="42"/>
  <c r="I54" i="42"/>
  <c r="F54" i="42"/>
  <c r="H54" i="42"/>
  <c r="G12" i="42"/>
  <c r="E12" i="42"/>
  <c r="H12" i="42"/>
  <c r="B12" i="42"/>
  <c r="I12" i="42"/>
  <c r="C12" i="42"/>
  <c r="F12" i="42"/>
  <c r="B50" i="42"/>
  <c r="E50" i="42"/>
  <c r="C50" i="42"/>
  <c r="F50" i="42"/>
  <c r="H50" i="42"/>
  <c r="G50" i="42"/>
  <c r="I50" i="42"/>
  <c r="Q58" i="28"/>
  <c r="L46" i="42" l="1"/>
  <c r="L44" i="42"/>
  <c r="L15" i="42"/>
  <c r="L9" i="42"/>
  <c r="L6" i="42"/>
  <c r="L22" i="42"/>
  <c r="L33" i="42"/>
  <c r="L37" i="42"/>
  <c r="L26" i="42"/>
  <c r="L10" i="42"/>
  <c r="L51" i="42"/>
  <c r="L17" i="42"/>
  <c r="L50" i="42"/>
  <c r="L47" i="42"/>
  <c r="L49" i="42"/>
  <c r="L30" i="42"/>
  <c r="L16" i="42"/>
  <c r="L27" i="42"/>
  <c r="L42" i="42"/>
  <c r="L35" i="42"/>
  <c r="L54" i="42"/>
  <c r="L43" i="42"/>
  <c r="L23" i="42"/>
  <c r="L53" i="42"/>
  <c r="L56" i="42"/>
  <c r="L28" i="42"/>
  <c r="L11" i="42"/>
  <c r="L12" i="42"/>
  <c r="L34" i="42"/>
  <c r="L29" i="42"/>
  <c r="L24" i="42"/>
  <c r="L18" i="42"/>
  <c r="L48" i="42"/>
  <c r="L25" i="42"/>
  <c r="L14" i="42"/>
  <c r="L21" i="42"/>
  <c r="L19" i="42"/>
  <c r="L20" i="42"/>
  <c r="L8" i="42"/>
  <c r="L52" i="42"/>
  <c r="L7" i="42"/>
  <c r="L13" i="42"/>
  <c r="L38" i="42"/>
  <c r="L36" i="42"/>
  <c r="L41" i="42"/>
  <c r="L39" i="42"/>
  <c r="C57" i="42"/>
  <c r="H57" i="42"/>
  <c r="G57" i="42"/>
  <c r="I57" i="42"/>
  <c r="E57" i="42"/>
  <c r="B57" i="42"/>
  <c r="F57" i="42"/>
  <c r="L57" i="42" l="1"/>
</calcChain>
</file>

<file path=xl/comments1.xml><?xml version="1.0" encoding="utf-8"?>
<comments xmlns="http://schemas.openxmlformats.org/spreadsheetml/2006/main">
  <authors>
    <author>cesar.rivera</author>
  </authors>
  <commentList>
    <comment ref="L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<sst xmlns="http://schemas.openxmlformats.org/spreadsheetml/2006/main" count="607" uniqueCount="245">
  <si>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</si>
  <si>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</si>
  <si>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</si>
  <si>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</si>
  <si>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</si>
  <si>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</si>
  <si>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</si>
  <si>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</si>
  <si>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</si>
  <si>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</si>
  <si>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</si>
  <si>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</si>
  <si>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</si>
  <si>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</si>
  <si>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</si>
  <si>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</si>
  <si>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</si>
  <si>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</si>
  <si>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</si>
  <si>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</si>
  <si>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</si>
  <si>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</si>
  <si>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</si>
  <si>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</si>
  <si>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</si>
  <si>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</si>
  <si>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</si>
  <si>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</si>
  <si>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</si>
  <si>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</si>
  <si>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</si>
  <si>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</si>
  <si>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</si>
  <si>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</si>
  <si>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</si>
  <si>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</si>
  <si>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</si>
  <si>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</si>
  <si>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</si>
  <si>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</si>
  <si>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</si>
  <si>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</si>
  <si>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</si>
  <si>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</si>
  <si>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</si>
  <si>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</si>
  <si>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</si>
  <si>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</si>
  <si>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</si>
  <si>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</si>
  <si>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</si>
  <si>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</si>
  <si>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</si>
  <si>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</si>
  <si>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</si>
  <si>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</si>
  <si>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</si>
  <si>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</si>
  <si>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</si>
  <si>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</si>
  <si>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</si>
  <si>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</si>
  <si>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</si>
  <si>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</si>
  <si>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</si>
  <si>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</si>
  <si>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</si>
  <si>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</si>
  <si>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</si>
  <si>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</si>
  <si>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</si>
  <si>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</si>
  <si>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</si>
  <si>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</si>
  <si>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</si>
  <si>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</si>
  <si>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</si>
  <si>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</si>
  <si>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</si>
  <si>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</si>
  <si>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</si>
  <si>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</si>
  <si>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</si>
  <si>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</si>
  <si>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</si>
  <si>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</si>
  <si>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</si>
  <si>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</si>
  <si>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</si>
  <si>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</si>
  <si>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</si>
  <si>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</si>
  <si>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</si>
  <si>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</si>
  <si>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</si>
  <si>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</si>
  <si>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</si>
  <si>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</si>
  <si>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</si>
  <si>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</si>
  <si>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</si>
  <si>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</si>
  <si>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</si>
  <si>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</si>
  <si>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</si>
  <si>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</si>
  <si>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</si>
  <si>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</si>
  <si>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</si>
  <si>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</si>
  <si>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</si>
  <si>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</si>
  <si>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</si>
  <si>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</si>
  <si>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</si>
  <si>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</si>
  <si>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</si>
  <si>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</si>
  <si>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</si>
  <si>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</si>
  <si>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</si>
  <si>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</si>
  <si>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</si>
  <si>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</si>
  <si>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</si>
  <si>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</si>
  <si>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</si>
  <si>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</si>
  <si>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</si>
  <si>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</si>
  <si>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</si>
  <si>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MAE2=(PI*35%)+(PC*35%)+(CD*30%)</t>
  </si>
  <si>
    <t>FGP</t>
  </si>
  <si>
    <t>FFM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</si>
  <si>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</si>
  <si>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</si>
  <si>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</si>
  <si>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</si>
  <si>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</si>
  <si>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</si>
  <si>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</si>
  <si>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</si>
  <si>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</si>
  <si>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</si>
  <si>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</si>
  <si>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</si>
  <si>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</si>
  <si>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</si>
  <si>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</si>
  <si>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</si>
  <si>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</si>
  <si>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</si>
  <si>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</si>
  <si>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</si>
  <si>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</si>
  <si>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</si>
  <si>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</si>
  <si>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</si>
  <si>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</si>
  <si>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</si>
  <si>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</si>
  <si>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</si>
  <si>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</si>
  <si>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</si>
  <si>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</si>
  <si>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</si>
  <si>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</si>
  <si>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</si>
  <si>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</si>
  <si>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</si>
  <si>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</si>
  <si>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>COORDINACIÓN DE PLANEACIÓN HACENDARIA</t>
  </si>
  <si>
    <t>POBLACIÓN 2015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</si>
  <si>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</si>
  <si>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30% FFM</t>
  </si>
  <si>
    <t>70% FFM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</si>
  <si>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</si>
  <si>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</si>
  <si>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</si>
  <si>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</si>
  <si>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</si>
  <si>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</si>
  <si>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</si>
  <si>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</si>
  <si>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</si>
  <si>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</si>
  <si>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</si>
  <si>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</si>
  <si>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</si>
  <si>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</si>
  <si>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</si>
  <si>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</si>
  <si>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</si>
  <si>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</si>
  <si>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</si>
  <si>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</si>
  <si>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</si>
  <si>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</si>
  <si>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</si>
  <si>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</si>
  <si>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</si>
  <si>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</si>
  <si>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</si>
  <si>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FACTURACIÓN  2017
(2013-2017)</t>
  </si>
  <si>
    <t>BGt-2</t>
  </si>
  <si>
    <t>RPt-1</t>
  </si>
  <si>
    <t>INFLACIÓN 2019</t>
  </si>
  <si>
    <t>CRECIMIENTO Vs AÑO ANTERIOR</t>
  </si>
  <si>
    <t>PARTICIPACIONES ESTIMADAS 2020</t>
  </si>
  <si>
    <t>MONTO NECESARIO PARA ALCANZAR EL AÑO ANTERIOR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</si>
  <si>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</si>
  <si>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</si>
  <si>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Participaciones Estimadas 2020</t>
  </si>
  <si>
    <t>CÁLCULO DE DISTRIBUCIÓN DE PARTICIPACIONES ESTIMADAS 2020</t>
  </si>
  <si>
    <t>PROYECCIÓN DE POBLACIÓN 2019</t>
  </si>
  <si>
    <t>Fondo de Fomento Municipal (FFM) 70% *</t>
  </si>
  <si>
    <t>Fondo de Fomento Municipal (FFM) 30% *</t>
  </si>
  <si>
    <t>Los montos no incluyen descuentos ni compensación alguna.
Cifras establecidas en "Acuerdo por el que se da a conocer a los Gobiernos de las Entidades Federativas la Distribución y Calendarización para la Ministración durante el Ejercicio Fiscal 2020, de los Recursos Corresponientes a los Ramos Generales 28 Participaciones a Entudades Federativas y Municipios, y 33 Aportaciones Federales y Municipios", publicado el día 03 de Enero de 2020 en el Diario Oficial de la Federación.</t>
  </si>
  <si>
    <t>* El desglose de la participacion total del Fondo de Fomento Municipal (70% y 30%) se realizó por la Secretaria de Finanzas y Tesoreria General del Estado de Nuevo León</t>
  </si>
  <si>
    <t>** La participacion estimada para municipios se obtuvo de acuerdo al comportamiento del año anterior del ISR enterado por los municipios.</t>
  </si>
  <si>
    <t>ISR</t>
  </si>
  <si>
    <t>CÁLCULO  DE PARTICIPACIONES DE ISR</t>
  </si>
  <si>
    <t>EJERCICIO FISCAL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</si>
  <si>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</si>
  <si>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</si>
  <si>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</si>
  <si>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</si>
  <si>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</si>
  <si>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</si>
  <si>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</si>
  <si>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</si>
  <si>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</si>
  <si>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</si>
  <si>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</si>
  <si>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</si>
  <si>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PARTICIPABLE
2019</t>
  </si>
  <si>
    <t>PROPORCIÓN DE ISR PARTICIPABLE
2019</t>
  </si>
  <si>
    <t>MONTO POR ENCIMA DE AÑO ANT MÁS INFLACIÓN O CRECIMIENTO</t>
  </si>
  <si>
    <t>MONTO A DISMINUIR EN MUNICIPIOS CON CRECIMIENTO SUPERIOR A AÑO ANT MÁS INF O CREC</t>
  </si>
  <si>
    <t>MONTO A DISTRIBUIR PARA GARANTIZAR AÑO ANTERIOR MÁS INFLACIÓN O GARANTIA</t>
  </si>
  <si>
    <t>DETERMINACIÓN INCREMENTO AÑO ACT vs AÑO ANT MÁS INFLACIÓN O CRECIMIENTO</t>
  </si>
  <si>
    <t>COEFICIENTE 1er SEMESTRE</t>
  </si>
  <si>
    <t xml:space="preserve">  Proyecciones de la Población 2015-2030, CONSEJO NACIONAL DE POBLACIÓN</t>
  </si>
  <si>
    <t>COEFICIENTE DE DISTRIBUCIÓN IEPSGYD Art 14 Frac II</t>
  </si>
  <si>
    <r>
      <t>ISR (</t>
    </r>
    <r>
      <rPr>
        <sz val="9"/>
        <rFont val="Arial"/>
        <family val="2"/>
      </rPr>
      <t>POR EL SALARIO DEL PERSONAL DE LAS ENTIDADES Y MUNICIPIOS</t>
    </r>
    <r>
      <rPr>
        <sz val="10"/>
        <rFont val="Arial"/>
        <family val="2"/>
      </rPr>
      <t>)**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</si>
</sst>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0000;\-#,##0.0000000"/>
    <numFmt numFmtId="173" formatCode="_(* #,##0.000000_);_(* \(#,##0.000000\);_(* &quot;-&quot;??_);_(@_)"/>
    <numFmt numFmtId="174" formatCode="0.00000000%"/>
    <numFmt numFmtId="175" formatCode="_(* #,##0.00000000_);_(* \(#,##0.00000000\);_(* &quot;-&quot;??_);_(@_)"/>
    <numFmt numFmtId="176" formatCode="0.000000"/>
    <numFmt numFmtId="177" formatCode="0.00000000"/>
    <numFmt numFmtId="178" formatCode="#,##0.00000000;\-#,##0.00000000"/>
    <numFmt numFmtId="179" formatCode="0.0000000000"/>
    <numFmt numFmtId="180" formatCode="0.000000000"/>
    <numFmt numFmtId="181" formatCode="0.0000"/>
    <numFmt numFmtId="182" formatCode="#,##0.0000;\-#,##0.0000"/>
    <numFmt numFmtId="183" formatCode="#,##0.00000000000;\-#,##0.00000000000"/>
    <numFmt numFmtId="184" formatCode="0.0000%"/>
    <numFmt numFmtId="185" formatCode="General_)"/>
    <numFmt numFmtId="186" formatCode="_-[$€-2]* #,##0.00_-;\-[$€-2]* #,##0.00_-;_-[$€-2]* &quot;-&quot;??_-"/>
    <numFmt numFmtId="187" formatCode="_-* #,##0_-;\-* #,##0_-;_-* &quot;-&quot;??_-;_-@_-"/>
    <numFmt numFmtId="188" formatCode="_-* #,##0.0000_-;\-* #,##0.0000_-;_-* &quot;-&quot;????_-;_-@_-"/>
    <numFmt numFmtId="189" formatCode="_-* #,##0.0000_-;\-* #,##0.0000_-;_-* &quot;-&quot;_-;_-@_-"/>
    <numFmt numFmtId="190" formatCode="_-* #,##0.0000_-;\-* #,##0.0000_-;_-* &quot;-&quot;??_-;_-@_-"/>
    <numFmt numFmtId="191" formatCode="#,##0;[Red]\-#,##0;_-* &quot;-&quot;_-;_-@_-"/>
    <numFmt numFmtId="192" formatCode="0.00%;[Red]\-0.00%;_-* &quot;-&quot;_-;_-@_-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0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69" fontId="5" fillId="0" borderId="0" applyFont="0" applyFill="0" applyBorder="0" applyAlignment="0" applyProtection="0"/>
    <xf numFmtId="0" fontId="19" fillId="3" borderId="0" applyNumberFormat="0" applyBorder="0" applyAlignment="0" applyProtection="0"/>
    <xf numFmtId="16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30" fillId="0" borderId="0"/>
    <xf numFmtId="0" fontId="7" fillId="0" borderId="0"/>
    <xf numFmtId="37" fontId="6" fillId="0" borderId="0"/>
    <xf numFmtId="0" fontId="11" fillId="23" borderId="4" applyNumberFormat="0" applyFont="0" applyAlignment="0" applyProtection="0"/>
    <xf numFmtId="170" fontId="7" fillId="0" borderId="0" applyFont="0" applyFill="0" applyBorder="0" applyAlignment="0" applyProtection="0">
      <alignment horizontal="right"/>
    </xf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171" fontId="8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5" fontId="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86" fontId="5" fillId="0" borderId="0" applyFont="0" applyFill="0" applyBorder="0" applyAlignment="0" applyProtection="0"/>
    <xf numFmtId="0" fontId="19" fillId="3" borderId="0" applyNumberFormat="0" applyBorder="0" applyAlignment="0" applyProtection="0"/>
    <xf numFmtId="41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0" borderId="0"/>
    <xf numFmtId="43" fontId="5" fillId="0" borderId="0" applyFont="0" applyFill="0" applyBorder="0" applyAlignment="0" applyProtection="0"/>
    <xf numFmtId="0" fontId="49" fillId="0" borderId="0"/>
    <xf numFmtId="0" fontId="3" fillId="0" borderId="0"/>
    <xf numFmtId="43" fontId="50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5" fillId="0" borderId="11" xfId="37" applyFont="1" applyFill="1" applyBorder="1" applyAlignment="1" applyProtection="1">
      <alignment horizontal="left"/>
      <protection hidden="1"/>
    </xf>
    <xf numFmtId="37" fontId="5" fillId="0" borderId="20" xfId="37" applyFont="1" applyFill="1" applyBorder="1" applyAlignment="1" applyProtection="1">
      <alignment horizontal="right"/>
      <protection hidden="1"/>
    </xf>
    <xf numFmtId="37" fontId="5" fillId="0" borderId="12" xfId="37" applyFont="1" applyFill="1" applyBorder="1" applyAlignment="1" applyProtection="1">
      <alignment horizontal="left"/>
      <protection hidden="1"/>
    </xf>
    <xf numFmtId="37" fontId="5" fillId="0" borderId="23" xfId="37" applyFont="1" applyFill="1" applyBorder="1" applyAlignment="1" applyProtection="1">
      <alignment horizontal="right"/>
      <protection hidden="1"/>
    </xf>
    <xf numFmtId="37" fontId="9" fillId="0" borderId="13" xfId="37" applyFont="1" applyFill="1" applyBorder="1" applyAlignment="1" applyProtection="1">
      <alignment horizontal="left"/>
      <protection hidden="1"/>
    </xf>
    <xf numFmtId="37" fontId="9" fillId="0" borderId="14" xfId="37" applyFont="1" applyFill="1" applyBorder="1" applyAlignment="1" applyProtection="1">
      <alignment horizontal="right"/>
      <protection hidden="1"/>
    </xf>
    <xf numFmtId="37" fontId="9" fillId="0" borderId="10" xfId="37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9" fontId="9" fillId="0" borderId="10" xfId="40" applyFont="1" applyFill="1" applyBorder="1" applyAlignment="1" applyProtection="1">
      <alignment horizontal="center" vertical="center" wrapText="1"/>
      <protection hidden="1"/>
    </xf>
    <xf numFmtId="37" fontId="5" fillId="0" borderId="0" xfId="37" applyFont="1" applyFill="1" applyProtection="1">
      <protection hidden="1"/>
    </xf>
    <xf numFmtId="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5" fillId="0" borderId="0" xfId="37" applyFont="1" applyProtection="1">
      <protection hidden="1"/>
    </xf>
    <xf numFmtId="37" fontId="32" fillId="0" borderId="0" xfId="37" applyFont="1" applyAlignment="1" applyProtection="1">
      <alignment horizontal="center" vertical="center"/>
      <protection hidden="1"/>
    </xf>
    <xf numFmtId="37" fontId="32" fillId="0" borderId="0" xfId="37" applyFont="1" applyFill="1" applyProtection="1">
      <protection hidden="1"/>
    </xf>
    <xf numFmtId="37" fontId="32" fillId="0" borderId="0" xfId="37" applyFont="1" applyProtection="1">
      <protection hidden="1"/>
    </xf>
    <xf numFmtId="37" fontId="37" fillId="0" borderId="0" xfId="37" applyFont="1" applyFill="1" applyBorder="1" applyAlignment="1" applyProtection="1">
      <alignment horizontal="center" vertical="center" wrapText="1"/>
      <protection hidden="1"/>
    </xf>
    <xf numFmtId="37" fontId="37" fillId="0" borderId="0" xfId="37" applyFont="1" applyFill="1" applyProtection="1">
      <protection hidden="1"/>
    </xf>
    <xf numFmtId="176" fontId="37" fillId="0" borderId="0" xfId="37" applyNumberFormat="1" applyFont="1" applyFill="1" applyProtection="1">
      <protection hidden="1"/>
    </xf>
    <xf numFmtId="177" fontId="38" fillId="0" borderId="0" xfId="0" applyNumberFormat="1" applyFont="1" applyFill="1" applyAlignment="1" applyProtection="1">
      <alignment horizontal="center" vertical="center" wrapText="1"/>
      <protection hidden="1"/>
    </xf>
    <xf numFmtId="176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horizontal="center" vertical="center" wrapText="1"/>
      <protection hidden="1"/>
    </xf>
    <xf numFmtId="37" fontId="32" fillId="0" borderId="0" xfId="37" applyFont="1" applyAlignment="1" applyProtection="1">
      <alignment horizontal="center" vertical="center" wrapText="1"/>
      <protection hidden="1"/>
    </xf>
    <xf numFmtId="37" fontId="37" fillId="0" borderId="0" xfId="37" applyFont="1" applyProtection="1">
      <protection hidden="1"/>
    </xf>
    <xf numFmtId="3" fontId="31" fillId="0" borderId="20" xfId="0" applyNumberFormat="1" applyFont="1" applyBorder="1" applyProtection="1">
      <protection hidden="1"/>
    </xf>
    <xf numFmtId="174" fontId="5" fillId="0" borderId="20" xfId="40" applyNumberFormat="1" applyFont="1" applyFill="1" applyBorder="1" applyProtection="1">
      <protection hidden="1"/>
    </xf>
    <xf numFmtId="176" fontId="5" fillId="0" borderId="20" xfId="40" applyNumberFormat="1" applyFont="1" applyFill="1" applyBorder="1" applyProtection="1">
      <protection hidden="1"/>
    </xf>
    <xf numFmtId="165" fontId="5" fillId="0" borderId="20" xfId="33" applyNumberFormat="1" applyFont="1" applyFill="1" applyBorder="1" applyProtection="1">
      <protection hidden="1"/>
    </xf>
    <xf numFmtId="176" fontId="5" fillId="0" borderId="27" xfId="40" applyNumberFormat="1" applyFont="1" applyFill="1" applyBorder="1" applyProtection="1">
      <protection hidden="1"/>
    </xf>
    <xf numFmtId="37" fontId="5" fillId="0" borderId="11" xfId="37" applyFont="1" applyFill="1" applyBorder="1" applyAlignment="1" applyProtection="1">
      <protection hidden="1"/>
    </xf>
    <xf numFmtId="37" fontId="5" fillId="0" borderId="20" xfId="37" applyFont="1" applyFill="1" applyBorder="1" applyAlignment="1" applyProtection="1">
      <protection hidden="1"/>
    </xf>
    <xf numFmtId="178" fontId="5" fillId="0" borderId="20" xfId="37" applyNumberFormat="1" applyFont="1" applyFill="1" applyBorder="1" applyAlignment="1" applyProtection="1">
      <protection hidden="1"/>
    </xf>
    <xf numFmtId="174" fontId="31" fillId="0" borderId="20" xfId="40" applyNumberFormat="1" applyFont="1" applyBorder="1" applyProtection="1">
      <protection hidden="1"/>
    </xf>
    <xf numFmtId="1" fontId="40" fillId="0" borderId="20" xfId="40" applyNumberFormat="1" applyFont="1" applyBorder="1" applyProtection="1">
      <protection hidden="1"/>
    </xf>
    <xf numFmtId="178" fontId="5" fillId="0" borderId="22" xfId="37" applyNumberFormat="1" applyFont="1" applyFill="1" applyBorder="1" applyAlignment="1" applyProtection="1">
      <protection hidden="1"/>
    </xf>
    <xf numFmtId="176" fontId="31" fillId="0" borderId="20" xfId="40" applyNumberFormat="1" applyFont="1" applyBorder="1" applyProtection="1">
      <protection hidden="1"/>
    </xf>
    <xf numFmtId="173" fontId="5" fillId="0" borderId="20" xfId="33" applyNumberFormat="1" applyFont="1" applyFill="1" applyBorder="1" applyProtection="1">
      <protection hidden="1"/>
    </xf>
    <xf numFmtId="165" fontId="5" fillId="0" borderId="27" xfId="33" applyNumberFormat="1" applyFont="1" applyFill="1" applyBorder="1" applyProtection="1">
      <protection hidden="1"/>
    </xf>
    <xf numFmtId="37" fontId="5" fillId="0" borderId="11" xfId="37" applyFont="1" applyBorder="1" applyProtection="1">
      <protection hidden="1"/>
    </xf>
    <xf numFmtId="37" fontId="5" fillId="0" borderId="20" xfId="37" applyFont="1" applyBorder="1" applyProtection="1">
      <protection hidden="1"/>
    </xf>
    <xf numFmtId="177" fontId="5" fillId="0" borderId="21" xfId="40" applyNumberFormat="1" applyFont="1" applyBorder="1" applyProtection="1">
      <protection hidden="1"/>
    </xf>
    <xf numFmtId="3" fontId="31" fillId="0" borderId="23" xfId="0" applyNumberFormat="1" applyFont="1" applyBorder="1" applyProtection="1">
      <protection hidden="1"/>
    </xf>
    <xf numFmtId="174" fontId="5" fillId="0" borderId="23" xfId="40" applyNumberFormat="1" applyFont="1" applyFill="1" applyBorder="1" applyProtection="1">
      <protection hidden="1"/>
    </xf>
    <xf numFmtId="176" fontId="5" fillId="0" borderId="23" xfId="40" applyNumberFormat="1" applyFont="1" applyFill="1" applyBorder="1" applyProtection="1">
      <protection hidden="1"/>
    </xf>
    <xf numFmtId="165" fontId="5" fillId="0" borderId="23" xfId="33" applyNumberFormat="1" applyFont="1" applyFill="1" applyBorder="1" applyProtection="1">
      <protection hidden="1"/>
    </xf>
    <xf numFmtId="176" fontId="5" fillId="0" borderId="28" xfId="40" applyNumberFormat="1" applyFont="1" applyFill="1" applyBorder="1" applyProtection="1">
      <protection hidden="1"/>
    </xf>
    <xf numFmtId="37" fontId="5" fillId="0" borderId="12" xfId="37" applyFont="1" applyFill="1" applyBorder="1" applyAlignment="1" applyProtection="1">
      <protection hidden="1"/>
    </xf>
    <xf numFmtId="37" fontId="5" fillId="0" borderId="23" xfId="37" applyFont="1" applyFill="1" applyBorder="1" applyAlignment="1" applyProtection="1">
      <protection hidden="1"/>
    </xf>
    <xf numFmtId="178" fontId="5" fillId="0" borderId="23" xfId="37" applyNumberFormat="1" applyFont="1" applyFill="1" applyBorder="1" applyAlignment="1" applyProtection="1">
      <protection hidden="1"/>
    </xf>
    <xf numFmtId="174" fontId="31" fillId="0" borderId="23" xfId="40" applyNumberFormat="1" applyFont="1" applyBorder="1" applyProtection="1">
      <protection hidden="1"/>
    </xf>
    <xf numFmtId="1" fontId="40" fillId="0" borderId="23" xfId="40" applyNumberFormat="1" applyFont="1" applyBorder="1" applyProtection="1">
      <protection hidden="1"/>
    </xf>
    <xf numFmtId="178" fontId="5" fillId="0" borderId="24" xfId="37" applyNumberFormat="1" applyFont="1" applyFill="1" applyBorder="1" applyAlignment="1" applyProtection="1">
      <protection hidden="1"/>
    </xf>
    <xf numFmtId="176" fontId="31" fillId="0" borderId="23" xfId="40" applyNumberFormat="1" applyFont="1" applyBorder="1" applyProtection="1">
      <protection hidden="1"/>
    </xf>
    <xf numFmtId="173" fontId="5" fillId="0" borderId="23" xfId="33" applyNumberFormat="1" applyFont="1" applyFill="1" applyBorder="1" applyProtection="1">
      <protection hidden="1"/>
    </xf>
    <xf numFmtId="165" fontId="5" fillId="0" borderId="28" xfId="33" applyNumberFormat="1" applyFont="1" applyFill="1" applyBorder="1" applyProtection="1">
      <protection hidden="1"/>
    </xf>
    <xf numFmtId="37" fontId="5" fillId="0" borderId="12" xfId="37" applyFont="1" applyBorder="1" applyProtection="1">
      <protection hidden="1"/>
    </xf>
    <xf numFmtId="37" fontId="5" fillId="0" borderId="23" xfId="37" applyFont="1" applyBorder="1" applyProtection="1">
      <protection hidden="1"/>
    </xf>
    <xf numFmtId="177" fontId="5" fillId="0" borderId="19" xfId="40" applyNumberFormat="1" applyFont="1" applyBorder="1" applyProtection="1">
      <protection hidden="1"/>
    </xf>
    <xf numFmtId="3" fontId="33" fillId="0" borderId="14" xfId="0" applyNumberFormat="1" applyFont="1" applyBorder="1" applyProtection="1">
      <protection hidden="1"/>
    </xf>
    <xf numFmtId="174" fontId="9" fillId="0" borderId="14" xfId="40" applyNumberFormat="1" applyFont="1" applyFill="1" applyBorder="1" applyProtection="1">
      <protection hidden="1"/>
    </xf>
    <xf numFmtId="176" fontId="9" fillId="0" borderId="14" xfId="40" applyNumberFormat="1" applyFont="1" applyFill="1" applyBorder="1" applyProtection="1">
      <protection hidden="1"/>
    </xf>
    <xf numFmtId="165" fontId="9" fillId="0" borderId="14" xfId="33" applyNumberFormat="1" applyFont="1" applyFill="1" applyBorder="1" applyProtection="1">
      <protection hidden="1"/>
    </xf>
    <xf numFmtId="176" fontId="9" fillId="0" borderId="26" xfId="40" applyNumberFormat="1" applyFont="1" applyFill="1" applyBorder="1" applyProtection="1">
      <protection hidden="1"/>
    </xf>
    <xf numFmtId="37" fontId="39" fillId="0" borderId="13" xfId="37" applyFont="1" applyFill="1" applyBorder="1" applyAlignment="1" applyProtection="1">
      <protection hidden="1"/>
    </xf>
    <xf numFmtId="37" fontId="39" fillId="0" borderId="14" xfId="37" applyFont="1" applyFill="1" applyBorder="1" applyAlignment="1" applyProtection="1">
      <protection hidden="1"/>
    </xf>
    <xf numFmtId="172" fontId="39" fillId="0" borderId="14" xfId="37" applyNumberFormat="1" applyFont="1" applyFill="1" applyBorder="1" applyAlignment="1" applyProtection="1">
      <protection hidden="1"/>
    </xf>
    <xf numFmtId="174" fontId="33" fillId="0" borderId="14" xfId="40" applyNumberFormat="1" applyFont="1" applyBorder="1" applyProtection="1">
      <protection hidden="1"/>
    </xf>
    <xf numFmtId="1" fontId="41" fillId="0" borderId="14" xfId="40" applyNumberFormat="1" applyFont="1" applyBorder="1" applyProtection="1">
      <protection hidden="1"/>
    </xf>
    <xf numFmtId="172" fontId="39" fillId="0" borderId="25" xfId="37" applyNumberFormat="1" applyFont="1" applyFill="1" applyBorder="1" applyAlignment="1" applyProtection="1">
      <protection hidden="1"/>
    </xf>
    <xf numFmtId="176" fontId="33" fillId="0" borderId="14" xfId="40" applyNumberFormat="1" applyFont="1" applyBorder="1" applyProtection="1">
      <protection hidden="1"/>
    </xf>
    <xf numFmtId="168" fontId="9" fillId="0" borderId="14" xfId="40" applyNumberFormat="1" applyFont="1" applyFill="1" applyBorder="1" applyProtection="1">
      <protection hidden="1"/>
    </xf>
    <xf numFmtId="176" fontId="9" fillId="0" borderId="14" xfId="33" applyNumberFormat="1" applyFont="1" applyFill="1" applyBorder="1" applyProtection="1">
      <protection hidden="1"/>
    </xf>
    <xf numFmtId="173" fontId="9" fillId="0" borderId="14" xfId="33" applyNumberFormat="1" applyFont="1" applyFill="1" applyBorder="1" applyProtection="1">
      <protection hidden="1"/>
    </xf>
    <xf numFmtId="165" fontId="9" fillId="0" borderId="26" xfId="40" applyNumberFormat="1" applyFont="1" applyFill="1" applyBorder="1" applyProtection="1">
      <protection hidden="1"/>
    </xf>
    <xf numFmtId="37" fontId="9" fillId="0" borderId="13" xfId="37" applyFont="1" applyBorder="1" applyProtection="1">
      <protection hidden="1"/>
    </xf>
    <xf numFmtId="37" fontId="9" fillId="0" borderId="14" xfId="37" applyFont="1" applyBorder="1" applyProtection="1">
      <protection hidden="1"/>
    </xf>
    <xf numFmtId="177" fontId="9" fillId="0" borderId="15" xfId="40" applyNumberFormat="1" applyFont="1" applyBorder="1" applyProtection="1">
      <protection hidden="1"/>
    </xf>
    <xf numFmtId="176" fontId="5" fillId="0" borderId="0" xfId="37" applyNumberFormat="1" applyFont="1" applyProtection="1">
      <protection hidden="1"/>
    </xf>
    <xf numFmtId="39" fontId="5" fillId="0" borderId="0" xfId="37" applyNumberFormat="1" applyFont="1" applyProtection="1">
      <protection hidden="1"/>
    </xf>
    <xf numFmtId="177" fontId="5" fillId="0" borderId="0" xfId="37" applyNumberFormat="1" applyFont="1" applyProtection="1">
      <protection hidden="1"/>
    </xf>
    <xf numFmtId="166" fontId="5" fillId="0" borderId="0" xfId="40" applyNumberFormat="1" applyFont="1" applyProtection="1">
      <protection hidden="1"/>
    </xf>
    <xf numFmtId="176" fontId="5" fillId="0" borderId="0" xfId="37" applyNumberFormat="1" applyFont="1" applyFill="1" applyProtection="1">
      <protection hidden="1"/>
    </xf>
    <xf numFmtId="177" fontId="5" fillId="0" borderId="0" xfId="37" applyNumberFormat="1" applyFont="1" applyFill="1" applyProtection="1">
      <protection hidden="1"/>
    </xf>
    <xf numFmtId="166" fontId="5" fillId="0" borderId="0" xfId="40" applyNumberFormat="1" applyFont="1" applyFill="1" applyProtection="1">
      <protection hidden="1"/>
    </xf>
    <xf numFmtId="39" fontId="9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39" fontId="32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37" fillId="0" borderId="0" xfId="37" applyNumberFormat="1" applyFont="1" applyFill="1" applyProtection="1">
      <protection hidden="1"/>
    </xf>
    <xf numFmtId="39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5" fillId="0" borderId="11" xfId="37" applyNumberFormat="1" applyFont="1" applyFill="1" applyBorder="1" applyProtection="1">
      <protection hidden="1"/>
    </xf>
    <xf numFmtId="37" fontId="5" fillId="0" borderId="12" xfId="37" applyNumberFormat="1" applyFont="1" applyFill="1" applyBorder="1" applyProtection="1"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37" fontId="44" fillId="0" borderId="0" xfId="37" applyFont="1" applyAlignment="1" applyProtection="1">
      <alignment horizontal="center"/>
      <protection hidden="1"/>
    </xf>
    <xf numFmtId="37" fontId="5" fillId="0" borderId="0" xfId="37" applyFont="1" applyAlignment="1" applyProtection="1">
      <alignment wrapText="1"/>
      <protection hidden="1"/>
    </xf>
    <xf numFmtId="37" fontId="5" fillId="0" borderId="30" xfId="37" applyFont="1" applyBorder="1" applyAlignment="1" applyProtection="1">
      <alignment wrapText="1"/>
      <protection hidden="1"/>
    </xf>
    <xf numFmtId="37" fontId="48" fillId="0" borderId="0" xfId="37" applyFont="1" applyProtection="1">
      <protection hidden="1"/>
    </xf>
    <xf numFmtId="37" fontId="9" fillId="0" borderId="29" xfId="37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9" fontId="9" fillId="0" borderId="29" xfId="40" applyFont="1" applyFill="1" applyBorder="1" applyAlignment="1" applyProtection="1">
      <alignment horizontal="center" vertical="center" wrapText="1"/>
      <protection hidden="1"/>
    </xf>
    <xf numFmtId="37" fontId="9" fillId="0" borderId="0" xfId="37" applyFont="1" applyFill="1" applyBorder="1" applyAlignment="1" applyProtection="1">
      <alignment horizontal="center" vertical="center" wrapText="1"/>
      <protection hidden="1"/>
    </xf>
    <xf numFmtId="9" fontId="9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29" xfId="40" applyNumberFormat="1" applyFont="1" applyFill="1" applyBorder="1" applyAlignment="1" applyProtection="1">
      <alignment horizontal="center" vertical="center" wrapText="1"/>
      <protection hidden="1"/>
    </xf>
    <xf numFmtId="177" fontId="4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7" fontId="32" fillId="0" borderId="0" xfId="37" applyFont="1" applyFill="1" applyBorder="1" applyAlignment="1" applyProtection="1">
      <alignment horizontal="center" vertical="center" wrapText="1"/>
      <protection hidden="1"/>
    </xf>
    <xf numFmtId="176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177" fontId="32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2" fillId="0" borderId="0" xfId="39" applyFont="1" applyFill="1" applyBorder="1" applyAlignment="1" applyProtection="1">
      <alignment horizontal="center" vertical="center" wrapText="1"/>
      <protection hidden="1"/>
    </xf>
    <xf numFmtId="37" fontId="5" fillId="0" borderId="0" xfId="37" applyFont="1" applyFill="1" applyBorder="1" applyProtection="1">
      <protection hidden="1"/>
    </xf>
    <xf numFmtId="179" fontId="5" fillId="0" borderId="20" xfId="40" applyNumberFormat="1" applyFont="1" applyFill="1" applyBorder="1" applyProtection="1">
      <protection hidden="1"/>
    </xf>
    <xf numFmtId="179" fontId="5" fillId="0" borderId="23" xfId="40" applyNumberFormat="1" applyFont="1" applyFill="1" applyBorder="1" applyProtection="1">
      <protection hidden="1"/>
    </xf>
    <xf numFmtId="179" fontId="9" fillId="0" borderId="14" xfId="40" applyNumberFormat="1" applyFont="1" applyFill="1" applyBorder="1" applyProtection="1">
      <protection hidden="1"/>
    </xf>
    <xf numFmtId="180" fontId="5" fillId="0" borderId="20" xfId="40" applyNumberFormat="1" applyFont="1" applyFill="1" applyBorder="1" applyProtection="1">
      <protection hidden="1"/>
    </xf>
    <xf numFmtId="180" fontId="5" fillId="0" borderId="23" xfId="40" applyNumberFormat="1" applyFont="1" applyFill="1" applyBorder="1" applyProtection="1">
      <protection hidden="1"/>
    </xf>
    <xf numFmtId="180" fontId="9" fillId="0" borderId="14" xfId="40" applyNumberFormat="1" applyFont="1" applyFill="1" applyBorder="1" applyProtection="1">
      <protection hidden="1"/>
    </xf>
    <xf numFmtId="39" fontId="9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5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5" fillId="0" borderId="0" xfId="40" applyNumberFormat="1" applyFont="1" applyFill="1" applyBorder="1" applyAlignment="1" applyProtection="1">
      <alignment horizontal="center" vertical="center" wrapText="1"/>
      <protection hidden="1"/>
    </xf>
    <xf numFmtId="177" fontId="43" fillId="0" borderId="0" xfId="37" applyNumberFormat="1" applyFont="1" applyAlignment="1" applyProtection="1">
      <alignment horizontal="center" vertical="center"/>
      <protection hidden="1"/>
    </xf>
    <xf numFmtId="177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5" fillId="0" borderId="21" xfId="40" applyNumberFormat="1" applyFont="1" applyFill="1" applyBorder="1" applyProtection="1">
      <protection hidden="1"/>
    </xf>
    <xf numFmtId="177" fontId="5" fillId="0" borderId="19" xfId="40" applyNumberFormat="1" applyFont="1" applyFill="1" applyBorder="1" applyProtection="1">
      <protection hidden="1"/>
    </xf>
    <xf numFmtId="177" fontId="9" fillId="0" borderId="15" xfId="40" applyNumberFormat="1" applyFont="1" applyFill="1" applyBorder="1" applyProtection="1">
      <protection hidden="1"/>
    </xf>
    <xf numFmtId="37" fontId="44" fillId="0" borderId="0" xfId="37" applyFont="1" applyAlignment="1" applyProtection="1"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165" fontId="33" fillId="0" borderId="14" xfId="33" applyNumberFormat="1" applyFont="1" applyFill="1" applyBorder="1" applyProtection="1"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7" fontId="9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2" fillId="0" borderId="0" xfId="37" applyFont="1" applyFill="1" applyAlignment="1" applyProtection="1">
      <alignment horizontal="center" vertical="center"/>
      <protection hidden="1"/>
    </xf>
    <xf numFmtId="177" fontId="32" fillId="0" borderId="0" xfId="37" applyNumberFormat="1" applyFont="1" applyFill="1" applyProtection="1">
      <protection hidden="1"/>
    </xf>
    <xf numFmtId="37" fontId="32" fillId="0" borderId="0" xfId="37" applyFont="1" applyFill="1" applyAlignment="1" applyProtection="1">
      <alignment horizontal="center" vertical="center" wrapText="1"/>
      <protection hidden="1"/>
    </xf>
    <xf numFmtId="177" fontId="32" fillId="0" borderId="0" xfId="37" applyNumberFormat="1" applyFont="1" applyFill="1" applyAlignment="1" applyProtection="1">
      <alignment horizontal="center" vertical="center" wrapText="1"/>
      <protection hidden="1"/>
    </xf>
    <xf numFmtId="3" fontId="31" fillId="0" borderId="20" xfId="0" applyNumberFormat="1" applyFont="1" applyFill="1" applyBorder="1" applyProtection="1">
      <protection hidden="1"/>
    </xf>
    <xf numFmtId="177" fontId="5" fillId="0" borderId="16" xfId="33" applyNumberFormat="1" applyFont="1" applyFill="1" applyBorder="1" applyProtection="1">
      <protection hidden="1"/>
    </xf>
    <xf numFmtId="37" fontId="5" fillId="0" borderId="11" xfId="37" applyFont="1" applyFill="1" applyBorder="1" applyProtection="1">
      <protection hidden="1"/>
    </xf>
    <xf numFmtId="37" fontId="5" fillId="0" borderId="20" xfId="37" applyFont="1" applyFill="1" applyBorder="1" applyProtection="1">
      <protection hidden="1"/>
    </xf>
    <xf numFmtId="177" fontId="5" fillId="0" borderId="21" xfId="37" applyNumberFormat="1" applyFont="1" applyFill="1" applyBorder="1" applyProtection="1">
      <protection hidden="1"/>
    </xf>
    <xf numFmtId="3" fontId="31" fillId="0" borderId="23" xfId="0" applyNumberFormat="1" applyFont="1" applyFill="1" applyBorder="1" applyProtection="1">
      <protection hidden="1"/>
    </xf>
    <xf numFmtId="177" fontId="5" fillId="0" borderId="17" xfId="33" applyNumberFormat="1" applyFont="1" applyFill="1" applyBorder="1" applyProtection="1">
      <protection hidden="1"/>
    </xf>
    <xf numFmtId="37" fontId="5" fillId="0" borderId="12" xfId="37" applyFont="1" applyFill="1" applyBorder="1" applyProtection="1">
      <protection hidden="1"/>
    </xf>
    <xf numFmtId="37" fontId="5" fillId="0" borderId="23" xfId="37" applyFont="1" applyFill="1" applyBorder="1" applyProtection="1">
      <protection hidden="1"/>
    </xf>
    <xf numFmtId="177" fontId="5" fillId="0" borderId="19" xfId="37" applyNumberFormat="1" applyFont="1" applyFill="1" applyBorder="1" applyProtection="1">
      <protection hidden="1"/>
    </xf>
    <xf numFmtId="3" fontId="33" fillId="0" borderId="14" xfId="0" applyNumberFormat="1" applyFont="1" applyFill="1" applyBorder="1" applyProtection="1">
      <protection hidden="1"/>
    </xf>
    <xf numFmtId="37" fontId="9" fillId="0" borderId="13" xfId="37" applyNumberFormat="1" applyFont="1" applyFill="1" applyBorder="1" applyProtection="1">
      <protection hidden="1"/>
    </xf>
    <xf numFmtId="177" fontId="9" fillId="0" borderId="18" xfId="40" applyNumberFormat="1" applyFont="1" applyFill="1" applyBorder="1" applyProtection="1">
      <protection hidden="1"/>
    </xf>
    <xf numFmtId="37" fontId="9" fillId="0" borderId="13" xfId="37" applyFont="1" applyFill="1" applyBorder="1" applyProtection="1">
      <protection hidden="1"/>
    </xf>
    <xf numFmtId="37" fontId="9" fillId="0" borderId="14" xfId="37" applyFont="1" applyFill="1" applyBorder="1" applyProtection="1">
      <protection hidden="1"/>
    </xf>
    <xf numFmtId="177" fontId="9" fillId="0" borderId="15" xfId="37" applyNumberFormat="1" applyFont="1" applyFill="1" applyBorder="1" applyProtection="1">
      <protection hidden="1"/>
    </xf>
    <xf numFmtId="10" fontId="45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/>
    <xf numFmtId="0" fontId="9" fillId="0" borderId="36" xfId="53" applyFont="1" applyBorder="1" applyAlignment="1">
      <alignment horizontal="center" vertical="center" wrapText="1"/>
    </xf>
    <xf numFmtId="0" fontId="5" fillId="0" borderId="36" xfId="53" applyFont="1" applyBorder="1" applyAlignment="1">
      <alignment vertical="center" wrapText="1"/>
    </xf>
    <xf numFmtId="0" fontId="5" fillId="0" borderId="36" xfId="53" applyFont="1" applyBorder="1" applyAlignment="1">
      <alignment horizontal="center" vertical="center" wrapText="1"/>
    </xf>
    <xf numFmtId="0" fontId="5" fillId="0" borderId="0" xfId="53" applyFont="1" applyBorder="1" applyAlignment="1">
      <alignment vertical="center"/>
    </xf>
    <xf numFmtId="3" fontId="5" fillId="0" borderId="0" xfId="53" applyNumberFormat="1" applyBorder="1" applyAlignment="1">
      <alignment horizontal="center" vertical="center"/>
    </xf>
    <xf numFmtId="0" fontId="5" fillId="0" borderId="0" xfId="53" applyBorder="1" applyAlignment="1">
      <alignment horizontal="center" vertical="center"/>
    </xf>
    <xf numFmtId="0" fontId="5" fillId="0" borderId="0" xfId="53" applyFont="1"/>
    <xf numFmtId="187" fontId="0" fillId="0" borderId="0" xfId="51" applyNumberFormat="1" applyFont="1"/>
    <xf numFmtId="187" fontId="5" fillId="0" borderId="0" xfId="51" applyNumberFormat="1" applyFont="1"/>
    <xf numFmtId="187" fontId="9" fillId="0" borderId="37" xfId="51" applyNumberFormat="1" applyFont="1" applyFill="1" applyBorder="1" applyAlignment="1">
      <alignment horizontal="center" vertical="center" wrapText="1"/>
    </xf>
    <xf numFmtId="187" fontId="9" fillId="0" borderId="40" xfId="51" applyNumberFormat="1" applyFont="1" applyFill="1" applyBorder="1"/>
    <xf numFmtId="187" fontId="9" fillId="0" borderId="37" xfId="51" applyNumberFormat="1" applyFont="1" applyFill="1" applyBorder="1"/>
    <xf numFmtId="187" fontId="9" fillId="0" borderId="0" xfId="51" applyNumberFormat="1" applyFont="1" applyFill="1" applyBorder="1"/>
    <xf numFmtId="0" fontId="9" fillId="0" borderId="36" xfId="53" applyFont="1" applyBorder="1" applyAlignment="1">
      <alignment horizontal="center" vertical="center"/>
    </xf>
    <xf numFmtId="10" fontId="45" fillId="0" borderId="33" xfId="56" applyNumberFormat="1" applyFont="1" applyFill="1" applyBorder="1" applyAlignment="1" applyProtection="1">
      <alignment horizontal="center" vertical="center" wrapText="1"/>
      <protection hidden="1"/>
    </xf>
    <xf numFmtId="181" fontId="5" fillId="0" borderId="20" xfId="40" applyNumberFormat="1" applyFont="1" applyFill="1" applyBorder="1" applyProtection="1">
      <protection hidden="1"/>
    </xf>
    <xf numFmtId="181" fontId="5" fillId="0" borderId="23" xfId="40" applyNumberFormat="1" applyFont="1" applyFill="1" applyBorder="1" applyProtection="1">
      <protection hidden="1"/>
    </xf>
    <xf numFmtId="181" fontId="9" fillId="0" borderId="14" xfId="40" applyNumberFormat="1" applyFont="1" applyFill="1" applyBorder="1" applyProtection="1">
      <protection hidden="1"/>
    </xf>
    <xf numFmtId="175" fontId="5" fillId="0" borderId="21" xfId="33" applyNumberFormat="1" applyFont="1" applyFill="1" applyBorder="1" applyProtection="1">
      <protection hidden="1"/>
    </xf>
    <xf numFmtId="175" fontId="5" fillId="0" borderId="19" xfId="33" applyNumberFormat="1" applyFont="1" applyFill="1" applyBorder="1" applyProtection="1">
      <protection hidden="1"/>
    </xf>
    <xf numFmtId="175" fontId="9" fillId="0" borderId="15" xfId="33" applyNumberFormat="1" applyFont="1" applyFill="1" applyBorder="1" applyProtection="1">
      <protection hidden="1"/>
    </xf>
    <xf numFmtId="49" fontId="45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51" fillId="0" borderId="0" xfId="40" applyNumberFormat="1" applyFont="1" applyProtection="1">
      <protection hidden="1"/>
    </xf>
    <xf numFmtId="49" fontId="9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2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Protection="1">
      <protection hidden="1"/>
    </xf>
    <xf numFmtId="174" fontId="5" fillId="0" borderId="0" xfId="40" applyNumberFormat="1" applyFont="1" applyProtection="1">
      <protection hidden="1"/>
    </xf>
    <xf numFmtId="37" fontId="5" fillId="0" borderId="0" xfId="37" applyFont="1" applyBorder="1" applyProtection="1">
      <protection hidden="1"/>
    </xf>
    <xf numFmtId="164" fontId="5" fillId="0" borderId="0" xfId="33" applyFont="1" applyBorder="1" applyProtection="1">
      <protection hidden="1"/>
    </xf>
    <xf numFmtId="167" fontId="51" fillId="0" borderId="0" xfId="40" applyNumberFormat="1" applyFont="1" applyBorder="1" applyProtection="1">
      <protection hidden="1"/>
    </xf>
    <xf numFmtId="184" fontId="5" fillId="0" borderId="0" xfId="40" applyNumberFormat="1" applyFont="1" applyProtection="1">
      <protection hidden="1"/>
    </xf>
    <xf numFmtId="183" fontId="5" fillId="0" borderId="0" xfId="37" applyNumberFormat="1" applyFont="1" applyProtection="1">
      <protection hidden="1"/>
    </xf>
    <xf numFmtId="182" fontId="5" fillId="0" borderId="0" xfId="37" applyNumberFormat="1" applyFont="1" applyProtection="1">
      <protection hidden="1"/>
    </xf>
    <xf numFmtId="37" fontId="5" fillId="0" borderId="24" xfId="37" applyFont="1" applyFill="1" applyBorder="1" applyAlignment="1" applyProtection="1">
      <protection hidden="1"/>
    </xf>
    <xf numFmtId="165" fontId="5" fillId="0" borderId="36" xfId="33" applyNumberFormat="1" applyFont="1" applyFill="1" applyBorder="1" applyAlignment="1">
      <alignment vertical="center" wrapText="1"/>
    </xf>
    <xf numFmtId="0" fontId="5" fillId="24" borderId="0" xfId="106" applyFill="1"/>
    <xf numFmtId="187" fontId="0" fillId="24" borderId="0" xfId="51" applyNumberFormat="1" applyFont="1" applyFill="1"/>
    <xf numFmtId="188" fontId="9" fillId="24" borderId="44" xfId="106" applyNumberFormat="1" applyFont="1" applyFill="1" applyBorder="1"/>
    <xf numFmtId="187" fontId="9" fillId="24" borderId="45" xfId="51" applyNumberFormat="1" applyFont="1" applyFill="1" applyBorder="1"/>
    <xf numFmtId="187" fontId="9" fillId="24" borderId="46" xfId="106" applyNumberFormat="1" applyFont="1" applyFill="1" applyBorder="1"/>
    <xf numFmtId="187" fontId="9" fillId="24" borderId="47" xfId="106" applyNumberFormat="1" applyFont="1" applyFill="1" applyBorder="1"/>
    <xf numFmtId="187" fontId="9" fillId="24" borderId="48" xfId="106" applyNumberFormat="1" applyFont="1" applyFill="1" applyBorder="1"/>
    <xf numFmtId="0" fontId="9" fillId="24" borderId="49" xfId="106" applyFont="1" applyFill="1" applyBorder="1"/>
    <xf numFmtId="189" fontId="9" fillId="24" borderId="45" xfId="106" applyNumberFormat="1" applyFont="1" applyFill="1" applyBorder="1"/>
    <xf numFmtId="190" fontId="9" fillId="24" borderId="47" xfId="51" applyNumberFormat="1" applyFont="1" applyFill="1" applyBorder="1"/>
    <xf numFmtId="190" fontId="9" fillId="24" borderId="47" xfId="106" applyNumberFormat="1" applyFont="1" applyFill="1" applyBorder="1"/>
    <xf numFmtId="190" fontId="9" fillId="24" borderId="46" xfId="51" applyNumberFormat="1" applyFont="1" applyFill="1" applyBorder="1"/>
    <xf numFmtId="190" fontId="9" fillId="24" borderId="47" xfId="107" applyNumberFormat="1" applyFont="1" applyFill="1" applyBorder="1"/>
    <xf numFmtId="187" fontId="9" fillId="24" borderId="47" xfId="51" applyNumberFormat="1" applyFont="1" applyFill="1" applyBorder="1"/>
    <xf numFmtId="187" fontId="9" fillId="24" borderId="48" xfId="51" applyNumberFormat="1" applyFont="1" applyFill="1" applyBorder="1"/>
    <xf numFmtId="188" fontId="5" fillId="24" borderId="41" xfId="106" applyNumberFormat="1" applyFill="1" applyBorder="1"/>
    <xf numFmtId="41" fontId="5" fillId="24" borderId="50" xfId="106" applyNumberFormat="1" applyFill="1" applyBorder="1"/>
    <xf numFmtId="187" fontId="0" fillId="24" borderId="51" xfId="51" applyNumberFormat="1" applyFont="1" applyFill="1" applyBorder="1"/>
    <xf numFmtId="187" fontId="0" fillId="24" borderId="0" xfId="51" applyNumberFormat="1" applyFont="1" applyFill="1" applyBorder="1"/>
    <xf numFmtId="187" fontId="0" fillId="24" borderId="52" xfId="51" applyNumberFormat="1" applyFont="1" applyFill="1" applyBorder="1"/>
    <xf numFmtId="0" fontId="9" fillId="24" borderId="40" xfId="106" applyFont="1" applyFill="1" applyBorder="1"/>
    <xf numFmtId="189" fontId="5" fillId="24" borderId="50" xfId="106" applyNumberFormat="1" applyFill="1" applyBorder="1"/>
    <xf numFmtId="190" fontId="0" fillId="24" borderId="0" xfId="51" applyNumberFormat="1" applyFont="1" applyFill="1" applyBorder="1"/>
    <xf numFmtId="190" fontId="5" fillId="24" borderId="0" xfId="106" applyNumberFormat="1" applyFill="1" applyBorder="1"/>
    <xf numFmtId="190" fontId="0" fillId="24" borderId="51" xfId="51" applyNumberFormat="1" applyFont="1" applyFill="1" applyBorder="1"/>
    <xf numFmtId="190" fontId="0" fillId="24" borderId="0" xfId="107" applyNumberFormat="1" applyFont="1" applyFill="1" applyBorder="1"/>
    <xf numFmtId="188" fontId="5" fillId="24" borderId="53" xfId="106" applyNumberFormat="1" applyFill="1" applyBorder="1"/>
    <xf numFmtId="41" fontId="0" fillId="24" borderId="54" xfId="51" applyNumberFormat="1" applyFont="1" applyFill="1" applyBorder="1"/>
    <xf numFmtId="187" fontId="0" fillId="24" borderId="55" xfId="51" applyNumberFormat="1" applyFont="1" applyFill="1" applyBorder="1"/>
    <xf numFmtId="187" fontId="0" fillId="24" borderId="56" xfId="51" applyNumberFormat="1" applyFont="1" applyFill="1" applyBorder="1"/>
    <xf numFmtId="187" fontId="0" fillId="24" borderId="57" xfId="51" applyNumberFormat="1" applyFont="1" applyFill="1" applyBorder="1"/>
    <xf numFmtId="0" fontId="9" fillId="24" borderId="58" xfId="106" applyFont="1" applyFill="1" applyBorder="1"/>
    <xf numFmtId="189" fontId="5" fillId="24" borderId="54" xfId="106" applyNumberFormat="1" applyFill="1" applyBorder="1"/>
    <xf numFmtId="190" fontId="0" fillId="24" borderId="56" xfId="51" applyNumberFormat="1" applyFont="1" applyFill="1" applyBorder="1"/>
    <xf numFmtId="190" fontId="5" fillId="24" borderId="56" xfId="106" applyNumberFormat="1" applyFill="1" applyBorder="1"/>
    <xf numFmtId="190" fontId="0" fillId="24" borderId="55" xfId="51" applyNumberFormat="1" applyFont="1" applyFill="1" applyBorder="1"/>
    <xf numFmtId="190" fontId="0" fillId="24" borderId="56" xfId="107" applyNumberFormat="1" applyFont="1" applyFill="1" applyBorder="1"/>
    <xf numFmtId="0" fontId="53" fillId="24" borderId="0" xfId="106" applyFont="1" applyFill="1"/>
    <xf numFmtId="9" fontId="53" fillId="24" borderId="0" xfId="107" applyFont="1" applyFill="1" applyAlignment="1">
      <alignment horizontal="center" vertical="center"/>
    </xf>
    <xf numFmtId="0" fontId="9" fillId="24" borderId="0" xfId="106" applyFont="1" applyFill="1"/>
    <xf numFmtId="0" fontId="9" fillId="0" borderId="0" xfId="106" applyFont="1"/>
    <xf numFmtId="187" fontId="53" fillId="24" borderId="0" xfId="51" applyNumberFormat="1" applyFont="1" applyFill="1" applyAlignment="1">
      <alignment horizontal="center" vertical="center"/>
    </xf>
    <xf numFmtId="0" fontId="32" fillId="24" borderId="0" xfId="106" applyFont="1" applyFill="1" applyAlignment="1">
      <alignment horizontal="center" vertical="center" wrapText="1"/>
    </xf>
    <xf numFmtId="0" fontId="9" fillId="24" borderId="39" xfId="106" applyFont="1" applyFill="1" applyBorder="1" applyAlignment="1">
      <alignment horizontal="center" vertical="center" wrapText="1"/>
    </xf>
    <xf numFmtId="0" fontId="9" fillId="24" borderId="59" xfId="106" applyFont="1" applyFill="1" applyBorder="1" applyAlignment="1">
      <alignment horizontal="center" vertical="center" wrapText="1"/>
    </xf>
    <xf numFmtId="0" fontId="9" fillId="24" borderId="60" xfId="106" applyFont="1" applyFill="1" applyBorder="1" applyAlignment="1">
      <alignment horizontal="center" vertical="center" wrapText="1"/>
    </xf>
    <xf numFmtId="0" fontId="9" fillId="24" borderId="38" xfId="106" applyFont="1" applyFill="1" applyBorder="1" applyAlignment="1">
      <alignment horizontal="center" vertical="center" wrapText="1"/>
    </xf>
    <xf numFmtId="0" fontId="9" fillId="24" borderId="61" xfId="106" applyFont="1" applyFill="1" applyBorder="1" applyAlignment="1">
      <alignment horizontal="center" vertical="center" wrapText="1"/>
    </xf>
    <xf numFmtId="0" fontId="9" fillId="24" borderId="37" xfId="106" applyFont="1" applyFill="1" applyBorder="1" applyAlignment="1">
      <alignment horizontal="center" vertical="center"/>
    </xf>
    <xf numFmtId="0" fontId="9" fillId="24" borderId="0" xfId="106" applyFont="1" applyFill="1" applyAlignment="1"/>
    <xf numFmtId="0" fontId="9" fillId="24" borderId="0" xfId="106" applyFont="1" applyFill="1" applyAlignment="1">
      <alignment horizontal="center" vertical="center" wrapText="1"/>
    </xf>
    <xf numFmtId="37" fontId="9" fillId="0" borderId="29" xfId="37" applyFont="1" applyFill="1" applyBorder="1" applyAlignment="1" applyProtection="1">
      <alignment horizontal="center" vertical="center" wrapText="1"/>
      <protection hidden="1"/>
    </xf>
    <xf numFmtId="43" fontId="9" fillId="0" borderId="38" xfId="51" applyNumberFormat="1" applyFont="1" applyFill="1" applyBorder="1" applyAlignment="1">
      <alignment horizontal="center" vertical="center" wrapText="1"/>
    </xf>
    <xf numFmtId="43" fontId="9" fillId="0" borderId="39" xfId="51" applyNumberFormat="1" applyFont="1" applyFill="1" applyBorder="1" applyAlignment="1">
      <alignment horizontal="center" vertical="center"/>
    </xf>
    <xf numFmtId="43" fontId="9" fillId="0" borderId="0" xfId="51" applyNumberFormat="1" applyFont="1" applyFill="1" applyBorder="1"/>
    <xf numFmtId="43" fontId="5" fillId="0" borderId="0" xfId="53" applyNumberFormat="1" applyFont="1"/>
    <xf numFmtId="43" fontId="0" fillId="0" borderId="0" xfId="51" applyNumberFormat="1" applyFont="1"/>
    <xf numFmtId="49" fontId="45" fillId="0" borderId="32" xfId="54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40" applyNumberFormat="1" applyFont="1" applyProtection="1">
      <protection hidden="1"/>
    </xf>
    <xf numFmtId="165" fontId="5" fillId="0" borderId="0" xfId="53" applyNumberFormat="1"/>
    <xf numFmtId="187" fontId="0" fillId="0" borderId="0" xfId="51" applyNumberFormat="1" applyFont="1" applyFill="1" applyBorder="1"/>
    <xf numFmtId="187" fontId="9" fillId="0" borderId="41" xfId="51" applyNumberFormat="1" applyFont="1" applyFill="1" applyBorder="1"/>
    <xf numFmtId="187" fontId="9" fillId="0" borderId="38" xfId="51" applyNumberFormat="1" applyFont="1" applyFill="1" applyBorder="1"/>
    <xf numFmtId="187" fontId="9" fillId="0" borderId="39" xfId="51" applyNumberFormat="1" applyFont="1" applyFill="1" applyBorder="1"/>
    <xf numFmtId="3" fontId="5" fillId="0" borderId="36" xfId="53" applyNumberFormat="1" applyFont="1" applyBorder="1" applyAlignment="1">
      <alignment vertical="center" wrapText="1"/>
    </xf>
    <xf numFmtId="3" fontId="9" fillId="0" borderId="36" xfId="53" applyNumberFormat="1" applyFont="1" applyBorder="1" applyAlignment="1">
      <alignment vertical="center"/>
    </xf>
    <xf numFmtId="0" fontId="1" fillId="24" borderId="0" xfId="108" applyFill="1"/>
    <xf numFmtId="187" fontId="9" fillId="24" borderId="63" xfId="102" applyNumberFormat="1" applyFont="1" applyFill="1" applyBorder="1" applyAlignment="1">
      <alignment horizontal="center" vertical="center" wrapText="1"/>
    </xf>
    <xf numFmtId="187" fontId="9" fillId="24" borderId="64" xfId="102" applyNumberFormat="1" applyFont="1" applyFill="1" applyBorder="1" applyAlignment="1">
      <alignment horizontal="center" vertical="center" wrapText="1"/>
    </xf>
    <xf numFmtId="187" fontId="9" fillId="24" borderId="65" xfId="102" applyNumberFormat="1" applyFont="1" applyFill="1" applyBorder="1" applyAlignment="1">
      <alignment horizontal="center" vertical="center" wrapText="1"/>
    </xf>
    <xf numFmtId="187" fontId="9" fillId="24" borderId="66" xfId="102" applyNumberFormat="1" applyFont="1" applyFill="1" applyBorder="1" applyAlignment="1">
      <alignment horizontal="center" vertical="center" wrapText="1"/>
    </xf>
    <xf numFmtId="187" fontId="9" fillId="24" borderId="67" xfId="102" applyNumberFormat="1" applyFont="1" applyFill="1" applyBorder="1" applyAlignment="1">
      <alignment horizontal="center" vertical="center" wrapText="1"/>
    </xf>
    <xf numFmtId="187" fontId="9" fillId="24" borderId="40" xfId="102" applyNumberFormat="1" applyFont="1" applyFill="1" applyBorder="1"/>
    <xf numFmtId="191" fontId="5" fillId="24" borderId="52" xfId="102" applyNumberFormat="1" applyFont="1" applyFill="1" applyBorder="1"/>
    <xf numFmtId="191" fontId="5" fillId="24" borderId="0" xfId="102" applyNumberFormat="1" applyFont="1" applyFill="1" applyBorder="1"/>
    <xf numFmtId="191" fontId="5" fillId="24" borderId="51" xfId="102" applyNumberFormat="1" applyFont="1" applyFill="1" applyBorder="1"/>
    <xf numFmtId="191" fontId="9" fillId="24" borderId="0" xfId="102" applyNumberFormat="1" applyFont="1" applyFill="1" applyBorder="1"/>
    <xf numFmtId="192" fontId="9" fillId="24" borderId="68" xfId="102" applyNumberFormat="1" applyFont="1" applyFill="1" applyBorder="1"/>
    <xf numFmtId="187" fontId="9" fillId="24" borderId="49" xfId="102" applyNumberFormat="1" applyFont="1" applyFill="1" applyBorder="1"/>
    <xf numFmtId="191" fontId="9" fillId="24" borderId="48" xfId="102" applyNumberFormat="1" applyFont="1" applyFill="1" applyBorder="1"/>
    <xf numFmtId="191" fontId="9" fillId="24" borderId="47" xfId="102" applyNumberFormat="1" applyFont="1" applyFill="1" applyBorder="1"/>
    <xf numFmtId="191" fontId="9" fillId="24" borderId="46" xfId="102" applyNumberFormat="1" applyFont="1" applyFill="1" applyBorder="1"/>
    <xf numFmtId="192" fontId="9" fillId="24" borderId="69" xfId="102" applyNumberFormat="1" applyFont="1" applyFill="1" applyBorder="1"/>
    <xf numFmtId="187" fontId="1" fillId="24" borderId="0" xfId="108" applyNumberFormat="1" applyFill="1"/>
    <xf numFmtId="191" fontId="5" fillId="0" borderId="36" xfId="33" applyNumberFormat="1" applyFont="1" applyFill="1" applyBorder="1" applyAlignment="1">
      <alignment horizontal="right" vertical="center" wrapText="1"/>
    </xf>
    <xf numFmtId="164" fontId="5" fillId="0" borderId="36" xfId="33" applyFont="1" applyBorder="1" applyAlignment="1">
      <alignment horizontal="center" vertical="center" wrapText="1"/>
    </xf>
    <xf numFmtId="191" fontId="5" fillId="0" borderId="36" xfId="53" applyNumberFormat="1" applyFont="1" applyBorder="1" applyAlignment="1">
      <alignment vertical="center" wrapText="1"/>
    </xf>
    <xf numFmtId="165" fontId="9" fillId="0" borderId="36" xfId="53" applyNumberFormat="1" applyFont="1" applyBorder="1" applyAlignment="1">
      <alignment horizontal="center" vertical="center"/>
    </xf>
    <xf numFmtId="0" fontId="5" fillId="0" borderId="0" xfId="53" applyAlignment="1">
      <alignment vertical="top" wrapText="1"/>
    </xf>
    <xf numFmtId="0" fontId="9" fillId="0" borderId="0" xfId="53" applyFont="1" applyAlignment="1">
      <alignment horizontal="center" vertical="center"/>
    </xf>
    <xf numFmtId="0" fontId="5" fillId="0" borderId="0" xfId="53" applyFont="1" applyAlignment="1">
      <alignment vertical="top" wrapText="1"/>
    </xf>
    <xf numFmtId="187" fontId="9" fillId="0" borderId="0" xfId="51" applyNumberFormat="1" applyFont="1" applyAlignment="1">
      <alignment horizontal="center"/>
    </xf>
    <xf numFmtId="187" fontId="5" fillId="0" borderId="62" xfId="51" applyNumberFormat="1" applyFont="1" applyBorder="1" applyAlignment="1">
      <alignment horizontal="center"/>
    </xf>
    <xf numFmtId="37" fontId="5" fillId="0" borderId="0" xfId="37" applyFont="1" applyAlignment="1" applyProtection="1">
      <alignment horizontal="left" vertical="top" wrapText="1"/>
      <protection hidden="1"/>
    </xf>
    <xf numFmtId="0" fontId="43" fillId="0" borderId="30" xfId="0" applyFont="1" applyBorder="1" applyAlignment="1">
      <alignment horizontal="center"/>
    </xf>
    <xf numFmtId="37" fontId="43" fillId="0" borderId="30" xfId="37" applyFont="1" applyBorder="1" applyAlignment="1" applyProtection="1">
      <alignment horizontal="center"/>
      <protection hidden="1"/>
    </xf>
    <xf numFmtId="37" fontId="9" fillId="0" borderId="29" xfId="37" applyFont="1" applyFill="1" applyBorder="1" applyAlignment="1" applyProtection="1">
      <alignment horizontal="center" vertical="center" wrapText="1"/>
      <protection hidden="1"/>
    </xf>
    <xf numFmtId="37" fontId="9" fillId="0" borderId="0" xfId="37" applyFont="1" applyFill="1" applyBorder="1" applyAlignment="1" applyProtection="1">
      <alignment horizontal="center" vertical="center" wrapText="1"/>
      <protection hidden="1"/>
    </xf>
    <xf numFmtId="37" fontId="9" fillId="0" borderId="35" xfId="37" applyFont="1" applyFill="1" applyBorder="1" applyAlignment="1" applyProtection="1">
      <alignment horizontal="center" vertical="center" wrapText="1"/>
      <protection hidden="1"/>
    </xf>
    <xf numFmtId="37" fontId="9" fillId="0" borderId="43" xfId="37" applyFont="1" applyFill="1" applyBorder="1" applyAlignment="1" applyProtection="1">
      <alignment horizontal="center" vertical="center" wrapText="1"/>
      <protection hidden="1"/>
    </xf>
    <xf numFmtId="37" fontId="47" fillId="0" borderId="0" xfId="37" applyFont="1" applyAlignment="1" applyProtection="1">
      <alignment horizontal="center" vertical="center" wrapText="1"/>
      <protection hidden="1"/>
    </xf>
    <xf numFmtId="37" fontId="5" fillId="0" borderId="0" xfId="37" applyFont="1" applyAlignment="1" applyProtection="1">
      <alignment horizontal="center" vertical="center" wrapText="1"/>
      <protection hidden="1"/>
    </xf>
    <xf numFmtId="49" fontId="45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5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9" fillId="0" borderId="32" xfId="37" applyFont="1" applyFill="1" applyBorder="1" applyAlignment="1" applyProtection="1">
      <alignment horizontal="center" vertical="center" wrapText="1"/>
      <protection hidden="1"/>
    </xf>
    <xf numFmtId="37" fontId="9" fillId="0" borderId="33" xfId="37" applyFont="1" applyFill="1" applyBorder="1" applyAlignment="1" applyProtection="1">
      <alignment horizontal="center" vertical="center" wrapText="1"/>
      <protection hidden="1"/>
    </xf>
    <xf numFmtId="49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9" fillId="0" borderId="34" xfId="37" applyFont="1" applyFill="1" applyBorder="1" applyAlignment="1" applyProtection="1">
      <alignment horizontal="center" vertical="center" wrapText="1"/>
      <protection hidden="1"/>
    </xf>
    <xf numFmtId="37" fontId="9" fillId="0" borderId="42" xfId="37" applyFont="1" applyFill="1" applyBorder="1" applyAlignment="1" applyProtection="1">
      <alignment horizontal="center" vertical="center" wrapText="1"/>
      <protection hidden="1"/>
    </xf>
    <xf numFmtId="37" fontId="44" fillId="0" borderId="0" xfId="37" applyFont="1" applyAlignment="1" applyProtection="1">
      <alignment horizontal="center" wrapText="1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3" fillId="0" borderId="30" xfId="37" applyFont="1" applyBorder="1" applyAlignment="1" applyProtection="1">
      <alignment horizontal="center" vertical="center"/>
      <protection hidden="1"/>
    </xf>
    <xf numFmtId="37" fontId="5" fillId="0" borderId="30" xfId="37" applyFont="1" applyBorder="1" applyAlignment="1" applyProtection="1">
      <alignment horizontal="center" vertical="center"/>
      <protection hidden="1"/>
    </xf>
    <xf numFmtId="37" fontId="43" fillId="0" borderId="30" xfId="37" applyFont="1" applyBorder="1" applyAlignment="1" applyProtection="1">
      <alignment horizontal="center" vertical="center" wrapText="1"/>
      <protection hidden="1"/>
    </xf>
    <xf numFmtId="37" fontId="43" fillId="0" borderId="70" xfId="37" applyFont="1" applyBorder="1" applyAlignment="1" applyProtection="1">
      <alignment horizontal="center" vertical="center"/>
      <protection hidden="1"/>
    </xf>
    <xf numFmtId="0" fontId="9" fillId="24" borderId="62" xfId="106" applyFont="1" applyFill="1" applyBorder="1" applyAlignment="1">
      <alignment horizontal="center" vertical="center"/>
    </xf>
    <xf numFmtId="0" fontId="9" fillId="24" borderId="62" xfId="106" applyFont="1" applyFill="1" applyBorder="1" applyAlignment="1">
      <alignment horizontal="center"/>
    </xf>
    <xf numFmtId="0" fontId="5" fillId="24" borderId="0" xfId="106" applyFill="1" applyAlignment="1">
      <alignment horizontal="center" vertical="center"/>
    </xf>
    <xf numFmtId="187" fontId="9" fillId="24" borderId="0" xfId="102" applyNumberFormat="1" applyFont="1" applyFill="1" applyAlignment="1">
      <alignment horizontal="center" wrapText="1"/>
    </xf>
    <xf numFmtId="187" fontId="9" fillId="24" borderId="0" xfId="102" applyNumberFormat="1" applyFont="1" applyFill="1" applyAlignment="1">
      <alignment horizontal="center"/>
    </xf>
    <xf numFmtId="49" fontId="9" fillId="24" borderId="62" xfId="102" applyNumberFormat="1" applyFont="1" applyFill="1" applyBorder="1" applyAlignment="1">
      <alignment horizontal="center" vertical="center" wrapText="1"/>
    </xf>
  </cellXfs>
  <cellStyles count="109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 8 2" xfId="108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20/publicacion/DO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19/Participaciones/acumulado%20X%20mp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0.1%20Direcci&#243;n%20de%20Coordinaci&#243;n%20y%20Planeaci&#243;n%20Hacendaria\Participaciones%20y%20Aportaciones\BASES%20DE%20DATOS\ISR\ISR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"/>
      <sheetName val="fofir"/>
      <sheetName val="fcomp"/>
      <sheetName val="fexhi"/>
      <sheetName val="ieps"/>
      <sheetName val="0.136%"/>
      <sheetName val="exp hidro"/>
      <sheetName val="ieps gyd"/>
      <sheetName val="isr"/>
      <sheetName val="comp isan"/>
      <sheetName val="isan"/>
      <sheetName val="repecos"/>
      <sheetName val="incentivos"/>
      <sheetName val="consolid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31674145253</v>
          </cell>
        </row>
        <row r="5">
          <cell r="B5">
            <v>493994608.36615509</v>
          </cell>
        </row>
        <row r="6">
          <cell r="B6">
            <v>370003811.75089031</v>
          </cell>
        </row>
        <row r="7">
          <cell r="B7">
            <v>271991206.88295448</v>
          </cell>
        </row>
        <row r="8">
          <cell r="B8">
            <v>1014591822</v>
          </cell>
        </row>
        <row r="9">
          <cell r="B9">
            <v>1580046096</v>
          </cell>
        </row>
        <row r="10">
          <cell r="B10">
            <v>92638138</v>
          </cell>
        </row>
        <row r="11">
          <cell r="B11">
            <v>819254846</v>
          </cell>
        </row>
        <row r="12">
          <cell r="B12">
            <v>189823368</v>
          </cell>
        </row>
        <row r="13">
          <cell r="B13">
            <v>1267673775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H7">
            <v>9782556.6947492361</v>
          </cell>
        </row>
        <row r="8">
          <cell r="BH8">
            <v>19377066.95181853</v>
          </cell>
        </row>
        <row r="9">
          <cell r="BH9">
            <v>20157867.418715145</v>
          </cell>
        </row>
        <row r="10">
          <cell r="BH10">
            <v>55755338.175156303</v>
          </cell>
        </row>
        <row r="11">
          <cell r="BH11">
            <v>70417662.945920616</v>
          </cell>
        </row>
        <row r="12">
          <cell r="BH12">
            <v>480420096.49022204</v>
          </cell>
        </row>
        <row r="13">
          <cell r="BH13">
            <v>80382217.062349468</v>
          </cell>
        </row>
        <row r="14">
          <cell r="BH14">
            <v>12781198.511711607</v>
          </cell>
        </row>
        <row r="15">
          <cell r="BH15">
            <v>127047614.19104084</v>
          </cell>
        </row>
        <row r="16">
          <cell r="BH16">
            <v>21108810.62306257</v>
          </cell>
        </row>
        <row r="17">
          <cell r="BH17">
            <v>30667968.334768124</v>
          </cell>
        </row>
        <row r="18">
          <cell r="BH18">
            <v>64499224.619159676</v>
          </cell>
        </row>
        <row r="19">
          <cell r="BH19">
            <v>32817821.591273677</v>
          </cell>
        </row>
        <row r="20">
          <cell r="BH20">
            <v>179755444.69518831</v>
          </cell>
        </row>
        <row r="21">
          <cell r="BH21">
            <v>22947725.690392174</v>
          </cell>
        </row>
        <row r="22">
          <cell r="BH22">
            <v>15980181.134158269</v>
          </cell>
        </row>
        <row r="23">
          <cell r="BH23">
            <v>140148332.18663472</v>
          </cell>
        </row>
        <row r="24">
          <cell r="BH24">
            <v>171896741.95973486</v>
          </cell>
        </row>
        <row r="25">
          <cell r="BH25">
            <v>26936558.103905931</v>
          </cell>
        </row>
        <row r="26">
          <cell r="BH26">
            <v>368206806.7652095</v>
          </cell>
        </row>
        <row r="27">
          <cell r="BH27">
            <v>54364343.391733974</v>
          </cell>
        </row>
        <row r="28">
          <cell r="BH28">
            <v>8720063.8180307318</v>
          </cell>
        </row>
        <row r="29">
          <cell r="BH29">
            <v>40382541.007767558</v>
          </cell>
        </row>
        <row r="30">
          <cell r="BH30">
            <v>39347712.552407421</v>
          </cell>
        </row>
        <row r="31">
          <cell r="BH31">
            <v>629749485.85144389</v>
          </cell>
        </row>
        <row r="32">
          <cell r="BH32">
            <v>16215790.708277004</v>
          </cell>
        </row>
        <row r="33">
          <cell r="BH33">
            <v>27912976.155256927</v>
          </cell>
        </row>
        <row r="34">
          <cell r="BH34">
            <v>16019923.254867921</v>
          </cell>
        </row>
        <row r="35">
          <cell r="BH35">
            <v>22346024.259364486</v>
          </cell>
        </row>
        <row r="36">
          <cell r="BH36">
            <v>21032897.106208049</v>
          </cell>
        </row>
        <row r="37">
          <cell r="BH37">
            <v>195383320.77446538</v>
          </cell>
        </row>
        <row r="38">
          <cell r="BH38">
            <v>38075776.550930724</v>
          </cell>
        </row>
        <row r="39">
          <cell r="BH39">
            <v>139601306.44641688</v>
          </cell>
        </row>
        <row r="40">
          <cell r="BH40">
            <v>29786207.421576548</v>
          </cell>
        </row>
        <row r="41">
          <cell r="BH41">
            <v>28630601.556963243</v>
          </cell>
        </row>
        <row r="42">
          <cell r="BH42">
            <v>30061784.117804673</v>
          </cell>
        </row>
        <row r="43">
          <cell r="BH43">
            <v>42343326.012331598</v>
          </cell>
        </row>
        <row r="44">
          <cell r="BH44">
            <v>99341353.012467459</v>
          </cell>
        </row>
        <row r="45">
          <cell r="BH45">
            <v>2055890228.4986162</v>
          </cell>
        </row>
        <row r="46">
          <cell r="BH46">
            <v>10617855.328383615</v>
          </cell>
        </row>
        <row r="47">
          <cell r="BH47">
            <v>44703605.111531183</v>
          </cell>
        </row>
        <row r="48">
          <cell r="BH48">
            <v>22520148.41963267</v>
          </cell>
        </row>
        <row r="49">
          <cell r="BH49">
            <v>25235500.347407877</v>
          </cell>
        </row>
        <row r="50">
          <cell r="BH50">
            <v>72606491.669817179</v>
          </cell>
        </row>
        <row r="51">
          <cell r="BH51">
            <v>62481692.591996215</v>
          </cell>
        </row>
        <row r="52">
          <cell r="BH52">
            <v>565368732.9588201</v>
          </cell>
        </row>
        <row r="53">
          <cell r="BH53">
            <v>1092436477.444715</v>
          </cell>
        </row>
        <row r="54">
          <cell r="BH54">
            <v>294373200.59419709</v>
          </cell>
        </row>
        <row r="55">
          <cell r="BH55">
            <v>93830529.113984913</v>
          </cell>
        </row>
        <row r="56">
          <cell r="BH56">
            <v>18852989.105197065</v>
          </cell>
        </row>
        <row r="57">
          <cell r="BH57">
            <v>25973971.989921138</v>
          </cell>
        </row>
      </sheetData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ANUAL"/>
      <sheetName val="TABLA_ISR_ENERO"/>
      <sheetName val="NL_ENERO"/>
      <sheetName val="ISR_ENERO"/>
      <sheetName val="TABLA_ISR_FEBRERO"/>
      <sheetName val="ISR_FEBRERO"/>
      <sheetName val="NL_FEBRERO"/>
      <sheetName val="TABLA_ISR_MARZO"/>
      <sheetName val="NL_MARZO"/>
      <sheetName val="ISR_MARZO"/>
      <sheetName val="TABLA ISR ABRIL"/>
      <sheetName val="N.L. ABRIL"/>
      <sheetName val="ISR_ABRIL"/>
      <sheetName val="ISR MAYO"/>
      <sheetName val="TABLA ISR MAYO"/>
      <sheetName val="N.L. MAYO"/>
      <sheetName val="ISR_JUNIO"/>
      <sheetName val="TABLA ISR JUNIO"/>
      <sheetName val="N.L. JUNIO"/>
      <sheetName val="N.L.JULIO"/>
      <sheetName val="ISR_JULIO"/>
      <sheetName val="N.L.agosto"/>
      <sheetName val="ISR_AGOSTO"/>
      <sheetName val="N.L SEPTIEMBRE"/>
      <sheetName val="ISR_SEPTIEMBRE"/>
      <sheetName val="N.L OCTUBRE"/>
      <sheetName val="ISR_OCTUBRE"/>
      <sheetName val="N.L ACT Y REC NOVIEMBRE"/>
      <sheetName val="NOVIEMBRE.NL"/>
      <sheetName val="ISR_NOVIEMBRE"/>
      <sheetName val="DICIEMBRE NL"/>
      <sheetName val="ISR_DICIEMBRE"/>
    </sheetNames>
    <sheetDataSet>
      <sheetData sheetId="0"/>
      <sheetData sheetId="1"/>
      <sheetData sheetId="2"/>
      <sheetData sheetId="3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2228201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290362</v>
          </cell>
        </row>
        <row r="23">
          <cell r="B23">
            <v>4760734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1436497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31467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2673517</v>
          </cell>
        </row>
        <row r="39">
          <cell r="B39">
            <v>0</v>
          </cell>
        </row>
        <row r="40">
          <cell r="B40">
            <v>33980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12863697</v>
          </cell>
        </row>
        <row r="45">
          <cell r="B45">
            <v>27500</v>
          </cell>
        </row>
        <row r="46">
          <cell r="B46">
            <v>368010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42762</v>
          </cell>
        </row>
        <row r="52">
          <cell r="B52">
            <v>9319285</v>
          </cell>
        </row>
        <row r="53">
          <cell r="B53">
            <v>0</v>
          </cell>
        </row>
        <row r="54">
          <cell r="B54">
            <v>2657700</v>
          </cell>
        </row>
        <row r="55">
          <cell r="B55">
            <v>0</v>
          </cell>
        </row>
        <row r="56">
          <cell r="B56">
            <v>0</v>
          </cell>
        </row>
      </sheetData>
      <sheetData sheetId="4"/>
      <sheetData sheetId="5">
        <row r="6">
          <cell r="D6">
            <v>0</v>
          </cell>
        </row>
        <row r="7">
          <cell r="D7">
            <v>0</v>
          </cell>
        </row>
        <row r="8">
          <cell r="D8">
            <v>24907</v>
          </cell>
        </row>
        <row r="9">
          <cell r="D9">
            <v>-29866</v>
          </cell>
        </row>
        <row r="10">
          <cell r="D10">
            <v>270952</v>
          </cell>
        </row>
        <row r="11">
          <cell r="D11">
            <v>7856526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4006508</v>
          </cell>
        </row>
        <row r="15">
          <cell r="D15">
            <v>640108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1681086</v>
          </cell>
        </row>
        <row r="23">
          <cell r="D23">
            <v>-18372</v>
          </cell>
        </row>
        <row r="24">
          <cell r="D24">
            <v>0</v>
          </cell>
        </row>
        <row r="25">
          <cell r="D25">
            <v>10401379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27947725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92832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785823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43894659</v>
          </cell>
        </row>
        <row r="45">
          <cell r="D45">
            <v>24374</v>
          </cell>
        </row>
        <row r="46">
          <cell r="D46">
            <v>1226070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-1959</v>
          </cell>
        </row>
        <row r="50">
          <cell r="D50">
            <v>0</v>
          </cell>
        </row>
        <row r="51">
          <cell r="D51">
            <v>718599</v>
          </cell>
        </row>
        <row r="52">
          <cell r="D52">
            <v>1112991</v>
          </cell>
        </row>
        <row r="53">
          <cell r="D53">
            <v>-1759113</v>
          </cell>
        </row>
        <row r="54">
          <cell r="D54">
            <v>824189</v>
          </cell>
        </row>
        <row r="55">
          <cell r="D55">
            <v>0</v>
          </cell>
        </row>
        <row r="56">
          <cell r="D56">
            <v>0</v>
          </cell>
        </row>
      </sheetData>
      <sheetData sheetId="6"/>
      <sheetData sheetId="7"/>
      <sheetData sheetId="8"/>
      <sheetData sheetId="9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7997130</v>
          </cell>
        </row>
        <row r="10">
          <cell r="B10">
            <v>231446</v>
          </cell>
        </row>
        <row r="11">
          <cell r="B11">
            <v>2550200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633808</v>
          </cell>
        </row>
        <row r="15">
          <cell r="B15">
            <v>0</v>
          </cell>
        </row>
        <row r="16">
          <cell r="B16">
            <v>702393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254477</v>
          </cell>
        </row>
        <row r="23">
          <cell r="B23">
            <v>4533811</v>
          </cell>
        </row>
        <row r="24">
          <cell r="B24">
            <v>0</v>
          </cell>
        </row>
        <row r="25">
          <cell r="B25">
            <v>17426803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30031367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34045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786199</v>
          </cell>
        </row>
        <row r="39">
          <cell r="B39">
            <v>0</v>
          </cell>
        </row>
        <row r="40">
          <cell r="B40">
            <v>196578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1677771</v>
          </cell>
        </row>
        <row r="45">
          <cell r="B45">
            <v>19449</v>
          </cell>
        </row>
        <row r="46">
          <cell r="B46">
            <v>378623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15416124</v>
          </cell>
        </row>
        <row r="52">
          <cell r="B52">
            <v>10353213</v>
          </cell>
        </row>
        <row r="53">
          <cell r="B53">
            <v>1718158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</sheetData>
      <sheetData sheetId="10"/>
      <sheetData sheetId="11"/>
      <sheetData sheetId="12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1020416</v>
          </cell>
        </row>
        <row r="10">
          <cell r="B10">
            <v>229281</v>
          </cell>
        </row>
        <row r="11">
          <cell r="B11">
            <v>7215226</v>
          </cell>
        </row>
        <row r="12">
          <cell r="B12">
            <v>1239755</v>
          </cell>
        </row>
        <row r="13">
          <cell r="B13">
            <v>0</v>
          </cell>
        </row>
        <row r="14">
          <cell r="B14">
            <v>1609892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2803140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25176547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50783</v>
          </cell>
        </row>
        <row r="34">
          <cell r="B34">
            <v>0</v>
          </cell>
        </row>
        <row r="35">
          <cell r="B35">
            <v>73019</v>
          </cell>
        </row>
        <row r="36">
          <cell r="B36">
            <v>2276451</v>
          </cell>
        </row>
        <row r="37">
          <cell r="B37">
            <v>0</v>
          </cell>
        </row>
        <row r="38">
          <cell r="B38">
            <v>785490</v>
          </cell>
        </row>
        <row r="39">
          <cell r="B39">
            <v>0</v>
          </cell>
        </row>
        <row r="40">
          <cell r="B40">
            <v>103569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2388407</v>
          </cell>
        </row>
        <row r="45">
          <cell r="B45">
            <v>40294</v>
          </cell>
        </row>
        <row r="46">
          <cell r="B46">
            <v>545978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489518</v>
          </cell>
        </row>
        <row r="50">
          <cell r="B50">
            <v>0</v>
          </cell>
        </row>
        <row r="51">
          <cell r="B51">
            <v>49846</v>
          </cell>
        </row>
        <row r="52">
          <cell r="B52">
            <v>6772417</v>
          </cell>
        </row>
        <row r="53">
          <cell r="B53">
            <v>6377213</v>
          </cell>
        </row>
        <row r="54">
          <cell r="B54">
            <v>6142866</v>
          </cell>
        </row>
        <row r="55">
          <cell r="B55">
            <v>0</v>
          </cell>
        </row>
        <row r="56">
          <cell r="B56">
            <v>0</v>
          </cell>
        </row>
      </sheetData>
      <sheetData sheetId="13">
        <row r="7">
          <cell r="D7">
            <v>0</v>
          </cell>
        </row>
        <row r="8">
          <cell r="D8">
            <v>0</v>
          </cell>
        </row>
        <row r="9">
          <cell r="D9">
            <v>73593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2536989</v>
          </cell>
        </row>
        <row r="13">
          <cell r="D13">
            <v>0</v>
          </cell>
        </row>
        <row r="14">
          <cell r="D14">
            <v>139404</v>
          </cell>
        </row>
        <row r="15">
          <cell r="D15">
            <v>5371095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27124</v>
          </cell>
        </row>
        <row r="22">
          <cell r="D22">
            <v>272827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25528844</v>
          </cell>
        </row>
        <row r="27">
          <cell r="D27">
            <v>150641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219621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78912</v>
          </cell>
        </row>
        <row r="37">
          <cell r="D37">
            <v>4864019</v>
          </cell>
        </row>
        <row r="38">
          <cell r="D38">
            <v>0</v>
          </cell>
        </row>
        <row r="39">
          <cell r="D39">
            <v>1016732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18397502</v>
          </cell>
        </row>
        <row r="46">
          <cell r="D46">
            <v>80786</v>
          </cell>
        </row>
        <row r="47">
          <cell r="D47">
            <v>247882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531421</v>
          </cell>
        </row>
        <row r="51">
          <cell r="D51">
            <v>0</v>
          </cell>
        </row>
        <row r="52">
          <cell r="D52">
            <v>46009</v>
          </cell>
        </row>
        <row r="53">
          <cell r="D53">
            <v>0</v>
          </cell>
        </row>
        <row r="54">
          <cell r="D54">
            <v>6236038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</sheetData>
      <sheetData sheetId="14"/>
      <sheetData sheetId="15"/>
      <sheetData sheetId="16">
        <row r="6">
          <cell r="B6">
            <v>0</v>
          </cell>
        </row>
        <row r="7">
          <cell r="B7">
            <v>15747</v>
          </cell>
        </row>
        <row r="8">
          <cell r="B8">
            <v>19182</v>
          </cell>
        </row>
        <row r="9">
          <cell r="B9">
            <v>1292669</v>
          </cell>
        </row>
        <row r="10">
          <cell r="B10">
            <v>-91283</v>
          </cell>
        </row>
        <row r="11">
          <cell r="B11">
            <v>388534</v>
          </cell>
        </row>
        <row r="12">
          <cell r="B12">
            <v>-21478</v>
          </cell>
        </row>
        <row r="13">
          <cell r="B13">
            <v>-1510</v>
          </cell>
        </row>
        <row r="14">
          <cell r="B14">
            <v>1406093</v>
          </cell>
        </row>
        <row r="15">
          <cell r="B15">
            <v>863226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181793</v>
          </cell>
        </row>
        <row r="22">
          <cell r="B22">
            <v>808085</v>
          </cell>
        </row>
        <row r="23">
          <cell r="B23">
            <v>-81320</v>
          </cell>
        </row>
        <row r="24">
          <cell r="B24">
            <v>0</v>
          </cell>
        </row>
        <row r="25">
          <cell r="B25">
            <v>24572072</v>
          </cell>
        </row>
        <row r="26">
          <cell r="B26">
            <v>329690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9143226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39225</v>
          </cell>
        </row>
        <row r="34">
          <cell r="B34">
            <v>0</v>
          </cell>
        </row>
        <row r="35">
          <cell r="B35">
            <v>35884</v>
          </cell>
        </row>
        <row r="36">
          <cell r="B36">
            <v>4899914</v>
          </cell>
        </row>
        <row r="37">
          <cell r="B37">
            <v>0</v>
          </cell>
        </row>
        <row r="38">
          <cell r="B38">
            <v>835837</v>
          </cell>
        </row>
        <row r="39">
          <cell r="B39">
            <v>316808</v>
          </cell>
        </row>
        <row r="40">
          <cell r="B40">
            <v>61215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-29793</v>
          </cell>
        </row>
        <row r="44">
          <cell r="B44">
            <v>28429672</v>
          </cell>
        </row>
        <row r="45">
          <cell r="B45">
            <v>21314</v>
          </cell>
        </row>
        <row r="46">
          <cell r="B46">
            <v>-71808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503215</v>
          </cell>
        </row>
        <row r="50">
          <cell r="B50">
            <v>0</v>
          </cell>
        </row>
        <row r="51">
          <cell r="B51">
            <v>11807612</v>
          </cell>
        </row>
        <row r="52">
          <cell r="B52">
            <v>13968096</v>
          </cell>
        </row>
        <row r="53">
          <cell r="B53">
            <v>4832334</v>
          </cell>
        </row>
        <row r="54">
          <cell r="B54">
            <v>3450732</v>
          </cell>
        </row>
        <row r="55">
          <cell r="B55">
            <v>0</v>
          </cell>
        </row>
        <row r="56">
          <cell r="B56">
            <v>0</v>
          </cell>
        </row>
      </sheetData>
      <sheetData sheetId="17"/>
      <sheetData sheetId="18"/>
      <sheetData sheetId="19"/>
      <sheetData sheetId="20">
        <row r="6">
          <cell r="B6">
            <v>0</v>
          </cell>
        </row>
        <row r="7">
          <cell r="B7">
            <v>19187</v>
          </cell>
        </row>
        <row r="8">
          <cell r="B8">
            <v>0</v>
          </cell>
        </row>
        <row r="9">
          <cell r="B9">
            <v>1812468</v>
          </cell>
        </row>
        <row r="10">
          <cell r="B10">
            <v>658034</v>
          </cell>
        </row>
        <row r="11">
          <cell r="B11">
            <v>3524150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3397395</v>
          </cell>
        </row>
        <row r="15">
          <cell r="B15">
            <v>386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128508</v>
          </cell>
        </row>
        <row r="21">
          <cell r="B21">
            <v>408624</v>
          </cell>
        </row>
        <row r="22">
          <cell r="B22">
            <v>493430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3990802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10591880</v>
          </cell>
        </row>
        <row r="31">
          <cell r="B31">
            <v>72334</v>
          </cell>
        </row>
        <row r="32">
          <cell r="B32">
            <v>762962</v>
          </cell>
        </row>
        <row r="33">
          <cell r="B33">
            <v>39226</v>
          </cell>
        </row>
        <row r="34">
          <cell r="B34">
            <v>0</v>
          </cell>
        </row>
        <row r="35">
          <cell r="B35">
            <v>48833</v>
          </cell>
        </row>
        <row r="36">
          <cell r="B36">
            <v>4935266</v>
          </cell>
        </row>
        <row r="37">
          <cell r="B37">
            <v>0</v>
          </cell>
        </row>
        <row r="38">
          <cell r="B38">
            <v>793627</v>
          </cell>
        </row>
        <row r="39">
          <cell r="B39">
            <v>221169</v>
          </cell>
        </row>
        <row r="40">
          <cell r="B40">
            <v>47117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10785851</v>
          </cell>
        </row>
        <row r="45">
          <cell r="B45">
            <v>21107</v>
          </cell>
        </row>
        <row r="46">
          <cell r="B46">
            <v>271298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55581</v>
          </cell>
        </row>
        <row r="52">
          <cell r="B52">
            <v>15532093</v>
          </cell>
        </row>
        <row r="53">
          <cell r="B53">
            <v>2660872</v>
          </cell>
        </row>
        <row r="54">
          <cell r="B54">
            <v>791520</v>
          </cell>
        </row>
        <row r="55">
          <cell r="B55">
            <v>0</v>
          </cell>
        </row>
        <row r="56">
          <cell r="B56">
            <v>0</v>
          </cell>
        </row>
      </sheetData>
      <sheetData sheetId="21"/>
      <sheetData sheetId="22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1385950</v>
          </cell>
        </row>
        <row r="10">
          <cell r="B10">
            <v>22016</v>
          </cell>
        </row>
        <row r="11">
          <cell r="B11">
            <v>3344489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1548562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90106</v>
          </cell>
        </row>
        <row r="22">
          <cell r="B22">
            <v>676653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542109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7314273</v>
          </cell>
        </row>
        <row r="31">
          <cell r="B31">
            <v>175706</v>
          </cell>
        </row>
        <row r="32">
          <cell r="B32">
            <v>0</v>
          </cell>
        </row>
        <row r="33">
          <cell r="B33">
            <v>55081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3555515</v>
          </cell>
        </row>
        <row r="37">
          <cell r="B37">
            <v>0</v>
          </cell>
        </row>
        <row r="38">
          <cell r="B38">
            <v>791010</v>
          </cell>
        </row>
        <row r="39">
          <cell r="B39">
            <v>83221</v>
          </cell>
        </row>
        <row r="40">
          <cell r="B40">
            <v>46674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9808823</v>
          </cell>
        </row>
        <row r="45">
          <cell r="B45">
            <v>20914</v>
          </cell>
        </row>
        <row r="46">
          <cell r="B46">
            <v>2593396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11955056</v>
          </cell>
        </row>
        <row r="52">
          <cell r="B52">
            <v>23738460</v>
          </cell>
        </row>
        <row r="53">
          <cell r="B53">
            <v>5722917</v>
          </cell>
        </row>
        <row r="54">
          <cell r="B54">
            <v>1533005</v>
          </cell>
        </row>
        <row r="55">
          <cell r="B55">
            <v>818685</v>
          </cell>
        </row>
        <row r="56">
          <cell r="B56">
            <v>0</v>
          </cell>
        </row>
      </sheetData>
      <sheetData sheetId="23"/>
      <sheetData sheetId="24">
        <row r="6">
          <cell r="B6">
            <v>0</v>
          </cell>
        </row>
        <row r="7">
          <cell r="B7">
            <v>0</v>
          </cell>
        </row>
        <row r="8">
          <cell r="B8">
            <v>135089</v>
          </cell>
        </row>
        <row r="9">
          <cell r="B9">
            <v>0</v>
          </cell>
        </row>
        <row r="10">
          <cell r="B10">
            <v>65339</v>
          </cell>
        </row>
        <row r="11">
          <cell r="B11">
            <v>3786800</v>
          </cell>
        </row>
        <row r="12">
          <cell r="B12">
            <v>183853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4225094</v>
          </cell>
        </row>
        <row r="16">
          <cell r="B16">
            <v>1809585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11096</v>
          </cell>
        </row>
        <row r="21">
          <cell r="B21">
            <v>90767</v>
          </cell>
        </row>
        <row r="22">
          <cell r="B22">
            <v>464945</v>
          </cell>
        </row>
        <row r="23">
          <cell r="B23">
            <v>3538077</v>
          </cell>
        </row>
        <row r="24">
          <cell r="B24">
            <v>0</v>
          </cell>
        </row>
        <row r="25">
          <cell r="B25">
            <v>2983872</v>
          </cell>
        </row>
        <row r="26">
          <cell r="B26">
            <v>681393</v>
          </cell>
        </row>
        <row r="27">
          <cell r="B27">
            <v>0</v>
          </cell>
        </row>
        <row r="28">
          <cell r="B28">
            <v>129376</v>
          </cell>
        </row>
        <row r="29">
          <cell r="B29">
            <v>0</v>
          </cell>
        </row>
        <row r="30">
          <cell r="B30">
            <v>5345200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155333</v>
          </cell>
        </row>
        <row r="35">
          <cell r="B35">
            <v>30779</v>
          </cell>
        </row>
        <row r="36">
          <cell r="B36">
            <v>55758419</v>
          </cell>
        </row>
        <row r="37">
          <cell r="B37">
            <v>0</v>
          </cell>
        </row>
        <row r="38">
          <cell r="B38">
            <v>1009369</v>
          </cell>
        </row>
        <row r="39">
          <cell r="B39">
            <v>122700</v>
          </cell>
        </row>
        <row r="40">
          <cell r="B40">
            <v>46894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10203659</v>
          </cell>
        </row>
        <row r="45">
          <cell r="B45">
            <v>21197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17918438</v>
          </cell>
        </row>
        <row r="52">
          <cell r="B52">
            <v>28805606</v>
          </cell>
        </row>
        <row r="53">
          <cell r="B53">
            <v>13402320</v>
          </cell>
        </row>
        <row r="54">
          <cell r="B54">
            <v>1900952</v>
          </cell>
        </row>
        <row r="55">
          <cell r="B55">
            <v>56687</v>
          </cell>
        </row>
        <row r="56">
          <cell r="B56">
            <v>0</v>
          </cell>
        </row>
      </sheetData>
      <sheetData sheetId="25"/>
      <sheetData sheetId="26">
        <row r="6">
          <cell r="D6">
            <v>148292</v>
          </cell>
        </row>
        <row r="7">
          <cell r="D7">
            <v>-5806</v>
          </cell>
        </row>
        <row r="8">
          <cell r="D8">
            <v>0</v>
          </cell>
        </row>
        <row r="9">
          <cell r="D9">
            <v>636434</v>
          </cell>
        </row>
        <row r="10">
          <cell r="D10">
            <v>440708</v>
          </cell>
        </row>
        <row r="11">
          <cell r="D11">
            <v>3203339</v>
          </cell>
        </row>
        <row r="12">
          <cell r="D12">
            <v>41453</v>
          </cell>
        </row>
        <row r="13">
          <cell r="D13">
            <v>0</v>
          </cell>
        </row>
        <row r="14">
          <cell r="D14">
            <v>25784575</v>
          </cell>
        </row>
        <row r="15">
          <cell r="D15">
            <v>1405491</v>
          </cell>
        </row>
        <row r="16">
          <cell r="D16">
            <v>1654756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91450</v>
          </cell>
        </row>
        <row r="22">
          <cell r="D22">
            <v>267863</v>
          </cell>
        </row>
        <row r="23">
          <cell r="D23">
            <v>-19707</v>
          </cell>
        </row>
        <row r="24">
          <cell r="D24">
            <v>0</v>
          </cell>
        </row>
        <row r="25">
          <cell r="D25">
            <v>2910270</v>
          </cell>
        </row>
        <row r="26">
          <cell r="D26">
            <v>1429449</v>
          </cell>
        </row>
        <row r="27">
          <cell r="D27">
            <v>0</v>
          </cell>
        </row>
        <row r="28">
          <cell r="D28">
            <v>1235959</v>
          </cell>
        </row>
        <row r="29">
          <cell r="D29">
            <v>0</v>
          </cell>
        </row>
        <row r="30">
          <cell r="D30">
            <v>4921813</v>
          </cell>
        </row>
        <row r="31">
          <cell r="D31">
            <v>0</v>
          </cell>
        </row>
        <row r="32">
          <cell r="D32">
            <v>142365</v>
          </cell>
        </row>
        <row r="33">
          <cell r="D33">
            <v>42957</v>
          </cell>
        </row>
        <row r="34">
          <cell r="D34">
            <v>107438</v>
          </cell>
        </row>
        <row r="35">
          <cell r="D35">
            <v>32971</v>
          </cell>
        </row>
        <row r="36">
          <cell r="D36">
            <v>12931728</v>
          </cell>
        </row>
        <row r="37">
          <cell r="D37">
            <v>0</v>
          </cell>
        </row>
        <row r="38">
          <cell r="D38">
            <v>974608</v>
          </cell>
        </row>
        <row r="39">
          <cell r="D39">
            <v>102976</v>
          </cell>
        </row>
        <row r="40">
          <cell r="D40">
            <v>50756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-40885</v>
          </cell>
        </row>
        <row r="44">
          <cell r="D44">
            <v>-1282592</v>
          </cell>
        </row>
        <row r="45">
          <cell r="D45">
            <v>-8483</v>
          </cell>
        </row>
        <row r="46">
          <cell r="D46">
            <v>4201699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5077372</v>
          </cell>
        </row>
        <row r="50">
          <cell r="D50">
            <v>0</v>
          </cell>
        </row>
        <row r="51">
          <cell r="D51">
            <v>5532424</v>
          </cell>
        </row>
        <row r="52">
          <cell r="D52">
            <v>7178214</v>
          </cell>
        </row>
        <row r="53">
          <cell r="D53">
            <v>22058649</v>
          </cell>
        </row>
        <row r="54">
          <cell r="D54">
            <v>779408</v>
          </cell>
        </row>
        <row r="55">
          <cell r="D55">
            <v>0</v>
          </cell>
        </row>
        <row r="56">
          <cell r="D56">
            <v>0</v>
          </cell>
        </row>
      </sheetData>
      <sheetData sheetId="27"/>
      <sheetData sheetId="28"/>
      <sheetData sheetId="29">
        <row r="6">
          <cell r="D6">
            <v>215346</v>
          </cell>
        </row>
        <row r="7">
          <cell r="D7">
            <v>15853</v>
          </cell>
        </row>
        <row r="8">
          <cell r="D8">
            <v>47592</v>
          </cell>
        </row>
        <row r="9">
          <cell r="D9">
            <v>1821391</v>
          </cell>
        </row>
        <row r="10">
          <cell r="D10">
            <v>2184567</v>
          </cell>
        </row>
        <row r="11">
          <cell r="D11">
            <v>115484</v>
          </cell>
        </row>
        <row r="12">
          <cell r="D12">
            <v>959875</v>
          </cell>
        </row>
        <row r="13">
          <cell r="D13">
            <v>0</v>
          </cell>
        </row>
        <row r="14">
          <cell r="D14">
            <v>44807655</v>
          </cell>
        </row>
        <row r="15">
          <cell r="D15">
            <v>2363608</v>
          </cell>
        </row>
        <row r="16">
          <cell r="D16">
            <v>1568357</v>
          </cell>
        </row>
        <row r="17">
          <cell r="D17">
            <v>199742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24632</v>
          </cell>
        </row>
        <row r="21">
          <cell r="D21">
            <v>237016</v>
          </cell>
        </row>
        <row r="22">
          <cell r="D22">
            <v>423204</v>
          </cell>
        </row>
        <row r="23">
          <cell r="D23">
            <v>4198643</v>
          </cell>
        </row>
        <row r="24">
          <cell r="D24">
            <v>0</v>
          </cell>
        </row>
        <row r="25">
          <cell r="D25">
            <v>19975756</v>
          </cell>
        </row>
        <row r="26">
          <cell r="D26">
            <v>5197794</v>
          </cell>
        </row>
        <row r="27">
          <cell r="D27">
            <v>0</v>
          </cell>
        </row>
        <row r="28">
          <cell r="D28">
            <v>431435</v>
          </cell>
        </row>
        <row r="29">
          <cell r="D29">
            <v>0</v>
          </cell>
        </row>
        <row r="30">
          <cell r="D30">
            <v>9959560</v>
          </cell>
        </row>
        <row r="31">
          <cell r="D31">
            <v>0</v>
          </cell>
        </row>
        <row r="32">
          <cell r="D32">
            <v>178651</v>
          </cell>
        </row>
        <row r="33">
          <cell r="D33">
            <v>43989</v>
          </cell>
        </row>
        <row r="34">
          <cell r="D34">
            <v>332434</v>
          </cell>
        </row>
        <row r="35">
          <cell r="D35">
            <v>64641</v>
          </cell>
        </row>
        <row r="36">
          <cell r="D36">
            <v>37336882</v>
          </cell>
        </row>
        <row r="37">
          <cell r="D37">
            <v>99951</v>
          </cell>
        </row>
        <row r="38">
          <cell r="D38">
            <v>973603</v>
          </cell>
        </row>
        <row r="39">
          <cell r="D39">
            <v>132156</v>
          </cell>
        </row>
        <row r="40">
          <cell r="D40">
            <v>54531</v>
          </cell>
        </row>
        <row r="41">
          <cell r="D41">
            <v>0</v>
          </cell>
        </row>
        <row r="42">
          <cell r="D42">
            <v>129659</v>
          </cell>
        </row>
        <row r="43">
          <cell r="D43">
            <v>78856</v>
          </cell>
        </row>
        <row r="44">
          <cell r="D44">
            <v>55988871</v>
          </cell>
        </row>
        <row r="45">
          <cell r="D45">
            <v>42953</v>
          </cell>
        </row>
        <row r="46">
          <cell r="D46">
            <v>2838036</v>
          </cell>
        </row>
        <row r="47">
          <cell r="D47">
            <v>1191562</v>
          </cell>
        </row>
        <row r="48">
          <cell r="D48">
            <v>0</v>
          </cell>
        </row>
        <row r="49">
          <cell r="D49">
            <v>4920789</v>
          </cell>
        </row>
        <row r="50">
          <cell r="D50">
            <v>0</v>
          </cell>
        </row>
        <row r="51">
          <cell r="D51">
            <v>14479742</v>
          </cell>
        </row>
        <row r="52">
          <cell r="D52">
            <v>1008059</v>
          </cell>
        </row>
        <row r="53">
          <cell r="D53">
            <v>39610979</v>
          </cell>
        </row>
        <row r="54">
          <cell r="D54">
            <v>1395259</v>
          </cell>
        </row>
        <row r="55">
          <cell r="D55">
            <v>67779</v>
          </cell>
        </row>
        <row r="56">
          <cell r="D56">
            <v>0</v>
          </cell>
        </row>
      </sheetData>
      <sheetData sheetId="30"/>
      <sheetData sheetId="31">
        <row r="6">
          <cell r="C6">
            <v>108445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715642</v>
          </cell>
        </row>
        <row r="10">
          <cell r="C10">
            <v>570954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949616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51023</v>
          </cell>
        </row>
        <row r="22">
          <cell r="C22">
            <v>352182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5198467</v>
          </cell>
        </row>
        <row r="26">
          <cell r="C26">
            <v>485402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9215740</v>
          </cell>
        </row>
        <row r="31">
          <cell r="C31">
            <v>0</v>
          </cell>
        </row>
        <row r="32">
          <cell r="C32">
            <v>2550</v>
          </cell>
        </row>
        <row r="33">
          <cell r="C33">
            <v>0</v>
          </cell>
        </row>
        <row r="34">
          <cell r="C34">
            <v>72297</v>
          </cell>
        </row>
        <row r="35">
          <cell r="C35">
            <v>34157</v>
          </cell>
        </row>
        <row r="36">
          <cell r="C36">
            <v>0</v>
          </cell>
        </row>
        <row r="37">
          <cell r="C37">
            <v>68139</v>
          </cell>
        </row>
        <row r="38">
          <cell r="C38">
            <v>932766</v>
          </cell>
        </row>
        <row r="39">
          <cell r="C39">
            <v>0</v>
          </cell>
        </row>
        <row r="40">
          <cell r="C40">
            <v>61068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2602749</v>
          </cell>
        </row>
        <row r="44">
          <cell r="C44">
            <v>16778739</v>
          </cell>
        </row>
        <row r="45">
          <cell r="C45">
            <v>23721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574713</v>
          </cell>
        </row>
        <row r="50">
          <cell r="C50">
            <v>0</v>
          </cell>
        </row>
        <row r="51">
          <cell r="C51">
            <v>5536159</v>
          </cell>
        </row>
        <row r="52">
          <cell r="C52">
            <v>2241333</v>
          </cell>
        </row>
        <row r="53">
          <cell r="C53">
            <v>10426778</v>
          </cell>
        </row>
        <row r="54">
          <cell r="C54">
            <v>1915819</v>
          </cell>
        </row>
        <row r="55">
          <cell r="C55">
            <v>23996</v>
          </cell>
        </row>
        <row r="56">
          <cell r="C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opLeftCell="A4" zoomScale="120" zoomScaleNormal="120" zoomScaleSheetLayoutView="100" workbookViewId="0">
      <selection activeCell="A17" sqref="A17:D17"/>
    </sheetView>
  </sheetViews>
  <sheetFormatPr baseColWidth="10" defaultColWidth="11.42578125" defaultRowHeight="12.75"/>
  <cols>
    <col min="1" max="1" width="58" style="158" customWidth="1"/>
    <col min="2" max="4" width="20.85546875" style="158" customWidth="1"/>
    <col min="5" max="5" width="14" style="158" bestFit="1" customWidth="1"/>
    <col min="6" max="16384" width="11.42578125" style="158"/>
  </cols>
  <sheetData>
    <row r="1" spans="1:5" ht="27.75" customHeight="1">
      <c r="A1" s="283" t="s">
        <v>212</v>
      </c>
      <c r="B1" s="283"/>
      <c r="C1" s="283"/>
      <c r="D1" s="283"/>
    </row>
    <row r="3" spans="1:5" ht="25.5">
      <c r="A3" s="159" t="s">
        <v>139</v>
      </c>
      <c r="B3" s="159" t="s">
        <v>140</v>
      </c>
      <c r="C3" s="159" t="s">
        <v>141</v>
      </c>
      <c r="D3" s="159" t="s">
        <v>161</v>
      </c>
    </row>
    <row r="4" spans="1:5" ht="25.5" customHeight="1">
      <c r="A4" s="160" t="s">
        <v>142</v>
      </c>
      <c r="B4" s="193">
        <f>+[5]Hoja1!$B$3</f>
        <v>31674145253</v>
      </c>
      <c r="C4" s="161">
        <v>20</v>
      </c>
      <c r="D4" s="258">
        <f>+C4/100*B4</f>
        <v>6334829050.6000004</v>
      </c>
    </row>
    <row r="5" spans="1:5" ht="25.5" customHeight="1">
      <c r="A5" s="160" t="s">
        <v>215</v>
      </c>
      <c r="B5" s="193">
        <f>+[5]Hoja1!$B$5+[5]Hoja1!$B$6</f>
        <v>863998420.1170454</v>
      </c>
      <c r="C5" s="161">
        <v>100</v>
      </c>
      <c r="D5" s="258">
        <f t="shared" ref="D5:D12" si="0">+C5/100*B5</f>
        <v>863998420.1170454</v>
      </c>
    </row>
    <row r="6" spans="1:5" ht="25.5" customHeight="1">
      <c r="A6" s="160" t="s">
        <v>216</v>
      </c>
      <c r="B6" s="193">
        <f>+[5]Hoja1!$B$7</f>
        <v>271991206.88295448</v>
      </c>
      <c r="C6" s="161">
        <v>100</v>
      </c>
      <c r="D6" s="258">
        <f t="shared" ref="D6" si="1">+C6/100*B6</f>
        <v>271991206.88295448</v>
      </c>
    </row>
    <row r="7" spans="1:5" ht="25.5" customHeight="1">
      <c r="A7" s="160" t="s">
        <v>143</v>
      </c>
      <c r="B7" s="193">
        <f>+[5]Hoja1!$B8</f>
        <v>1014591822</v>
      </c>
      <c r="C7" s="161">
        <v>20</v>
      </c>
      <c r="D7" s="258">
        <f t="shared" si="0"/>
        <v>202918364.40000001</v>
      </c>
    </row>
    <row r="8" spans="1:5" ht="25.5" customHeight="1">
      <c r="A8" s="160" t="s">
        <v>160</v>
      </c>
      <c r="B8" s="193">
        <f>+[5]Hoja1!$B9</f>
        <v>1580046096</v>
      </c>
      <c r="C8" s="161">
        <v>20</v>
      </c>
      <c r="D8" s="258">
        <f t="shared" si="0"/>
        <v>316009219.19999999</v>
      </c>
    </row>
    <row r="9" spans="1:5" ht="25.5" customHeight="1">
      <c r="A9" s="160" t="s">
        <v>159</v>
      </c>
      <c r="B9" s="193">
        <f>+[5]Hoja1!$B10</f>
        <v>92638138</v>
      </c>
      <c r="C9" s="161">
        <v>20</v>
      </c>
      <c r="D9" s="258">
        <f t="shared" si="0"/>
        <v>18527627.600000001</v>
      </c>
    </row>
    <row r="10" spans="1:5" ht="25.5" customHeight="1">
      <c r="A10" s="160" t="s">
        <v>166</v>
      </c>
      <c r="B10" s="193">
        <f>+[5]Hoja1!$B11</f>
        <v>819254846</v>
      </c>
      <c r="C10" s="161">
        <v>20</v>
      </c>
      <c r="D10" s="258">
        <f t="shared" si="0"/>
        <v>163850969.20000002</v>
      </c>
    </row>
    <row r="11" spans="1:5" ht="25.5" customHeight="1">
      <c r="A11" s="160" t="s">
        <v>165</v>
      </c>
      <c r="B11" s="193">
        <f>+[5]Hoja1!$B12</f>
        <v>189823368</v>
      </c>
      <c r="C11" s="161">
        <v>20</v>
      </c>
      <c r="D11" s="258">
        <f t="shared" si="0"/>
        <v>37964673.600000001</v>
      </c>
      <c r="E11" s="253"/>
    </row>
    <row r="12" spans="1:5" ht="25.5" customHeight="1">
      <c r="A12" s="160" t="s">
        <v>156</v>
      </c>
      <c r="B12" s="193">
        <f>+[5]Hoja1!$B13</f>
        <v>1267673775</v>
      </c>
      <c r="C12" s="161">
        <v>20</v>
      </c>
      <c r="D12" s="258">
        <f t="shared" si="0"/>
        <v>253534755</v>
      </c>
    </row>
    <row r="13" spans="1:5" ht="25.5" customHeight="1">
      <c r="A13" s="160" t="s">
        <v>244</v>
      </c>
      <c r="B13" s="278">
        <v>3632418005</v>
      </c>
      <c r="C13" s="279">
        <v>0</v>
      </c>
      <c r="D13" s="280">
        <v>680000000</v>
      </c>
    </row>
    <row r="14" spans="1:5" ht="25.5" customHeight="1">
      <c r="A14" s="172" t="s">
        <v>53</v>
      </c>
      <c r="B14" s="281">
        <f>SUM(B4:B13)</f>
        <v>41406580930</v>
      </c>
      <c r="C14" s="172"/>
      <c r="D14" s="259">
        <f>SUM(D4:D13)</f>
        <v>9143624286.6000004</v>
      </c>
    </row>
    <row r="15" spans="1:5">
      <c r="A15" s="162"/>
      <c r="B15" s="163"/>
      <c r="C15" s="164"/>
      <c r="D15" s="163"/>
    </row>
    <row r="16" spans="1:5" ht="52.5" customHeight="1">
      <c r="A16" s="284" t="s">
        <v>217</v>
      </c>
      <c r="B16" s="284"/>
      <c r="C16" s="284"/>
      <c r="D16" s="284"/>
    </row>
    <row r="17" spans="1:4" ht="26.45" customHeight="1">
      <c r="A17" s="282" t="s">
        <v>218</v>
      </c>
      <c r="B17" s="282"/>
      <c r="C17" s="282"/>
      <c r="D17" s="282"/>
    </row>
    <row r="18" spans="1:4" ht="18" customHeight="1">
      <c r="A18" s="282" t="s">
        <v>219</v>
      </c>
      <c r="B18" s="282"/>
      <c r="C18" s="282"/>
      <c r="D18" s="282"/>
    </row>
  </sheetData>
  <mergeCells count="4">
    <mergeCell ref="A18:D18"/>
    <mergeCell ref="A1:D1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zoomScale="130" zoomScaleNormal="130" zoomScaleSheetLayoutView="100" workbookViewId="0">
      <selection sqref="A1:L57"/>
    </sheetView>
  </sheetViews>
  <sheetFormatPr baseColWidth="10" defaultColWidth="11.42578125" defaultRowHeight="12.75"/>
  <cols>
    <col min="1" max="1" width="28" style="166" customWidth="1"/>
    <col min="2" max="12" width="14.28515625" style="250" customWidth="1"/>
    <col min="13" max="16384" width="11.42578125" style="166"/>
  </cols>
  <sheetData>
    <row r="1" spans="1:12">
      <c r="A1" s="285" t="s">
        <v>145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>
      <c r="A2" s="285" t="s">
        <v>171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>
      <c r="A3" s="285" t="s">
        <v>213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3.5" customHeight="1" thickBo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 ht="14.25" thickTop="1" thickBot="1">
      <c r="A5" s="168" t="s">
        <v>0</v>
      </c>
      <c r="B5" s="246" t="s">
        <v>132</v>
      </c>
      <c r="C5" s="246" t="s">
        <v>175</v>
      </c>
      <c r="D5" s="246" t="s">
        <v>174</v>
      </c>
      <c r="E5" s="246" t="s">
        <v>134</v>
      </c>
      <c r="F5" s="246" t="s">
        <v>152</v>
      </c>
      <c r="G5" s="246" t="s">
        <v>146</v>
      </c>
      <c r="H5" s="246" t="s">
        <v>169</v>
      </c>
      <c r="I5" s="246" t="s">
        <v>170</v>
      </c>
      <c r="J5" s="246" t="s">
        <v>202</v>
      </c>
      <c r="K5" s="246" t="s">
        <v>220</v>
      </c>
      <c r="L5" s="247" t="s">
        <v>53</v>
      </c>
    </row>
    <row r="6" spans="1:12" ht="13.5" thickTop="1">
      <c r="A6" s="169" t="s">
        <v>1</v>
      </c>
      <c r="B6" s="254">
        <f>ROUND('PART MES'!D$4*'CALCULO GARANTIA'!$Q7,2)</f>
        <v>7929429.5999999996</v>
      </c>
      <c r="C6" s="254">
        <f>ROUND('PART MES'!D$5*'CALCULO GARANTIA'!$Q7,2)</f>
        <v>1081483.75</v>
      </c>
      <c r="D6" s="254">
        <f>ROUND(+'Art.14 Frac.III'!P5,2)</f>
        <v>3415610.5</v>
      </c>
      <c r="E6" s="254">
        <f>ROUND('PART MES'!D$7*'CALCULO GARANTIA'!$Q7,2)</f>
        <v>253996.89</v>
      </c>
      <c r="F6" s="254">
        <f>ROUND('PART MES'!D$8*'CALCULO GARANTIA'!$Q7,2)</f>
        <v>395554.93</v>
      </c>
      <c r="G6" s="254">
        <f>ROUND('PART MES'!D$9*'CALCULO GARANTIA'!$Q7,2)</f>
        <v>23191.39</v>
      </c>
      <c r="H6" s="254">
        <f>ROUND('PART MES'!D$10*'CALCULO GARANTIA'!$Q7,2)</f>
        <v>205095.47</v>
      </c>
      <c r="I6" s="254">
        <f>ROUND('PART MES'!D$11*'CALCULO GARANTIA'!$Q7,2)</f>
        <v>47521.13</v>
      </c>
      <c r="J6" s="254">
        <f>ROUND(+'PART MES'!D$12*'COEF Art 14 F II'!N8,2)</f>
        <v>126408.06</v>
      </c>
      <c r="K6" s="254">
        <f>+'PART MES'!D$13*ISR_2019!O6</f>
        <v>272517.64029677719</v>
      </c>
      <c r="L6" s="255">
        <f>SUM(B6:K6)</f>
        <v>13750809.36029678</v>
      </c>
    </row>
    <row r="7" spans="1:12">
      <c r="A7" s="169" t="s">
        <v>2</v>
      </c>
      <c r="B7" s="254">
        <f>ROUND('PART MES'!D$4*'CALCULO GARANTIA'!$Q8,2)</f>
        <v>15706434.74</v>
      </c>
      <c r="C7" s="254">
        <f>ROUND('PART MES'!D$5*'CALCULO GARANTIA'!$Q8,2)</f>
        <v>2142178.5299999998</v>
      </c>
      <c r="D7" s="254">
        <f>ROUND(+'Art.14 Frac.III'!P6,2)</f>
        <v>3376206.83</v>
      </c>
      <c r="E7" s="254">
        <f>ROUND('PART MES'!D$7*'CALCULO GARANTIA'!$Q8,2)</f>
        <v>503111.3</v>
      </c>
      <c r="F7" s="254">
        <f>ROUND('PART MES'!D$8*'CALCULO GARANTIA'!$Q8,2)</f>
        <v>783506.25</v>
      </c>
      <c r="G7" s="254">
        <f>ROUND('PART MES'!D$9*'CALCULO GARANTIA'!$Q8,2)</f>
        <v>45936.99</v>
      </c>
      <c r="H7" s="254">
        <f>ROUND('PART MES'!D$10*'CALCULO GARANTIA'!$Q8,2)</f>
        <v>406248.46</v>
      </c>
      <c r="I7" s="254">
        <f>ROUND('PART MES'!D$11*'CALCULO GARANTIA'!$Q8,2)</f>
        <v>94128.77</v>
      </c>
      <c r="J7" s="254">
        <f>ROUND(+'PART MES'!D$12*'COEF Art 14 F II'!N9,2)</f>
        <v>269752.23</v>
      </c>
      <c r="K7" s="254">
        <f>+'PART MES'!D$13*ISR_2019!O7</f>
        <v>25966.018641190924</v>
      </c>
      <c r="L7" s="255">
        <f t="shared" ref="L7:L56" si="0">SUM(B7:K7)</f>
        <v>23353470.118641194</v>
      </c>
    </row>
    <row r="8" spans="1:12">
      <c r="A8" s="169" t="s">
        <v>3</v>
      </c>
      <c r="B8" s="254">
        <f>ROUND('PART MES'!D$4*'CALCULO GARANTIA'!$Q9,2)</f>
        <v>16339326.789999999</v>
      </c>
      <c r="C8" s="254">
        <f>ROUND('PART MES'!D$5*'CALCULO GARANTIA'!$Q9,2)</f>
        <v>2228497.79</v>
      </c>
      <c r="D8" s="254">
        <f>ROUND(+'Art.14 Frac.III'!P7,2)</f>
        <v>4061296.47</v>
      </c>
      <c r="E8" s="254">
        <f>ROUND('PART MES'!D$7*'CALCULO GARANTIA'!$Q9,2)</f>
        <v>523384.21</v>
      </c>
      <c r="F8" s="254">
        <f>ROUND('PART MES'!D$8*'CALCULO GARANTIA'!$Q9,2)</f>
        <v>815077.7</v>
      </c>
      <c r="G8" s="254">
        <f>ROUND('PART MES'!D$9*'CALCULO GARANTIA'!$Q9,2)</f>
        <v>47788.02</v>
      </c>
      <c r="H8" s="254">
        <f>ROUND('PART MES'!D$10*'CALCULO GARANTIA'!$Q9,2)</f>
        <v>422618.28</v>
      </c>
      <c r="I8" s="254">
        <f>ROUND('PART MES'!D$11*'CALCULO GARANTIA'!$Q9,2)</f>
        <v>97921.7</v>
      </c>
      <c r="J8" s="254">
        <f>ROUND(+'PART MES'!D$12*'COEF Art 14 F II'!N10,2)</f>
        <v>248140.4</v>
      </c>
      <c r="K8" s="254">
        <f>+'PART MES'!D$13*ISR_2019!O8</f>
        <v>173389.45904101798</v>
      </c>
      <c r="L8" s="255">
        <f t="shared" si="0"/>
        <v>24957440.819041014</v>
      </c>
    </row>
    <row r="9" spans="1:12">
      <c r="A9" s="169" t="s">
        <v>4</v>
      </c>
      <c r="B9" s="254">
        <f>ROUND('PART MES'!D$4*'CALCULO GARANTIA'!$Q10,2)</f>
        <v>45193505.439999998</v>
      </c>
      <c r="C9" s="254">
        <f>ROUND('PART MES'!D$5*'CALCULO GARANTIA'!$Q10,2)</f>
        <v>6163878.6100000003</v>
      </c>
      <c r="D9" s="254">
        <f>ROUND(+'Art.14 Frac.III'!P8,2)</f>
        <v>6291550.0199999996</v>
      </c>
      <c r="E9" s="254">
        <f>ROUND('PART MES'!D$7*'CALCULO GARANTIA'!$Q10,2)</f>
        <v>1447646.36</v>
      </c>
      <c r="F9" s="254">
        <f>ROUND('PART MES'!D$8*'CALCULO GARANTIA'!$Q10,2)</f>
        <v>2254451.42</v>
      </c>
      <c r="G9" s="254">
        <f>ROUND('PART MES'!D$9*'CALCULO GARANTIA'!$Q10,2)</f>
        <v>132178.54</v>
      </c>
      <c r="H9" s="254">
        <f>ROUND('PART MES'!D$10*'CALCULO GARANTIA'!$Q10,2)</f>
        <v>1168934.4099999999</v>
      </c>
      <c r="I9" s="254">
        <f>ROUND('PART MES'!D$11*'CALCULO GARANTIA'!$Q10,2)</f>
        <v>270844.99</v>
      </c>
      <c r="J9" s="254">
        <f>ROUND(+'PART MES'!D$12*'COEF Art 14 F II'!N11,2)</f>
        <v>1758375.93</v>
      </c>
      <c r="K9" s="254">
        <f>+'PART MES'!D$13*ISR_2019!O9</f>
        <v>9612774.6929030772</v>
      </c>
      <c r="L9" s="255">
        <f t="shared" si="0"/>
        <v>74294140.41290307</v>
      </c>
    </row>
    <row r="10" spans="1:12">
      <c r="A10" s="169" t="s">
        <v>5</v>
      </c>
      <c r="B10" s="254">
        <f>ROUND('PART MES'!D$4*'CALCULO GARANTIA'!$Q11,2)</f>
        <v>57078319.979999997</v>
      </c>
      <c r="C10" s="254">
        <f>ROUND('PART MES'!D$5*'CALCULO GARANTIA'!$Q11,2)</f>
        <v>7784831.7400000002</v>
      </c>
      <c r="D10" s="254">
        <f>ROUND(+'Art.14 Frac.III'!P9,2)</f>
        <v>2157596.5</v>
      </c>
      <c r="E10" s="254">
        <f>ROUND('PART MES'!D$7*'CALCULO GARANTIA'!$Q11,2)</f>
        <v>1828342.84</v>
      </c>
      <c r="F10" s="254">
        <f>ROUND('PART MES'!D$8*'CALCULO GARANTIA'!$Q11,2)</f>
        <v>2847318.4</v>
      </c>
      <c r="G10" s="254">
        <f>ROUND('PART MES'!D$9*'CALCULO GARANTIA'!$Q11,2)</f>
        <v>166938.34</v>
      </c>
      <c r="H10" s="254">
        <f>ROUND('PART MES'!D$10*'CALCULO GARANTIA'!$Q11,2)</f>
        <v>1476336.29</v>
      </c>
      <c r="I10" s="254">
        <f>ROUND('PART MES'!D$11*'CALCULO GARANTIA'!$Q11,2)</f>
        <v>342070.76</v>
      </c>
      <c r="J10" s="254">
        <f>ROUND(+'PART MES'!D$12*'COEF Art 14 F II'!N12,2)</f>
        <v>1187661.52</v>
      </c>
      <c r="K10" s="254">
        <f>+'PART MES'!D$13*ISR_2019!O10</f>
        <v>2645042.5943886926</v>
      </c>
      <c r="L10" s="255">
        <f t="shared" si="0"/>
        <v>77514458.964388713</v>
      </c>
    </row>
    <row r="11" spans="1:12">
      <c r="A11" s="169" t="s">
        <v>6</v>
      </c>
      <c r="B11" s="254">
        <f>ROUND('PART MES'!D$4*'CALCULO GARANTIA'!$Q12,2)</f>
        <v>389413264.31999999</v>
      </c>
      <c r="C11" s="254">
        <f>ROUND('PART MES'!D$5*'CALCULO GARANTIA'!$Q12,2)</f>
        <v>53111527.159999996</v>
      </c>
      <c r="D11" s="254">
        <f>ROUND(+'Art.14 Frac.III'!P10,2)</f>
        <v>12787082.439999999</v>
      </c>
      <c r="E11" s="254">
        <f>ROUND('PART MES'!D$7*'CALCULO GARANTIA'!$Q12,2)</f>
        <v>12473754.550000001</v>
      </c>
      <c r="F11" s="254">
        <f>ROUND('PART MES'!D$8*'CALCULO GARANTIA'!$Q12,2)</f>
        <v>19425651.52</v>
      </c>
      <c r="G11" s="254">
        <f>ROUND('PART MES'!D$9*'CALCULO GARANTIA'!$Q12,2)</f>
        <v>1138926.3799999999</v>
      </c>
      <c r="H11" s="254">
        <f>ROUND('PART MES'!D$10*'CALCULO GARANTIA'!$Q12,2)</f>
        <v>10072211.939999999</v>
      </c>
      <c r="I11" s="254">
        <f>ROUND('PART MES'!D$11*'CALCULO GARANTIA'!$Q12,2)</f>
        <v>2333756.34</v>
      </c>
      <c r="J11" s="254">
        <f>ROUND(+'PART MES'!D$12*'COEF Art 14 F II'!N13,2)</f>
        <v>25635118.539999999</v>
      </c>
      <c r="K11" s="254">
        <f>+'PART MES'!D$13*ISR_2019!O11</f>
        <v>21214503.349650089</v>
      </c>
      <c r="L11" s="255">
        <f t="shared" si="0"/>
        <v>547605796.53965008</v>
      </c>
    </row>
    <row r="12" spans="1:12">
      <c r="A12" s="169" t="s">
        <v>7</v>
      </c>
      <c r="B12" s="254">
        <f>ROUND('PART MES'!D$4*'CALCULO GARANTIA'!$Q13,2)</f>
        <v>65155270.909999996</v>
      </c>
      <c r="C12" s="254">
        <f>ROUND('PART MES'!D$5*'CALCULO GARANTIA'!$Q13,2)</f>
        <v>8886435.7200000007</v>
      </c>
      <c r="D12" s="254">
        <f>ROUND(+'Art.14 Frac.III'!P11,2)</f>
        <v>0</v>
      </c>
      <c r="E12" s="254">
        <f>ROUND('PART MES'!D$7*'CALCULO GARANTIA'!$Q13,2)</f>
        <v>2087065.16</v>
      </c>
      <c r="F12" s="254">
        <f>ROUND('PART MES'!D$8*'CALCULO GARANTIA'!$Q13,2)</f>
        <v>3250232.35</v>
      </c>
      <c r="G12" s="254">
        <f>ROUND('PART MES'!D$9*'CALCULO GARANTIA'!$Q13,2)</f>
        <v>190561.2</v>
      </c>
      <c r="H12" s="254">
        <f>ROUND('PART MES'!D$10*'CALCULO GARANTIA'!$Q13,2)</f>
        <v>1685247.42</v>
      </c>
      <c r="I12" s="254">
        <f>ROUND('PART MES'!D$11*'CALCULO GARANTIA'!$Q13,2)</f>
        <v>390475.98</v>
      </c>
      <c r="J12" s="254">
        <f>ROUND(+'PART MES'!D$12*'COEF Art 14 F II'!N14,2)</f>
        <v>1354617.84</v>
      </c>
      <c r="K12" s="254">
        <f>+'PART MES'!D$13*ISR_2019!O12</f>
        <v>1387435.477897767</v>
      </c>
      <c r="L12" s="255">
        <f t="shared" si="0"/>
        <v>84387342.057897761</v>
      </c>
    </row>
    <row r="13" spans="1:12">
      <c r="A13" s="169" t="s">
        <v>8</v>
      </c>
      <c r="B13" s="254">
        <f>ROUND('PART MES'!D$4*'CALCULO GARANTIA'!$Q14,2)</f>
        <v>10360033.380000001</v>
      </c>
      <c r="C13" s="254">
        <f>ROUND('PART MES'!D$5*'CALCULO GARANTIA'!$Q14,2)</f>
        <v>1412990.37</v>
      </c>
      <c r="D13" s="254">
        <f>ROUND(+'Art.14 Frac.III'!P12,2)</f>
        <v>3082877.9</v>
      </c>
      <c r="E13" s="254">
        <f>ROUND('PART MES'!D$7*'CALCULO GARANTIA'!$Q14,2)</f>
        <v>331854.42</v>
      </c>
      <c r="F13" s="254">
        <f>ROUND('PART MES'!D$8*'CALCULO GARANTIA'!$Q14,2)</f>
        <v>516804.17</v>
      </c>
      <c r="G13" s="254">
        <f>ROUND('PART MES'!D$9*'CALCULO GARANTIA'!$Q14,2)</f>
        <v>30300.240000000002</v>
      </c>
      <c r="H13" s="254">
        <f>ROUND('PART MES'!D$10*'CALCULO GARANTIA'!$Q14,2)</f>
        <v>267963.27</v>
      </c>
      <c r="I13" s="254">
        <f>ROUND('PART MES'!D$11*'CALCULO GARANTIA'!$Q14,2)</f>
        <v>62087.75</v>
      </c>
      <c r="J13" s="254">
        <f>ROUND(+'PART MES'!D$12*'COEF Art 14 F II'!N15,2)</f>
        <v>241667.46</v>
      </c>
      <c r="K13" s="254">
        <f>+'PART MES'!D$13*ISR_2019!O13</f>
        <v>79601.568984868747</v>
      </c>
      <c r="L13" s="255">
        <f t="shared" si="0"/>
        <v>16386180.528984869</v>
      </c>
    </row>
    <row r="14" spans="1:12">
      <c r="A14" s="169" t="s">
        <v>9</v>
      </c>
      <c r="B14" s="254">
        <f>ROUND('PART MES'!D$4*'CALCULO GARANTIA'!$Q15,2)</f>
        <v>102980758.98</v>
      </c>
      <c r="C14" s="254">
        <f>ROUND('PART MES'!D$5*'CALCULO GARANTIA'!$Q15,2)</f>
        <v>14045400.810000001</v>
      </c>
      <c r="D14" s="254">
        <f>ROUND(+'Art.14 Frac.III'!P13,2)</f>
        <v>4814702.21</v>
      </c>
      <c r="E14" s="254">
        <f>ROUND('PART MES'!D$7*'CALCULO GARANTIA'!$Q15,2)</f>
        <v>3298697.88</v>
      </c>
      <c r="F14" s="254">
        <f>ROUND('PART MES'!D$8*'CALCULO GARANTIA'!$Q15,2)</f>
        <v>5137134.5599999996</v>
      </c>
      <c r="G14" s="254">
        <f>ROUND('PART MES'!D$9*'CALCULO GARANTIA'!$Q15,2)</f>
        <v>301190.31</v>
      </c>
      <c r="H14" s="254">
        <f>ROUND('PART MES'!D$10*'CALCULO GARANTIA'!$Q15,2)</f>
        <v>2663607.34</v>
      </c>
      <c r="I14" s="254">
        <f>ROUND('PART MES'!D$11*'CALCULO GARANTIA'!$Q15,2)</f>
        <v>617164.39</v>
      </c>
      <c r="J14" s="254">
        <f>ROUND(+'PART MES'!D$12*'COEF Art 14 F II'!N16,2)</f>
        <v>4274874.05</v>
      </c>
      <c r="K14" s="254">
        <f>+'PART MES'!D$13*ISR_2019!O14</f>
        <v>51674114.09048076</v>
      </c>
      <c r="L14" s="255">
        <f t="shared" si="0"/>
        <v>189807644.62048078</v>
      </c>
    </row>
    <row r="15" spans="1:12">
      <c r="A15" s="169" t="s">
        <v>10</v>
      </c>
      <c r="B15" s="254">
        <f>ROUND('PART MES'!D$4*'CALCULO GARANTIA'!$Q16,2)</f>
        <v>17110131.129999999</v>
      </c>
      <c r="C15" s="254">
        <f>ROUND('PART MES'!D$5*'CALCULO GARANTIA'!$Q16,2)</f>
        <v>2333626.71</v>
      </c>
      <c r="D15" s="254">
        <f>ROUND(+'Art.14 Frac.III'!P14,2)</f>
        <v>3051078.89</v>
      </c>
      <c r="E15" s="254">
        <f>ROUND('PART MES'!D$7*'CALCULO GARANTIA'!$Q16,2)</f>
        <v>548074.75</v>
      </c>
      <c r="F15" s="254">
        <f>ROUND('PART MES'!D$8*'CALCULO GARANTIA'!$Q16,2)</f>
        <v>853528.82</v>
      </c>
      <c r="G15" s="254">
        <f>ROUND('PART MES'!D$9*'CALCULO GARANTIA'!$Q16,2)</f>
        <v>50042.41</v>
      </c>
      <c r="H15" s="254">
        <f>ROUND('PART MES'!D$10*'CALCULO GARANTIA'!$Q16,2)</f>
        <v>442555.21</v>
      </c>
      <c r="I15" s="254">
        <f>ROUND('PART MES'!D$11*'CALCULO GARANTIA'!$Q16,2)</f>
        <v>102541.13</v>
      </c>
      <c r="J15" s="254">
        <f>ROUND(+'PART MES'!D$12*'COEF Art 14 F II'!N17,2)</f>
        <v>1619943.76</v>
      </c>
      <c r="K15" s="254">
        <f>+'PART MES'!D$13*ISR_2019!O15</f>
        <v>5482825.7711124606</v>
      </c>
      <c r="L15" s="255">
        <f t="shared" si="0"/>
        <v>31594348.581112463</v>
      </c>
    </row>
    <row r="16" spans="1:12">
      <c r="A16" s="169" t="s">
        <v>11</v>
      </c>
      <c r="B16" s="254">
        <f>ROUND('PART MES'!D$4*'CALCULO GARANTIA'!$Q17,2)</f>
        <v>24858480.620000001</v>
      </c>
      <c r="C16" s="254">
        <f>ROUND('PART MES'!D$5*'CALCULO GARANTIA'!$Q17,2)</f>
        <v>3390413.19</v>
      </c>
      <c r="D16" s="254">
        <f>ROUND(+'Art.14 Frac.III'!P15,2)</f>
        <v>11974304.9</v>
      </c>
      <c r="E16" s="254">
        <f>ROUND('PART MES'!D$7*'CALCULO GARANTIA'!$Q17,2)</f>
        <v>796271.25</v>
      </c>
      <c r="F16" s="254">
        <f>ROUND('PART MES'!D$8*'CALCULO GARANTIA'!$Q17,2)</f>
        <v>1240050.68</v>
      </c>
      <c r="G16" s="254">
        <f>ROUND('PART MES'!D$9*'CALCULO GARANTIA'!$Q17,2)</f>
        <v>72704.2</v>
      </c>
      <c r="H16" s="254">
        <f>ROUND('PART MES'!D$10*'CALCULO GARANTIA'!$Q17,2)</f>
        <v>642967.02</v>
      </c>
      <c r="I16" s="254">
        <f>ROUND('PART MES'!D$11*'CALCULO GARANTIA'!$Q17,2)</f>
        <v>148977.04</v>
      </c>
      <c r="J16" s="254">
        <f>ROUND(+'PART MES'!D$12*'COEF Art 14 F II'!N18,2)</f>
        <v>588691.96</v>
      </c>
      <c r="K16" s="254">
        <f>+'PART MES'!D$13*ISR_2019!O16</f>
        <v>3310675.1698478535</v>
      </c>
      <c r="L16" s="255">
        <f t="shared" si="0"/>
        <v>47023536.02984786</v>
      </c>
    </row>
    <row r="17" spans="1:12">
      <c r="A17" s="169" t="s">
        <v>12</v>
      </c>
      <c r="B17" s="254">
        <f>ROUND('PART MES'!D$4*'CALCULO GARANTIA'!$Q18,2)</f>
        <v>52281021.939999998</v>
      </c>
      <c r="C17" s="254">
        <f>ROUND('PART MES'!D$5*'CALCULO GARANTIA'!$Q18,2)</f>
        <v>7130535.0099999998</v>
      </c>
      <c r="D17" s="254">
        <f>ROUND(+'Art.14 Frac.III'!P16,2)</f>
        <v>3040711.35</v>
      </c>
      <c r="E17" s="254">
        <f>ROUND('PART MES'!D$7*'CALCULO GARANTIA'!$Q18,2)</f>
        <v>1674674.94</v>
      </c>
      <c r="F17" s="254">
        <f>ROUND('PART MES'!D$8*'CALCULO GARANTIA'!$Q18,2)</f>
        <v>2608008.0099999998</v>
      </c>
      <c r="G17" s="254">
        <f>ROUND('PART MES'!D$9*'CALCULO GARANTIA'!$Q18,2)</f>
        <v>152907.57</v>
      </c>
      <c r="H17" s="254">
        <f>ROUND('PART MES'!D$10*'CALCULO GARANTIA'!$Q18,2)</f>
        <v>1352253.71</v>
      </c>
      <c r="I17" s="254">
        <f>ROUND('PART MES'!D$11*'CALCULO GARANTIA'!$Q18,2)</f>
        <v>313320.52</v>
      </c>
      <c r="J17" s="254">
        <f>ROUND(+'PART MES'!D$12*'COEF Art 14 F II'!N19,2)</f>
        <v>915267.84</v>
      </c>
      <c r="K17" s="254">
        <f>+'PART MES'!D$13*ISR_2019!O17</f>
        <v>115304.33950843151</v>
      </c>
      <c r="L17" s="255">
        <f t="shared" si="0"/>
        <v>69584005.229508415</v>
      </c>
    </row>
    <row r="18" spans="1:12">
      <c r="A18" s="169" t="s">
        <v>13</v>
      </c>
      <c r="B18" s="254">
        <f>ROUND('PART MES'!D$4*'CALCULO GARANTIA'!$Q19,2)</f>
        <v>26601083.359999999</v>
      </c>
      <c r="C18" s="254">
        <f>ROUND('PART MES'!D$5*'CALCULO GARANTIA'!$Q19,2)</f>
        <v>3628084.33</v>
      </c>
      <c r="D18" s="254">
        <f>ROUND(+'Art.14 Frac.III'!P17,2)</f>
        <v>3777862.73</v>
      </c>
      <c r="E18" s="254">
        <f>ROUND('PART MES'!D$7*'CALCULO GARANTIA'!$Q19,2)</f>
        <v>852090.61</v>
      </c>
      <c r="F18" s="254">
        <f>ROUND('PART MES'!D$8*'CALCULO GARANTIA'!$Q19,2)</f>
        <v>1326979.3899999999</v>
      </c>
      <c r="G18" s="254">
        <f>ROUND('PART MES'!D$9*'CALCULO GARANTIA'!$Q19,2)</f>
        <v>77800.83</v>
      </c>
      <c r="H18" s="254">
        <f>ROUND('PART MES'!D$10*'CALCULO GARANTIA'!$Q19,2)</f>
        <v>688039.61</v>
      </c>
      <c r="I18" s="254">
        <f>ROUND('PART MES'!D$11*'CALCULO GARANTIA'!$Q19,2)</f>
        <v>159420.47</v>
      </c>
      <c r="J18" s="254">
        <f>ROUND(+'PART MES'!D$12*'COEF Art 14 F II'!N20,2)</f>
        <v>1821866.58</v>
      </c>
      <c r="K18" s="254">
        <f>+'PART MES'!D$13*ISR_2019!O18</f>
        <v>0</v>
      </c>
      <c r="L18" s="255">
        <f t="shared" si="0"/>
        <v>38933227.909999989</v>
      </c>
    </row>
    <row r="19" spans="1:12">
      <c r="A19" s="169" t="s">
        <v>14</v>
      </c>
      <c r="B19" s="254">
        <f>ROUND('PART MES'!D$4*'CALCULO GARANTIA'!$Q20,2)</f>
        <v>145704051.53999999</v>
      </c>
      <c r="C19" s="254">
        <f>ROUND('PART MES'!D$5*'CALCULO GARANTIA'!$Q20,2)</f>
        <v>19872370.559999999</v>
      </c>
      <c r="D19" s="254">
        <f>ROUND(+'Art.14 Frac.III'!P18,2)</f>
        <v>911724.8</v>
      </c>
      <c r="E19" s="254">
        <f>ROUND('PART MES'!D$7*'CALCULO GARANTIA'!$Q20,2)</f>
        <v>4667217.95</v>
      </c>
      <c r="F19" s="254">
        <f>ROUND('PART MES'!D$8*'CALCULO GARANTIA'!$Q20,2)</f>
        <v>7268360.8700000001</v>
      </c>
      <c r="G19" s="254">
        <f>ROUND('PART MES'!D$9*'CALCULO GARANTIA'!$Q20,2)</f>
        <v>426144.16</v>
      </c>
      <c r="H19" s="254">
        <f>ROUND('PART MES'!D$10*'CALCULO GARANTIA'!$Q20,2)</f>
        <v>3768649.46</v>
      </c>
      <c r="I19" s="254">
        <f>ROUND('PART MES'!D$11*'CALCULO GARANTIA'!$Q20,2)</f>
        <v>873205.37</v>
      </c>
      <c r="J19" s="254">
        <f>ROUND(+'PART MES'!D$12*'COEF Art 14 F II'!N21,2)</f>
        <v>2985597.7</v>
      </c>
      <c r="K19" s="254">
        <f>+'PART MES'!D$13*ISR_2019!O19</f>
        <v>0</v>
      </c>
      <c r="L19" s="255">
        <f t="shared" si="0"/>
        <v>186477322.41</v>
      </c>
    </row>
    <row r="20" spans="1:12">
      <c r="A20" s="169" t="s">
        <v>15</v>
      </c>
      <c r="B20" s="254">
        <f>ROUND('PART MES'!D$4*'CALCULO GARANTIA'!$Q21,2)</f>
        <v>18600697.25</v>
      </c>
      <c r="C20" s="254">
        <f>ROUND('PART MES'!D$5*'CALCULO GARANTIA'!$Q21,2)</f>
        <v>2536922.92</v>
      </c>
      <c r="D20" s="254">
        <f>ROUND(+'Art.14 Frac.III'!P19,2)</f>
        <v>8703339.9100000001</v>
      </c>
      <c r="E20" s="254">
        <f>ROUND('PART MES'!D$7*'CALCULO GARANTIA'!$Q21,2)</f>
        <v>595820.81999999995</v>
      </c>
      <c r="F20" s="254">
        <f>ROUND('PART MES'!D$8*'CALCULO GARANTIA'!$Q21,2)</f>
        <v>927884.84</v>
      </c>
      <c r="G20" s="254">
        <f>ROUND('PART MES'!D$9*'CALCULO GARANTIA'!$Q21,2)</f>
        <v>54401.91</v>
      </c>
      <c r="H20" s="254">
        <f>ROUND('PART MES'!D$10*'CALCULO GARANTIA'!$Q21,2)</f>
        <v>481108.84</v>
      </c>
      <c r="I20" s="254">
        <f>ROUND('PART MES'!D$11*'CALCULO GARANTIA'!$Q21,2)</f>
        <v>111474.11</v>
      </c>
      <c r="J20" s="254">
        <f>ROUND(+'PART MES'!D$12*'COEF Art 14 F II'!N22,2)</f>
        <v>287629</v>
      </c>
      <c r="K20" s="254">
        <f>+'PART MES'!D$13*ISR_2019!O20</f>
        <v>110465.69278536038</v>
      </c>
      <c r="L20" s="255">
        <f t="shared" si="0"/>
        <v>32409745.292785361</v>
      </c>
    </row>
    <row r="21" spans="1:12">
      <c r="A21" s="169" t="s">
        <v>16</v>
      </c>
      <c r="B21" s="254">
        <f>ROUND('PART MES'!D$4*'CALCULO GARANTIA'!$Q22,2)</f>
        <v>12953027.039999999</v>
      </c>
      <c r="C21" s="254">
        <f>ROUND('PART MES'!D$5*'CALCULO GARANTIA'!$Q22,2)</f>
        <v>1766645.13</v>
      </c>
      <c r="D21" s="254">
        <f>ROUND(+'Art.14 Frac.III'!P20,2)</f>
        <v>5643317.8700000001</v>
      </c>
      <c r="E21" s="254">
        <f>ROUND('PART MES'!D$7*'CALCULO GARANTIA'!$Q22,2)</f>
        <v>414913.65</v>
      </c>
      <c r="F21" s="254">
        <f>ROUND('PART MES'!D$8*'CALCULO GARANTIA'!$Q22,2)</f>
        <v>646154.13</v>
      </c>
      <c r="G21" s="254">
        <f>ROUND('PART MES'!D$9*'CALCULO GARANTIA'!$Q22,2)</f>
        <v>37884.03</v>
      </c>
      <c r="H21" s="254">
        <f>ROUND('PART MES'!D$10*'CALCULO GARANTIA'!$Q22,2)</f>
        <v>335031.3</v>
      </c>
      <c r="I21" s="254">
        <f>ROUND('PART MES'!D$11*'CALCULO GARANTIA'!$Q22,2)</f>
        <v>77627.58</v>
      </c>
      <c r="J21" s="254">
        <f>ROUND(+'PART MES'!D$12*'COEF Art 14 F II'!N23,2)</f>
        <v>188021.39</v>
      </c>
      <c r="K21" s="254">
        <f>+'PART MES'!D$13*ISR_2019!O21</f>
        <v>821799.86958296271</v>
      </c>
      <c r="L21" s="255">
        <f t="shared" si="0"/>
        <v>22884421.98958296</v>
      </c>
    </row>
    <row r="22" spans="1:12">
      <c r="A22" s="169" t="s">
        <v>17</v>
      </c>
      <c r="B22" s="254">
        <f>ROUND('PART MES'!D$4*'CALCULO GARANTIA'!$Q23,2)</f>
        <v>113599784.7</v>
      </c>
      <c r="C22" s="254">
        <f>ROUND('PART MES'!D$5*'CALCULO GARANTIA'!$Q23,2)</f>
        <v>15493714.779999999</v>
      </c>
      <c r="D22" s="254">
        <f>ROUND(+'Art.14 Frac.III'!P21,2)</f>
        <v>5840066.1600000001</v>
      </c>
      <c r="E22" s="254">
        <f>ROUND('PART MES'!D$7*'CALCULO GARANTIA'!$Q23,2)</f>
        <v>3638848.39</v>
      </c>
      <c r="F22" s="254">
        <f>ROUND('PART MES'!D$8*'CALCULO GARANTIA'!$Q23,2)</f>
        <v>5666858.4100000001</v>
      </c>
      <c r="G22" s="254">
        <f>ROUND('PART MES'!D$9*'CALCULO GARANTIA'!$Q23,2)</f>
        <v>332248.03999999998</v>
      </c>
      <c r="H22" s="254">
        <f>ROUND('PART MES'!D$10*'CALCULO GARANTIA'!$Q23,2)</f>
        <v>2938269.47</v>
      </c>
      <c r="I22" s="254">
        <f>ROUND('PART MES'!D$11*'CALCULO GARANTIA'!$Q23,2)</f>
        <v>680804.28</v>
      </c>
      <c r="J22" s="254">
        <f>ROUND(+'PART MES'!D$12*'COEF Art 14 F II'!N24,2)</f>
        <v>2760724.39</v>
      </c>
      <c r="K22" s="254">
        <f>+'PART MES'!D$13*ISR_2019!O22</f>
        <v>3297511.1875198991</v>
      </c>
      <c r="L22" s="255">
        <f t="shared" si="0"/>
        <v>154248829.80751988</v>
      </c>
    </row>
    <row r="23" spans="1:12">
      <c r="A23" s="169" t="s">
        <v>18</v>
      </c>
      <c r="B23" s="254">
        <f>ROUND('PART MES'!D$4*'CALCULO GARANTIA'!$Q24,2)</f>
        <v>139334036.81999999</v>
      </c>
      <c r="C23" s="254">
        <f>ROUND('PART MES'!D$5*'CALCULO GARANTIA'!$Q24,2)</f>
        <v>19003573.219999999</v>
      </c>
      <c r="D23" s="254">
        <f>ROUND(+'Art.14 Frac.III'!P22,2)</f>
        <v>8120408.4500000002</v>
      </c>
      <c r="E23" s="254">
        <f>ROUND('PART MES'!D$7*'CALCULO GARANTIA'!$Q24,2)</f>
        <v>4463172.51</v>
      </c>
      <c r="F23" s="254">
        <f>ROUND('PART MES'!D$8*'CALCULO GARANTIA'!$Q24,2)</f>
        <v>6950596.4299999997</v>
      </c>
      <c r="G23" s="254">
        <f>ROUND('PART MES'!D$9*'CALCULO GARANTIA'!$Q24,2)</f>
        <v>407513.62</v>
      </c>
      <c r="H23" s="254">
        <f>ROUND('PART MES'!D$10*'CALCULO GARANTIA'!$Q24,2)</f>
        <v>3603888.41</v>
      </c>
      <c r="I23" s="254">
        <f>ROUND('PART MES'!D$11*'CALCULO GARANTIA'!$Q24,2)</f>
        <v>835029.83</v>
      </c>
      <c r="J23" s="254">
        <f>ROUND(+'PART MES'!D$12*'COEF Art 14 F II'!N25,2)</f>
        <v>10740970.300000001</v>
      </c>
      <c r="K23" s="254">
        <f>+'PART MES'!D$13*ISR_2019!O23</f>
        <v>11380809.971036458</v>
      </c>
      <c r="L23" s="255">
        <f t="shared" si="0"/>
        <v>204839999.56103647</v>
      </c>
    </row>
    <row r="24" spans="1:12">
      <c r="A24" s="169" t="s">
        <v>19</v>
      </c>
      <c r="B24" s="254">
        <f>ROUND('PART MES'!D$4*'CALCULO GARANTIA'!$Q25,2)</f>
        <v>21833918.059999999</v>
      </c>
      <c r="C24" s="254">
        <f>ROUND('PART MES'!D$5*'CALCULO GARANTIA'!$Q25,2)</f>
        <v>2977897.36</v>
      </c>
      <c r="D24" s="254">
        <f>ROUND(+'Art.14 Frac.III'!P23,2)</f>
        <v>4136927.02</v>
      </c>
      <c r="E24" s="254">
        <f>ROUND('PART MES'!D$7*'CALCULO GARANTIA'!$Q25,2)</f>
        <v>699387.92</v>
      </c>
      <c r="F24" s="254">
        <f>ROUND('PART MES'!D$8*'CALCULO GARANTIA'!$Q25,2)</f>
        <v>1089172.1499999999</v>
      </c>
      <c r="G24" s="254">
        <f>ROUND('PART MES'!D$9*'CALCULO GARANTIA'!$Q25,2)</f>
        <v>63858.19</v>
      </c>
      <c r="H24" s="254">
        <f>ROUND('PART MES'!D$10*'CALCULO GARANTIA'!$Q25,2)</f>
        <v>564736.41</v>
      </c>
      <c r="I24" s="254">
        <f>ROUND('PART MES'!D$11*'CALCULO GARANTIA'!$Q25,2)</f>
        <v>130850.82</v>
      </c>
      <c r="J24" s="254">
        <f>ROUND(+'PART MES'!D$12*'COEF Art 14 F II'!N26,2)</f>
        <v>399267.33</v>
      </c>
      <c r="K24" s="254">
        <f>+'PART MES'!D$13*ISR_2019!O24</f>
        <v>0</v>
      </c>
      <c r="L24" s="255">
        <f t="shared" si="0"/>
        <v>31896015.259999998</v>
      </c>
    </row>
    <row r="25" spans="1:12">
      <c r="A25" s="169" t="s">
        <v>20</v>
      </c>
      <c r="B25" s="254">
        <f>ROUND('PART MES'!D$4*'CALCULO GARANTIA'!$Q26,2)</f>
        <v>298456737.38</v>
      </c>
      <c r="C25" s="254">
        <f>ROUND('PART MES'!D$5*'CALCULO GARANTIA'!$Q26,2)</f>
        <v>40706094.439999998</v>
      </c>
      <c r="D25" s="254">
        <f>ROUND(+'Art.14 Frac.III'!P24,2)</f>
        <v>9042426.3100000005</v>
      </c>
      <c r="E25" s="254">
        <f>ROUND('PART MES'!D$7*'CALCULO GARANTIA'!$Q26,2)</f>
        <v>9560218.9900000002</v>
      </c>
      <c r="F25" s="254">
        <f>ROUND('PART MES'!D$8*'CALCULO GARANTIA'!$Q26,2)</f>
        <v>14888338.699999999</v>
      </c>
      <c r="G25" s="254">
        <f>ROUND('PART MES'!D$9*'CALCULO GARANTIA'!$Q26,2)</f>
        <v>872903.63</v>
      </c>
      <c r="H25" s="254">
        <f>ROUND('PART MES'!D$10*'CALCULO GARANTIA'!$Q26,2)</f>
        <v>7719612.5300000003</v>
      </c>
      <c r="I25" s="254">
        <f>ROUND('PART MES'!D$11*'CALCULO GARANTIA'!$Q26,2)</f>
        <v>1788653.26</v>
      </c>
      <c r="J25" s="254">
        <f>ROUND(+'PART MES'!D$12*'COEF Art 14 F II'!N27,2)</f>
        <v>18208042.530000001</v>
      </c>
      <c r="K25" s="254">
        <f>+'PART MES'!D$13*ISR_2019!O25</f>
        <v>65224325.720322356</v>
      </c>
      <c r="L25" s="255">
        <f t="shared" si="0"/>
        <v>466467353.49032235</v>
      </c>
    </row>
    <row r="26" spans="1:12">
      <c r="A26" s="169" t="s">
        <v>21</v>
      </c>
      <c r="B26" s="254">
        <f>ROUND('PART MES'!D$4*'CALCULO GARANTIA'!$Q27,2)</f>
        <v>44066009.259999998</v>
      </c>
      <c r="C26" s="254">
        <f>ROUND('PART MES'!D$5*'CALCULO GARANTIA'!$Q27,2)</f>
        <v>6010101</v>
      </c>
      <c r="D26" s="254">
        <f>ROUND(+'Art.14 Frac.III'!P25,2)</f>
        <v>2776573.67</v>
      </c>
      <c r="E26" s="254">
        <f>ROUND('PART MES'!D$7*'CALCULO GARANTIA'!$Q27,2)</f>
        <v>1411530.2</v>
      </c>
      <c r="F26" s="254">
        <f>ROUND('PART MES'!D$8*'CALCULO GARANTIA'!$Q27,2)</f>
        <v>2198206.94</v>
      </c>
      <c r="G26" s="254">
        <f>ROUND('PART MES'!D$9*'CALCULO GARANTIA'!$Q27,2)</f>
        <v>128880.92</v>
      </c>
      <c r="H26" s="254">
        <f>ROUND('PART MES'!D$10*'CALCULO GARANTIA'!$Q27,2)</f>
        <v>1139771.6100000001</v>
      </c>
      <c r="I26" s="254">
        <f>ROUND('PART MES'!D$11*'CALCULO GARANTIA'!$Q27,2)</f>
        <v>264087.89</v>
      </c>
      <c r="J26" s="254">
        <f>ROUND(+'PART MES'!D$12*'COEF Art 14 F II'!N28,2)</f>
        <v>996948.53</v>
      </c>
      <c r="K26" s="254">
        <f>+'PART MES'!D$13*ISR_2019!O26</f>
        <v>5089456.2614803957</v>
      </c>
      <c r="L26" s="255">
        <f t="shared" si="0"/>
        <v>64081566.281480402</v>
      </c>
    </row>
    <row r="27" spans="1:12">
      <c r="A27" s="169" t="s">
        <v>22</v>
      </c>
      <c r="B27" s="254">
        <f>ROUND('PART MES'!D$4*'CALCULO GARANTIA'!$Q28,2)</f>
        <v>7068206.6399999997</v>
      </c>
      <c r="C27" s="254">
        <f>ROUND('PART MES'!D$5*'CALCULO GARANTIA'!$Q28,2)</f>
        <v>964022.76</v>
      </c>
      <c r="D27" s="254">
        <f>ROUND(+'Art.14 Frac.III'!P26,2)</f>
        <v>3491777.83</v>
      </c>
      <c r="E27" s="254">
        <f>ROUND('PART MES'!D$7*'CALCULO GARANTIA'!$Q28,2)</f>
        <v>226410.05</v>
      </c>
      <c r="F27" s="254">
        <f>ROUND('PART MES'!D$8*'CALCULO GARANTIA'!$Q28,2)</f>
        <v>352593.33</v>
      </c>
      <c r="G27" s="254">
        <f>ROUND('PART MES'!D$9*'CALCULO GARANTIA'!$Q28,2)</f>
        <v>20672.55</v>
      </c>
      <c r="H27" s="254">
        <f>ROUND('PART MES'!D$10*'CALCULO GARANTIA'!$Q28,2)</f>
        <v>182819.85</v>
      </c>
      <c r="I27" s="254">
        <f>ROUND('PART MES'!D$11*'CALCULO GARANTIA'!$Q28,2)</f>
        <v>42359.81</v>
      </c>
      <c r="J27" s="254">
        <f>ROUND(+'PART MES'!D$12*'COEF Art 14 F II'!N29,2)</f>
        <v>77450.19</v>
      </c>
      <c r="K27" s="254">
        <f>+'PART MES'!D$13*ISR_2019!O27</f>
        <v>0</v>
      </c>
      <c r="L27" s="255">
        <f t="shared" si="0"/>
        <v>12426313.010000002</v>
      </c>
    </row>
    <row r="28" spans="1:12">
      <c r="A28" s="169" t="s">
        <v>23</v>
      </c>
      <c r="B28" s="254">
        <f>ROUND('PART MES'!D$4*'CALCULO GARANTIA'!$Q29,2)</f>
        <v>32732804.539999999</v>
      </c>
      <c r="C28" s="254">
        <f>ROUND('PART MES'!D$5*'CALCULO GARANTIA'!$Q29,2)</f>
        <v>4464381.1500000004</v>
      </c>
      <c r="D28" s="254">
        <f>ROUND(+'Art.14 Frac.III'!P27,2)</f>
        <v>0</v>
      </c>
      <c r="E28" s="254">
        <f>ROUND('PART MES'!D$7*'CALCULO GARANTIA'!$Q29,2)</f>
        <v>1048502.98</v>
      </c>
      <c r="F28" s="254">
        <f>ROUND('PART MES'!D$8*'CALCULO GARANTIA'!$Q29,2)</f>
        <v>1632856.69</v>
      </c>
      <c r="G28" s="254">
        <f>ROUND('PART MES'!D$9*'CALCULO GARANTIA'!$Q29,2)</f>
        <v>95734.42</v>
      </c>
      <c r="H28" s="254">
        <f>ROUND('PART MES'!D$10*'CALCULO GARANTIA'!$Q29,2)</f>
        <v>846637.17</v>
      </c>
      <c r="I28" s="254">
        <f>ROUND('PART MES'!D$11*'CALCULO GARANTIA'!$Q29,2)</f>
        <v>196167.92</v>
      </c>
      <c r="J28" s="254">
        <f>ROUND(+'PART MES'!D$12*'COEF Art 14 F II'!N30,2)</f>
        <v>604801.06000000006</v>
      </c>
      <c r="K28" s="254">
        <f>+'PART MES'!D$13*ISR_2019!O28</f>
        <v>1037214.8977108694</v>
      </c>
      <c r="L28" s="255">
        <f t="shared" si="0"/>
        <v>42659100.827710867</v>
      </c>
    </row>
    <row r="29" spans="1:12">
      <c r="A29" s="169" t="s">
        <v>24</v>
      </c>
      <c r="B29" s="254">
        <f>ROUND('PART MES'!D$4*'CALCULO GARANTIA'!$Q30,2)</f>
        <v>31894005.48</v>
      </c>
      <c r="C29" s="254">
        <f>ROUND('PART MES'!D$5*'CALCULO GARANTIA'!$Q30,2)</f>
        <v>4349978.53</v>
      </c>
      <c r="D29" s="254">
        <f>ROUND(+'Art.14 Frac.III'!P28,2)</f>
        <v>7432332.3899999997</v>
      </c>
      <c r="E29" s="254">
        <f>ROUND('PART MES'!D$7*'CALCULO GARANTIA'!$Q30,2)</f>
        <v>1021634.42</v>
      </c>
      <c r="F29" s="254">
        <f>ROUND('PART MES'!D$8*'CALCULO GARANTIA'!$Q30,2)</f>
        <v>1591013.69</v>
      </c>
      <c r="G29" s="254">
        <f>ROUND('PART MES'!D$9*'CALCULO GARANTIA'!$Q30,2)</f>
        <v>93281.17</v>
      </c>
      <c r="H29" s="254">
        <f>ROUND('PART MES'!D$10*'CALCULO GARANTIA'!$Q30,2)</f>
        <v>824941.55</v>
      </c>
      <c r="I29" s="254">
        <f>ROUND('PART MES'!D$11*'CALCULO GARANTIA'!$Q30,2)</f>
        <v>191140.99</v>
      </c>
      <c r="J29" s="254">
        <f>ROUND(+'PART MES'!D$12*'COEF Art 14 F II'!N31,2)</f>
        <v>2981269.99</v>
      </c>
      <c r="K29" s="254">
        <f>+'PART MES'!D$13*ISR_2019!O29</f>
        <v>0</v>
      </c>
      <c r="L29" s="255">
        <f t="shared" si="0"/>
        <v>50379598.210000001</v>
      </c>
    </row>
    <row r="30" spans="1:12">
      <c r="A30" s="169" t="s">
        <v>25</v>
      </c>
      <c r="B30" s="254">
        <f>ROUND('PART MES'!D$4*'CALCULO GARANTIA'!$Q31,2)</f>
        <v>510454922.23000002</v>
      </c>
      <c r="C30" s="254">
        <f>ROUND('PART MES'!D$5*'CALCULO GARANTIA'!$Q31,2)</f>
        <v>69620228.549999997</v>
      </c>
      <c r="D30" s="254">
        <f>ROUND(+'Art.14 Frac.III'!P29,2)</f>
        <v>13667044.279999999</v>
      </c>
      <c r="E30" s="254">
        <f>ROUND('PART MES'!D$7*'CALCULO GARANTIA'!$Q31,2)</f>
        <v>16350982.34</v>
      </c>
      <c r="F30" s="254">
        <f>ROUND('PART MES'!D$8*'CALCULO GARANTIA'!$Q31,2)</f>
        <v>25463743.399999999</v>
      </c>
      <c r="G30" s="254">
        <f>ROUND('PART MES'!D$9*'CALCULO GARANTIA'!$Q31,2)</f>
        <v>1492939.85</v>
      </c>
      <c r="H30" s="254">
        <f>ROUND('PART MES'!D$10*'CALCULO GARANTIA'!$Q31,2)</f>
        <v>13202966.18</v>
      </c>
      <c r="I30" s="254">
        <f>ROUND('PART MES'!D$11*'CALCULO GARANTIA'!$Q31,2)</f>
        <v>3059159.82</v>
      </c>
      <c r="J30" s="254">
        <f>ROUND(+'PART MES'!D$12*'COEF Art 14 F II'!N32,2)</f>
        <v>29346166.600000001</v>
      </c>
      <c r="K30" s="254">
        <f>+'PART MES'!D$13*ISR_2019!O30</f>
        <v>81569729.2367571</v>
      </c>
      <c r="L30" s="255">
        <f t="shared" si="0"/>
        <v>764227882.48675704</v>
      </c>
    </row>
    <row r="31" spans="1:12">
      <c r="A31" s="169" t="s">
        <v>26</v>
      </c>
      <c r="B31" s="254">
        <f>ROUND('PART MES'!D$4*'CALCULO GARANTIA'!$Q32,2)</f>
        <v>13144004.67</v>
      </c>
      <c r="C31" s="254">
        <f>ROUND('PART MES'!D$5*'CALCULO GARANTIA'!$Q32,2)</f>
        <v>1792692.3</v>
      </c>
      <c r="D31" s="254">
        <f>ROUND(+'Art.14 Frac.III'!P30,2)</f>
        <v>5241139.71</v>
      </c>
      <c r="E31" s="254">
        <f>ROUND('PART MES'!D$7*'CALCULO GARANTIA'!$Q32,2)</f>
        <v>421031.08</v>
      </c>
      <c r="F31" s="254">
        <f>ROUND('PART MES'!D$8*'CALCULO GARANTIA'!$Q32,2)</f>
        <v>655680.93999999994</v>
      </c>
      <c r="G31" s="254">
        <f>ROUND('PART MES'!D$9*'CALCULO GARANTIA'!$Q32,2)</f>
        <v>38442.589999999997</v>
      </c>
      <c r="H31" s="254">
        <f>ROUND('PART MES'!D$10*'CALCULO GARANTIA'!$Q32,2)</f>
        <v>339970.96</v>
      </c>
      <c r="I31" s="254">
        <f>ROUND('PART MES'!D$11*'CALCULO GARANTIA'!$Q32,2)</f>
        <v>78772.11</v>
      </c>
      <c r="J31" s="254">
        <f>ROUND(+'PART MES'!D$12*'COEF Art 14 F II'!N33,2)</f>
        <v>167200.04999999999</v>
      </c>
      <c r="K31" s="254">
        <f>+'PART MES'!D$13*ISR_2019!O31</f>
        <v>143185.15070276332</v>
      </c>
      <c r="L31" s="255">
        <f t="shared" si="0"/>
        <v>22022119.560702763</v>
      </c>
    </row>
    <row r="32" spans="1:12">
      <c r="A32" s="169" t="s">
        <v>27</v>
      </c>
      <c r="B32" s="254">
        <f>ROUND('PART MES'!D$4*'CALCULO GARANTIA'!$Q33,2)</f>
        <v>22625371.510000002</v>
      </c>
      <c r="C32" s="254">
        <f>ROUND('PART MES'!D$5*'CALCULO GARANTIA'!$Q33,2)</f>
        <v>3085842.58</v>
      </c>
      <c r="D32" s="254">
        <f>ROUND(+'Art.14 Frac.III'!P31,2)</f>
        <v>2351946.2400000002</v>
      </c>
      <c r="E32" s="254">
        <f>ROUND('PART MES'!D$7*'CALCULO GARANTIA'!$Q33,2)</f>
        <v>724739.9</v>
      </c>
      <c r="F32" s="254">
        <f>ROUND('PART MES'!D$8*'CALCULO GARANTIA'!$Q33,2)</f>
        <v>1128653.3400000001</v>
      </c>
      <c r="G32" s="254">
        <f>ROUND('PART MES'!D$9*'CALCULO GARANTIA'!$Q33,2)</f>
        <v>66172.97</v>
      </c>
      <c r="H32" s="254">
        <f>ROUND('PART MES'!D$10*'CALCULO GARANTIA'!$Q33,2)</f>
        <v>585207.43000000005</v>
      </c>
      <c r="I32" s="254">
        <f>ROUND('PART MES'!D$11*'CALCULO GARANTIA'!$Q33,2)</f>
        <v>135594.01</v>
      </c>
      <c r="J32" s="254">
        <f>ROUND(+'PART MES'!D$12*'COEF Art 14 F II'!N34,2)</f>
        <v>739235.07</v>
      </c>
      <c r="K32" s="254">
        <f>+'PART MES'!D$13*ISR_2019!O32</f>
        <v>627216.07572477031</v>
      </c>
      <c r="L32" s="255">
        <f t="shared" si="0"/>
        <v>32069979.125724774</v>
      </c>
    </row>
    <row r="33" spans="1:12">
      <c r="A33" s="169" t="s">
        <v>28</v>
      </c>
      <c r="B33" s="254">
        <f>ROUND('PART MES'!D$4*'CALCULO GARANTIA'!$Q34,2)</f>
        <v>12985240.74</v>
      </c>
      <c r="C33" s="254">
        <f>ROUND('PART MES'!D$5*'CALCULO GARANTIA'!$Q34,2)</f>
        <v>1771038.71</v>
      </c>
      <c r="D33" s="254">
        <f>ROUND(+'Art.14 Frac.III'!P32,2)</f>
        <v>3805116.78</v>
      </c>
      <c r="E33" s="254">
        <f>ROUND('PART MES'!D$7*'CALCULO GARANTIA'!$Q34,2)</f>
        <v>415945.53</v>
      </c>
      <c r="F33" s="254">
        <f>ROUND('PART MES'!D$8*'CALCULO GARANTIA'!$Q34,2)</f>
        <v>647761.09</v>
      </c>
      <c r="G33" s="254">
        <f>ROUND('PART MES'!D$9*'CALCULO GARANTIA'!$Q34,2)</f>
        <v>37978.25</v>
      </c>
      <c r="H33" s="254">
        <f>ROUND('PART MES'!D$10*'CALCULO GARANTIA'!$Q34,2)</f>
        <v>335864.51</v>
      </c>
      <c r="I33" s="254">
        <f>ROUND('PART MES'!D$11*'CALCULO GARANTIA'!$Q34,2)</f>
        <v>77820.639999999999</v>
      </c>
      <c r="J33" s="254">
        <f>ROUND(+'PART MES'!D$12*'COEF Art 14 F II'!N35,2)</f>
        <v>213572.55</v>
      </c>
      <c r="K33" s="254">
        <f>+'PART MES'!D$13*ISR_2019!O33</f>
        <v>194407.72761498837</v>
      </c>
      <c r="L33" s="255">
        <f t="shared" si="0"/>
        <v>20484746.527614992</v>
      </c>
    </row>
    <row r="34" spans="1:12">
      <c r="A34" s="169" t="s">
        <v>29</v>
      </c>
      <c r="B34" s="254">
        <f>ROUND('PART MES'!D$4*'CALCULO GARANTIA'!$Q35,2)</f>
        <v>18112977.190000001</v>
      </c>
      <c r="C34" s="254">
        <f>ROUND('PART MES'!D$5*'CALCULO GARANTIA'!$Q35,2)</f>
        <v>2470403.4700000002</v>
      </c>
      <c r="D34" s="254">
        <f>ROUND(+'Art.14 Frac.III'!P33,2)</f>
        <v>4591032.41</v>
      </c>
      <c r="E34" s="254">
        <f>ROUND('PART MES'!D$7*'CALCULO GARANTIA'!$Q35,2)</f>
        <v>580198.09</v>
      </c>
      <c r="F34" s="254">
        <f>ROUND('PART MES'!D$8*'CALCULO GARANTIA'!$Q35,2)</f>
        <v>903555.21</v>
      </c>
      <c r="G34" s="254">
        <f>ROUND('PART MES'!D$9*'CALCULO GARANTIA'!$Q35,2)</f>
        <v>52975.46</v>
      </c>
      <c r="H34" s="254">
        <f>ROUND('PART MES'!D$10*'CALCULO GARANTIA'!$Q35,2)</f>
        <v>468493.92</v>
      </c>
      <c r="I34" s="254">
        <f>ROUND('PART MES'!D$11*'CALCULO GARANTIA'!$Q35,2)</f>
        <v>108551.2</v>
      </c>
      <c r="J34" s="254">
        <f>ROUND(+'PART MES'!D$12*'COEF Art 14 F II'!N36,2)</f>
        <v>420330.45</v>
      </c>
      <c r="K34" s="254">
        <f>+'PART MES'!D$13*ISR_2019!O34</f>
        <v>385326.45728267991</v>
      </c>
      <c r="L34" s="255">
        <f t="shared" si="0"/>
        <v>28093843.857282683</v>
      </c>
    </row>
    <row r="35" spans="1:12">
      <c r="A35" s="169" t="s">
        <v>30</v>
      </c>
      <c r="B35" s="254">
        <f>ROUND('PART MES'!D$4*'CALCULO GARANTIA'!$Q36,2)</f>
        <v>17048598.050000001</v>
      </c>
      <c r="C35" s="254">
        <f>ROUND('PART MES'!D$5*'CALCULO GARANTIA'!$Q36,2)</f>
        <v>2325234.2999999998</v>
      </c>
      <c r="D35" s="254">
        <f>ROUND(+'Art.14 Frac.III'!P34,2)</f>
        <v>16171344.43</v>
      </c>
      <c r="E35" s="254">
        <f>ROUND('PART MES'!D$7*'CALCULO GARANTIA'!$Q36,2)</f>
        <v>546103.71</v>
      </c>
      <c r="F35" s="254">
        <f>ROUND('PART MES'!D$8*'CALCULO GARANTIA'!$Q36,2)</f>
        <v>850459.28</v>
      </c>
      <c r="G35" s="254">
        <f>ROUND('PART MES'!D$9*'CALCULO GARANTIA'!$Q36,2)</f>
        <v>49862.45</v>
      </c>
      <c r="H35" s="254">
        <f>ROUND('PART MES'!D$10*'CALCULO GARANTIA'!$Q36,2)</f>
        <v>440963.65</v>
      </c>
      <c r="I35" s="254">
        <f>ROUND('PART MES'!D$11*'CALCULO GARANTIA'!$Q36,2)</f>
        <v>102172.36</v>
      </c>
      <c r="J35" s="254">
        <f>ROUND(+'PART MES'!D$12*'COEF Art 14 F II'!N37,2)</f>
        <v>332383.23</v>
      </c>
      <c r="K35" s="254">
        <f>+'PART MES'!D$13*ISR_2019!O35</f>
        <v>284031.21806958242</v>
      </c>
      <c r="L35" s="255">
        <f t="shared" si="0"/>
        <v>38151152.678069584</v>
      </c>
    </row>
    <row r="36" spans="1:12">
      <c r="A36" s="169" t="s">
        <v>31</v>
      </c>
      <c r="B36" s="254">
        <f>ROUND('PART MES'!D$4*'CALCULO GARANTIA'!$Q37,2)</f>
        <v>158371511.28999999</v>
      </c>
      <c r="C36" s="254">
        <f>ROUND('PART MES'!D$5*'CALCULO GARANTIA'!$Q37,2)</f>
        <v>21600067.57</v>
      </c>
      <c r="D36" s="254">
        <f>ROUND(+'Art.14 Frac.III'!P35,2)</f>
        <v>0</v>
      </c>
      <c r="E36" s="254">
        <f>ROUND('PART MES'!D$7*'CALCULO GARANTIA'!$Q37,2)</f>
        <v>5072984.26</v>
      </c>
      <c r="F36" s="254">
        <f>ROUND('PART MES'!D$8*'CALCULO GARANTIA'!$Q37,2)</f>
        <v>7900269.6399999997</v>
      </c>
      <c r="G36" s="254">
        <f>ROUND('PART MES'!D$9*'CALCULO GARANTIA'!$Q37,2)</f>
        <v>463192.99</v>
      </c>
      <c r="H36" s="254">
        <f>ROUND('PART MES'!D$10*'CALCULO GARANTIA'!$Q37,2)</f>
        <v>4096294.53</v>
      </c>
      <c r="I36" s="254">
        <f>ROUND('PART MES'!D$11*'CALCULO GARANTIA'!$Q37,2)</f>
        <v>949121.54</v>
      </c>
      <c r="J36" s="254">
        <f>ROUND(+'PART MES'!D$12*'COEF Art 14 F II'!N38,2)</f>
        <v>13835129.1</v>
      </c>
      <c r="K36" s="254">
        <f>+'PART MES'!D$13*ISR_2019!O36</f>
        <v>73057789.391064167</v>
      </c>
      <c r="L36" s="255">
        <f t="shared" si="0"/>
        <v>285346360.31106412</v>
      </c>
    </row>
    <row r="37" spans="1:12">
      <c r="A37" s="169" t="s">
        <v>32</v>
      </c>
      <c r="B37" s="254">
        <f>ROUND('PART MES'!D$4*'CALCULO GARANTIA'!$Q38,2)</f>
        <v>30863014.57</v>
      </c>
      <c r="C37" s="254">
        <f>ROUND('PART MES'!D$5*'CALCULO GARANTIA'!$Q38,2)</f>
        <v>4209363.13</v>
      </c>
      <c r="D37" s="254">
        <f>ROUND(+'Art.14 Frac.III'!P36,2)</f>
        <v>2865339.97</v>
      </c>
      <c r="E37" s="254">
        <f>ROUND('PART MES'!D$7*'CALCULO GARANTIA'!$Q38,2)</f>
        <v>988609.54</v>
      </c>
      <c r="F37" s="254">
        <f>ROUND('PART MES'!D$8*'CALCULO GARANTIA'!$Q38,2)</f>
        <v>1539583.32</v>
      </c>
      <c r="G37" s="254">
        <f>ROUND('PART MES'!D$9*'CALCULO GARANTIA'!$Q38,2)</f>
        <v>90265.8</v>
      </c>
      <c r="H37" s="254">
        <f>ROUND('PART MES'!D$10*'CALCULO GARANTIA'!$Q38,2)</f>
        <v>798274.87</v>
      </c>
      <c r="I37" s="254">
        <f>ROUND('PART MES'!D$11*'CALCULO GARANTIA'!$Q38,2)</f>
        <v>184962.26</v>
      </c>
      <c r="J37" s="254">
        <f>ROUND(+'PART MES'!D$12*'COEF Art 14 F II'!N39,2)</f>
        <v>518792.31</v>
      </c>
      <c r="K37" s="254">
        <f>+'PART MES'!D$13*ISR_2019!O37</f>
        <v>97032.704328444961</v>
      </c>
      <c r="L37" s="255">
        <f t="shared" si="0"/>
        <v>42155238.474328443</v>
      </c>
    </row>
    <row r="38" spans="1:12">
      <c r="A38" s="169" t="s">
        <v>33</v>
      </c>
      <c r="B38" s="254">
        <f>ROUND('PART MES'!D$4*'CALCULO GARANTIA'!$Q39,2)</f>
        <v>113156383.02</v>
      </c>
      <c r="C38" s="254">
        <f>ROUND('PART MES'!D$5*'CALCULO GARANTIA'!$Q39,2)</f>
        <v>15433239.85</v>
      </c>
      <c r="D38" s="254">
        <f>ROUND(+'Art.14 Frac.III'!P37,2)</f>
        <v>2664278.98</v>
      </c>
      <c r="E38" s="254">
        <f>ROUND('PART MES'!D$7*'CALCULO GARANTIA'!$Q39,2)</f>
        <v>3624645.27</v>
      </c>
      <c r="F38" s="254">
        <f>ROUND('PART MES'!D$8*'CALCULO GARANTIA'!$Q39,2)</f>
        <v>5644739.5800000001</v>
      </c>
      <c r="G38" s="254">
        <f>ROUND('PART MES'!D$9*'CALCULO GARANTIA'!$Q39,2)</f>
        <v>330951.21000000002</v>
      </c>
      <c r="H38" s="254">
        <f>ROUND('PART MES'!D$10*'CALCULO GARANTIA'!$Q39,2)</f>
        <v>2926800.85</v>
      </c>
      <c r="I38" s="254">
        <f>ROUND('PART MES'!D$11*'CALCULO GARANTIA'!$Q39,2)</f>
        <v>678146.97</v>
      </c>
      <c r="J38" s="254">
        <f>ROUND(+'PART MES'!D$12*'COEF Art 14 F II'!N40,2)</f>
        <v>4082414.71</v>
      </c>
      <c r="K38" s="254">
        <f>+'PART MES'!D$13*ISR_2019!O38</f>
        <v>7134193.2065687291</v>
      </c>
      <c r="L38" s="255">
        <f t="shared" si="0"/>
        <v>155675793.64656875</v>
      </c>
    </row>
    <row r="39" spans="1:12">
      <c r="A39" s="169" t="s">
        <v>34</v>
      </c>
      <c r="B39" s="254">
        <f>ROUND('PART MES'!D$4*'CALCULO GARANTIA'!$Q40,2)</f>
        <v>24143753.25</v>
      </c>
      <c r="C39" s="254">
        <f>ROUND('PART MES'!D$5*'CALCULO GARANTIA'!$Q40,2)</f>
        <v>3292932.53</v>
      </c>
      <c r="D39" s="254">
        <f>ROUND(+'Art.14 Frac.III'!P38,2)</f>
        <v>3048557.48</v>
      </c>
      <c r="E39" s="254">
        <f>ROUND('PART MES'!D$7*'CALCULO GARANTIA'!$Q40,2)</f>
        <v>773376.97</v>
      </c>
      <c r="F39" s="254">
        <f>ROUND('PART MES'!D$8*'CALCULO GARANTIA'!$Q40,2)</f>
        <v>1204396.92</v>
      </c>
      <c r="G39" s="254">
        <f>ROUND('PART MES'!D$9*'CALCULO GARANTIA'!$Q40,2)</f>
        <v>70613.820000000007</v>
      </c>
      <c r="H39" s="254">
        <f>ROUND('PART MES'!D$10*'CALCULO GARANTIA'!$Q40,2)</f>
        <v>624480.52</v>
      </c>
      <c r="I39" s="254">
        <f>ROUND('PART MES'!D$11*'CALCULO GARANTIA'!$Q40,2)</f>
        <v>144693.68</v>
      </c>
      <c r="J39" s="254">
        <f>ROUND(+'PART MES'!D$12*'COEF Art 14 F II'!N41,2)</f>
        <v>494851.21</v>
      </c>
      <c r="K39" s="254">
        <f>+'PART MES'!D$13*ISR_2019!O39</f>
        <v>565161.09535770991</v>
      </c>
      <c r="L39" s="255">
        <f t="shared" si="0"/>
        <v>34362817.475357704</v>
      </c>
    </row>
    <row r="40" spans="1:12">
      <c r="A40" s="169" t="s">
        <v>35</v>
      </c>
      <c r="B40" s="254">
        <f>ROUND('PART MES'!D$4*'CALCULO GARANTIA'!$Q41,2)</f>
        <v>23207055.850000001</v>
      </c>
      <c r="C40" s="254">
        <f>ROUND('PART MES'!D$5*'CALCULO GARANTIA'!$Q41,2)</f>
        <v>3165177.69</v>
      </c>
      <c r="D40" s="254">
        <f>ROUND(+'Art.14 Frac.III'!P39,2)</f>
        <v>6958744.3899999997</v>
      </c>
      <c r="E40" s="254">
        <f>ROUND('PART MES'!D$7*'CALCULO GARANTIA'!$Q41,2)</f>
        <v>743372.52</v>
      </c>
      <c r="F40" s="254">
        <f>ROUND('PART MES'!D$8*'CALCULO GARANTIA'!$Q41,2)</f>
        <v>1157670.32</v>
      </c>
      <c r="G40" s="254">
        <f>ROUND('PART MES'!D$9*'CALCULO GARANTIA'!$Q41,2)</f>
        <v>67874.240000000005</v>
      </c>
      <c r="H40" s="254">
        <f>ROUND('PART MES'!D$10*'CALCULO GARANTIA'!$Q41,2)</f>
        <v>600252.76</v>
      </c>
      <c r="I40" s="254">
        <f>ROUND('PART MES'!D$11*'CALCULO GARANTIA'!$Q41,2)</f>
        <v>139080.04</v>
      </c>
      <c r="J40" s="254">
        <f>ROUND(+'PART MES'!D$12*'COEF Art 14 F II'!N42,2)</f>
        <v>323259.26</v>
      </c>
      <c r="K40" s="254">
        <f>+'PART MES'!D$13*ISR_2019!O40</f>
        <v>405461.50830877403</v>
      </c>
      <c r="L40" s="255">
        <f t="shared" si="0"/>
        <v>36767948.578308776</v>
      </c>
    </row>
    <row r="41" spans="1:12">
      <c r="A41" s="169" t="s">
        <v>36</v>
      </c>
      <c r="B41" s="254">
        <f>ROUND('PART MES'!D$4*'CALCULO GARANTIA'!$Q42,2)</f>
        <v>24367126.960000001</v>
      </c>
      <c r="C41" s="254">
        <f>ROUND('PART MES'!D$5*'CALCULO GARANTIA'!$Q42,2)</f>
        <v>3323398.16</v>
      </c>
      <c r="D41" s="254">
        <f>ROUND(+'Art.14 Frac.III'!P40,2)</f>
        <v>3707178.35</v>
      </c>
      <c r="E41" s="254">
        <f>ROUND('PART MES'!D$7*'CALCULO GARANTIA'!$Q42,2)</f>
        <v>780532.12</v>
      </c>
      <c r="F41" s="254">
        <f>ROUND('PART MES'!D$8*'CALCULO GARANTIA'!$Q42,2)</f>
        <v>1215539.79</v>
      </c>
      <c r="G41" s="254">
        <f>ROUND('PART MES'!D$9*'CALCULO GARANTIA'!$Q42,2)</f>
        <v>71267.13</v>
      </c>
      <c r="H41" s="254">
        <f>ROUND('PART MES'!D$10*'CALCULO GARANTIA'!$Q42,2)</f>
        <v>630258.11</v>
      </c>
      <c r="I41" s="254">
        <f>ROUND('PART MES'!D$11*'CALCULO GARANTIA'!$Q42,2)</f>
        <v>146032.35999999999</v>
      </c>
      <c r="J41" s="254">
        <f>ROUND(+'PART MES'!D$12*'COEF Art 14 F II'!N43,2)</f>
        <v>534697.02</v>
      </c>
      <c r="K41" s="254">
        <f>+'PART MES'!D$13*ISR_2019!O41</f>
        <v>0</v>
      </c>
      <c r="L41" s="255">
        <f t="shared" si="0"/>
        <v>34776030.000000007</v>
      </c>
    </row>
    <row r="42" spans="1:12">
      <c r="A42" s="169" t="s">
        <v>37</v>
      </c>
      <c r="B42" s="254">
        <f>ROUND('PART MES'!D$4*'CALCULO GARANTIA'!$Q43,2)</f>
        <v>34322154.560000002</v>
      </c>
      <c r="C42" s="254">
        <f>ROUND('PART MES'!D$5*'CALCULO GARANTIA'!$Q43,2)</f>
        <v>4681150.3600000003</v>
      </c>
      <c r="D42" s="254">
        <f>ROUND(+'Art.14 Frac.III'!P41,2)</f>
        <v>1271388.94</v>
      </c>
      <c r="E42" s="254">
        <f>ROUND('PART MES'!D$7*'CALCULO GARANTIA'!$Q43,2)</f>
        <v>1099413.32</v>
      </c>
      <c r="F42" s="254">
        <f>ROUND('PART MES'!D$8*'CALCULO GARANTIA'!$Q43,2)</f>
        <v>1712140.48</v>
      </c>
      <c r="G42" s="254">
        <f>ROUND('PART MES'!D$9*'CALCULO GARANTIA'!$Q43,2)</f>
        <v>100382.83</v>
      </c>
      <c r="H42" s="254">
        <f>ROUND('PART MES'!D$10*'CALCULO GARANTIA'!$Q43,2)</f>
        <v>887745.86</v>
      </c>
      <c r="I42" s="254">
        <f>ROUND('PART MES'!D$11*'CALCULO GARANTIA'!$Q43,2)</f>
        <v>205692.91</v>
      </c>
      <c r="J42" s="254">
        <f>ROUND(+'PART MES'!D$12*'COEF Art 14 F II'!N44,2)</f>
        <v>555433</v>
      </c>
      <c r="K42" s="254">
        <f>+'PART MES'!D$13*ISR_2019!O42</f>
        <v>74847.780418358292</v>
      </c>
      <c r="L42" s="255">
        <f t="shared" si="0"/>
        <v>44910350.040418349</v>
      </c>
    </row>
    <row r="43" spans="1:12">
      <c r="A43" s="169" t="s">
        <v>38</v>
      </c>
      <c r="B43" s="254">
        <f>ROUND('PART MES'!D$4*'CALCULO GARANTIA'!$Q44,2)</f>
        <v>80522944.069999993</v>
      </c>
      <c r="C43" s="254">
        <f>ROUND('PART MES'!D$5*'CALCULO GARANTIA'!$Q44,2)</f>
        <v>10982411.029999999</v>
      </c>
      <c r="D43" s="254">
        <f>ROUND(+'Art.14 Frac.III'!P42,2)</f>
        <v>4064712.12</v>
      </c>
      <c r="E43" s="254">
        <f>ROUND('PART MES'!D$7*'CALCULO GARANTIA'!$Q44,2)</f>
        <v>2579325.1800000002</v>
      </c>
      <c r="F43" s="254">
        <f>ROUND('PART MES'!D$8*'CALCULO GARANTIA'!$Q44,2)</f>
        <v>4016839.68</v>
      </c>
      <c r="G43" s="254">
        <f>ROUND('PART MES'!D$9*'CALCULO GARANTIA'!$Q44,2)</f>
        <v>235507.4</v>
      </c>
      <c r="H43" s="254">
        <f>ROUND('PART MES'!D$10*'CALCULO GARANTIA'!$Q44,2)</f>
        <v>2082733.78</v>
      </c>
      <c r="I43" s="254">
        <f>ROUND('PART MES'!D$11*'CALCULO GARANTIA'!$Q44,2)</f>
        <v>482574.55</v>
      </c>
      <c r="J43" s="254">
        <f>ROUND(+'PART MES'!D$12*'COEF Art 14 F II'!N45,2)</f>
        <v>3038183.32</v>
      </c>
      <c r="K43" s="254">
        <f>+'PART MES'!D$13*ISR_2019!O43</f>
        <v>1507200.3546561592</v>
      </c>
      <c r="L43" s="255">
        <f t="shared" si="0"/>
        <v>109512431.48465617</v>
      </c>
    </row>
    <row r="44" spans="1:12">
      <c r="A44" s="169" t="s">
        <v>39</v>
      </c>
      <c r="B44" s="254">
        <f>ROUND('PART MES'!D$4*'CALCULO GARANTIA'!$Q45,2)</f>
        <v>1666439290.98</v>
      </c>
      <c r="C44" s="254">
        <f>ROUND('PART MES'!D$5*'CALCULO GARANTIA'!$Q45,2)</f>
        <v>227283309.96000001</v>
      </c>
      <c r="D44" s="254">
        <f>ROUND(+'Art.14 Frac.III'!P43,2)</f>
        <v>0</v>
      </c>
      <c r="E44" s="254">
        <f>ROUND('PART MES'!D$7*'CALCULO GARANTIA'!$Q45,2)</f>
        <v>53379678.060000002</v>
      </c>
      <c r="F44" s="254">
        <f>ROUND('PART MES'!D$8*'CALCULO GARANTIA'!$Q45,2)</f>
        <v>83129343.349999994</v>
      </c>
      <c r="G44" s="254">
        <f>ROUND('PART MES'!D$9*'CALCULO GARANTIA'!$Q45,2)</f>
        <v>4873875.26</v>
      </c>
      <c r="H44" s="254">
        <f>ROUND('PART MES'!D$10*'CALCULO GARANTIA'!$Q45,2)</f>
        <v>43102614.259999998</v>
      </c>
      <c r="I44" s="254">
        <f>ROUND('PART MES'!D$11*'CALCULO GARANTIA'!$Q45,2)</f>
        <v>9986982.0099999998</v>
      </c>
      <c r="J44" s="254">
        <f>ROUND(+'PART MES'!D$12*'COEF Art 14 F II'!N46,2)</f>
        <v>58166680.329999998</v>
      </c>
      <c r="K44" s="254">
        <f>+'PART MES'!D$13*ISR_2019!O44</f>
        <v>121188449.68839101</v>
      </c>
      <c r="L44" s="255">
        <f t="shared" si="0"/>
        <v>2267550223.8983908</v>
      </c>
    </row>
    <row r="45" spans="1:12">
      <c r="A45" s="169" t="s">
        <v>40</v>
      </c>
      <c r="B45" s="254">
        <f>ROUND('PART MES'!D$4*'CALCULO GARANTIA'!$Q46,2)</f>
        <v>8606496.1300000008</v>
      </c>
      <c r="C45" s="254">
        <f>ROUND('PART MES'!D$5*'CALCULO GARANTIA'!$Q46,2)</f>
        <v>1173827.8999999999</v>
      </c>
      <c r="D45" s="254">
        <f>ROUND(+'Art.14 Frac.III'!P44,2)</f>
        <v>3398126.68</v>
      </c>
      <c r="E45" s="254">
        <f>ROUND('PART MES'!D$7*'CALCULO GARANTIA'!$Q46,2)</f>
        <v>275684.81</v>
      </c>
      <c r="F45" s="254">
        <f>ROUND('PART MES'!D$8*'CALCULO GARANTIA'!$Q46,2)</f>
        <v>429329.99</v>
      </c>
      <c r="G45" s="254">
        <f>ROUND('PART MES'!D$9*'CALCULO GARANTIA'!$Q46,2)</f>
        <v>25171.63</v>
      </c>
      <c r="H45" s="254">
        <f>ROUND('PART MES'!D$10*'CALCULO GARANTIA'!$Q46,2)</f>
        <v>222607.86</v>
      </c>
      <c r="I45" s="254">
        <f>ROUND('PART MES'!D$11*'CALCULO GARANTIA'!$Q46,2)</f>
        <v>51578.79</v>
      </c>
      <c r="J45" s="254">
        <f>ROUND(+'PART MES'!D$12*'COEF Art 14 F II'!N47,2)</f>
        <v>113025.2</v>
      </c>
      <c r="K45" s="254">
        <f>+'PART MES'!D$13*ISR_2019!O45</f>
        <v>193456.96990168627</v>
      </c>
      <c r="L45" s="255">
        <f t="shared" si="0"/>
        <v>14489305.959901687</v>
      </c>
    </row>
    <row r="46" spans="1:12">
      <c r="A46" s="169" t="s">
        <v>41</v>
      </c>
      <c r="B46" s="254">
        <f>ROUND('PART MES'!D$4*'CALCULO GARANTIA'!$Q47,2)</f>
        <v>36235321.799999997</v>
      </c>
      <c r="C46" s="254">
        <f>ROUND('PART MES'!D$5*'CALCULO GARANTIA'!$Q47,2)</f>
        <v>4942084.55</v>
      </c>
      <c r="D46" s="254">
        <f>ROUND(+'Art.14 Frac.III'!P45,2)</f>
        <v>8044711.1699999999</v>
      </c>
      <c r="E46" s="254">
        <f>ROUND('PART MES'!D$7*'CALCULO GARANTIA'!$Q47,2)</f>
        <v>1160696.24</v>
      </c>
      <c r="F46" s="254">
        <f>ROUND('PART MES'!D$8*'CALCULO GARANTIA'!$Q47,2)</f>
        <v>1807577.7</v>
      </c>
      <c r="G46" s="254">
        <f>ROUND('PART MES'!D$9*'CALCULO GARANTIA'!$Q47,2)</f>
        <v>105978.32</v>
      </c>
      <c r="H46" s="254">
        <f>ROUND('PART MES'!D$10*'CALCULO GARANTIA'!$Q47,2)</f>
        <v>937230.12</v>
      </c>
      <c r="I46" s="254">
        <f>ROUND('PART MES'!D$11*'CALCULO GARANTIA'!$Q47,2)</f>
        <v>217158.53</v>
      </c>
      <c r="J46" s="254">
        <f>ROUND(+'PART MES'!D$12*'COEF Art 14 F II'!N48,2)</f>
        <v>3774806.36</v>
      </c>
      <c r="K46" s="254">
        <f>+'PART MES'!D$13*ISR_2019!O46</f>
        <v>7273085.227269168</v>
      </c>
      <c r="L46" s="255">
        <f t="shared" si="0"/>
        <v>64498650.017269164</v>
      </c>
    </row>
    <row r="47" spans="1:12">
      <c r="A47" s="169" t="s">
        <v>42</v>
      </c>
      <c r="B47" s="254">
        <f>ROUND('PART MES'!D$4*'CALCULO GARANTIA'!$Q48,2)</f>
        <v>18254116.710000001</v>
      </c>
      <c r="C47" s="254">
        <f>ROUND('PART MES'!D$5*'CALCULO GARANTIA'!$Q48,2)</f>
        <v>2489653.29</v>
      </c>
      <c r="D47" s="254">
        <f>ROUND(+'Art.14 Frac.III'!P46,2)</f>
        <v>1089885.57</v>
      </c>
      <c r="E47" s="254">
        <f>ROUND('PART MES'!D$7*'CALCULO GARANTIA'!$Q48,2)</f>
        <v>584719.09</v>
      </c>
      <c r="F47" s="254">
        <f>ROUND('PART MES'!D$8*'CALCULO GARANTIA'!$Q48,2)</f>
        <v>910595.87</v>
      </c>
      <c r="G47" s="254">
        <f>ROUND('PART MES'!D$9*'CALCULO GARANTIA'!$Q48,2)</f>
        <v>53388.26</v>
      </c>
      <c r="H47" s="254">
        <f>ROUND('PART MES'!D$10*'CALCULO GARANTIA'!$Q48,2)</f>
        <v>472144.5</v>
      </c>
      <c r="I47" s="254">
        <f>ROUND('PART MES'!D$11*'CALCULO GARANTIA'!$Q48,2)</f>
        <v>109397.05</v>
      </c>
      <c r="J47" s="254">
        <f>ROUND(+'PART MES'!D$12*'COEF Art 14 F II'!N49,2)</f>
        <v>305095.03999999998</v>
      </c>
      <c r="K47" s="254">
        <f>+'PART MES'!D$13*ISR_2019!O47</f>
        <v>687848.67175329011</v>
      </c>
      <c r="L47" s="255">
        <f t="shared" si="0"/>
        <v>24956844.051753294</v>
      </c>
    </row>
    <row r="48" spans="1:12">
      <c r="A48" s="169" t="s">
        <v>43</v>
      </c>
      <c r="B48" s="254">
        <f>ROUND('PART MES'!D$4*'CALCULO GARANTIA'!$Q49,2)</f>
        <v>20455094.699999999</v>
      </c>
      <c r="C48" s="254">
        <f>ROUND('PART MES'!D$5*'CALCULO GARANTIA'!$Q49,2)</f>
        <v>2789841.58</v>
      </c>
      <c r="D48" s="254">
        <f>ROUND(+'Art.14 Frac.III'!P47,2)</f>
        <v>9895543.9199999999</v>
      </c>
      <c r="E48" s="254">
        <f>ROUND('PART MES'!D$7*'CALCULO GARANTIA'!$Q49,2)</f>
        <v>655221.21</v>
      </c>
      <c r="F48" s="254">
        <f>ROUND('PART MES'!D$8*'CALCULO GARANTIA'!$Q49,2)</f>
        <v>1020390.36</v>
      </c>
      <c r="G48" s="254">
        <f>ROUND('PART MES'!D$9*'CALCULO GARANTIA'!$Q49,2)</f>
        <v>59825.51</v>
      </c>
      <c r="H48" s="254">
        <f>ROUND('PART MES'!D$10*'CALCULO GARANTIA'!$Q49,2)</f>
        <v>529073.01</v>
      </c>
      <c r="I48" s="254">
        <f>ROUND('PART MES'!D$11*'CALCULO GARANTIA'!$Q49,2)</f>
        <v>122587.52</v>
      </c>
      <c r="J48" s="254">
        <f>ROUND(+'PART MES'!D$12*'COEF Art 14 F II'!N50,2)</f>
        <v>343325.88</v>
      </c>
      <c r="K48" s="254">
        <f>+'PART MES'!D$13*ISR_2019!O48</f>
        <v>0</v>
      </c>
      <c r="L48" s="255">
        <f t="shared" si="0"/>
        <v>35870903.690000005</v>
      </c>
    </row>
    <row r="49" spans="1:12">
      <c r="A49" s="169" t="s">
        <v>44</v>
      </c>
      <c r="B49" s="254">
        <f>ROUND('PART MES'!D$4*'CALCULO GARANTIA'!$Q50,2)</f>
        <v>58852514.990000002</v>
      </c>
      <c r="C49" s="254">
        <f>ROUND('PART MES'!D$5*'CALCULO GARANTIA'!$Q50,2)</f>
        <v>8026811.71</v>
      </c>
      <c r="D49" s="254">
        <f>ROUND(+'Art.14 Frac.III'!P48,2)</f>
        <v>3260169.25</v>
      </c>
      <c r="E49" s="254">
        <f>ROUND('PART MES'!D$7*'CALCULO GARANTIA'!$Q50,2)</f>
        <v>1885174.17</v>
      </c>
      <c r="F49" s="254">
        <f>ROUND('PART MES'!D$8*'CALCULO GARANTIA'!$Q50,2)</f>
        <v>2935823.08</v>
      </c>
      <c r="G49" s="254">
        <f>ROUND('PART MES'!D$9*'CALCULO GARANTIA'!$Q50,2)</f>
        <v>172127.37</v>
      </c>
      <c r="H49" s="254">
        <f>ROUND('PART MES'!D$10*'CALCULO GARANTIA'!$Q50,2)</f>
        <v>1522226.02</v>
      </c>
      <c r="I49" s="254">
        <f>ROUND('PART MES'!D$11*'CALCULO GARANTIA'!$Q50,2)</f>
        <v>352703.52</v>
      </c>
      <c r="J49" s="254">
        <f>ROUND(+'PART MES'!D$12*'COEF Art 14 F II'!N51,2)</f>
        <v>1658766.45</v>
      </c>
      <c r="K49" s="254">
        <f>+'PART MES'!D$13*ISR_2019!O49</f>
        <v>6982076.5905713625</v>
      </c>
      <c r="L49" s="255">
        <f t="shared" si="0"/>
        <v>85648393.150571361</v>
      </c>
    </row>
    <row r="50" spans="1:12">
      <c r="A50" s="169" t="s">
        <v>45</v>
      </c>
      <c r="B50" s="254">
        <f>ROUND('PART MES'!D$4*'CALCULO GARANTIA'!$Q51,2)</f>
        <v>50645674.590000004</v>
      </c>
      <c r="C50" s="254">
        <f>ROUND('PART MES'!D$5*'CALCULO GARANTIA'!$Q51,2)</f>
        <v>6907492.29</v>
      </c>
      <c r="D50" s="254">
        <f>ROUND(+'Art.14 Frac.III'!P49,2)</f>
        <v>1040686.24</v>
      </c>
      <c r="E50" s="254">
        <f>ROUND('PART MES'!D$7*'CALCULO GARANTIA'!$Q51,2)</f>
        <v>1622291.2</v>
      </c>
      <c r="F50" s="254">
        <f>ROUND('PART MES'!D$8*'CALCULO GARANTIA'!$Q51,2)</f>
        <v>2526429.67</v>
      </c>
      <c r="G50" s="254">
        <f>ROUND('PART MES'!D$9*'CALCULO GARANTIA'!$Q51,2)</f>
        <v>148124.63</v>
      </c>
      <c r="H50" s="254">
        <f>ROUND('PART MES'!D$10*'CALCULO GARANTIA'!$Q51,2)</f>
        <v>1309955.3</v>
      </c>
      <c r="I50" s="254">
        <f>ROUND('PART MES'!D$11*'CALCULO GARANTIA'!$Q51,2)</f>
        <v>303519.87</v>
      </c>
      <c r="J50" s="254">
        <f>ROUND(+'PART MES'!D$12*'COEF Art 14 F II'!N52,2)</f>
        <v>2513898.85</v>
      </c>
      <c r="K50" s="254">
        <f>+'PART MES'!D$13*ISR_2019!O50</f>
        <v>0</v>
      </c>
      <c r="L50" s="255">
        <f t="shared" si="0"/>
        <v>67018072.640000008</v>
      </c>
    </row>
    <row r="51" spans="1:12">
      <c r="A51" s="169" t="s">
        <v>46</v>
      </c>
      <c r="B51" s="254">
        <f>ROUND('PART MES'!D$4*'CALCULO GARANTIA'!$Q52,2)</f>
        <v>458269929.69999999</v>
      </c>
      <c r="C51" s="254">
        <f>ROUND('PART MES'!D$5*'CALCULO GARANTIA'!$Q52,2)</f>
        <v>62502790.859999999</v>
      </c>
      <c r="D51" s="254">
        <f>ROUND(+'Art.14 Frac.III'!P50,2)</f>
        <v>13404625.5</v>
      </c>
      <c r="E51" s="254">
        <f>ROUND('PART MES'!D$7*'CALCULO GARANTIA'!$Q52,2)</f>
        <v>14679383.43</v>
      </c>
      <c r="F51" s="254">
        <f>ROUND('PART MES'!D$8*'CALCULO GARANTIA'!$Q52,2)</f>
        <v>22860525.760000002</v>
      </c>
      <c r="G51" s="254">
        <f>ROUND('PART MES'!D$9*'CALCULO GARANTIA'!$Q52,2)</f>
        <v>1340313.1399999999</v>
      </c>
      <c r="H51" s="254">
        <f>ROUND('PART MES'!D$10*'CALCULO GARANTIA'!$Q52,2)</f>
        <v>11853196.279999999</v>
      </c>
      <c r="I51" s="254">
        <f>ROUND('PART MES'!D$11*'CALCULO GARANTIA'!$Q52,2)</f>
        <v>2746414.81</v>
      </c>
      <c r="J51" s="254">
        <f>ROUND(+'PART MES'!D$12*'COEF Art 14 F II'!N53,2)</f>
        <v>20278926.960000001</v>
      </c>
      <c r="K51" s="254">
        <f>+'PART MES'!D$13*ISR_2019!O51</f>
        <v>48235426.639229737</v>
      </c>
      <c r="L51" s="255">
        <f t="shared" si="0"/>
        <v>656171533.07922971</v>
      </c>
    </row>
    <row r="52" spans="1:12">
      <c r="A52" s="169" t="s">
        <v>47</v>
      </c>
      <c r="B52" s="254">
        <f>ROUND('PART MES'!D$4*'CALCULO GARANTIA'!$Q53,2)</f>
        <v>885494295.21000004</v>
      </c>
      <c r="C52" s="254">
        <f>ROUND('PART MES'!D$5*'CALCULO GARANTIA'!$Q53,2)</f>
        <v>120771320.89</v>
      </c>
      <c r="D52" s="254">
        <f>ROUND(+'Art.14 Frac.III'!P51,2)</f>
        <v>25900206.760000002</v>
      </c>
      <c r="E52" s="254">
        <f>ROUND('PART MES'!D$7*'CALCULO GARANTIA'!$Q53,2)</f>
        <v>28364309.850000001</v>
      </c>
      <c r="F52" s="254">
        <f>ROUND('PART MES'!D$8*'CALCULO GARANTIA'!$Q53,2)</f>
        <v>44172361.810000002</v>
      </c>
      <c r="G52" s="254">
        <f>ROUND('PART MES'!D$9*'CALCULO GARANTIA'!$Q53,2)</f>
        <v>2589826.56</v>
      </c>
      <c r="H52" s="254">
        <f>ROUND('PART MES'!D$10*'CALCULO GARANTIA'!$Q53,2)</f>
        <v>22903396.02</v>
      </c>
      <c r="I52" s="254">
        <f>ROUND('PART MES'!D$11*'CALCULO GARANTIA'!$Q53,2)</f>
        <v>5306773.34</v>
      </c>
      <c r="J52" s="254">
        <f>ROUND(+'PART MES'!D$12*'COEF Art 14 F II'!N54,2)</f>
        <v>15663205.140000001</v>
      </c>
      <c r="K52" s="254">
        <f>+'PART MES'!D$13*ISR_2019!O52</f>
        <v>69289148.027384967</v>
      </c>
      <c r="L52" s="255">
        <f t="shared" si="0"/>
        <v>1220454843.6073849</v>
      </c>
    </row>
    <row r="53" spans="1:12">
      <c r="A53" s="169" t="s">
        <v>48</v>
      </c>
      <c r="B53" s="254">
        <f>ROUND('PART MES'!D$4*'CALCULO GARANTIA'!$Q54,2)</f>
        <v>238609562.36000001</v>
      </c>
      <c r="C53" s="254">
        <f>ROUND('PART MES'!D$5*'CALCULO GARANTIA'!$Q54,2)</f>
        <v>32543622.449999999</v>
      </c>
      <c r="D53" s="254">
        <f>ROUND(+'Art.14 Frac.III'!P52,2)</f>
        <v>6660913.21</v>
      </c>
      <c r="E53" s="254">
        <f>ROUND('PART MES'!D$7*'CALCULO GARANTIA'!$Q54,2)</f>
        <v>7643183.7000000002</v>
      </c>
      <c r="F53" s="254">
        <f>ROUND('PART MES'!D$8*'CALCULO GARANTIA'!$Q54,2)</f>
        <v>11902897.6</v>
      </c>
      <c r="G53" s="254">
        <f>ROUND('PART MES'!D$9*'CALCULO GARANTIA'!$Q54,2)</f>
        <v>697867.15</v>
      </c>
      <c r="H53" s="254">
        <f>ROUND('PART MES'!D$10*'CALCULO GARANTIA'!$Q54,2)</f>
        <v>6171659.5300000003</v>
      </c>
      <c r="I53" s="254">
        <f>ROUND('PART MES'!D$11*'CALCULO GARANTIA'!$Q54,2)</f>
        <v>1429988.73</v>
      </c>
      <c r="J53" s="254">
        <f>ROUND(+'PART MES'!D$12*'COEF Art 14 F II'!N55,2)</f>
        <v>12935651.970000001</v>
      </c>
      <c r="K53" s="254">
        <f>+'PART MES'!D$13*ISR_2019!O53</f>
        <v>64242326.351013035</v>
      </c>
      <c r="L53" s="255">
        <f t="shared" si="0"/>
        <v>382837673.05101299</v>
      </c>
    </row>
    <row r="54" spans="1:12">
      <c r="A54" s="169" t="s">
        <v>49</v>
      </c>
      <c r="B54" s="254">
        <f>ROUND('PART MES'!D$4*'CALCULO GARANTIA'!$Q55,2)</f>
        <v>76056045.329999998</v>
      </c>
      <c r="C54" s="254">
        <f>ROUND('PART MES'!D$5*'CALCULO GARANTIA'!$Q55,2)</f>
        <v>10373177</v>
      </c>
      <c r="D54" s="254">
        <f>ROUND(+'Art.14 Frac.III'!P53,2)</f>
        <v>6935099.4400000004</v>
      </c>
      <c r="E54" s="254">
        <f>ROUND('PART MES'!D$7*'CALCULO GARANTIA'!$Q55,2)</f>
        <v>2436240.69</v>
      </c>
      <c r="F54" s="254">
        <f>ROUND('PART MES'!D$8*'CALCULO GARANTIA'!$Q55,2)</f>
        <v>3794011.06</v>
      </c>
      <c r="G54" s="254">
        <f>ROUND('PART MES'!D$9*'CALCULO GARANTIA'!$Q55,2)</f>
        <v>222442.95</v>
      </c>
      <c r="H54" s="254">
        <f>ROUND('PART MES'!D$10*'CALCULO GARANTIA'!$Q55,2)</f>
        <v>1967197.01</v>
      </c>
      <c r="I54" s="254">
        <f>ROUND('PART MES'!D$11*'CALCULO GARANTIA'!$Q55,2)</f>
        <v>455804.4</v>
      </c>
      <c r="J54" s="254">
        <f>ROUND(+'PART MES'!D$12*'COEF Art 14 F II'!N56,2)</f>
        <v>2476818.85</v>
      </c>
      <c r="K54" s="254">
        <f>+'PART MES'!D$13*ISR_2019!O54</f>
        <v>12348564.715371015</v>
      </c>
      <c r="L54" s="255">
        <f t="shared" si="0"/>
        <v>117065401.44537102</v>
      </c>
    </row>
    <row r="55" spans="1:12">
      <c r="A55" s="169" t="s">
        <v>50</v>
      </c>
      <c r="B55" s="254">
        <f>ROUND('PART MES'!D$4*'CALCULO GARANTIA'!$Q56,2)</f>
        <v>15281633.890000001</v>
      </c>
      <c r="C55" s="254">
        <f>ROUND('PART MES'!D$5*'CALCULO GARANTIA'!$Q56,2)</f>
        <v>2084240.54</v>
      </c>
      <c r="D55" s="254">
        <f>ROUND(+'Art.14 Frac.III'!P54,2)</f>
        <v>2614112.88</v>
      </c>
      <c r="E55" s="254">
        <f>ROUND('PART MES'!D$7*'CALCULO GARANTIA'!$Q56,2)</f>
        <v>489504</v>
      </c>
      <c r="F55" s="254">
        <f>ROUND('PART MES'!D$8*'CALCULO GARANTIA'!$Q56,2)</f>
        <v>762315.31</v>
      </c>
      <c r="G55" s="254">
        <f>ROUND('PART MES'!D$9*'CALCULO GARANTIA'!$Q56,2)</f>
        <v>44694.559999999998</v>
      </c>
      <c r="H55" s="254">
        <f>ROUND('PART MES'!D$10*'CALCULO GARANTIA'!$Q56,2)</f>
        <v>395260.95</v>
      </c>
      <c r="I55" s="254">
        <f>ROUND('PART MES'!D$11*'CALCULO GARANTIA'!$Q56,2)</f>
        <v>91582.94</v>
      </c>
      <c r="J55" s="254">
        <f>ROUND(+'PART MES'!D$12*'COEF Art 14 F II'!N57,2)</f>
        <v>193092.97</v>
      </c>
      <c r="K55" s="254">
        <f>+'PART MES'!D$13*ISR_2019!O55</f>
        <v>558301.43906920438</v>
      </c>
      <c r="L55" s="255">
        <f t="shared" si="0"/>
        <v>22514739.479069199</v>
      </c>
    </row>
    <row r="56" spans="1:12" ht="13.5" thickBot="1">
      <c r="A56" s="169" t="s">
        <v>51</v>
      </c>
      <c r="B56" s="254">
        <f>ROUND('PART MES'!D$4*'CALCULO GARANTIA'!$Q57,2)</f>
        <v>21053676.34</v>
      </c>
      <c r="C56" s="254">
        <f>ROUND('PART MES'!D$5*'CALCULO GARANTIA'!$Q57,2)</f>
        <v>2871481.29</v>
      </c>
      <c r="D56" s="254">
        <f>ROUND(+'Art.14 Frac.III'!P55,2)</f>
        <v>1409527.04</v>
      </c>
      <c r="E56" s="254">
        <f>ROUND('PART MES'!D$7*'CALCULO GARANTIA'!$Q57,2)</f>
        <v>674395.08</v>
      </c>
      <c r="F56" s="254">
        <f>ROUND('PART MES'!D$8*'CALCULO GARANTIA'!$Q57,2)</f>
        <v>1050250.25</v>
      </c>
      <c r="G56" s="254">
        <f>ROUND('PART MES'!D$9*'CALCULO GARANTIA'!$Q57,2)</f>
        <v>61576.2</v>
      </c>
      <c r="H56" s="254">
        <f>ROUND('PART MES'!D$10*'CALCULO GARANTIA'!$Q57,2)</f>
        <v>544555.39</v>
      </c>
      <c r="I56" s="254">
        <f>ROUND('PART MES'!D$11*'CALCULO GARANTIA'!$Q57,2)</f>
        <v>126174.83</v>
      </c>
      <c r="J56" s="254">
        <f>ROUND(+'PART MES'!D$12*'COEF Art 14 F II'!N58,2)</f>
        <v>236704.56</v>
      </c>
      <c r="K56" s="254">
        <f>+'PART MES'!D$13*ISR_2019!O56</f>
        <v>0</v>
      </c>
      <c r="L56" s="255">
        <f t="shared" si="0"/>
        <v>28028340.979999993</v>
      </c>
    </row>
    <row r="57" spans="1:12" ht="14.25" thickTop="1" thickBot="1">
      <c r="A57" s="170" t="s">
        <v>52</v>
      </c>
      <c r="B57" s="256">
        <f t="shared" ref="B57:E57" si="1">SUM(B6:B56)</f>
        <v>6334829050.5900002</v>
      </c>
      <c r="C57" s="256">
        <f t="shared" si="1"/>
        <v>863998420.1099999</v>
      </c>
      <c r="D57" s="256">
        <f t="shared" si="1"/>
        <v>271991206.88999999</v>
      </c>
      <c r="E57" s="256">
        <f t="shared" si="1"/>
        <v>202918364.40000001</v>
      </c>
      <c r="F57" s="256">
        <f>SUM(F6:F56)</f>
        <v>316009219.18000007</v>
      </c>
      <c r="G57" s="256">
        <f t="shared" ref="G57:J57" si="2">SUM(G6:G56)</f>
        <v>18527627.589999996</v>
      </c>
      <c r="H57" s="256">
        <f t="shared" si="2"/>
        <v>163850969.20999998</v>
      </c>
      <c r="I57" s="256">
        <f t="shared" si="2"/>
        <v>37964673.61999999</v>
      </c>
      <c r="J57" s="256">
        <f t="shared" si="2"/>
        <v>253534755.01999995</v>
      </c>
      <c r="K57" s="256">
        <f>SUM(K6:K56)</f>
        <v>679999999.99999988</v>
      </c>
      <c r="L57" s="257">
        <f t="shared" ref="L57" si="3">SUM(L6:L56)</f>
        <v>9143624286.6099987</v>
      </c>
    </row>
    <row r="58" spans="1:12" ht="13.5" thickTop="1">
      <c r="A58" s="171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</row>
    <row r="59" spans="1:12" ht="16.5" customHeight="1">
      <c r="A59" s="165" t="s">
        <v>144</v>
      </c>
      <c r="B59" s="249"/>
      <c r="C59" s="249"/>
      <c r="D59" s="249"/>
      <c r="E59" s="249"/>
    </row>
    <row r="60" spans="1:12">
      <c r="A60" s="167"/>
    </row>
    <row r="61" spans="1:12">
      <c r="A61" s="167"/>
    </row>
    <row r="62" spans="1:12" ht="16.5" customHeight="1"/>
  </sheetData>
  <mergeCells count="4">
    <mergeCell ref="A1:L1"/>
    <mergeCell ref="A2:L2"/>
    <mergeCell ref="A3:L3"/>
    <mergeCell ref="A4:L4"/>
  </mergeCells>
  <printOptions horizontalCentered="1" verticalCentered="1"/>
  <pageMargins left="0.19685039370078741" right="0.19685039370078741" top="0.15748031496062992" bottom="0.15748031496062992" header="0.15748031496062992" footer="0.15748031496062992"/>
  <pageSetup scale="74" orientation="landscape" r:id="rId1"/>
  <headerFooter alignWithMargins="0">
    <oddHeader>&amp;LANEXO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="85" zoomScaleNormal="85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B6" sqref="B6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288" t="s">
        <v>135</v>
      </c>
      <c r="C3" s="288"/>
      <c r="D3" s="288"/>
      <c r="E3" s="288"/>
      <c r="F3" s="288"/>
      <c r="G3" s="289" t="s">
        <v>69</v>
      </c>
      <c r="H3" s="289"/>
      <c r="I3" s="289"/>
      <c r="J3" s="289"/>
      <c r="K3" s="289"/>
      <c r="L3" s="289"/>
      <c r="M3" s="289"/>
      <c r="N3" s="289" t="s">
        <v>123</v>
      </c>
      <c r="O3" s="289"/>
      <c r="P3" s="289"/>
      <c r="Q3" s="289"/>
      <c r="R3" s="289"/>
      <c r="S3" s="289"/>
      <c r="T3" s="289" t="s">
        <v>123</v>
      </c>
      <c r="U3" s="289"/>
      <c r="V3" s="289"/>
      <c r="W3" s="289"/>
      <c r="X3" s="289"/>
      <c r="Y3" s="289"/>
      <c r="Z3" s="135"/>
      <c r="AA3" s="289" t="s">
        <v>123</v>
      </c>
      <c r="AB3" s="289"/>
      <c r="AC3" s="289"/>
      <c r="AD3" s="289"/>
      <c r="AE3" s="289"/>
      <c r="AF3" s="289"/>
      <c r="AG3" s="288" t="s">
        <v>123</v>
      </c>
      <c r="AH3" s="288"/>
      <c r="AI3" s="288"/>
      <c r="AJ3" s="288"/>
      <c r="AK3" s="288"/>
      <c r="AM3" s="288" t="s">
        <v>155</v>
      </c>
      <c r="AN3" s="288"/>
      <c r="AO3" s="288"/>
      <c r="AP3" s="288"/>
      <c r="AQ3" s="288"/>
    </row>
    <row r="4" spans="1:43" ht="64.5" thickBot="1">
      <c r="A4" s="8" t="s">
        <v>0</v>
      </c>
      <c r="B4" s="9" t="s">
        <v>203</v>
      </c>
      <c r="C4" s="8" t="s">
        <v>196</v>
      </c>
      <c r="D4" s="9" t="s">
        <v>153</v>
      </c>
      <c r="E4" s="12" t="s">
        <v>154</v>
      </c>
      <c r="F4" s="132" t="s">
        <v>113</v>
      </c>
      <c r="G4" s="8" t="s">
        <v>172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7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7" t="s">
        <v>103</v>
      </c>
      <c r="AM4" s="134" t="s">
        <v>126</v>
      </c>
      <c r="AN4" s="134" t="s">
        <v>124</v>
      </c>
      <c r="AO4" s="134" t="s">
        <v>125</v>
      </c>
      <c r="AP4" s="134" t="s">
        <v>164</v>
      </c>
      <c r="AQ4" s="134" t="s">
        <v>114</v>
      </c>
    </row>
    <row r="5" spans="1:43">
      <c r="A5" s="99"/>
      <c r="B5" s="100" t="s">
        <v>130</v>
      </c>
      <c r="C5" s="245" t="s">
        <v>130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130</v>
      </c>
      <c r="AN5" s="107" t="s">
        <v>130</v>
      </c>
      <c r="AO5" s="107" t="s">
        <v>130</v>
      </c>
      <c r="AP5" s="107" t="s">
        <v>130</v>
      </c>
      <c r="AQ5" s="107"/>
    </row>
    <row r="6" spans="1:43" s="17" customFormat="1" ht="22.5">
      <c r="A6" s="108"/>
      <c r="B6" s="112" t="s">
        <v>204</v>
      </c>
      <c r="C6" s="94" t="s">
        <v>205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3969049162.3585229</v>
      </c>
      <c r="AN6" s="15">
        <f>+AP6*0.25</f>
        <v>1984524581.1792614</v>
      </c>
      <c r="AO6" s="15">
        <f>+AP6*0.25</f>
        <v>1984524581.1792614</v>
      </c>
      <c r="AP6" s="15">
        <f>+'PART MES'!D4+'PART MES'!D5+'PART MES'!D7+'PART MES'!D8+'PART MES'!D9+'PART MES'!D10+'PART MES'!D11</f>
        <v>7938098324.7170458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136</v>
      </c>
      <c r="AN7" s="15" t="s">
        <v>137</v>
      </c>
      <c r="AO7" s="15" t="s">
        <v>74</v>
      </c>
      <c r="AP7" s="24" t="s">
        <v>138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8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8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8">
        <f t="shared" ref="AK8:AK58" si="10">+AJ8+AF8</f>
        <v>1.2024615204675394E-3</v>
      </c>
      <c r="AM8" s="40">
        <f t="shared" ref="AM8:AM39" si="11">+F8*AM$6</f>
        <v>70662.137632502563</v>
      </c>
      <c r="AN8" s="41">
        <f t="shared" ref="AN8:AN39" si="12">+M8*AN$6</f>
        <v>1089478.987686248</v>
      </c>
      <c r="AO8" s="41">
        <f t="shared" ref="AO8:AO39" si="13">+AK8*AO$6</f>
        <v>2386314.4452900216</v>
      </c>
      <c r="AP8" s="41">
        <f>SUM(AM8:AO8)</f>
        <v>3546455.5706087723</v>
      </c>
      <c r="AQ8" s="42">
        <f>+AP8/AP$59</f>
        <v>4.4676387536875034E-4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29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29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29">
        <f t="shared" si="10"/>
        <v>6.7003841024929206E-3</v>
      </c>
      <c r="AM9" s="57">
        <f t="shared" si="11"/>
        <v>705199.48116569943</v>
      </c>
      <c r="AN9" s="58">
        <f t="shared" si="12"/>
        <v>5341534.0903842626</v>
      </c>
      <c r="AO9" s="58">
        <f t="shared" si="13"/>
        <v>13297076.954739945</v>
      </c>
      <c r="AP9" s="58">
        <f t="shared" ref="AP9:AP58" si="23">SUM(AM9:AO9)</f>
        <v>19343810.526289906</v>
      </c>
      <c r="AQ9" s="59">
        <f t="shared" ref="AQ9:AQ58" si="24">+AP9/AP$59</f>
        <v>2.4368318122312267E-3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29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29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29">
        <f t="shared" si="10"/>
        <v>8.7056695028393145E-3</v>
      </c>
      <c r="AM10" s="57">
        <f t="shared" si="11"/>
        <v>142652.95092584367</v>
      </c>
      <c r="AN10" s="58">
        <f t="shared" si="12"/>
        <v>3655341.4681635047</v>
      </c>
      <c r="AO10" s="58">
        <f t="shared" si="13"/>
        <v>17276615.124007259</v>
      </c>
      <c r="AP10" s="58">
        <f t="shared" si="23"/>
        <v>21074609.543096606</v>
      </c>
      <c r="AQ10" s="59">
        <f t="shared" si="24"/>
        <v>2.654868796154375E-3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29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29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29">
        <f t="shared" si="10"/>
        <v>1.5189599064161979E-2</v>
      </c>
      <c r="AM11" s="57">
        <f t="shared" si="11"/>
        <v>15760832.362885842</v>
      </c>
      <c r="AN11" s="58">
        <f t="shared" si="12"/>
        <v>12202222.274342978</v>
      </c>
      <c r="AO11" s="58">
        <f t="shared" si="13"/>
        <v>30144132.721086953</v>
      </c>
      <c r="AP11" s="58">
        <f t="shared" si="23"/>
        <v>58107187.358315773</v>
      </c>
      <c r="AQ11" s="59">
        <f t="shared" si="24"/>
        <v>7.320038752529184E-3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29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29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29">
        <f t="shared" si="10"/>
        <v>1.4897846468279709E-2</v>
      </c>
      <c r="AM12" s="57">
        <f t="shared" si="11"/>
        <v>1067955.9985848265</v>
      </c>
      <c r="AN12" s="58">
        <f t="shared" si="12"/>
        <v>27191372.23731247</v>
      </c>
      <c r="AO12" s="58">
        <f t="shared" si="13"/>
        <v>29565142.522935729</v>
      </c>
      <c r="AP12" s="58">
        <f t="shared" si="23"/>
        <v>57824470.758833021</v>
      </c>
      <c r="AQ12" s="59">
        <f t="shared" si="24"/>
        <v>7.2844235978765321E-3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29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29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29">
        <f t="shared" si="10"/>
        <v>3.9971285953087153E-2</v>
      </c>
      <c r="AM13" s="57">
        <f t="shared" si="11"/>
        <v>222833213.07712299</v>
      </c>
      <c r="AN13" s="58">
        <f t="shared" si="12"/>
        <v>197879465.29743475</v>
      </c>
      <c r="AO13" s="58">
        <f t="shared" si="13"/>
        <v>79323999.515246779</v>
      </c>
      <c r="AP13" s="58">
        <f t="shared" si="23"/>
        <v>500036677.88980448</v>
      </c>
      <c r="AQ13" s="59">
        <f t="shared" si="24"/>
        <v>6.2991998515920161E-2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29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29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29">
        <f t="shared" si="10"/>
        <v>3.2711552009463477E-2</v>
      </c>
      <c r="AM14" s="57">
        <f t="shared" si="11"/>
        <v>131288.20765468586</v>
      </c>
      <c r="AN14" s="58">
        <f t="shared" si="12"/>
        <v>17674096.166347131</v>
      </c>
      <c r="AO14" s="58">
        <f t="shared" si="13"/>
        <v>64916879.051304132</v>
      </c>
      <c r="AP14" s="58">
        <f t="shared" si="23"/>
        <v>82722263.425305948</v>
      </c>
      <c r="AQ14" s="59">
        <f t="shared" si="24"/>
        <v>1.0420916955353356E-2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29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29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29">
        <f t="shared" si="10"/>
        <v>3.4441749558831313E-3</v>
      </c>
      <c r="AM15" s="57">
        <f t="shared" si="11"/>
        <v>476374.63549905299</v>
      </c>
      <c r="AN15" s="58">
        <f t="shared" si="12"/>
        <v>3468679.3307807525</v>
      </c>
      <c r="AO15" s="58">
        <f t="shared" si="13"/>
        <v>6835049.861832072</v>
      </c>
      <c r="AP15" s="58">
        <f t="shared" si="23"/>
        <v>10780103.828111878</v>
      </c>
      <c r="AQ15" s="59">
        <f t="shared" si="24"/>
        <v>1.3580209499982647E-3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29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29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29">
        <f t="shared" si="10"/>
        <v>2.1274556130539607E-2</v>
      </c>
      <c r="AM16" s="57">
        <f t="shared" si="11"/>
        <v>20722308.074213788</v>
      </c>
      <c r="AN16" s="58">
        <f t="shared" si="12"/>
        <v>36766602.356725708</v>
      </c>
      <c r="AO16" s="58">
        <f t="shared" si="13"/>
        <v>42219879.594733804</v>
      </c>
      <c r="AP16" s="58">
        <f t="shared" si="23"/>
        <v>99708790.0256733</v>
      </c>
      <c r="AQ16" s="59">
        <f t="shared" si="24"/>
        <v>1.2560790500063177E-2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29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29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29">
        <f t="shared" si="10"/>
        <v>4.0532322911484417E-3</v>
      </c>
      <c r="AM17" s="57">
        <f t="shared" si="11"/>
        <v>1987152.2113348171</v>
      </c>
      <c r="AN17" s="58">
        <f t="shared" si="12"/>
        <v>13096158.020892249</v>
      </c>
      <c r="AO17" s="58">
        <f t="shared" si="13"/>
        <v>8043739.1150136199</v>
      </c>
      <c r="AP17" s="58">
        <f t="shared" si="23"/>
        <v>23127049.347240686</v>
      </c>
      <c r="AQ17" s="59">
        <f t="shared" si="24"/>
        <v>2.913424399799816E-3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29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29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29">
        <f t="shared" si="10"/>
        <v>8.4664590097587207E-3</v>
      </c>
      <c r="AM18" s="57">
        <f t="shared" si="11"/>
        <v>9469699.4109995812</v>
      </c>
      <c r="AN18" s="58">
        <f t="shared" si="12"/>
        <v>7223107.6940176766</v>
      </c>
      <c r="AO18" s="58">
        <f t="shared" si="13"/>
        <v>16801896.02041281</v>
      </c>
      <c r="AP18" s="58">
        <f t="shared" si="23"/>
        <v>33494703.12543007</v>
      </c>
      <c r="AQ18" s="59">
        <f t="shared" si="24"/>
        <v>4.2194870553740578E-3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29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29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29">
        <f t="shared" si="10"/>
        <v>1.5865661602731191E-2</v>
      </c>
      <c r="AM19" s="57">
        <f t="shared" si="11"/>
        <v>1127440.4740519971</v>
      </c>
      <c r="AN19" s="58">
        <f t="shared" si="12"/>
        <v>23464944.940369345</v>
      </c>
      <c r="AO19" s="58">
        <f t="shared" si="13"/>
        <v>31485795.447292008</v>
      </c>
      <c r="AP19" s="58">
        <f t="shared" si="23"/>
        <v>56078180.86171335</v>
      </c>
      <c r="AQ19" s="59">
        <f t="shared" si="24"/>
        <v>7.0644351540848742E-3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29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29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29">
        <f t="shared" si="10"/>
        <v>3.1037677644834673E-3</v>
      </c>
      <c r="AM20" s="57">
        <f t="shared" si="11"/>
        <v>9778428.9703986533</v>
      </c>
      <c r="AN20" s="58">
        <f t="shared" si="12"/>
        <v>14753684.019694796</v>
      </c>
      <c r="AO20" s="58">
        <f t="shared" si="13"/>
        <v>6159503.4228892457</v>
      </c>
      <c r="AP20" s="58">
        <f t="shared" si="23"/>
        <v>30691616.412982695</v>
      </c>
      <c r="AQ20" s="59">
        <f t="shared" si="24"/>
        <v>3.8663688905713695E-3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29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29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29">
        <f t="shared" si="10"/>
        <v>7.6653090462183035E-2</v>
      </c>
      <c r="AM21" s="57">
        <f t="shared" si="11"/>
        <v>145572.05104066568</v>
      </c>
      <c r="AN21" s="58">
        <f t="shared" si="12"/>
        <v>34838113.730240032</v>
      </c>
      <c r="AO21" s="58">
        <f t="shared" si="13"/>
        <v>152119942.24555984</v>
      </c>
      <c r="AP21" s="58">
        <f t="shared" si="23"/>
        <v>187103628.02684054</v>
      </c>
      <c r="AQ21" s="59">
        <f t="shared" si="24"/>
        <v>2.3570333897761319E-2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29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29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29">
        <f t="shared" si="10"/>
        <v>1.0033256295573299E-2</v>
      </c>
      <c r="AM22" s="57">
        <f t="shared" si="11"/>
        <v>226941.55334621266</v>
      </c>
      <c r="AN22" s="58">
        <f t="shared" si="12"/>
        <v>3878569.9314461579</v>
      </c>
      <c r="AO22" s="58">
        <f t="shared" si="13"/>
        <v>19911243.747836791</v>
      </c>
      <c r="AP22" s="58">
        <f t="shared" si="23"/>
        <v>24016755.232629161</v>
      </c>
      <c r="AQ22" s="59">
        <f t="shared" si="24"/>
        <v>3.0255048816726815E-3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29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29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29">
        <f t="shared" si="10"/>
        <v>2.4273538769986279E-3</v>
      </c>
      <c r="AM23" s="57">
        <f t="shared" si="11"/>
        <v>346769.57761058642</v>
      </c>
      <c r="AN23" s="58">
        <f t="shared" si="12"/>
        <v>3796998.496094286</v>
      </c>
      <c r="AO23" s="58">
        <f t="shared" si="13"/>
        <v>4817143.4361245586</v>
      </c>
      <c r="AP23" s="58">
        <f t="shared" si="23"/>
        <v>8960911.5098294318</v>
      </c>
      <c r="AQ23" s="59">
        <f t="shared" si="24"/>
        <v>1.1288486414847783E-3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29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29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29">
        <f t="shared" si="10"/>
        <v>4.6780203077559736E-2</v>
      </c>
      <c r="AM24" s="57">
        <f t="shared" si="11"/>
        <v>281770.29757696047</v>
      </c>
      <c r="AN24" s="58">
        <f t="shared" si="12"/>
        <v>46049102.170328289</v>
      </c>
      <c r="AO24" s="58">
        <f t="shared" si="13"/>
        <v>92836462.919975027</v>
      </c>
      <c r="AP24" s="58">
        <f t="shared" si="23"/>
        <v>139167335.38788027</v>
      </c>
      <c r="AQ24" s="59">
        <f t="shared" si="24"/>
        <v>1.7531571126368089E-2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29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29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29">
        <f t="shared" si="10"/>
        <v>2.7268078429431852E-2</v>
      </c>
      <c r="AM25" s="57">
        <f t="shared" si="11"/>
        <v>46144996.977733083</v>
      </c>
      <c r="AN25" s="58">
        <f t="shared" si="12"/>
        <v>86327676.187349111</v>
      </c>
      <c r="AO25" s="58">
        <f t="shared" si="13"/>
        <v>54114171.9247315</v>
      </c>
      <c r="AP25" s="58">
        <f t="shared" si="23"/>
        <v>186586845.08981368</v>
      </c>
      <c r="AQ25" s="59">
        <f t="shared" si="24"/>
        <v>2.3505232293335766E-2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29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29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29">
        <f t="shared" si="10"/>
        <v>5.0795958724273293E-3</v>
      </c>
      <c r="AM26" s="57">
        <f t="shared" si="11"/>
        <v>948287.81320194725</v>
      </c>
      <c r="AN26" s="58">
        <f t="shared" si="12"/>
        <v>10588236.738558158</v>
      </c>
      <c r="AO26" s="58">
        <f t="shared" si="13"/>
        <v>10080582.87128875</v>
      </c>
      <c r="AP26" s="58">
        <f t="shared" si="23"/>
        <v>21617107.423048854</v>
      </c>
      <c r="AQ26" s="59">
        <f t="shared" si="24"/>
        <v>2.7232098342419302E-3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29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29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29">
        <f t="shared" si="10"/>
        <v>5.9814059808863618E-2</v>
      </c>
      <c r="AM27" s="57">
        <f t="shared" si="11"/>
        <v>103349423.41192879</v>
      </c>
      <c r="AN27" s="58">
        <f t="shared" si="12"/>
        <v>140784898.33077198</v>
      </c>
      <c r="AO27" s="58">
        <f t="shared" si="13"/>
        <v>118702471.99081637</v>
      </c>
      <c r="AP27" s="58">
        <f t="shared" si="23"/>
        <v>362836793.73351711</v>
      </c>
      <c r="AQ27" s="59">
        <f t="shared" si="24"/>
        <v>4.5708276578502877E-2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29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29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29">
        <f t="shared" si="10"/>
        <v>1.5897883330101534E-2</v>
      </c>
      <c r="AM28" s="57">
        <f t="shared" si="11"/>
        <v>2399547.5703018694</v>
      </c>
      <c r="AN28" s="58">
        <f t="shared" si="12"/>
        <v>16366478.386816226</v>
      </c>
      <c r="AO28" s="58">
        <f t="shared" si="13"/>
        <v>31549740.257306509</v>
      </c>
      <c r="AP28" s="58">
        <f t="shared" si="23"/>
        <v>50315766.214424603</v>
      </c>
      <c r="AQ28" s="59">
        <f t="shared" si="24"/>
        <v>6.3385163746026169E-3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29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29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29">
        <f t="shared" si="10"/>
        <v>9.7205213352830283E-4</v>
      </c>
      <c r="AM29" s="57">
        <f t="shared" si="11"/>
        <v>120977.44045508213</v>
      </c>
      <c r="AN29" s="58">
        <f t="shared" si="12"/>
        <v>2142714.3037563446</v>
      </c>
      <c r="AO29" s="58">
        <f t="shared" si="13"/>
        <v>1929061.3531746627</v>
      </c>
      <c r="AP29" s="58">
        <f t="shared" si="23"/>
        <v>4192753.0973860896</v>
      </c>
      <c r="AQ29" s="59">
        <f t="shared" si="24"/>
        <v>5.2818104864373039E-4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29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29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29">
        <f t="shared" si="10"/>
        <v>1.6702901369743402E-2</v>
      </c>
      <c r="AM30" s="57">
        <f t="shared" si="11"/>
        <v>69194.50511014463</v>
      </c>
      <c r="AN30" s="58">
        <f t="shared" si="12"/>
        <v>8073764.0501243621</v>
      </c>
      <c r="AO30" s="58">
        <f t="shared" si="13"/>
        <v>33147318.345268536</v>
      </c>
      <c r="AP30" s="58">
        <f t="shared" si="23"/>
        <v>41290276.900503039</v>
      </c>
      <c r="AQ30" s="59">
        <f t="shared" si="24"/>
        <v>5.2015325600007394E-3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29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29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29">
        <f t="shared" si="10"/>
        <v>5.7548687858912165E-3</v>
      </c>
      <c r="AM31" s="57">
        <f t="shared" si="11"/>
        <v>6035685.8473282978</v>
      </c>
      <c r="AN31" s="58">
        <f t="shared" si="12"/>
        <v>23029895.041815907</v>
      </c>
      <c r="AO31" s="58">
        <f t="shared" si="13"/>
        <v>11420678.56706237</v>
      </c>
      <c r="AP31" s="58">
        <f t="shared" si="23"/>
        <v>40486259.456206575</v>
      </c>
      <c r="AQ31" s="59">
        <f t="shared" si="24"/>
        <v>5.1002466585912069E-3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29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29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29">
        <f t="shared" si="10"/>
        <v>6.7906130548090318E-2</v>
      </c>
      <c r="AM32" s="57">
        <f t="shared" si="11"/>
        <v>285044214.01471239</v>
      </c>
      <c r="AN32" s="58">
        <f t="shared" si="12"/>
        <v>225550858.74452892</v>
      </c>
      <c r="AO32" s="58">
        <f t="shared" si="13"/>
        <v>134761385.2854532</v>
      </c>
      <c r="AP32" s="58">
        <f t="shared" si="23"/>
        <v>645356458.04469454</v>
      </c>
      <c r="AQ32" s="59">
        <f t="shared" si="24"/>
        <v>8.1298622370956614E-2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29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29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29">
        <f t="shared" si="10"/>
        <v>3.9785184367690171E-3</v>
      </c>
      <c r="AM33" s="57">
        <f t="shared" si="11"/>
        <v>153139.68006822106</v>
      </c>
      <c r="AN33" s="58">
        <f t="shared" si="12"/>
        <v>2886215.8779457193</v>
      </c>
      <c r="AO33" s="58">
        <f t="shared" si="13"/>
        <v>7895467.6344430037</v>
      </c>
      <c r="AP33" s="58">
        <f t="shared" si="23"/>
        <v>10934823.192456944</v>
      </c>
      <c r="AQ33" s="59">
        <f t="shared" si="24"/>
        <v>1.3775116841786808E-3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29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29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29">
        <f t="shared" si="10"/>
        <v>1.0009227049937402E-2</v>
      </c>
      <c r="AM34" s="57">
        <f t="shared" si="11"/>
        <v>339831.68674594426</v>
      </c>
      <c r="AN34" s="58">
        <f t="shared" si="12"/>
        <v>5347433.8786212672</v>
      </c>
      <c r="AO34" s="58">
        <f t="shared" si="13"/>
        <v>19863557.119205158</v>
      </c>
      <c r="AP34" s="58">
        <f t="shared" si="23"/>
        <v>25550822.684572369</v>
      </c>
      <c r="AQ34" s="59">
        <f t="shared" si="24"/>
        <v>3.2187586547037547E-3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29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29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29">
        <f t="shared" si="10"/>
        <v>7.0010598604681555E-3</v>
      </c>
      <c r="AM35" s="57">
        <f t="shared" si="11"/>
        <v>260670.62739397175</v>
      </c>
      <c r="AN35" s="58">
        <f t="shared" si="12"/>
        <v>2556442.1138026775</v>
      </c>
      <c r="AO35" s="58">
        <f t="shared" si="13"/>
        <v>13893775.387406506</v>
      </c>
      <c r="AP35" s="58">
        <f t="shared" si="23"/>
        <v>16710888.128603155</v>
      </c>
      <c r="AQ35" s="59">
        <f t="shared" si="24"/>
        <v>2.1051500554698423E-3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29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29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29">
        <f t="shared" si="10"/>
        <v>7.7164556114936193E-3</v>
      </c>
      <c r="AM36" s="57">
        <f t="shared" si="11"/>
        <v>339151.18681241863</v>
      </c>
      <c r="AN36" s="58">
        <f t="shared" si="12"/>
        <v>2872817.5258865408</v>
      </c>
      <c r="AO36" s="58">
        <f t="shared" si="13"/>
        <v>15313495.840587737</v>
      </c>
      <c r="AP36" s="58">
        <f t="shared" si="23"/>
        <v>18525464.553286698</v>
      </c>
      <c r="AQ36" s="59">
        <f t="shared" si="24"/>
        <v>2.3337408779132295E-3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29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29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29">
        <f t="shared" si="10"/>
        <v>8.9709204139591381E-3</v>
      </c>
      <c r="AM37" s="57">
        <f t="shared" si="11"/>
        <v>55840.754558444751</v>
      </c>
      <c r="AN37" s="58">
        <f t="shared" si="12"/>
        <v>3781097.3507351968</v>
      </c>
      <c r="AO37" s="58">
        <f t="shared" si="13"/>
        <v>17803012.077304747</v>
      </c>
      <c r="AP37" s="58">
        <f t="shared" si="23"/>
        <v>21639950.18259839</v>
      </c>
      <c r="AQ37" s="59">
        <f t="shared" si="24"/>
        <v>2.7260874453038154E-3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29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29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29">
        <f t="shared" si="10"/>
        <v>2.8754909790974444E-2</v>
      </c>
      <c r="AM38" s="57">
        <f t="shared" si="11"/>
        <v>26697940.14648705</v>
      </c>
      <c r="AN38" s="58">
        <f t="shared" si="12"/>
        <v>111024906.94838896</v>
      </c>
      <c r="AO38" s="58">
        <f t="shared" si="13"/>
        <v>57064825.309781</v>
      </c>
      <c r="AP38" s="58">
        <f t="shared" si="23"/>
        <v>194787672.40465701</v>
      </c>
      <c r="AQ38" s="59">
        <f t="shared" si="24"/>
        <v>2.4538329513775606E-2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29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29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29">
        <f t="shared" si="10"/>
        <v>8.3837715003909005E-3</v>
      </c>
      <c r="AM39" s="57">
        <f t="shared" si="11"/>
        <v>839853.66227541876</v>
      </c>
      <c r="AN39" s="58">
        <f t="shared" si="12"/>
        <v>17618800.487123694</v>
      </c>
      <c r="AO39" s="58">
        <f t="shared" si="13"/>
        <v>16637800.62551588</v>
      </c>
      <c r="AP39" s="58">
        <f t="shared" si="23"/>
        <v>35096454.774914995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29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29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29">
        <f t="shared" si="10"/>
        <v>4.5537887298726175E-2</v>
      </c>
      <c r="AM40" s="57">
        <f t="shared" ref="AM40:AM58" si="31">+F40*AM$6</f>
        <v>6397165.2318052603</v>
      </c>
      <c r="AN40" s="58">
        <f t="shared" ref="AN40:AN58" si="32">+M40*AN$6</f>
        <v>38083180.714423776</v>
      </c>
      <c r="AO40" s="58">
        <f t="shared" ref="AO40:AO58" si="33">+AK40*AO$6</f>
        <v>90371056.719292969</v>
      </c>
      <c r="AP40" s="58">
        <f t="shared" si="23"/>
        <v>134851402.66552201</v>
      </c>
      <c r="AQ40" s="59">
        <f t="shared" si="24"/>
        <v>1.6987872554517492E-2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29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29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29">
        <f t="shared" si="10"/>
        <v>1.3964163617687278E-2</v>
      </c>
      <c r="AM41" s="57">
        <f t="shared" si="31"/>
        <v>375256.94728287088</v>
      </c>
      <c r="AN41" s="58">
        <f t="shared" si="32"/>
        <v>3079832.7690816438</v>
      </c>
      <c r="AO41" s="58">
        <f t="shared" si="33"/>
        <v>27712225.954909526</v>
      </c>
      <c r="AP41" s="58">
        <f t="shared" si="23"/>
        <v>31167315.67127404</v>
      </c>
      <c r="AQ41" s="59">
        <f t="shared" si="24"/>
        <v>3.9262949885903557E-3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29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29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29">
        <f t="shared" si="10"/>
        <v>1.4448528707631827E-2</v>
      </c>
      <c r="AM42" s="57">
        <f t="shared" si="31"/>
        <v>288539.31003379158</v>
      </c>
      <c r="AN42" s="58">
        <f t="shared" si="32"/>
        <v>1278435.3502812444</v>
      </c>
      <c r="AO42" s="58">
        <f t="shared" si="33"/>
        <v>28673460.382169586</v>
      </c>
      <c r="AP42" s="58">
        <f t="shared" si="23"/>
        <v>30240435.042484622</v>
      </c>
      <c r="AQ42" s="59">
        <f t="shared" si="24"/>
        <v>3.8095314274861343E-3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29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29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29">
        <f t="shared" si="10"/>
        <v>1.1843769745889727E-2</v>
      </c>
      <c r="AM43" s="57">
        <f t="shared" si="31"/>
        <v>28722.378582874506</v>
      </c>
      <c r="AN43" s="58">
        <f t="shared" si="32"/>
        <v>6971852.8722110577</v>
      </c>
      <c r="AO43" s="58">
        <f t="shared" si="33"/>
        <v>23504252.194545418</v>
      </c>
      <c r="AP43" s="58">
        <f t="shared" si="23"/>
        <v>30504827.445339352</v>
      </c>
      <c r="AQ43" s="59">
        <f t="shared" si="24"/>
        <v>3.8428381959386597E-3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29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29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29">
        <f t="shared" si="10"/>
        <v>9.3940765183880247E-3</v>
      </c>
      <c r="AM44" s="57">
        <f t="shared" si="31"/>
        <v>202035.73955742083</v>
      </c>
      <c r="AN44" s="58">
        <f t="shared" si="32"/>
        <v>19703915.925623626</v>
      </c>
      <c r="AO44" s="58">
        <f t="shared" si="33"/>
        <v>18642775.768219929</v>
      </c>
      <c r="AP44" s="58">
        <f t="shared" si="23"/>
        <v>38548727.433400974</v>
      </c>
      <c r="AQ44" s="59">
        <f t="shared" si="24"/>
        <v>4.8561665346687479E-3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29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29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29">
        <f t="shared" si="10"/>
        <v>2.8645154357091869E-2</v>
      </c>
      <c r="AM45" s="57">
        <f t="shared" si="31"/>
        <v>9625151.9702529851</v>
      </c>
      <c r="AN45" s="58">
        <f t="shared" si="32"/>
        <v>28707530.322131101</v>
      </c>
      <c r="AO45" s="58">
        <f t="shared" si="33"/>
        <v>56847012.953323036</v>
      </c>
      <c r="AP45" s="58">
        <f t="shared" si="23"/>
        <v>95179695.245707124</v>
      </c>
      <c r="AQ45" s="59">
        <f t="shared" si="24"/>
        <v>1.1990238890005158E-2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29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29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29">
        <f t="shared" si="10"/>
        <v>0.13808866567189929</v>
      </c>
      <c r="AM46" s="57">
        <f t="shared" si="31"/>
        <v>1556818942.4690812</v>
      </c>
      <c r="AN46" s="58">
        <f t="shared" si="32"/>
        <v>366965177.20098752</v>
      </c>
      <c r="AO46" s="58">
        <f t="shared" si="33"/>
        <v>274040351.40812898</v>
      </c>
      <c r="AP46" s="58">
        <f t="shared" si="23"/>
        <v>2197824471.0781975</v>
      </c>
      <c r="AQ46" s="59">
        <f t="shared" si="24"/>
        <v>0.27687040159666187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29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29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29">
        <f t="shared" si="10"/>
        <v>1.0454268753916371E-3</v>
      </c>
      <c r="AM47" s="57">
        <f t="shared" si="31"/>
        <v>401545.64605311555</v>
      </c>
      <c r="AN47" s="58">
        <f t="shared" si="32"/>
        <v>5755552.6391662313</v>
      </c>
      <c r="AO47" s="58">
        <f t="shared" si="33"/>
        <v>2074675.3320401327</v>
      </c>
      <c r="AP47" s="58">
        <f t="shared" si="23"/>
        <v>8231773.6172594801</v>
      </c>
      <c r="AQ47" s="59">
        <f t="shared" si="24"/>
        <v>1.0369956733375309E-3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29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29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29">
        <f t="shared" si="10"/>
        <v>7.2872223514353898E-3</v>
      </c>
      <c r="AM48" s="57">
        <f t="shared" si="31"/>
        <v>9562188.9677143451</v>
      </c>
      <c r="AN48" s="58">
        <f t="shared" si="32"/>
        <v>30153127.079172969</v>
      </c>
      <c r="AO48" s="58">
        <f t="shared" si="33"/>
        <v>14461671.88494247</v>
      </c>
      <c r="AP48" s="58">
        <f t="shared" si="23"/>
        <v>54176987.931829788</v>
      </c>
      <c r="AQ48" s="59">
        <f t="shared" si="24"/>
        <v>6.8249328385285432E-3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29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29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29">
        <f t="shared" si="10"/>
        <v>3.5904404406326856E-3</v>
      </c>
      <c r="AM49" s="57">
        <f t="shared" si="31"/>
        <v>232127.58650670867</v>
      </c>
      <c r="AN49" s="58">
        <f t="shared" si="32"/>
        <v>7691115.1162387496</v>
      </c>
      <c r="AO49" s="58">
        <f t="shared" si="33"/>
        <v>7125317.3116956633</v>
      </c>
      <c r="AP49" s="58">
        <f t="shared" si="23"/>
        <v>15048560.014441121</v>
      </c>
      <c r="AQ49" s="59">
        <f t="shared" si="24"/>
        <v>1.8957386768042493E-3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29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29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29">
        <f t="shared" si="10"/>
        <v>1.0697237425868811E-2</v>
      </c>
      <c r="AM50" s="57">
        <f t="shared" si="31"/>
        <v>909672.49153768679</v>
      </c>
      <c r="AN50" s="58">
        <f t="shared" si="32"/>
        <v>3992934.1766208452</v>
      </c>
      <c r="AO50" s="58">
        <f t="shared" si="33"/>
        <v>21228930.622347422</v>
      </c>
      <c r="AP50" s="58">
        <f t="shared" si="23"/>
        <v>26131537.290505953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29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29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29">
        <f t="shared" si="10"/>
        <v>1.0231743355373026E-2</v>
      </c>
      <c r="AM51" s="57">
        <f t="shared" si="31"/>
        <v>5051936.1915943958</v>
      </c>
      <c r="AN51" s="58">
        <f t="shared" si="32"/>
        <v>18830845.178103801</v>
      </c>
      <c r="AO51" s="58">
        <f t="shared" si="33"/>
        <v>20305146.197055347</v>
      </c>
      <c r="AP51" s="58">
        <f t="shared" si="23"/>
        <v>44187927.566753544</v>
      </c>
      <c r="AQ51" s="59">
        <f t="shared" si="24"/>
        <v>5.56656339581541E-3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29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29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29">
        <f t="shared" si="10"/>
        <v>1.782762420039443E-2</v>
      </c>
      <c r="AM52" s="57">
        <f t="shared" si="31"/>
        <v>2355077.0451705395</v>
      </c>
      <c r="AN52" s="58">
        <f t="shared" si="32"/>
        <v>25541613.573769946</v>
      </c>
      <c r="AO52" s="58">
        <f t="shared" si="33"/>
        <v>35379358.449709021</v>
      </c>
      <c r="AP52" s="58">
        <f t="shared" si="23"/>
        <v>63276049.068649501</v>
      </c>
      <c r="AQ52" s="59">
        <f t="shared" si="24"/>
        <v>7.971184845572566E-3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29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29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29">
        <f t="shared" si="10"/>
        <v>3.4836648133901124E-2</v>
      </c>
      <c r="AM53" s="57">
        <f t="shared" si="31"/>
        <v>334997158.10856235</v>
      </c>
      <c r="AN53" s="58">
        <f t="shared" si="32"/>
        <v>142008121.91885197</v>
      </c>
      <c r="AO53" s="58">
        <f t="shared" si="33"/>
        <v>69134184.547619432</v>
      </c>
      <c r="AP53" s="58">
        <f t="shared" si="23"/>
        <v>546139464.57503378</v>
      </c>
      <c r="AQ53" s="59">
        <f t="shared" si="24"/>
        <v>6.8799785822066001E-2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29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29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29">
        <f t="shared" si="10"/>
        <v>1.4535275481205024E-2</v>
      </c>
      <c r="AM54" s="57">
        <f t="shared" si="31"/>
        <v>1113721320.6284277</v>
      </c>
      <c r="AN54" s="58">
        <f t="shared" si="32"/>
        <v>40912951.011750199</v>
      </c>
      <c r="AO54" s="58">
        <f t="shared" si="33"/>
        <v>28845611.486663587</v>
      </c>
      <c r="AP54" s="58">
        <f t="shared" si="23"/>
        <v>1183479883.1268415</v>
      </c>
      <c r="AQ54" s="59">
        <f t="shared" si="24"/>
        <v>0.14908858957337576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29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29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29">
        <f t="shared" si="10"/>
        <v>3.6978618665828682E-2</v>
      </c>
      <c r="AM55" s="57">
        <f t="shared" si="31"/>
        <v>104273212.53446886</v>
      </c>
      <c r="AN55" s="58">
        <f t="shared" si="32"/>
        <v>101946837.8393019</v>
      </c>
      <c r="AO55" s="58">
        <f t="shared" si="33"/>
        <v>73384977.720391288</v>
      </c>
      <c r="AP55" s="58">
        <f t="shared" si="23"/>
        <v>279605028.09416205</v>
      </c>
      <c r="AQ55" s="59">
        <f t="shared" si="24"/>
        <v>3.5223175206024998E-2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29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29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29">
        <f t="shared" si="10"/>
        <v>1.1014773725219315E-2</v>
      </c>
      <c r="AM56" s="57">
        <f t="shared" si="31"/>
        <v>64768435.657833569</v>
      </c>
      <c r="AN56" s="58">
        <f t="shared" si="32"/>
        <v>17433000.374279208</v>
      </c>
      <c r="AO56" s="58">
        <f t="shared" si="33"/>
        <v>21859089.213825196</v>
      </c>
      <c r="AP56" s="58">
        <f t="shared" si="23"/>
        <v>104060525.24593797</v>
      </c>
      <c r="AQ56" s="59">
        <f t="shared" si="24"/>
        <v>1.3108999282853707E-2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29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29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29">
        <f t="shared" si="10"/>
        <v>2.2429611655747409E-3</v>
      </c>
      <c r="AM57" s="57">
        <f t="shared" si="31"/>
        <v>808577.88965135079</v>
      </c>
      <c r="AN57" s="58">
        <f t="shared" si="32"/>
        <v>8724946.3889083285</v>
      </c>
      <c r="AO57" s="58">
        <f t="shared" si="33"/>
        <v>4451211.5677135605</v>
      </c>
      <c r="AP57" s="58">
        <f t="shared" si="23"/>
        <v>13984735.84627324</v>
      </c>
      <c r="AQ57" s="59">
        <f t="shared" si="24"/>
        <v>1.7617236867334628E-3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29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29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29">
        <f t="shared" si="10"/>
        <v>2.0987952321394206E-3</v>
      </c>
      <c r="AM58" s="57">
        <f t="shared" si="31"/>
        <v>159078.76724825954</v>
      </c>
      <c r="AN58" s="58">
        <f t="shared" si="32"/>
        <v>5421903.5498715006</v>
      </c>
      <c r="AO58" s="58">
        <f t="shared" si="33"/>
        <v>4165110.7290425147</v>
      </c>
      <c r="AP58" s="58">
        <f t="shared" si="23"/>
        <v>9746093.0461622756</v>
      </c>
      <c r="AQ58" s="59">
        <f t="shared" si="24"/>
        <v>1.2277616939835115E-3</v>
      </c>
    </row>
    <row r="59" spans="1:43" ht="15.75" thickBot="1">
      <c r="A59" s="6" t="s">
        <v>52</v>
      </c>
      <c r="B59" s="133">
        <f>SUM(B8:B58)</f>
        <v>7376103693</v>
      </c>
      <c r="C59" s="133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30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30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30">
        <f>SUM(AK8:AK58)</f>
        <v>1.0000000000000002</v>
      </c>
      <c r="AM59" s="76">
        <f>SUM(AM8:AM58)</f>
        <v>3969049162.3585229</v>
      </c>
      <c r="AN59" s="77">
        <f>SUM(AN8:AN58)</f>
        <v>1984524581.1792612</v>
      </c>
      <c r="AO59" s="77">
        <f>SUM(AO8:AO58)</f>
        <v>1984524581.1792612</v>
      </c>
      <c r="AP59" s="77">
        <f>SUM(AP8:AP58)</f>
        <v>7938098324.7170467</v>
      </c>
      <c r="AQ59" s="78">
        <f>SUM(AQ8:AQ58)</f>
        <v>1</v>
      </c>
    </row>
    <row r="60" spans="1:43" ht="13.5" thickTop="1">
      <c r="K60" s="80"/>
      <c r="V60" s="82"/>
    </row>
    <row r="61" spans="1:43" ht="86.45" customHeight="1">
      <c r="B61" s="287" t="s">
        <v>173</v>
      </c>
      <c r="C61" s="287"/>
      <c r="D61" s="287"/>
      <c r="E61" s="287"/>
      <c r="F61" s="287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3" max="1048575" man="1"/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zoomScaleSheetLayoutView="100" workbookViewId="0">
      <selection activeCell="I61" sqref="I61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13" width="17.28515625" style="14" customWidth="1"/>
    <col min="14" max="14" width="18" style="14" customWidth="1"/>
    <col min="15" max="16" width="17.28515625" style="14" customWidth="1"/>
    <col min="17" max="17" width="17.28515625" style="181" customWidth="1"/>
    <col min="18" max="18" width="5.42578125" style="14" customWidth="1"/>
    <col min="19" max="16384" width="9.7109375" style="14"/>
  </cols>
  <sheetData>
    <row r="1" spans="1:17" ht="47.25" customHeight="1">
      <c r="A1" s="294" t="s">
        <v>167</v>
      </c>
      <c r="B1" s="294"/>
      <c r="C1" s="294"/>
      <c r="D1" s="294"/>
      <c r="E1" s="294"/>
      <c r="F1" s="294"/>
      <c r="G1" s="294"/>
      <c r="H1" s="294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8.25" customHeight="1" thickBot="1">
      <c r="I2" s="97"/>
    </row>
    <row r="3" spans="1:17" ht="61.15" customHeight="1" thickBot="1">
      <c r="A3" s="298" t="s">
        <v>0</v>
      </c>
      <c r="B3" s="296" t="s">
        <v>132</v>
      </c>
      <c r="C3" s="301" t="s">
        <v>133</v>
      </c>
      <c r="D3" s="290" t="s">
        <v>134</v>
      </c>
      <c r="E3" s="290" t="s">
        <v>152</v>
      </c>
      <c r="F3" s="290" t="s">
        <v>146</v>
      </c>
      <c r="G3" s="290" t="s">
        <v>169</v>
      </c>
      <c r="H3" s="292" t="s">
        <v>170</v>
      </c>
      <c r="I3" s="296" t="s">
        <v>210</v>
      </c>
      <c r="J3" s="251" t="s">
        <v>211</v>
      </c>
      <c r="K3" s="296" t="s">
        <v>208</v>
      </c>
      <c r="L3" s="296" t="s">
        <v>209</v>
      </c>
      <c r="M3" s="296" t="s">
        <v>237</v>
      </c>
      <c r="N3" s="180" t="s">
        <v>238</v>
      </c>
      <c r="O3" s="296" t="s">
        <v>239</v>
      </c>
      <c r="P3" s="296" t="s">
        <v>240</v>
      </c>
      <c r="Q3" s="296" t="s">
        <v>241</v>
      </c>
    </row>
    <row r="4" spans="1:17" ht="20.45" customHeight="1" thickBot="1">
      <c r="A4" s="299"/>
      <c r="B4" s="297"/>
      <c r="C4" s="302"/>
      <c r="D4" s="291"/>
      <c r="E4" s="291"/>
      <c r="F4" s="291"/>
      <c r="G4" s="291"/>
      <c r="H4" s="293"/>
      <c r="I4" s="297"/>
      <c r="J4" s="173">
        <f>IF(I60&lt;I61,I60,I61)</f>
        <v>1.5713322104636523E-2</v>
      </c>
      <c r="K4" s="300"/>
      <c r="L4" s="297"/>
      <c r="M4" s="297"/>
      <c r="N4" s="157">
        <f>+L58/M58</f>
        <v>0.99999999999999323</v>
      </c>
      <c r="O4" s="297"/>
      <c r="P4" s="297"/>
      <c r="Q4" s="297"/>
    </row>
    <row r="5" spans="1:17" ht="20.45" customHeight="1">
      <c r="A5" s="102"/>
      <c r="B5" s="124" t="s">
        <v>130</v>
      </c>
      <c r="C5" s="102"/>
      <c r="D5" s="102"/>
      <c r="E5" s="102"/>
      <c r="F5" s="102"/>
      <c r="G5" s="102"/>
      <c r="H5" s="102"/>
      <c r="I5" s="124" t="s">
        <v>130</v>
      </c>
      <c r="J5" s="124" t="s">
        <v>130</v>
      </c>
      <c r="K5" s="182" t="s">
        <v>130</v>
      </c>
      <c r="L5" s="124" t="s">
        <v>130</v>
      </c>
      <c r="M5" s="125" t="s">
        <v>130</v>
      </c>
      <c r="N5" s="124" t="s">
        <v>130</v>
      </c>
      <c r="O5" s="124" t="s">
        <v>130</v>
      </c>
      <c r="P5" s="124"/>
      <c r="Q5" s="124"/>
    </row>
    <row r="6" spans="1:17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3" t="s">
        <v>147</v>
      </c>
      <c r="L6" s="183" t="s">
        <v>148</v>
      </c>
      <c r="M6" s="183" t="s">
        <v>149</v>
      </c>
      <c r="N6" s="183" t="s">
        <v>150</v>
      </c>
      <c r="O6" s="183"/>
      <c r="P6" s="183"/>
      <c r="Q6" s="183" t="s">
        <v>151</v>
      </c>
    </row>
    <row r="7" spans="1:17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+'[6]Part Fed'!$BH7</f>
        <v>9782556.6947492361</v>
      </c>
      <c r="J7" s="3">
        <f>(+I7*J$4)+I7</f>
        <v>9936273.1591007002</v>
      </c>
      <c r="K7" s="3">
        <f>+'COEF Art 14 F I'!AP8</f>
        <v>3546455.5706087723</v>
      </c>
      <c r="L7" s="3">
        <f t="shared" ref="L7:L38" si="0">IF(K7&lt;J7,J7-K7,0)</f>
        <v>6389817.5884919278</v>
      </c>
      <c r="M7" s="3">
        <f t="shared" ref="M7:M38" si="1">IF(K7&gt;J7,K7-J7,0)</f>
        <v>0</v>
      </c>
      <c r="N7" s="3">
        <f>+M7*N$4</f>
        <v>0</v>
      </c>
      <c r="O7" s="3">
        <f t="shared" ref="O7:O38" si="2">IF(L7&lt;&gt;0,K7+L7,K7-N7)</f>
        <v>9936273.1591007002</v>
      </c>
      <c r="P7" s="174">
        <f t="shared" ref="P7:P38" si="3">+(O7-I7)/I7</f>
        <v>1.5713322104636614E-2</v>
      </c>
      <c r="Q7" s="177">
        <f>+O7/O$58</f>
        <v>1.2517195873175181E-3</v>
      </c>
    </row>
    <row r="8" spans="1:17" ht="12.75" customHeight="1">
      <c r="A8" s="4" t="s">
        <v>2</v>
      </c>
      <c r="B8" s="5">
        <v>14576366.23974626</v>
      </c>
      <c r="C8" s="192">
        <v>2057492.7222054771</v>
      </c>
      <c r="D8" s="192">
        <v>535478.93657359632</v>
      </c>
      <c r="E8" s="192">
        <v>675314.19046624668</v>
      </c>
      <c r="F8" s="192">
        <v>56192.562953092871</v>
      </c>
      <c r="G8" s="192">
        <v>492269.14190235961</v>
      </c>
      <c r="H8" s="192">
        <v>91162.606915986529</v>
      </c>
      <c r="I8" s="5">
        <f>+'[6]Part Fed'!$BH8</f>
        <v>19377066.95181853</v>
      </c>
      <c r="J8" s="5">
        <f t="shared" ref="J8:J57" si="4">(+I8*J$4)+I8</f>
        <v>19681545.04627556</v>
      </c>
      <c r="K8" s="5">
        <f>+'COEF Art 14 F I'!AP9</f>
        <v>19343810.526289906</v>
      </c>
      <c r="L8" s="5">
        <f t="shared" si="0"/>
        <v>337734.51998565346</v>
      </c>
      <c r="M8" s="5">
        <f t="shared" si="1"/>
        <v>0</v>
      </c>
      <c r="N8" s="5">
        <f t="shared" ref="N8:N57" si="5">+M8*N$4</f>
        <v>0</v>
      </c>
      <c r="O8" s="5">
        <f t="shared" si="2"/>
        <v>19681545.04627556</v>
      </c>
      <c r="P8" s="175">
        <f t="shared" si="3"/>
        <v>1.5713322104636437E-2</v>
      </c>
      <c r="Q8" s="178">
        <f t="shared" ref="Q8:Q57" si="6">+O8/O$58</f>
        <v>2.4793778359979072E-3</v>
      </c>
    </row>
    <row r="9" spans="1:17" ht="12.75" customHeight="1">
      <c r="A9" s="4" t="s">
        <v>3</v>
      </c>
      <c r="B9" s="5">
        <v>14372051.346093465</v>
      </c>
      <c r="C9" s="192">
        <v>2028653.1335304263</v>
      </c>
      <c r="D9" s="192">
        <v>527973.20296511694</v>
      </c>
      <c r="E9" s="192">
        <v>665848.40559658967</v>
      </c>
      <c r="F9" s="192">
        <v>55404.919631371144</v>
      </c>
      <c r="G9" s="192">
        <v>485369.07396124443</v>
      </c>
      <c r="H9" s="192">
        <v>89884.793362830373</v>
      </c>
      <c r="I9" s="5">
        <f>+'[6]Part Fed'!$BH9</f>
        <v>20157867.418715145</v>
      </c>
      <c r="J9" s="5">
        <f t="shared" si="4"/>
        <v>20474614.482407976</v>
      </c>
      <c r="K9" s="5">
        <f>+'COEF Art 14 F I'!AP10</f>
        <v>21074609.543096606</v>
      </c>
      <c r="L9" s="5">
        <f t="shared" si="0"/>
        <v>0</v>
      </c>
      <c r="M9" s="5">
        <f t="shared" si="1"/>
        <v>599995.06068862975</v>
      </c>
      <c r="N9" s="5">
        <f t="shared" si="5"/>
        <v>599995.06068862567</v>
      </c>
      <c r="O9" s="5">
        <f t="shared" si="2"/>
        <v>20474614.48240798</v>
      </c>
      <c r="P9" s="175">
        <f t="shared" si="3"/>
        <v>1.571332210463678E-2</v>
      </c>
      <c r="Q9" s="178">
        <f t="shared" si="6"/>
        <v>2.5792845647496817E-3</v>
      </c>
    </row>
    <row r="10" spans="1:17" ht="12.75" customHeight="1">
      <c r="A10" s="4" t="s">
        <v>4</v>
      </c>
      <c r="B10" s="5">
        <v>39994666.972263224</v>
      </c>
      <c r="C10" s="192">
        <v>5645353.2292616945</v>
      </c>
      <c r="D10" s="192">
        <v>1469248.3288835278</v>
      </c>
      <c r="E10" s="192">
        <v>1852928.6178126237</v>
      </c>
      <c r="F10" s="192">
        <v>154181.28254073061</v>
      </c>
      <c r="G10" s="192">
        <v>1350689.1955942744</v>
      </c>
      <c r="H10" s="192">
        <v>250132.16901668301</v>
      </c>
      <c r="I10" s="5">
        <f>+'[6]Part Fed'!$BH10</f>
        <v>55755338.175156303</v>
      </c>
      <c r="J10" s="5">
        <f t="shared" si="4"/>
        <v>56631439.762955472</v>
      </c>
      <c r="K10" s="5">
        <f>+'COEF Art 14 F I'!AP11</f>
        <v>58107187.358315773</v>
      </c>
      <c r="L10" s="5">
        <f t="shared" si="0"/>
        <v>0</v>
      </c>
      <c r="M10" s="5">
        <f t="shared" si="1"/>
        <v>1475747.5953603014</v>
      </c>
      <c r="N10" s="5">
        <f t="shared" si="5"/>
        <v>1475747.5953602914</v>
      </c>
      <c r="O10" s="5">
        <f t="shared" si="2"/>
        <v>56631439.762955479</v>
      </c>
      <c r="P10" s="175">
        <f t="shared" si="3"/>
        <v>1.5713322104636676E-2</v>
      </c>
      <c r="Q10" s="178">
        <f t="shared" si="6"/>
        <v>7.1341318092043313E-3</v>
      </c>
    </row>
    <row r="11" spans="1:17" ht="12.75" customHeight="1">
      <c r="A11" s="4" t="s">
        <v>5</v>
      </c>
      <c r="B11" s="5">
        <v>52971569.298851922</v>
      </c>
      <c r="C11" s="192">
        <v>7477077.3815359473</v>
      </c>
      <c r="D11" s="192">
        <v>1945969.1894567527</v>
      </c>
      <c r="E11" s="192">
        <v>2454140.6171064759</v>
      </c>
      <c r="F11" s="192">
        <v>204207.83846891561</v>
      </c>
      <c r="G11" s="192">
        <v>1788941.6700345716</v>
      </c>
      <c r="H11" s="192">
        <v>331291.50779338833</v>
      </c>
      <c r="I11" s="5">
        <f>+'[6]Part Fed'!$BH11</f>
        <v>70417662.945920616</v>
      </c>
      <c r="J11" s="5">
        <f t="shared" si="4"/>
        <v>71524158.365645602</v>
      </c>
      <c r="K11" s="5">
        <f>+'COEF Art 14 F I'!AP12</f>
        <v>57824470.758833021</v>
      </c>
      <c r="L11" s="5">
        <f t="shared" si="0"/>
        <v>13699687.606812581</v>
      </c>
      <c r="M11" s="5">
        <f t="shared" si="1"/>
        <v>0</v>
      </c>
      <c r="N11" s="5">
        <f t="shared" si="5"/>
        <v>0</v>
      </c>
      <c r="O11" s="5">
        <f t="shared" si="2"/>
        <v>71524158.365645602</v>
      </c>
      <c r="P11" s="175">
        <f t="shared" si="3"/>
        <v>1.5713322104636628E-2</v>
      </c>
      <c r="Q11" s="178">
        <f t="shared" si="6"/>
        <v>9.0102384021799199E-3</v>
      </c>
    </row>
    <row r="12" spans="1:17" ht="12.75" customHeight="1">
      <c r="A12" s="4" t="s">
        <v>6</v>
      </c>
      <c r="B12" s="5">
        <v>345472493.01836276</v>
      </c>
      <c r="C12" s="192">
        <v>48764357.893887833</v>
      </c>
      <c r="D12" s="192">
        <v>12691314.154321574</v>
      </c>
      <c r="E12" s="192">
        <v>16005530.672995448</v>
      </c>
      <c r="F12" s="192">
        <v>1331812.3662101035</v>
      </c>
      <c r="G12" s="192">
        <v>11667204.630520202</v>
      </c>
      <c r="H12" s="192">
        <v>2160632.66820582</v>
      </c>
      <c r="I12" s="5">
        <f>+'[6]Part Fed'!$BH12</f>
        <v>480420096.49022204</v>
      </c>
      <c r="J12" s="5">
        <f t="shared" si="4"/>
        <v>487969092.21191347</v>
      </c>
      <c r="K12" s="5">
        <f>+'COEF Art 14 F I'!AP13</f>
        <v>500036677.88980448</v>
      </c>
      <c r="L12" s="5">
        <f t="shared" si="0"/>
        <v>0</v>
      </c>
      <c r="M12" s="5">
        <f t="shared" si="1"/>
        <v>12067585.677891016</v>
      </c>
      <c r="N12" s="5">
        <f t="shared" si="5"/>
        <v>12067585.677890934</v>
      </c>
      <c r="O12" s="5">
        <f t="shared" si="2"/>
        <v>487969092.21191353</v>
      </c>
      <c r="P12" s="175">
        <f t="shared" si="3"/>
        <v>1.5713322104636673E-2</v>
      </c>
      <c r="Q12" s="178">
        <f t="shared" si="6"/>
        <v>6.1471787353970235E-2</v>
      </c>
    </row>
    <row r="13" spans="1:17" ht="12.75" customHeight="1">
      <c r="A13" s="4" t="s">
        <v>7</v>
      </c>
      <c r="B13" s="5">
        <v>59046361.196344882</v>
      </c>
      <c r="C13" s="192">
        <v>8334550.3561050957</v>
      </c>
      <c r="D13" s="192">
        <v>2169133.3890708839</v>
      </c>
      <c r="E13" s="192">
        <v>2735582.0343315811</v>
      </c>
      <c r="F13" s="192">
        <v>227626.44091840737</v>
      </c>
      <c r="G13" s="192">
        <v>1994097.9171697502</v>
      </c>
      <c r="H13" s="192">
        <v>369284.09502253646</v>
      </c>
      <c r="I13" s="5">
        <f>+'[6]Part Fed'!$BH13</f>
        <v>80382217.062349468</v>
      </c>
      <c r="J13" s="5">
        <f t="shared" si="4"/>
        <v>81645288.730534971</v>
      </c>
      <c r="K13" s="5">
        <f>+'COEF Art 14 F I'!AP14</f>
        <v>82722263.425305948</v>
      </c>
      <c r="L13" s="5">
        <f t="shared" si="0"/>
        <v>0</v>
      </c>
      <c r="M13" s="5">
        <f t="shared" si="1"/>
        <v>1076974.6947709769</v>
      </c>
      <c r="N13" s="5">
        <f t="shared" si="5"/>
        <v>1076974.6947709697</v>
      </c>
      <c r="O13" s="5">
        <f t="shared" si="2"/>
        <v>81645288.730534971</v>
      </c>
      <c r="P13" s="175">
        <f t="shared" si="3"/>
        <v>1.5713322104636464E-2</v>
      </c>
      <c r="Q13" s="178">
        <f t="shared" si="6"/>
        <v>1.0285245330901747E-2</v>
      </c>
    </row>
    <row r="14" spans="1:17" ht="12.75" customHeight="1">
      <c r="A14" s="4" t="s">
        <v>8</v>
      </c>
      <c r="B14" s="5">
        <v>9614635.2259016</v>
      </c>
      <c r="C14" s="192">
        <v>1357131.2409818619</v>
      </c>
      <c r="D14" s="192">
        <v>353204.2596645439</v>
      </c>
      <c r="E14" s="192">
        <v>445440.2076220765</v>
      </c>
      <c r="F14" s="192">
        <v>37064.861455615079</v>
      </c>
      <c r="G14" s="192">
        <v>324702.88921892311</v>
      </c>
      <c r="H14" s="192">
        <v>60131.256125375949</v>
      </c>
      <c r="I14" s="5">
        <f>+'[6]Part Fed'!$BH14</f>
        <v>12781198.511711607</v>
      </c>
      <c r="J14" s="5">
        <f t="shared" si="4"/>
        <v>12982033.600809433</v>
      </c>
      <c r="K14" s="5">
        <f>+'COEF Art 14 F I'!AP15</f>
        <v>10780103.828111878</v>
      </c>
      <c r="L14" s="5">
        <f t="shared" si="0"/>
        <v>2201929.7726975549</v>
      </c>
      <c r="M14" s="5">
        <f t="shared" si="1"/>
        <v>0</v>
      </c>
      <c r="N14" s="5">
        <f t="shared" si="5"/>
        <v>0</v>
      </c>
      <c r="O14" s="5">
        <f t="shared" si="2"/>
        <v>12982033.600809433</v>
      </c>
      <c r="P14" s="175">
        <f t="shared" si="3"/>
        <v>1.5713322104636555E-2</v>
      </c>
      <c r="Q14" s="178">
        <f t="shared" si="6"/>
        <v>1.6354085159649594E-3</v>
      </c>
    </row>
    <row r="15" spans="1:17" ht="12.75" customHeight="1">
      <c r="A15" s="4" t="s">
        <v>9</v>
      </c>
      <c r="B15" s="5">
        <v>95571355.506969333</v>
      </c>
      <c r="C15" s="192">
        <v>13490150.0945221</v>
      </c>
      <c r="D15" s="192">
        <v>3510919.4549614945</v>
      </c>
      <c r="E15" s="192">
        <v>4427762.8260988574</v>
      </c>
      <c r="F15" s="192">
        <v>368431.97560404323</v>
      </c>
      <c r="G15" s="192">
        <v>3227610.2556737154</v>
      </c>
      <c r="H15" s="192">
        <v>597716.45218085009</v>
      </c>
      <c r="I15" s="5">
        <f>+'[6]Part Fed'!$BH15</f>
        <v>127047614.19104084</v>
      </c>
      <c r="J15" s="5">
        <f t="shared" si="4"/>
        <v>129043954.27545026</v>
      </c>
      <c r="K15" s="5">
        <f>+'COEF Art 14 F I'!AP16</f>
        <v>99708790.0256733</v>
      </c>
      <c r="L15" s="5">
        <f t="shared" si="0"/>
        <v>29335164.249776959</v>
      </c>
      <c r="M15" s="5">
        <f t="shared" si="1"/>
        <v>0</v>
      </c>
      <c r="N15" s="5">
        <f t="shared" si="5"/>
        <v>0</v>
      </c>
      <c r="O15" s="5">
        <f t="shared" si="2"/>
        <v>129043954.27545026</v>
      </c>
      <c r="P15" s="175">
        <f t="shared" si="3"/>
        <v>1.571332210463653E-2</v>
      </c>
      <c r="Q15" s="178">
        <f t="shared" si="6"/>
        <v>1.6256280660273889E-2</v>
      </c>
    </row>
    <row r="16" spans="1:17" ht="12.75" customHeight="1">
      <c r="A16" s="4" t="s">
        <v>10</v>
      </c>
      <c r="B16" s="5">
        <v>13653729.802358963</v>
      </c>
      <c r="C16" s="192">
        <v>1927260.1440757033</v>
      </c>
      <c r="D16" s="192">
        <v>501584.86652827612</v>
      </c>
      <c r="E16" s="192">
        <v>632569.00496796379</v>
      </c>
      <c r="F16" s="192">
        <v>52635.757008595327</v>
      </c>
      <c r="G16" s="192">
        <v>461110.11091684276</v>
      </c>
      <c r="H16" s="192">
        <v>85392.31125488026</v>
      </c>
      <c r="I16" s="5">
        <f>+'[6]Part Fed'!$BH16</f>
        <v>21108810.62306257</v>
      </c>
      <c r="J16" s="5">
        <f t="shared" si="4"/>
        <v>21440500.163628526</v>
      </c>
      <c r="K16" s="5">
        <f>+'COEF Art 14 F I'!AP17</f>
        <v>23127049.347240686</v>
      </c>
      <c r="L16" s="5">
        <f t="shared" si="0"/>
        <v>0</v>
      </c>
      <c r="M16" s="5">
        <f t="shared" si="1"/>
        <v>1686549.1836121604</v>
      </c>
      <c r="N16" s="5">
        <f t="shared" si="5"/>
        <v>1686549.183612149</v>
      </c>
      <c r="O16" s="5">
        <f t="shared" si="2"/>
        <v>21440500.163628537</v>
      </c>
      <c r="P16" s="175">
        <f t="shared" si="3"/>
        <v>1.5713322104637103E-2</v>
      </c>
      <c r="Q16" s="178">
        <f t="shared" si="6"/>
        <v>2.700961777818844E-3</v>
      </c>
    </row>
    <row r="17" spans="1:17" s="11" customFormat="1" ht="12.75" customHeight="1">
      <c r="A17" s="4" t="s">
        <v>11</v>
      </c>
      <c r="B17" s="5">
        <v>19976001.592748493</v>
      </c>
      <c r="C17" s="192">
        <v>2819665.5613501002</v>
      </c>
      <c r="D17" s="192">
        <v>733840.51374347787</v>
      </c>
      <c r="E17" s="192">
        <v>925476.01524834731</v>
      </c>
      <c r="F17" s="192">
        <v>77008.405839252242</v>
      </c>
      <c r="G17" s="192">
        <v>674624.18279911578</v>
      </c>
      <c r="H17" s="192">
        <v>124932.67190199086</v>
      </c>
      <c r="I17" s="5">
        <f>+'[6]Part Fed'!$BH17</f>
        <v>30667968.334768124</v>
      </c>
      <c r="J17" s="5">
        <f t="shared" si="4"/>
        <v>31149863.999507129</v>
      </c>
      <c r="K17" s="5">
        <f>+'COEF Art 14 F I'!AP18</f>
        <v>33494703.12543007</v>
      </c>
      <c r="L17" s="5">
        <f t="shared" si="0"/>
        <v>0</v>
      </c>
      <c r="M17" s="5">
        <f t="shared" si="1"/>
        <v>2344839.1259229407</v>
      </c>
      <c r="N17" s="5">
        <f t="shared" si="5"/>
        <v>2344839.1259229248</v>
      </c>
      <c r="O17" s="5">
        <f t="shared" si="2"/>
        <v>31149863.999507144</v>
      </c>
      <c r="P17" s="175">
        <f t="shared" si="3"/>
        <v>1.571332210463702E-2</v>
      </c>
      <c r="Q17" s="178">
        <f t="shared" si="6"/>
        <v>3.9240965184967631E-3</v>
      </c>
    </row>
    <row r="18" spans="1:17" ht="12.75" customHeight="1">
      <c r="A18" s="4" t="s">
        <v>12</v>
      </c>
      <c r="B18" s="5">
        <v>48519433.955937073</v>
      </c>
      <c r="C18" s="192">
        <v>6848646.6796959136</v>
      </c>
      <c r="D18" s="192">
        <v>1782415.073177408</v>
      </c>
      <c r="E18" s="192">
        <v>2247875.8920374489</v>
      </c>
      <c r="F18" s="192">
        <v>187044.65174476066</v>
      </c>
      <c r="G18" s="192">
        <v>1638585.346048024</v>
      </c>
      <c r="H18" s="192">
        <v>303447.23868493165</v>
      </c>
      <c r="I18" s="5">
        <f>+'[6]Part Fed'!$BH18</f>
        <v>64499224.619159676</v>
      </c>
      <c r="J18" s="5">
        <f t="shared" si="4"/>
        <v>65512721.711099833</v>
      </c>
      <c r="K18" s="5">
        <f>+'COEF Art 14 F I'!AP19</f>
        <v>56078180.86171335</v>
      </c>
      <c r="L18" s="5">
        <f t="shared" si="0"/>
        <v>9434540.8493864834</v>
      </c>
      <c r="M18" s="5">
        <f t="shared" si="1"/>
        <v>0</v>
      </c>
      <c r="N18" s="5">
        <f t="shared" si="5"/>
        <v>0</v>
      </c>
      <c r="O18" s="5">
        <f t="shared" si="2"/>
        <v>65512721.711099833</v>
      </c>
      <c r="P18" s="175">
        <f t="shared" si="3"/>
        <v>1.571332210463651E-2</v>
      </c>
      <c r="Q18" s="178">
        <f t="shared" si="6"/>
        <v>8.2529491360810326E-3</v>
      </c>
    </row>
    <row r="19" spans="1:17" ht="12.75" customHeight="1">
      <c r="A19" s="4" t="s">
        <v>13</v>
      </c>
      <c r="B19" s="5">
        <v>24687151.460771684</v>
      </c>
      <c r="C19" s="192">
        <v>3484656.8497997792</v>
      </c>
      <c r="D19" s="192">
        <v>906909.815095003</v>
      </c>
      <c r="E19" s="192">
        <v>1143740.7258737253</v>
      </c>
      <c r="F19" s="192">
        <v>95170.105482757135</v>
      </c>
      <c r="G19" s="192">
        <v>833727.87605117215</v>
      </c>
      <c r="H19" s="192">
        <v>154396.85361067939</v>
      </c>
      <c r="I19" s="5">
        <f>+'[6]Part Fed'!$BH19</f>
        <v>32817821.591273677</v>
      </c>
      <c r="J19" s="5">
        <f t="shared" si="4"/>
        <v>33333498.592709854</v>
      </c>
      <c r="K19" s="5">
        <f>+'COEF Art 14 F I'!AP20</f>
        <v>30691616.412982695</v>
      </c>
      <c r="L19" s="5">
        <f t="shared" si="0"/>
        <v>2641882.1797271594</v>
      </c>
      <c r="M19" s="5">
        <f t="shared" si="1"/>
        <v>0</v>
      </c>
      <c r="N19" s="5">
        <f t="shared" si="5"/>
        <v>0</v>
      </c>
      <c r="O19" s="5">
        <f t="shared" si="2"/>
        <v>33333498.592709854</v>
      </c>
      <c r="P19" s="175">
        <f t="shared" si="3"/>
        <v>1.5713322104636499E-2</v>
      </c>
      <c r="Q19" s="178">
        <f t="shared" si="6"/>
        <v>4.1991793536896044E-3</v>
      </c>
    </row>
    <row r="20" spans="1:17" ht="12.75" customHeight="1">
      <c r="A20" s="4" t="s">
        <v>14</v>
      </c>
      <c r="B20" s="5">
        <v>129251977.08819351</v>
      </c>
      <c r="C20" s="192">
        <v>18244259.084576715</v>
      </c>
      <c r="D20" s="192">
        <v>4748214.3425108716</v>
      </c>
      <c r="E20" s="192">
        <v>5988165.5577144232</v>
      </c>
      <c r="F20" s="192">
        <v>498272.3224624148</v>
      </c>
      <c r="G20" s="192">
        <v>4365063.1991389329</v>
      </c>
      <c r="H20" s="192">
        <v>808359.70958781976</v>
      </c>
      <c r="I20" s="5">
        <f>+'[6]Part Fed'!$BH20</f>
        <v>179755444.69518831</v>
      </c>
      <c r="J20" s="5">
        <f t="shared" si="4"/>
        <v>182579999.897746</v>
      </c>
      <c r="K20" s="5">
        <f>+'COEF Art 14 F I'!AP21</f>
        <v>187103628.02684054</v>
      </c>
      <c r="L20" s="5">
        <f t="shared" si="0"/>
        <v>0</v>
      </c>
      <c r="M20" s="5">
        <f t="shared" si="1"/>
        <v>4523628.1290945411</v>
      </c>
      <c r="N20" s="5">
        <f t="shared" si="5"/>
        <v>4523628.1290945103</v>
      </c>
      <c r="O20" s="5">
        <f t="shared" si="2"/>
        <v>182579999.89774603</v>
      </c>
      <c r="P20" s="175">
        <f t="shared" si="3"/>
        <v>1.5713322104636759E-2</v>
      </c>
      <c r="Q20" s="178">
        <f t="shared" si="6"/>
        <v>2.3000470947713302E-2</v>
      </c>
    </row>
    <row r="21" spans="1:17" ht="12.75" customHeight="1">
      <c r="A21" s="4" t="s">
        <v>15</v>
      </c>
      <c r="B21" s="5">
        <v>16327622.596552014</v>
      </c>
      <c r="C21" s="192">
        <v>2304687.19780913</v>
      </c>
      <c r="D21" s="192">
        <v>599813.27588639664</v>
      </c>
      <c r="E21" s="192">
        <v>756448.83331509889</v>
      </c>
      <c r="F21" s="192">
        <v>62943.736836790253</v>
      </c>
      <c r="G21" s="192">
        <v>551412.10317407991</v>
      </c>
      <c r="H21" s="192">
        <v>102115.20595466773</v>
      </c>
      <c r="I21" s="5">
        <f>+'[6]Part Fed'!$BH21</f>
        <v>22947725.690392174</v>
      </c>
      <c r="J21" s="5">
        <f t="shared" si="4"/>
        <v>23308310.695734147</v>
      </c>
      <c r="K21" s="5">
        <f>+'COEF Art 14 F I'!AP22</f>
        <v>24016755.232629161</v>
      </c>
      <c r="L21" s="5">
        <f t="shared" si="0"/>
        <v>0</v>
      </c>
      <c r="M21" s="5">
        <f t="shared" si="1"/>
        <v>708444.53689501435</v>
      </c>
      <c r="N21" s="5">
        <f t="shared" si="5"/>
        <v>708444.53689500957</v>
      </c>
      <c r="O21" s="5">
        <f t="shared" si="2"/>
        <v>23308310.695734151</v>
      </c>
      <c r="P21" s="175">
        <f t="shared" si="3"/>
        <v>1.5713322104636617E-2</v>
      </c>
      <c r="Q21" s="178">
        <f t="shared" si="6"/>
        <v>2.9362587539585533E-3</v>
      </c>
    </row>
    <row r="22" spans="1:17" ht="12.75" customHeight="1">
      <c r="A22" s="4" t="s">
        <v>16</v>
      </c>
      <c r="B22" s="5">
        <v>12021064.558850277</v>
      </c>
      <c r="C22" s="192">
        <v>1696805.1183809435</v>
      </c>
      <c r="D22" s="192">
        <v>441607.10293512425</v>
      </c>
      <c r="E22" s="192">
        <v>556928.61633557442</v>
      </c>
      <c r="F22" s="192">
        <v>46341.757326628933</v>
      </c>
      <c r="G22" s="192">
        <v>405972.1770026756</v>
      </c>
      <c r="H22" s="192">
        <v>75181.397411790167</v>
      </c>
      <c r="I22" s="5">
        <f>+'[6]Part Fed'!$BH22</f>
        <v>15980181.134158269</v>
      </c>
      <c r="J22" s="5">
        <f t="shared" si="4"/>
        <v>16231282.867609734</v>
      </c>
      <c r="K22" s="5">
        <f>+'COEF Art 14 F I'!AP23</f>
        <v>8960911.5098294318</v>
      </c>
      <c r="L22" s="5">
        <f t="shared" si="0"/>
        <v>7270371.3577803019</v>
      </c>
      <c r="M22" s="5">
        <f t="shared" si="1"/>
        <v>0</v>
      </c>
      <c r="N22" s="5">
        <f t="shared" si="5"/>
        <v>0</v>
      </c>
      <c r="O22" s="5">
        <f t="shared" si="2"/>
        <v>16231282.867609734</v>
      </c>
      <c r="P22" s="175">
        <f t="shared" si="3"/>
        <v>1.5713322104636555E-2</v>
      </c>
      <c r="Q22" s="178">
        <f t="shared" si="6"/>
        <v>2.044731899713311E-3</v>
      </c>
    </row>
    <row r="23" spans="1:17" ht="12.75" customHeight="1">
      <c r="A23" s="4" t="s">
        <v>17</v>
      </c>
      <c r="B23" s="5">
        <v>105426348.73077556</v>
      </c>
      <c r="C23" s="192">
        <v>14881208.50385846</v>
      </c>
      <c r="D23" s="192">
        <v>3872953.5315363719</v>
      </c>
      <c r="E23" s="192">
        <v>4884338.6737087974</v>
      </c>
      <c r="F23" s="192">
        <v>406423.42820771184</v>
      </c>
      <c r="G23" s="192">
        <v>3560430.4509092262</v>
      </c>
      <c r="H23" s="192">
        <v>659350.94040959794</v>
      </c>
      <c r="I23" s="5">
        <f>+'[6]Part Fed'!$BH23</f>
        <v>140148332.18663472</v>
      </c>
      <c r="J23" s="5">
        <f t="shared" si="4"/>
        <v>142350528.0727109</v>
      </c>
      <c r="K23" s="5">
        <f>+'COEF Art 14 F I'!AP24</f>
        <v>139167335.38788027</v>
      </c>
      <c r="L23" s="5">
        <f t="shared" si="0"/>
        <v>3183192.6848306358</v>
      </c>
      <c r="M23" s="5">
        <f t="shared" si="1"/>
        <v>0</v>
      </c>
      <c r="N23" s="5">
        <f t="shared" si="5"/>
        <v>0</v>
      </c>
      <c r="O23" s="5">
        <f t="shared" si="2"/>
        <v>142350528.0727109</v>
      </c>
      <c r="P23" s="175">
        <f t="shared" si="3"/>
        <v>1.5713322104636468E-2</v>
      </c>
      <c r="Q23" s="178">
        <f t="shared" si="6"/>
        <v>1.7932573048316962E-2</v>
      </c>
    </row>
    <row r="24" spans="1:17" ht="12.75" customHeight="1">
      <c r="A24" s="4" t="s">
        <v>18</v>
      </c>
      <c r="B24" s="5">
        <v>113489960.67171809</v>
      </c>
      <c r="C24" s="192">
        <v>16019408.697944999</v>
      </c>
      <c r="D24" s="192">
        <v>4169179.2352610994</v>
      </c>
      <c r="E24" s="192">
        <v>5257920.9150282089</v>
      </c>
      <c r="F24" s="192">
        <v>437509.02349046944</v>
      </c>
      <c r="G24" s="192">
        <v>3832752.5965930833</v>
      </c>
      <c r="H24" s="192">
        <v>709781.88277251832</v>
      </c>
      <c r="I24" s="5">
        <f>+'[6]Part Fed'!$BH24</f>
        <v>171896741.95973486</v>
      </c>
      <c r="J24" s="5">
        <f t="shared" si="4"/>
        <v>174597810.83488575</v>
      </c>
      <c r="K24" s="5">
        <f>+'COEF Art 14 F I'!AP25</f>
        <v>186586845.08981368</v>
      </c>
      <c r="L24" s="5">
        <f t="shared" si="0"/>
        <v>0</v>
      </c>
      <c r="M24" s="5">
        <f t="shared" si="1"/>
        <v>11989034.254927933</v>
      </c>
      <c r="N24" s="5">
        <f t="shared" si="5"/>
        <v>11989034.254927851</v>
      </c>
      <c r="O24" s="5">
        <f t="shared" si="2"/>
        <v>174597810.83488584</v>
      </c>
      <c r="P24" s="175">
        <f t="shared" si="3"/>
        <v>1.5713322104636968E-2</v>
      </c>
      <c r="Q24" s="178">
        <f t="shared" si="6"/>
        <v>2.1994916627731419E-2</v>
      </c>
    </row>
    <row r="25" spans="1:17" ht="12.75" customHeight="1">
      <c r="A25" s="4" t="s">
        <v>19</v>
      </c>
      <c r="B25" s="5">
        <v>20262980.828679498</v>
      </c>
      <c r="C25" s="192">
        <v>2860173.4409990315</v>
      </c>
      <c r="D25" s="192">
        <v>744383.01339918515</v>
      </c>
      <c r="E25" s="192">
        <v>938771.58886417933</v>
      </c>
      <c r="F25" s="192">
        <v>78114.724006324599</v>
      </c>
      <c r="G25" s="192">
        <v>684315.96879879571</v>
      </c>
      <c r="H25" s="192">
        <v>126727.47966459139</v>
      </c>
      <c r="I25" s="5">
        <f>+'[6]Part Fed'!$BH25</f>
        <v>26936558.103905931</v>
      </c>
      <c r="J25" s="5">
        <f t="shared" si="4"/>
        <v>27359820.917782862</v>
      </c>
      <c r="K25" s="5">
        <f>+'COEF Art 14 F I'!AP26</f>
        <v>21617107.423048854</v>
      </c>
      <c r="L25" s="5">
        <f t="shared" si="0"/>
        <v>5742713.4947340079</v>
      </c>
      <c r="M25" s="5">
        <f t="shared" si="1"/>
        <v>0</v>
      </c>
      <c r="N25" s="5">
        <f t="shared" si="5"/>
        <v>0</v>
      </c>
      <c r="O25" s="5">
        <f t="shared" si="2"/>
        <v>27359820.917782862</v>
      </c>
      <c r="P25" s="175">
        <f t="shared" si="3"/>
        <v>1.5713322104636503E-2</v>
      </c>
      <c r="Q25" s="178">
        <f t="shared" si="6"/>
        <v>3.4466467658370945E-3</v>
      </c>
    </row>
    <row r="26" spans="1:17" ht="12.75" customHeight="1">
      <c r="A26" s="4" t="s">
        <v>20</v>
      </c>
      <c r="B26" s="5">
        <v>276982955.19764858</v>
      </c>
      <c r="C26" s="192">
        <v>39096878.132776573</v>
      </c>
      <c r="D26" s="192">
        <v>10175275.226956585</v>
      </c>
      <c r="E26" s="192">
        <v>12832452.003862159</v>
      </c>
      <c r="F26" s="192">
        <v>1067782.0446388081</v>
      </c>
      <c r="G26" s="192">
        <v>9354194.2781782262</v>
      </c>
      <c r="H26" s="192">
        <v>1732289.6428236314</v>
      </c>
      <c r="I26" s="5">
        <f>+'[6]Part Fed'!$BH26</f>
        <v>368206806.7652095</v>
      </c>
      <c r="J26" s="5">
        <f t="shared" si="4"/>
        <v>373992558.92103088</v>
      </c>
      <c r="K26" s="5">
        <f>+'COEF Art 14 F I'!AP27</f>
        <v>362836793.73351711</v>
      </c>
      <c r="L26" s="5">
        <f t="shared" si="0"/>
        <v>11155765.187513769</v>
      </c>
      <c r="M26" s="5">
        <f t="shared" si="1"/>
        <v>0</v>
      </c>
      <c r="N26" s="5">
        <f t="shared" si="5"/>
        <v>0</v>
      </c>
      <c r="O26" s="5">
        <f t="shared" si="2"/>
        <v>373992558.92103088</v>
      </c>
      <c r="P26" s="175">
        <f t="shared" si="3"/>
        <v>1.5713322104636489E-2</v>
      </c>
      <c r="Q26" s="178">
        <f t="shared" si="6"/>
        <v>4.7113621376611244E-2</v>
      </c>
    </row>
    <row r="27" spans="1:17" s="11" customFormat="1" ht="12.75" customHeight="1">
      <c r="A27" s="4" t="s">
        <v>21</v>
      </c>
      <c r="B27" s="5">
        <v>40895486.4857333</v>
      </c>
      <c r="C27" s="192">
        <v>5772506.2907662932</v>
      </c>
      <c r="D27" s="192">
        <v>1502340.9300960016</v>
      </c>
      <c r="E27" s="192">
        <v>1894663.0384828388</v>
      </c>
      <c r="F27" s="192">
        <v>157653.98323903049</v>
      </c>
      <c r="G27" s="192">
        <v>1381111.4312644987</v>
      </c>
      <c r="H27" s="192">
        <v>255766.01862343462</v>
      </c>
      <c r="I27" s="5">
        <f>+'[6]Part Fed'!$BH27</f>
        <v>54364343.391733974</v>
      </c>
      <c r="J27" s="5">
        <f t="shared" si="4"/>
        <v>55218587.830455355</v>
      </c>
      <c r="K27" s="5">
        <f>+'COEF Art 14 F I'!AP28</f>
        <v>50315766.214424603</v>
      </c>
      <c r="L27" s="5">
        <f t="shared" si="0"/>
        <v>4902821.6160307527</v>
      </c>
      <c r="M27" s="5">
        <f t="shared" si="1"/>
        <v>0</v>
      </c>
      <c r="N27" s="5">
        <f t="shared" si="5"/>
        <v>0</v>
      </c>
      <c r="O27" s="5">
        <f t="shared" si="2"/>
        <v>55218587.830455355</v>
      </c>
      <c r="P27" s="175">
        <f t="shared" si="3"/>
        <v>1.5713322104636471E-2</v>
      </c>
      <c r="Q27" s="178">
        <f t="shared" si="6"/>
        <v>6.9561481316652287E-3</v>
      </c>
    </row>
    <row r="28" spans="1:17" ht="12.75" customHeight="1">
      <c r="A28" s="4" t="s">
        <v>22</v>
      </c>
      <c r="B28" s="5">
        <v>6559653.4378309054</v>
      </c>
      <c r="C28" s="192">
        <v>925912.46587408532</v>
      </c>
      <c r="D28" s="192">
        <v>240976.1245984016</v>
      </c>
      <c r="E28" s="192">
        <v>303904.75775977928</v>
      </c>
      <c r="F28" s="192">
        <v>25287.766010618696</v>
      </c>
      <c r="G28" s="192">
        <v>221530.8613893674</v>
      </c>
      <c r="H28" s="192">
        <v>41024.978243719575</v>
      </c>
      <c r="I28" s="5">
        <f>+'[6]Part Fed'!$BH28</f>
        <v>8720063.8180307318</v>
      </c>
      <c r="J28" s="5">
        <f t="shared" si="4"/>
        <v>8857084.9895764347</v>
      </c>
      <c r="K28" s="5">
        <f>+'COEF Art 14 F I'!AP29</f>
        <v>4192753.0973860896</v>
      </c>
      <c r="L28" s="5">
        <f t="shared" si="0"/>
        <v>4664331.8921903446</v>
      </c>
      <c r="M28" s="5">
        <f t="shared" si="1"/>
        <v>0</v>
      </c>
      <c r="N28" s="5">
        <f t="shared" si="5"/>
        <v>0</v>
      </c>
      <c r="O28" s="5">
        <f t="shared" si="2"/>
        <v>8857084.9895764347</v>
      </c>
      <c r="P28" s="175">
        <f t="shared" si="3"/>
        <v>1.5713322104636468E-2</v>
      </c>
      <c r="Q28" s="178">
        <f t="shared" si="6"/>
        <v>1.1157691209238263E-3</v>
      </c>
    </row>
    <row r="29" spans="1:17" ht="12.75" customHeight="1">
      <c r="A29" s="4" t="s">
        <v>23</v>
      </c>
      <c r="B29" s="5">
        <v>30017232.489574715</v>
      </c>
      <c r="C29" s="192">
        <v>4237011.9117647037</v>
      </c>
      <c r="D29" s="192">
        <v>1102716.2372314048</v>
      </c>
      <c r="E29" s="192">
        <v>1390680.1410806994</v>
      </c>
      <c r="F29" s="192">
        <v>115717.81324680921</v>
      </c>
      <c r="G29" s="192">
        <v>1013733.9469170612</v>
      </c>
      <c r="H29" s="192">
        <v>187731.9162502407</v>
      </c>
      <c r="I29" s="5">
        <f>+'[6]Part Fed'!$BH29</f>
        <v>40382541.007767558</v>
      </c>
      <c r="J29" s="5">
        <f t="shared" si="4"/>
        <v>41017084.8820263</v>
      </c>
      <c r="K29" s="5">
        <f>+'COEF Art 14 F I'!AP30</f>
        <v>41290276.900503039</v>
      </c>
      <c r="L29" s="5">
        <f t="shared" si="0"/>
        <v>0</v>
      </c>
      <c r="M29" s="5">
        <f t="shared" si="1"/>
        <v>273192.01847673953</v>
      </c>
      <c r="N29" s="5">
        <f t="shared" si="5"/>
        <v>273192.01847673766</v>
      </c>
      <c r="O29" s="5">
        <f t="shared" si="2"/>
        <v>41017084.8820263</v>
      </c>
      <c r="P29" s="175">
        <f t="shared" si="3"/>
        <v>1.5713322104636447E-2</v>
      </c>
      <c r="Q29" s="178">
        <f t="shared" si="6"/>
        <v>5.1671172621168514E-3</v>
      </c>
    </row>
    <row r="30" spans="1:17" ht="12.75" customHeight="1">
      <c r="A30" s="4" t="s">
        <v>24</v>
      </c>
      <c r="B30" s="5">
        <v>28912782.89665971</v>
      </c>
      <c r="C30" s="192">
        <v>4081115.9249261506</v>
      </c>
      <c r="D30" s="192">
        <v>1062143.0598162662</v>
      </c>
      <c r="E30" s="192">
        <v>1339511.6625667326</v>
      </c>
      <c r="F30" s="192">
        <v>111460.10921703762</v>
      </c>
      <c r="G30" s="192">
        <v>976434.77067269804</v>
      </c>
      <c r="H30" s="192">
        <v>180824.5360128473</v>
      </c>
      <c r="I30" s="5">
        <f>+'[6]Part Fed'!$BH30</f>
        <v>39347712.552407421</v>
      </c>
      <c r="J30" s="5">
        <f t="shared" si="4"/>
        <v>39965995.833824046</v>
      </c>
      <c r="K30" s="5">
        <f>+'COEF Art 14 F I'!AP31</f>
        <v>40486259.456206575</v>
      </c>
      <c r="L30" s="5">
        <f t="shared" si="0"/>
        <v>0</v>
      </c>
      <c r="M30" s="5">
        <f t="shared" si="1"/>
        <v>520263.62238252908</v>
      </c>
      <c r="N30" s="5">
        <f t="shared" si="5"/>
        <v>520263.62238252553</v>
      </c>
      <c r="O30" s="5">
        <f t="shared" si="2"/>
        <v>39965995.833824046</v>
      </c>
      <c r="P30" s="175">
        <f t="shared" si="3"/>
        <v>1.5713322104636454E-2</v>
      </c>
      <c r="Q30" s="178">
        <f t="shared" si="6"/>
        <v>5.034706575677071E-3</v>
      </c>
    </row>
    <row r="31" spans="1:17" ht="12.75" customHeight="1">
      <c r="A31" s="4" t="s">
        <v>25</v>
      </c>
      <c r="B31" s="5">
        <v>466191870.11476332</v>
      </c>
      <c r="C31" s="192">
        <v>65804217.878185242</v>
      </c>
      <c r="D31" s="192">
        <v>17126073.998306401</v>
      </c>
      <c r="E31" s="192">
        <v>21598386.057976648</v>
      </c>
      <c r="F31" s="192">
        <v>1797191.122861081</v>
      </c>
      <c r="G31" s="192">
        <v>15744107.144994853</v>
      </c>
      <c r="H31" s="192">
        <v>2915628.3194103278</v>
      </c>
      <c r="I31" s="5">
        <f>+'[6]Part Fed'!$BH31</f>
        <v>629749485.85144389</v>
      </c>
      <c r="J31" s="5">
        <f t="shared" si="4"/>
        <v>639644942.36785686</v>
      </c>
      <c r="K31" s="5">
        <f>+'COEF Art 14 F I'!AP32</f>
        <v>645356458.04469454</v>
      </c>
      <c r="L31" s="5">
        <f t="shared" si="0"/>
        <v>0</v>
      </c>
      <c r="M31" s="5">
        <f t="shared" si="1"/>
        <v>5711515.6768376827</v>
      </c>
      <c r="N31" s="5">
        <f t="shared" si="5"/>
        <v>5711515.6768376436</v>
      </c>
      <c r="O31" s="5">
        <f t="shared" si="2"/>
        <v>639644942.36785686</v>
      </c>
      <c r="P31" s="175">
        <f t="shared" si="3"/>
        <v>1.5713322104636517E-2</v>
      </c>
      <c r="Q31" s="178">
        <f t="shared" si="6"/>
        <v>8.0579115576860427E-2</v>
      </c>
    </row>
    <row r="32" spans="1:17" ht="12.75" customHeight="1">
      <c r="A32" s="4" t="s">
        <v>26</v>
      </c>
      <c r="B32" s="5">
        <v>12198301.467330018</v>
      </c>
      <c r="C32" s="192">
        <v>1721822.5776918184</v>
      </c>
      <c r="D32" s="192">
        <v>448118.09680789994</v>
      </c>
      <c r="E32" s="192">
        <v>565139.89460631157</v>
      </c>
      <c r="F32" s="192">
        <v>47025.013768841702</v>
      </c>
      <c r="G32" s="192">
        <v>411957.77447022841</v>
      </c>
      <c r="H32" s="192">
        <v>76289.86150723022</v>
      </c>
      <c r="I32" s="5">
        <f>+'[6]Part Fed'!$BH32</f>
        <v>16215790.708277004</v>
      </c>
      <c r="J32" s="5">
        <f t="shared" si="4"/>
        <v>16470594.650857532</v>
      </c>
      <c r="K32" s="5">
        <f>+'COEF Art 14 F I'!AP33</f>
        <v>10934823.192456944</v>
      </c>
      <c r="L32" s="5">
        <f t="shared" si="0"/>
        <v>5535771.4584005885</v>
      </c>
      <c r="M32" s="5">
        <f t="shared" si="1"/>
        <v>0</v>
      </c>
      <c r="N32" s="5">
        <f t="shared" si="5"/>
        <v>0</v>
      </c>
      <c r="O32" s="5">
        <f t="shared" si="2"/>
        <v>16470594.650857532</v>
      </c>
      <c r="P32" s="175">
        <f t="shared" si="3"/>
        <v>1.571332210463652E-2</v>
      </c>
      <c r="Q32" s="178">
        <f t="shared" si="6"/>
        <v>2.0748791432291347E-3</v>
      </c>
    </row>
    <row r="33" spans="1:17" ht="12.75" customHeight="1">
      <c r="A33" s="4" t="s">
        <v>27</v>
      </c>
      <c r="B33" s="5">
        <v>20997489.676431384</v>
      </c>
      <c r="C33" s="192">
        <v>2963851.3113124319</v>
      </c>
      <c r="D33" s="192">
        <v>771366.00835341483</v>
      </c>
      <c r="E33" s="192">
        <v>972800.9374515739</v>
      </c>
      <c r="F33" s="192">
        <v>80946.289431345125</v>
      </c>
      <c r="G33" s="192">
        <v>709121.60514570505</v>
      </c>
      <c r="H33" s="192">
        <v>131321.19940671316</v>
      </c>
      <c r="I33" s="5">
        <f>+'[6]Part Fed'!$BH33</f>
        <v>27912976.155256927</v>
      </c>
      <c r="J33" s="5">
        <f t="shared" si="4"/>
        <v>28351581.740483519</v>
      </c>
      <c r="K33" s="5">
        <f>+'COEF Art 14 F I'!AP34</f>
        <v>25550822.684572369</v>
      </c>
      <c r="L33" s="5">
        <f t="shared" si="0"/>
        <v>2800759.0559111498</v>
      </c>
      <c r="M33" s="5">
        <f t="shared" si="1"/>
        <v>0</v>
      </c>
      <c r="N33" s="5">
        <f t="shared" si="5"/>
        <v>0</v>
      </c>
      <c r="O33" s="5">
        <f t="shared" si="2"/>
        <v>28351581.740483519</v>
      </c>
      <c r="P33" s="175">
        <f t="shared" si="3"/>
        <v>1.5713322104636551E-2</v>
      </c>
      <c r="Q33" s="178">
        <f t="shared" si="6"/>
        <v>3.5715835935421114E-3</v>
      </c>
    </row>
    <row r="34" spans="1:17" ht="12.75" customHeight="1">
      <c r="A34" s="4" t="s">
        <v>28</v>
      </c>
      <c r="B34" s="5">
        <v>11471401.74041779</v>
      </c>
      <c r="C34" s="192">
        <v>1619218.7549490104</v>
      </c>
      <c r="D34" s="192">
        <v>421414.63132433518</v>
      </c>
      <c r="E34" s="192">
        <v>531463.07196372247</v>
      </c>
      <c r="F34" s="192">
        <v>44222.781854991714</v>
      </c>
      <c r="G34" s="192">
        <v>387409.11131633562</v>
      </c>
      <c r="H34" s="192">
        <v>71743.730257389965</v>
      </c>
      <c r="I34" s="5">
        <f>+'[6]Part Fed'!$BH34</f>
        <v>16019923.254867921</v>
      </c>
      <c r="J34" s="5">
        <f t="shared" si="4"/>
        <v>16271649.469063217</v>
      </c>
      <c r="K34" s="5">
        <f>+'COEF Art 14 F I'!AP35</f>
        <v>16710888.128603155</v>
      </c>
      <c r="L34" s="5">
        <f t="shared" si="0"/>
        <v>0</v>
      </c>
      <c r="M34" s="5">
        <f t="shared" si="1"/>
        <v>439238.65953993797</v>
      </c>
      <c r="N34" s="5">
        <f t="shared" si="5"/>
        <v>439238.659539935</v>
      </c>
      <c r="O34" s="5">
        <f t="shared" si="2"/>
        <v>16271649.469063221</v>
      </c>
      <c r="P34" s="175">
        <f t="shared" si="3"/>
        <v>1.5713322104636718E-2</v>
      </c>
      <c r="Q34" s="178">
        <f t="shared" si="6"/>
        <v>2.0498170724841994E-3</v>
      </c>
    </row>
    <row r="35" spans="1:17" ht="12.75" customHeight="1">
      <c r="A35" s="4" t="s">
        <v>29</v>
      </c>
      <c r="B35" s="5">
        <v>16809759.413881905</v>
      </c>
      <c r="C35" s="192">
        <v>2372742.0872411542</v>
      </c>
      <c r="D35" s="192">
        <v>617525.10515681026</v>
      </c>
      <c r="E35" s="192">
        <v>778785.93908845424</v>
      </c>
      <c r="F35" s="192">
        <v>64802.3964652625</v>
      </c>
      <c r="G35" s="192">
        <v>567694.69881272723</v>
      </c>
      <c r="H35" s="192">
        <v>105130.55617534323</v>
      </c>
      <c r="I35" s="5">
        <f>+'[6]Part Fed'!$BH35</f>
        <v>22346024.259364486</v>
      </c>
      <c r="J35" s="5">
        <f t="shared" si="4"/>
        <v>22697154.536309902</v>
      </c>
      <c r="K35" s="5">
        <f>+'COEF Art 14 F I'!AP36</f>
        <v>18525464.553286698</v>
      </c>
      <c r="L35" s="5">
        <f t="shared" si="0"/>
        <v>4171689.9830232039</v>
      </c>
      <c r="M35" s="5">
        <f t="shared" si="1"/>
        <v>0</v>
      </c>
      <c r="N35" s="5">
        <f t="shared" si="5"/>
        <v>0</v>
      </c>
      <c r="O35" s="5">
        <f t="shared" si="2"/>
        <v>22697154.536309902</v>
      </c>
      <c r="P35" s="175">
        <f t="shared" si="3"/>
        <v>1.571332210463652E-2</v>
      </c>
      <c r="Q35" s="178">
        <f t="shared" si="6"/>
        <v>2.8592685058633294E-3</v>
      </c>
    </row>
    <row r="36" spans="1:17" ht="12.75" customHeight="1">
      <c r="A36" s="4" t="s">
        <v>30</v>
      </c>
      <c r="B36" s="5">
        <v>15457056.03370185</v>
      </c>
      <c r="C36" s="192">
        <v>2181804.4204559885</v>
      </c>
      <c r="D36" s="192">
        <v>567832.05027573742</v>
      </c>
      <c r="E36" s="192">
        <v>716116.01346348226</v>
      </c>
      <c r="F36" s="192">
        <v>59587.662655929205</v>
      </c>
      <c r="G36" s="192">
        <v>522011.56206538598</v>
      </c>
      <c r="H36" s="192">
        <v>96670.56247780376</v>
      </c>
      <c r="I36" s="5">
        <f>+'[6]Part Fed'!$BH36</f>
        <v>21032897.106208049</v>
      </c>
      <c r="J36" s="5">
        <f t="shared" si="4"/>
        <v>21363393.793231573</v>
      </c>
      <c r="K36" s="5">
        <f>+'COEF Art 14 F I'!AP37</f>
        <v>21639950.18259839</v>
      </c>
      <c r="L36" s="5">
        <f t="shared" si="0"/>
        <v>0</v>
      </c>
      <c r="M36" s="5">
        <f t="shared" si="1"/>
        <v>276556.38936681673</v>
      </c>
      <c r="N36" s="5">
        <f t="shared" si="5"/>
        <v>276556.38936681487</v>
      </c>
      <c r="O36" s="5">
        <f t="shared" si="2"/>
        <v>21363393.793231577</v>
      </c>
      <c r="P36" s="175">
        <f t="shared" si="3"/>
        <v>1.5713322104636687E-2</v>
      </c>
      <c r="Q36" s="178">
        <f t="shared" si="6"/>
        <v>2.6912483216177696E-3</v>
      </c>
    </row>
    <row r="37" spans="1:17" ht="12.75" customHeight="1">
      <c r="A37" s="4" t="s">
        <v>31</v>
      </c>
      <c r="B37" s="5">
        <v>146976776.61061856</v>
      </c>
      <c r="C37" s="192">
        <v>20746161.508002289</v>
      </c>
      <c r="D37" s="192">
        <v>5399354.4581683828</v>
      </c>
      <c r="E37" s="192">
        <v>6809344.7490014546</v>
      </c>
      <c r="F37" s="192">
        <v>566602.24067467044</v>
      </c>
      <c r="G37" s="192">
        <v>4963660.3877581675</v>
      </c>
      <c r="H37" s="192">
        <v>919213.05293477781</v>
      </c>
      <c r="I37" s="5">
        <f>+'[6]Part Fed'!$BH37</f>
        <v>195383320.77446538</v>
      </c>
      <c r="J37" s="5">
        <f t="shared" si="4"/>
        <v>198453441.82766807</v>
      </c>
      <c r="K37" s="5">
        <f>+'COEF Art 14 F I'!AP38</f>
        <v>194787672.40465701</v>
      </c>
      <c r="L37" s="5">
        <f t="shared" si="0"/>
        <v>3665769.4230110645</v>
      </c>
      <c r="M37" s="5">
        <f t="shared" si="1"/>
        <v>0</v>
      </c>
      <c r="N37" s="5">
        <f t="shared" si="5"/>
        <v>0</v>
      </c>
      <c r="O37" s="5">
        <f t="shared" si="2"/>
        <v>198453441.82766807</v>
      </c>
      <c r="P37" s="175">
        <f t="shared" si="3"/>
        <v>1.5713322104636489E-2</v>
      </c>
      <c r="Q37" s="178">
        <f t="shared" si="6"/>
        <v>2.5000123922594771E-2</v>
      </c>
    </row>
    <row r="38" spans="1:17" ht="12.75" customHeight="1">
      <c r="A38" s="4" t="s">
        <v>32</v>
      </c>
      <c r="B38" s="5">
        <v>28642439.294303101</v>
      </c>
      <c r="C38" s="192">
        <v>4042956.2090412104</v>
      </c>
      <c r="D38" s="192">
        <v>1052211.6885596451</v>
      </c>
      <c r="E38" s="192">
        <v>1326986.8077455515</v>
      </c>
      <c r="F38" s="192">
        <v>110417.92218327834</v>
      </c>
      <c r="G38" s="192">
        <v>967304.79884281906</v>
      </c>
      <c r="H38" s="192">
        <v>179133.76979933886</v>
      </c>
      <c r="I38" s="5">
        <f>+'[6]Part Fed'!$BH38</f>
        <v>38075776.550930724</v>
      </c>
      <c r="J38" s="5">
        <f t="shared" si="4"/>
        <v>38674073.492259666</v>
      </c>
      <c r="K38" s="5">
        <f>+'COEF Art 14 F I'!AP39</f>
        <v>35096454.774914995</v>
      </c>
      <c r="L38" s="5">
        <f t="shared" si="0"/>
        <v>3577618.7173446715</v>
      </c>
      <c r="M38" s="5">
        <f t="shared" si="1"/>
        <v>0</v>
      </c>
      <c r="N38" s="5">
        <f t="shared" si="5"/>
        <v>0</v>
      </c>
      <c r="O38" s="5">
        <f t="shared" si="2"/>
        <v>38674073.492259666</v>
      </c>
      <c r="P38" s="175">
        <f t="shared" si="3"/>
        <v>1.5713322104636575E-2</v>
      </c>
      <c r="Q38" s="178">
        <f t="shared" si="6"/>
        <v>4.8719569738559787E-3</v>
      </c>
    </row>
    <row r="39" spans="1:17" s="11" customFormat="1" ht="12.75" customHeight="1">
      <c r="A39" s="4" t="s">
        <v>33</v>
      </c>
      <c r="B39" s="5">
        <v>105014849.53165476</v>
      </c>
      <c r="C39" s="192">
        <v>14823124.301427007</v>
      </c>
      <c r="D39" s="192">
        <v>3857836.6533019841</v>
      </c>
      <c r="E39" s="192">
        <v>4865274.1658636238</v>
      </c>
      <c r="F39" s="192">
        <v>404837.07984959421</v>
      </c>
      <c r="G39" s="192">
        <v>3546533.4100203705</v>
      </c>
      <c r="H39" s="192">
        <v>656777.36760560225</v>
      </c>
      <c r="I39" s="5">
        <f>+'[6]Part Fed'!$BH39</f>
        <v>139601306.44641688</v>
      </c>
      <c r="J39" s="5">
        <f t="shared" si="4"/>
        <v>141794906.74083751</v>
      </c>
      <c r="K39" s="5">
        <f>+'COEF Art 14 F I'!AP40</f>
        <v>134851402.66552201</v>
      </c>
      <c r="L39" s="5">
        <f t="shared" ref="L39:L57" si="7">IF(K39&lt;J39,J39-K39,0)</f>
        <v>6943504.0753155053</v>
      </c>
      <c r="M39" s="5">
        <f t="shared" ref="M39:M57" si="8">IF(K39&gt;J39,K39-J39,0)</f>
        <v>0</v>
      </c>
      <c r="N39" s="5">
        <f t="shared" si="5"/>
        <v>0</v>
      </c>
      <c r="O39" s="5">
        <f t="shared" ref="O39:O57" si="9">IF(L39&lt;&gt;0,K39+L39,K39-N39)</f>
        <v>141794906.74083751</v>
      </c>
      <c r="P39" s="175">
        <f t="shared" ref="P39:P58" si="10">+(O39-I39)/I39</f>
        <v>1.5713322104636596E-2</v>
      </c>
      <c r="Q39" s="178">
        <f t="shared" si="6"/>
        <v>1.7862578786575035E-2</v>
      </c>
    </row>
    <row r="40" spans="1:17" ht="12.75" customHeight="1">
      <c r="A40" s="4" t="s">
        <v>34</v>
      </c>
      <c r="B40" s="5">
        <v>21201866.178504594</v>
      </c>
      <c r="C40" s="192">
        <v>2992699.5961788408</v>
      </c>
      <c r="D40" s="192">
        <v>778874.00521614891</v>
      </c>
      <c r="E40" s="192">
        <v>982269.57660201832</v>
      </c>
      <c r="F40" s="192">
        <v>81734.170256389014</v>
      </c>
      <c r="G40" s="192">
        <v>716023.75370756444</v>
      </c>
      <c r="H40" s="192">
        <v>132599.39826748069</v>
      </c>
      <c r="I40" s="5">
        <f>+'[6]Part Fed'!$BH40</f>
        <v>29786207.421576548</v>
      </c>
      <c r="J40" s="5">
        <f t="shared" si="4"/>
        <v>30254247.693067297</v>
      </c>
      <c r="K40" s="5">
        <f>+'COEF Art 14 F I'!AP41</f>
        <v>31167315.67127404</v>
      </c>
      <c r="L40" s="5">
        <f t="shared" si="7"/>
        <v>0</v>
      </c>
      <c r="M40" s="5">
        <f t="shared" si="8"/>
        <v>913067.97820674255</v>
      </c>
      <c r="N40" s="5">
        <f t="shared" si="5"/>
        <v>913067.97820673638</v>
      </c>
      <c r="O40" s="5">
        <f t="shared" si="9"/>
        <v>30254247.693067305</v>
      </c>
      <c r="P40" s="175">
        <f t="shared" si="10"/>
        <v>1.5713322104636832E-2</v>
      </c>
      <c r="Q40" s="178">
        <f t="shared" si="6"/>
        <v>3.8112714727737669E-3</v>
      </c>
    </row>
    <row r="41" spans="1:17" ht="12.75" customHeight="1">
      <c r="A41" s="4" t="s">
        <v>35</v>
      </c>
      <c r="B41" s="5">
        <v>20006809.988561384</v>
      </c>
      <c r="C41" s="192">
        <v>2824014.2480615564</v>
      </c>
      <c r="D41" s="192">
        <v>734972.29424045898</v>
      </c>
      <c r="E41" s="192">
        <v>926903.349505438</v>
      </c>
      <c r="F41" s="192">
        <v>77127.173623534836</v>
      </c>
      <c r="G41" s="192">
        <v>675664.6357022624</v>
      </c>
      <c r="H41" s="192">
        <v>125125.35186289361</v>
      </c>
      <c r="I41" s="5">
        <f>+'[6]Part Fed'!$BH41</f>
        <v>28630601.556963243</v>
      </c>
      <c r="J41" s="5">
        <f t="shared" si="4"/>
        <v>29080483.421277314</v>
      </c>
      <c r="K41" s="5">
        <f>+'COEF Art 14 F I'!AP42</f>
        <v>30240435.042484622</v>
      </c>
      <c r="L41" s="5">
        <f t="shared" si="7"/>
        <v>0</v>
      </c>
      <c r="M41" s="5">
        <f t="shared" si="8"/>
        <v>1159951.621207308</v>
      </c>
      <c r="N41" s="5">
        <f t="shared" si="5"/>
        <v>1159951.6212073001</v>
      </c>
      <c r="O41" s="5">
        <f t="shared" si="9"/>
        <v>29080483.421277322</v>
      </c>
      <c r="P41" s="175">
        <f t="shared" si="10"/>
        <v>1.5713322104636801E-2</v>
      </c>
      <c r="Q41" s="178">
        <f t="shared" si="6"/>
        <v>3.6634068049684813E-3</v>
      </c>
    </row>
    <row r="42" spans="1:17" ht="12.75" customHeight="1">
      <c r="A42" s="4" t="s">
        <v>36</v>
      </c>
      <c r="B42" s="5">
        <v>22613926.876078855</v>
      </c>
      <c r="C42" s="192">
        <v>3192015.7056117598</v>
      </c>
      <c r="D42" s="192">
        <v>830747.61680566624</v>
      </c>
      <c r="E42" s="192">
        <v>1047689.4906729467</v>
      </c>
      <c r="F42" s="192">
        <v>87177.729257084051</v>
      </c>
      <c r="G42" s="192">
        <v>763711.48990311264</v>
      </c>
      <c r="H42" s="192">
        <v>141430.62082300748</v>
      </c>
      <c r="I42" s="5">
        <f>+'[6]Part Fed'!$BH42</f>
        <v>30061784.117804673</v>
      </c>
      <c r="J42" s="5">
        <f t="shared" si="4"/>
        <v>30534154.614687786</v>
      </c>
      <c r="K42" s="5">
        <f>+'COEF Art 14 F I'!AP43</f>
        <v>30504827.445339352</v>
      </c>
      <c r="L42" s="5">
        <f t="shared" si="7"/>
        <v>29327.169348433614</v>
      </c>
      <c r="M42" s="5">
        <f t="shared" si="8"/>
        <v>0</v>
      </c>
      <c r="N42" s="5">
        <f t="shared" si="5"/>
        <v>0</v>
      </c>
      <c r="O42" s="5">
        <f t="shared" si="9"/>
        <v>30534154.614687786</v>
      </c>
      <c r="P42" s="175">
        <f t="shared" si="10"/>
        <v>1.5713322104636575E-2</v>
      </c>
      <c r="Q42" s="178">
        <f t="shared" si="6"/>
        <v>3.846532678943125E-3</v>
      </c>
    </row>
    <row r="43" spans="1:17" ht="12.75" customHeight="1">
      <c r="A43" s="4" t="s">
        <v>37</v>
      </c>
      <c r="B43" s="5">
        <v>31852696.246518105</v>
      </c>
      <c r="C43" s="192">
        <v>4496092.4850481506</v>
      </c>
      <c r="D43" s="192">
        <v>1170144.0285287597</v>
      </c>
      <c r="E43" s="192">
        <v>1475716.0616087182</v>
      </c>
      <c r="F43" s="192">
        <v>122793.61053495121</v>
      </c>
      <c r="G43" s="192">
        <v>1075720.7379843476</v>
      </c>
      <c r="H43" s="192">
        <v>199211.15999526353</v>
      </c>
      <c r="I43" s="5">
        <f>+'[6]Part Fed'!$BH43</f>
        <v>42343326.012331598</v>
      </c>
      <c r="J43" s="5">
        <f t="shared" si="4"/>
        <v>43008680.332944997</v>
      </c>
      <c r="K43" s="5">
        <f>+'COEF Art 14 F I'!AP44</f>
        <v>38548727.433400974</v>
      </c>
      <c r="L43" s="5">
        <f t="shared" si="7"/>
        <v>4459952.899544023</v>
      </c>
      <c r="M43" s="5">
        <f t="shared" si="8"/>
        <v>0</v>
      </c>
      <c r="N43" s="5">
        <f t="shared" si="5"/>
        <v>0</v>
      </c>
      <c r="O43" s="5">
        <f t="shared" si="9"/>
        <v>43008680.332944997</v>
      </c>
      <c r="P43" s="175">
        <f t="shared" si="10"/>
        <v>1.5713322104636485E-2</v>
      </c>
      <c r="Q43" s="178">
        <f t="shared" si="6"/>
        <v>5.4180080132073764E-3</v>
      </c>
    </row>
    <row r="44" spans="1:17" s="11" customFormat="1" ht="12.75" customHeight="1">
      <c r="A44" s="4" t="s">
        <v>38</v>
      </c>
      <c r="B44" s="5">
        <v>74729366.826373518</v>
      </c>
      <c r="C44" s="192">
        <v>10548248.160850508</v>
      </c>
      <c r="D44" s="192">
        <v>2745265.9476880203</v>
      </c>
      <c r="E44" s="192">
        <v>3462166.1552931815</v>
      </c>
      <c r="F44" s="192">
        <v>288085.1496709417</v>
      </c>
      <c r="G44" s="192">
        <v>2523740.1885674577</v>
      </c>
      <c r="H44" s="192">
        <v>467367.77747098112</v>
      </c>
      <c r="I44" s="5">
        <f>+'[6]Part Fed'!$BH44</f>
        <v>99341353.012467459</v>
      </c>
      <c r="J44" s="5">
        <f t="shared" si="4"/>
        <v>100902335.69066276</v>
      </c>
      <c r="K44" s="5">
        <f>+'COEF Art 14 F I'!AP45</f>
        <v>95179695.245707124</v>
      </c>
      <c r="L44" s="5">
        <f t="shared" si="7"/>
        <v>5722640.4449556321</v>
      </c>
      <c r="M44" s="5">
        <f t="shared" si="8"/>
        <v>0</v>
      </c>
      <c r="N44" s="5">
        <f t="shared" si="5"/>
        <v>0</v>
      </c>
      <c r="O44" s="5">
        <f t="shared" si="9"/>
        <v>100902335.69066276</v>
      </c>
      <c r="P44" s="175">
        <f t="shared" si="10"/>
        <v>1.5713322104636451E-2</v>
      </c>
      <c r="Q44" s="178">
        <f t="shared" si="6"/>
        <v>1.2711147124051206E-2</v>
      </c>
    </row>
    <row r="45" spans="1:17" ht="12.75" customHeight="1">
      <c r="A45" s="4" t="s">
        <v>39</v>
      </c>
      <c r="B45" s="5">
        <v>1401888181.6267445</v>
      </c>
      <c r="C45" s="192">
        <v>197880231.84936696</v>
      </c>
      <c r="D45" s="192">
        <v>51499912.965053618</v>
      </c>
      <c r="E45" s="192">
        <v>64948627.588551342</v>
      </c>
      <c r="F45" s="192">
        <v>5404343.4833909571</v>
      </c>
      <c r="G45" s="192">
        <v>47344192.706095994</v>
      </c>
      <c r="H45" s="192">
        <v>8767602.23637826</v>
      </c>
      <c r="I45" s="5">
        <f>+'[6]Part Fed'!$BH45</f>
        <v>2055890228.4986162</v>
      </c>
      <c r="J45" s="5">
        <f t="shared" si="4"/>
        <v>2088195093.8707898</v>
      </c>
      <c r="K45" s="5">
        <f>+'COEF Art 14 F I'!AP46</f>
        <v>2197824471.0781975</v>
      </c>
      <c r="L45" s="5">
        <f t="shared" si="7"/>
        <v>0</v>
      </c>
      <c r="M45" s="5">
        <f t="shared" si="8"/>
        <v>109629377.20740771</v>
      </c>
      <c r="N45" s="5">
        <f t="shared" si="5"/>
        <v>109629377.20740697</v>
      </c>
      <c r="O45" s="5">
        <f t="shared" si="9"/>
        <v>2088195093.8707905</v>
      </c>
      <c r="P45" s="175">
        <f t="shared" si="10"/>
        <v>1.5713322104636874E-2</v>
      </c>
      <c r="Q45" s="178">
        <f t="shared" si="6"/>
        <v>0.26305986754645355</v>
      </c>
    </row>
    <row r="46" spans="1:17" ht="12.75" customHeight="1">
      <c r="A46" s="4" t="s">
        <v>40</v>
      </c>
      <c r="B46" s="5">
        <v>7987263.9307073141</v>
      </c>
      <c r="C46" s="192">
        <v>1127423.470120677</v>
      </c>
      <c r="D46" s="192">
        <v>293420.97511829878</v>
      </c>
      <c r="E46" s="192">
        <v>370045.08439819218</v>
      </c>
      <c r="F46" s="192">
        <v>30791.27018813516</v>
      </c>
      <c r="G46" s="192">
        <v>269743.74111125537</v>
      </c>
      <c r="H46" s="192">
        <v>49953.451365940979</v>
      </c>
      <c r="I46" s="5">
        <f>+'[6]Part Fed'!$BH46</f>
        <v>10617855.328383615</v>
      </c>
      <c r="J46" s="5">
        <f t="shared" si="4"/>
        <v>10784697.109218938</v>
      </c>
      <c r="K46" s="5">
        <f>+'COEF Art 14 F I'!AP47</f>
        <v>8231773.6172594801</v>
      </c>
      <c r="L46" s="5">
        <f t="shared" si="7"/>
        <v>2552923.4919594582</v>
      </c>
      <c r="M46" s="5">
        <f t="shared" si="8"/>
        <v>0</v>
      </c>
      <c r="N46" s="5">
        <f t="shared" si="5"/>
        <v>0</v>
      </c>
      <c r="O46" s="5">
        <f t="shared" si="9"/>
        <v>10784697.109218938</v>
      </c>
      <c r="P46" s="175">
        <f t="shared" si="10"/>
        <v>1.571332210463653E-2</v>
      </c>
      <c r="Q46" s="178">
        <f t="shared" si="6"/>
        <v>1.3585995874652208E-3</v>
      </c>
    </row>
    <row r="47" spans="1:17" s="11" customFormat="1" ht="12.75" customHeight="1">
      <c r="A47" s="4" t="s">
        <v>41</v>
      </c>
      <c r="B47" s="5">
        <v>22055288.490343686</v>
      </c>
      <c r="C47" s="192">
        <v>3113162.4170694686</v>
      </c>
      <c r="D47" s="192">
        <v>810225.4178027208</v>
      </c>
      <c r="E47" s="192">
        <v>1021808.113722087</v>
      </c>
      <c r="F47" s="192">
        <v>85024.152560273462</v>
      </c>
      <c r="G47" s="192">
        <v>744845.30375708197</v>
      </c>
      <c r="H47" s="192">
        <v>137936.81923153237</v>
      </c>
      <c r="I47" s="5">
        <f>+'[6]Part Fed'!$BH47</f>
        <v>44703605.111531183</v>
      </c>
      <c r="J47" s="5">
        <f t="shared" si="4"/>
        <v>45406047.257887147</v>
      </c>
      <c r="K47" s="5">
        <f>+'COEF Art 14 F I'!AP48</f>
        <v>54176987.931829788</v>
      </c>
      <c r="L47" s="5">
        <f t="shared" si="7"/>
        <v>0</v>
      </c>
      <c r="M47" s="5">
        <f t="shared" si="8"/>
        <v>8770940.6739426404</v>
      </c>
      <c r="N47" s="5">
        <f t="shared" si="5"/>
        <v>8770940.6739425808</v>
      </c>
      <c r="O47" s="5">
        <f t="shared" si="9"/>
        <v>45406047.257887207</v>
      </c>
      <c r="P47" s="175">
        <f t="shared" si="10"/>
        <v>1.5713322104637835E-2</v>
      </c>
      <c r="Q47" s="178">
        <f t="shared" si="6"/>
        <v>5.7200157267522523E-3</v>
      </c>
    </row>
    <row r="48" spans="1:17" ht="12.75" customHeight="1">
      <c r="A48" s="4" t="s">
        <v>42</v>
      </c>
      <c r="B48" s="5">
        <v>16940744.022520985</v>
      </c>
      <c r="C48" s="192">
        <v>2391230.9118606243</v>
      </c>
      <c r="D48" s="192">
        <v>622336.96963578486</v>
      </c>
      <c r="E48" s="192">
        <v>784854.37641307653</v>
      </c>
      <c r="F48" s="192">
        <v>65307.348162124203</v>
      </c>
      <c r="G48" s="192">
        <v>572118.275981182</v>
      </c>
      <c r="H48" s="192">
        <v>105949.75200186195</v>
      </c>
      <c r="I48" s="5">
        <f>+'[6]Part Fed'!$BH48</f>
        <v>22520148.41963267</v>
      </c>
      <c r="J48" s="5">
        <f t="shared" si="4"/>
        <v>22874014.765594579</v>
      </c>
      <c r="K48" s="5">
        <f>+'COEF Art 14 F I'!AP49</f>
        <v>15048560.014441121</v>
      </c>
      <c r="L48" s="5">
        <f t="shared" si="7"/>
        <v>7825454.7511534579</v>
      </c>
      <c r="M48" s="5">
        <f t="shared" si="8"/>
        <v>0</v>
      </c>
      <c r="N48" s="5">
        <f t="shared" si="5"/>
        <v>0</v>
      </c>
      <c r="O48" s="5">
        <f t="shared" si="9"/>
        <v>22874014.765594579</v>
      </c>
      <c r="P48" s="175">
        <f t="shared" si="10"/>
        <v>1.5713322104636544E-2</v>
      </c>
      <c r="Q48" s="178">
        <f t="shared" si="6"/>
        <v>2.8815484301033686E-3</v>
      </c>
    </row>
    <row r="49" spans="1:17" ht="12.75" customHeight="1">
      <c r="A49" s="4" t="s">
        <v>43</v>
      </c>
      <c r="B49" s="5">
        <v>18324287.173424091</v>
      </c>
      <c r="C49" s="192">
        <v>2586521.6940089422</v>
      </c>
      <c r="D49" s="192">
        <v>673162.95760589605</v>
      </c>
      <c r="E49" s="192">
        <v>848953.08987566538</v>
      </c>
      <c r="F49" s="192">
        <v>70640.970707464192</v>
      </c>
      <c r="G49" s="192">
        <v>618842.92521665664</v>
      </c>
      <c r="H49" s="192">
        <v>114602.62188332574</v>
      </c>
      <c r="I49" s="5">
        <f>+'[6]Part Fed'!$BH49</f>
        <v>25235500.347407877</v>
      </c>
      <c r="J49" s="5">
        <f t="shared" si="4"/>
        <v>25632033.892838363</v>
      </c>
      <c r="K49" s="5">
        <f>+'COEF Art 14 F I'!AP50</f>
        <v>26131537.290505953</v>
      </c>
      <c r="L49" s="5">
        <f t="shared" si="7"/>
        <v>0</v>
      </c>
      <c r="M49" s="5">
        <f t="shared" si="8"/>
        <v>499503.39766759053</v>
      </c>
      <c r="N49" s="5">
        <f t="shared" si="5"/>
        <v>499503.39766758715</v>
      </c>
      <c r="O49" s="5">
        <f t="shared" si="9"/>
        <v>25632033.892838366</v>
      </c>
      <c r="P49" s="175">
        <f t="shared" si="10"/>
        <v>1.5713322104636603E-2</v>
      </c>
      <c r="Q49" s="178">
        <f t="shared" si="6"/>
        <v>3.2289892168540285E-3</v>
      </c>
    </row>
    <row r="50" spans="1:17" ht="12.75" customHeight="1">
      <c r="A50" s="4" t="s">
        <v>44</v>
      </c>
      <c r="B50" s="5">
        <v>54618112.049358256</v>
      </c>
      <c r="C50" s="192">
        <v>7709491.2541189073</v>
      </c>
      <c r="D50" s="192">
        <v>2006456.7586192188</v>
      </c>
      <c r="E50" s="192">
        <v>2530423.9422053113</v>
      </c>
      <c r="F50" s="192">
        <v>210555.33657928117</v>
      </c>
      <c r="G50" s="192">
        <v>1844548.2714032405</v>
      </c>
      <c r="H50" s="192">
        <v>341589.21348120784</v>
      </c>
      <c r="I50" s="5">
        <f>+'[6]Part Fed'!$BH50</f>
        <v>72606491.669817179</v>
      </c>
      <c r="J50" s="5">
        <f t="shared" si="4"/>
        <v>73747380.860312626</v>
      </c>
      <c r="K50" s="5">
        <f>+'COEF Art 14 F I'!AP51</f>
        <v>44187927.566753544</v>
      </c>
      <c r="L50" s="5">
        <f t="shared" si="7"/>
        <v>29559453.293559082</v>
      </c>
      <c r="M50" s="5">
        <f t="shared" si="8"/>
        <v>0</v>
      </c>
      <c r="N50" s="5">
        <f t="shared" si="5"/>
        <v>0</v>
      </c>
      <c r="O50" s="5">
        <f t="shared" si="9"/>
        <v>73747380.860312626</v>
      </c>
      <c r="P50" s="175">
        <f t="shared" si="10"/>
        <v>1.571332210463653E-2</v>
      </c>
      <c r="Q50" s="178">
        <f t="shared" si="6"/>
        <v>9.2903083136024727E-3</v>
      </c>
    </row>
    <row r="51" spans="1:17" ht="12.75" customHeight="1">
      <c r="A51" s="4" t="s">
        <v>45</v>
      </c>
      <c r="B51" s="5">
        <v>47001748.859349623</v>
      </c>
      <c r="C51" s="192">
        <v>6634421.4064372238</v>
      </c>
      <c r="D51" s="192">
        <v>1726661.2324596685</v>
      </c>
      <c r="E51" s="192">
        <v>2177562.463743506</v>
      </c>
      <c r="F51" s="192">
        <v>181193.90582288505</v>
      </c>
      <c r="G51" s="192">
        <v>1587330.4909018956</v>
      </c>
      <c r="H51" s="192">
        <v>293955.42655515752</v>
      </c>
      <c r="I51" s="5">
        <f>+'[6]Part Fed'!$BH51</f>
        <v>62481692.591996215</v>
      </c>
      <c r="J51" s="5">
        <f t="shared" si="4"/>
        <v>63463487.553337134</v>
      </c>
      <c r="K51" s="5">
        <f>+'COEF Art 14 F I'!AP52</f>
        <v>63276049.068649501</v>
      </c>
      <c r="L51" s="5">
        <f t="shared" si="7"/>
        <v>187438.48468763381</v>
      </c>
      <c r="M51" s="5">
        <f t="shared" si="8"/>
        <v>0</v>
      </c>
      <c r="N51" s="5">
        <f t="shared" si="5"/>
        <v>0</v>
      </c>
      <c r="O51" s="5">
        <f t="shared" si="9"/>
        <v>63463487.553337134</v>
      </c>
      <c r="P51" s="175">
        <f t="shared" si="10"/>
        <v>1.5713322104636537E-2</v>
      </c>
      <c r="Q51" s="178">
        <f t="shared" si="6"/>
        <v>7.9947973629564874E-3</v>
      </c>
    </row>
    <row r="52" spans="1:17" ht="12.75" customHeight="1">
      <c r="A52" s="4" t="s">
        <v>46</v>
      </c>
      <c r="B52" s="5">
        <v>425297684.76315486</v>
      </c>
      <c r="C52" s="192">
        <v>60031895.245948687</v>
      </c>
      <c r="D52" s="192">
        <v>15623780.866811644</v>
      </c>
      <c r="E52" s="192">
        <v>19703783.300247163</v>
      </c>
      <c r="F52" s="192">
        <v>1639542.1555540059</v>
      </c>
      <c r="G52" s="192">
        <v>14363039.655284002</v>
      </c>
      <c r="H52" s="192">
        <v>2659870.4382593478</v>
      </c>
      <c r="I52" s="5">
        <f>+'[6]Part Fed'!$BH52</f>
        <v>565368732.9588201</v>
      </c>
      <c r="J52" s="5">
        <f t="shared" si="4"/>
        <v>574252553.96769226</v>
      </c>
      <c r="K52" s="5">
        <f>+'COEF Art 14 F I'!AP53</f>
        <v>546139464.57503378</v>
      </c>
      <c r="L52" s="5">
        <f t="shared" si="7"/>
        <v>28113089.392658472</v>
      </c>
      <c r="M52" s="5">
        <f t="shared" si="8"/>
        <v>0</v>
      </c>
      <c r="N52" s="5">
        <f t="shared" si="5"/>
        <v>0</v>
      </c>
      <c r="O52" s="5">
        <f t="shared" si="9"/>
        <v>574252553.96769226</v>
      </c>
      <c r="P52" s="175">
        <f t="shared" si="10"/>
        <v>1.5713322104636489E-2</v>
      </c>
      <c r="Q52" s="178">
        <f t="shared" si="6"/>
        <v>7.2341325400269788E-2</v>
      </c>
    </row>
    <row r="53" spans="1:17" ht="12.75" customHeight="1">
      <c r="A53" s="4" t="s">
        <v>47</v>
      </c>
      <c r="B53" s="5">
        <v>724304822.74862874</v>
      </c>
      <c r="C53" s="192">
        <v>102237545.1434126</v>
      </c>
      <c r="D53" s="192">
        <v>26608138.809256099</v>
      </c>
      <c r="E53" s="192">
        <v>33556602.309545174</v>
      </c>
      <c r="F53" s="192">
        <v>2792228.4388400866</v>
      </c>
      <c r="G53" s="192">
        <v>24461028.743535973</v>
      </c>
      <c r="H53" s="192">
        <v>4529902.3609605283</v>
      </c>
      <c r="I53" s="5">
        <f>+'[6]Part Fed'!$BH53</f>
        <v>1092436477.444715</v>
      </c>
      <c r="J53" s="5">
        <f t="shared" si="4"/>
        <v>1109602283.6936584</v>
      </c>
      <c r="K53" s="5">
        <f>+'COEF Art 14 F I'!AP54</f>
        <v>1183479883.1268415</v>
      </c>
      <c r="L53" s="5">
        <f t="shared" si="7"/>
        <v>0</v>
      </c>
      <c r="M53" s="5">
        <f t="shared" si="8"/>
        <v>73877599.433183193</v>
      </c>
      <c r="N53" s="5">
        <f t="shared" si="5"/>
        <v>73877599.433182687</v>
      </c>
      <c r="O53" s="5">
        <f t="shared" si="9"/>
        <v>1109602283.6936588</v>
      </c>
      <c r="P53" s="175">
        <f t="shared" si="10"/>
        <v>1.5713322104636988E-2</v>
      </c>
      <c r="Q53" s="178">
        <f t="shared" si="6"/>
        <v>0.13978187700682213</v>
      </c>
    </row>
    <row r="54" spans="1:17" s="11" customFormat="1" ht="12.75" customHeight="1">
      <c r="A54" s="4" t="s">
        <v>48</v>
      </c>
      <c r="B54" s="5">
        <v>221441748.31500369</v>
      </c>
      <c r="C54" s="192">
        <v>31257089.5967311</v>
      </c>
      <c r="D54" s="192">
        <v>8134907.5586131345</v>
      </c>
      <c r="E54" s="192">
        <v>10259261.638955295</v>
      </c>
      <c r="F54" s="192">
        <v>853668.1349777797</v>
      </c>
      <c r="G54" s="192">
        <v>7478471.4949613456</v>
      </c>
      <c r="H54" s="192">
        <v>1384927.2668101583</v>
      </c>
      <c r="I54" s="5">
        <f>+'[6]Part Fed'!$BH54</f>
        <v>294373200.59419709</v>
      </c>
      <c r="J54" s="5">
        <f t="shared" si="4"/>
        <v>298998781.51410651</v>
      </c>
      <c r="K54" s="5">
        <f>+'COEF Art 14 F I'!AP55</f>
        <v>279605028.09416205</v>
      </c>
      <c r="L54" s="5">
        <f t="shared" si="7"/>
        <v>19393753.419944465</v>
      </c>
      <c r="M54" s="5">
        <f t="shared" si="8"/>
        <v>0</v>
      </c>
      <c r="N54" s="5">
        <f t="shared" si="5"/>
        <v>0</v>
      </c>
      <c r="O54" s="5">
        <f t="shared" si="9"/>
        <v>298998781.51410651</v>
      </c>
      <c r="P54" s="175">
        <f t="shared" si="10"/>
        <v>1.5713322104636589E-2</v>
      </c>
      <c r="Q54" s="178">
        <f t="shared" si="6"/>
        <v>3.7666298562101068E-2</v>
      </c>
    </row>
    <row r="55" spans="1:17" s="11" customFormat="1" ht="12.75" customHeight="1">
      <c r="A55" s="4" t="s">
        <v>49</v>
      </c>
      <c r="B55" s="5">
        <v>59031167.450255796</v>
      </c>
      <c r="C55" s="192">
        <v>8332405.7185797393</v>
      </c>
      <c r="D55" s="192">
        <v>2168575.2300050557</v>
      </c>
      <c r="E55" s="192">
        <v>2734878.1173081729</v>
      </c>
      <c r="F55" s="192">
        <v>227567.8683277868</v>
      </c>
      <c r="G55" s="192">
        <v>1993584.7980335688</v>
      </c>
      <c r="H55" s="192">
        <v>369189.07123694004</v>
      </c>
      <c r="I55" s="5">
        <f>+'[6]Part Fed'!$BH55</f>
        <v>93830529.113984913</v>
      </c>
      <c r="J55" s="5">
        <f t="shared" si="4"/>
        <v>95304918.441201434</v>
      </c>
      <c r="K55" s="5">
        <f>+'COEF Art 14 F I'!AP56</f>
        <v>104060525.24593797</v>
      </c>
      <c r="L55" s="5">
        <f t="shared" si="7"/>
        <v>0</v>
      </c>
      <c r="M55" s="5">
        <f t="shared" si="8"/>
        <v>8755606.8047365397</v>
      </c>
      <c r="N55" s="5">
        <f t="shared" si="5"/>
        <v>8755606.8047364801</v>
      </c>
      <c r="O55" s="5">
        <f t="shared" si="9"/>
        <v>95304918.441201493</v>
      </c>
      <c r="P55" s="175">
        <f t="shared" si="10"/>
        <v>1.5713322104637169E-2</v>
      </c>
      <c r="Q55" s="178">
        <f t="shared" si="6"/>
        <v>1.2006013851510041E-2</v>
      </c>
    </row>
    <row r="56" spans="1:17" ht="12.75" customHeight="1">
      <c r="A56" s="4" t="s">
        <v>50</v>
      </c>
      <c r="B56" s="5">
        <v>14182129.555242509</v>
      </c>
      <c r="C56" s="192">
        <v>2001845.1694579963</v>
      </c>
      <c r="D56" s="192">
        <v>520996.21590754075</v>
      </c>
      <c r="E56" s="192">
        <v>657049.4444336046</v>
      </c>
      <c r="F56" s="192">
        <v>54672.762383593654</v>
      </c>
      <c r="G56" s="192">
        <v>478955.08603993838</v>
      </c>
      <c r="H56" s="192">
        <v>88696.99626171538</v>
      </c>
      <c r="I56" s="5">
        <f>+'[6]Part Fed'!$BH56</f>
        <v>18852989.105197065</v>
      </c>
      <c r="J56" s="5">
        <f t="shared" si="4"/>
        <v>19149232.195642229</v>
      </c>
      <c r="K56" s="5">
        <f>+'COEF Art 14 F I'!AP57</f>
        <v>13984735.84627324</v>
      </c>
      <c r="L56" s="5">
        <f t="shared" si="7"/>
        <v>5164496.3493689895</v>
      </c>
      <c r="M56" s="5">
        <f t="shared" si="8"/>
        <v>0</v>
      </c>
      <c r="N56" s="5">
        <f t="shared" si="5"/>
        <v>0</v>
      </c>
      <c r="O56" s="5">
        <f t="shared" si="9"/>
        <v>19149232.195642229</v>
      </c>
      <c r="P56" s="175">
        <f t="shared" si="10"/>
        <v>1.5713322104636523E-2</v>
      </c>
      <c r="Q56" s="178">
        <f t="shared" si="6"/>
        <v>2.4123198544942193E-3</v>
      </c>
    </row>
    <row r="57" spans="1:17" ht="12.75" customHeight="1">
      <c r="A57" s="4" t="s">
        <v>51</v>
      </c>
      <c r="B57" s="5">
        <v>19538877.032701243</v>
      </c>
      <c r="C57" s="192">
        <v>2757964.2713169348</v>
      </c>
      <c r="D57" s="192">
        <v>717782.25953077164</v>
      </c>
      <c r="E57" s="192">
        <v>905224.30000276084</v>
      </c>
      <c r="F57" s="192">
        <v>75323.270534942145</v>
      </c>
      <c r="G57" s="192">
        <v>659861.72907734208</v>
      </c>
      <c r="H57" s="192">
        <v>122198.83455281158</v>
      </c>
      <c r="I57" s="5">
        <f>+'[6]Part Fed'!$BH57</f>
        <v>25973971.989921138</v>
      </c>
      <c r="J57" s="5">
        <f t="shared" si="4"/>
        <v>26382109.378135577</v>
      </c>
      <c r="K57" s="5">
        <f>+'COEF Art 14 F I'!AP58</f>
        <v>9746093.0461622756</v>
      </c>
      <c r="L57" s="5">
        <f t="shared" si="7"/>
        <v>16636016.331973301</v>
      </c>
      <c r="M57" s="5">
        <f t="shared" si="8"/>
        <v>0</v>
      </c>
      <c r="N57" s="5">
        <f t="shared" si="5"/>
        <v>0</v>
      </c>
      <c r="O57" s="5">
        <f t="shared" si="9"/>
        <v>26382109.378135577</v>
      </c>
      <c r="P57" s="175">
        <f t="shared" si="10"/>
        <v>1.5713322104636579E-2</v>
      </c>
      <c r="Q57" s="178">
        <f t="shared" si="6"/>
        <v>3.3234797931374796E-3</v>
      </c>
    </row>
    <row r="58" spans="1:17" s="184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1">SUM(C7:C57)</f>
        <v>783783889.36908042</v>
      </c>
      <c r="D58" s="7">
        <f t="shared" si="11"/>
        <v>203986025.83315057</v>
      </c>
      <c r="E58" s="7">
        <f t="shared" si="11"/>
        <v>257255044.95710856</v>
      </c>
      <c r="F58" s="7">
        <f t="shared" si="11"/>
        <v>21406066.261950191</v>
      </c>
      <c r="G58" s="7">
        <f t="shared" si="11"/>
        <v>187525631.79999995</v>
      </c>
      <c r="H58" s="7">
        <f t="shared" si="11"/>
        <v>34727599.199999988</v>
      </c>
      <c r="I58" s="7">
        <f t="shared" si="11"/>
        <v>7815294091.317709</v>
      </c>
      <c r="J58" s="7">
        <f>SUM(J7:J57)</f>
        <v>7938098324.7170439</v>
      </c>
      <c r="K58" s="7">
        <f>SUM(K7:K57)</f>
        <v>7938098324.7170467</v>
      </c>
      <c r="L58" s="7">
        <f t="shared" ref="L58:O58" si="12">SUM(L7:L57)</f>
        <v>247299611.74211729</v>
      </c>
      <c r="M58" s="7">
        <f t="shared" si="12"/>
        <v>247299611.74211895</v>
      </c>
      <c r="N58" s="7">
        <f t="shared" si="12"/>
        <v>247299611.74211723</v>
      </c>
      <c r="O58" s="7">
        <f t="shared" si="12"/>
        <v>7938098324.7170448</v>
      </c>
      <c r="P58" s="176">
        <f t="shared" si="10"/>
        <v>1.5713322104636281E-2</v>
      </c>
      <c r="Q58" s="179">
        <f>SUM(Q7:Q57)</f>
        <v>0.99999999999999978</v>
      </c>
    </row>
    <row r="59" spans="1:17" ht="15" thickTop="1">
      <c r="K59" s="185"/>
      <c r="L59" s="186"/>
      <c r="M59" s="186"/>
      <c r="N59" s="186"/>
      <c r="O59" s="187"/>
      <c r="P59" s="186"/>
      <c r="Q59" s="188"/>
    </row>
    <row r="60" spans="1:17">
      <c r="A60" s="98" t="s">
        <v>206</v>
      </c>
      <c r="B60" s="98"/>
      <c r="C60" s="98"/>
      <c r="D60" s="98"/>
      <c r="E60" s="98"/>
      <c r="F60" s="98"/>
      <c r="G60" s="98"/>
      <c r="H60" s="98"/>
      <c r="I60" s="252">
        <v>2.8299999999999999E-2</v>
      </c>
      <c r="K60" s="189"/>
    </row>
    <row r="61" spans="1:17">
      <c r="A61" s="98" t="s">
        <v>207</v>
      </c>
      <c r="B61" s="98"/>
      <c r="C61" s="98"/>
      <c r="D61" s="98"/>
      <c r="E61" s="98"/>
      <c r="F61" s="98"/>
      <c r="G61" s="98"/>
      <c r="H61" s="98"/>
      <c r="I61" s="252">
        <f>+(K58-I58)/I58</f>
        <v>1.5713322104636523E-2</v>
      </c>
      <c r="K61" s="190"/>
    </row>
    <row r="65" spans="14:14">
      <c r="N65" s="191"/>
    </row>
  </sheetData>
  <mergeCells count="16">
    <mergeCell ref="F3:F4"/>
    <mergeCell ref="G3:G4"/>
    <mergeCell ref="H3:H4"/>
    <mergeCell ref="A1:Q1"/>
    <mergeCell ref="L3:L4"/>
    <mergeCell ref="A3:A4"/>
    <mergeCell ref="I3:I4"/>
    <mergeCell ref="K3:K4"/>
    <mergeCell ref="Q3:Q4"/>
    <mergeCell ref="P3:P4"/>
    <mergeCell ref="O3:O4"/>
    <mergeCell ref="M3:M4"/>
    <mergeCell ref="B3:B4"/>
    <mergeCell ref="C3:C4"/>
    <mergeCell ref="D3:D4"/>
    <mergeCell ref="E3:E4"/>
  </mergeCells>
  <conditionalFormatting sqref="P7:P57">
    <cfRule type="cellIs" dxfId="0" priority="1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J4" sqref="J4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7.285156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51" customHeight="1">
      <c r="A1" s="303" t="s">
        <v>162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26.25" customHeight="1"/>
    <row r="3" spans="1:14" ht="37.5" customHeight="1" thickBot="1">
      <c r="B3" s="305" t="s">
        <v>127</v>
      </c>
      <c r="C3" s="306"/>
      <c r="E3" s="307" t="s">
        <v>129</v>
      </c>
      <c r="F3" s="307"/>
      <c r="H3" s="126" t="s">
        <v>128</v>
      </c>
      <c r="J3" s="308" t="s">
        <v>243</v>
      </c>
      <c r="K3" s="308"/>
      <c r="L3" s="308"/>
      <c r="M3" s="308"/>
      <c r="N3" s="308"/>
    </row>
    <row r="4" spans="1:14" ht="39" customHeight="1" thickBot="1">
      <c r="A4" s="8" t="s">
        <v>0</v>
      </c>
      <c r="B4" s="8" t="s">
        <v>157</v>
      </c>
      <c r="C4" s="127" t="s">
        <v>115</v>
      </c>
      <c r="E4" s="86" t="s">
        <v>214</v>
      </c>
      <c r="F4" s="127" t="s">
        <v>116</v>
      </c>
      <c r="H4" s="127" t="s">
        <v>122</v>
      </c>
      <c r="J4" s="134" t="s">
        <v>119</v>
      </c>
      <c r="K4" s="134" t="s">
        <v>120</v>
      </c>
      <c r="L4" s="134" t="s">
        <v>121</v>
      </c>
      <c r="M4" s="134" t="s">
        <v>163</v>
      </c>
      <c r="N4" s="136" t="s">
        <v>114</v>
      </c>
    </row>
    <row r="5" spans="1:14">
      <c r="A5" s="102"/>
      <c r="B5" s="99"/>
      <c r="C5" s="105"/>
      <c r="D5" s="114"/>
      <c r="E5" s="121"/>
      <c r="F5" s="105"/>
      <c r="G5" s="114"/>
      <c r="H5" s="105"/>
      <c r="I5" s="114"/>
      <c r="J5" s="107" t="s">
        <v>130</v>
      </c>
      <c r="K5" s="107" t="s">
        <v>130</v>
      </c>
      <c r="L5" s="107" t="s">
        <v>130</v>
      </c>
      <c r="M5" s="107" t="s">
        <v>130</v>
      </c>
      <c r="N5" s="122"/>
    </row>
    <row r="6" spans="1:14" s="17" customFormat="1" ht="11.25">
      <c r="A6" s="87"/>
      <c r="B6" s="108" t="s">
        <v>57</v>
      </c>
      <c r="C6" s="123" t="s">
        <v>75</v>
      </c>
      <c r="D6" s="16"/>
      <c r="E6" s="88" t="s">
        <v>56</v>
      </c>
      <c r="F6" s="123" t="s">
        <v>76</v>
      </c>
      <c r="G6" s="16"/>
      <c r="H6" s="111" t="s">
        <v>72</v>
      </c>
      <c r="I6" s="16"/>
      <c r="J6" s="137">
        <f>+M6*0.35</f>
        <v>88737164.25</v>
      </c>
      <c r="K6" s="137">
        <f>+M6*0.35</f>
        <v>88737164.25</v>
      </c>
      <c r="L6" s="137">
        <f>+M6*0.3</f>
        <v>76060426.5</v>
      </c>
      <c r="M6" s="137">
        <f>+'PART MES'!D12</f>
        <v>253534755</v>
      </c>
      <c r="N6" s="138"/>
    </row>
    <row r="7" spans="1:14" s="25" customFormat="1" ht="23.25" customHeight="1" thickBot="1">
      <c r="A7" s="18"/>
      <c r="B7" s="18"/>
      <c r="C7" s="89"/>
      <c r="D7" s="19"/>
      <c r="E7" s="90"/>
      <c r="F7" s="91"/>
      <c r="G7" s="19"/>
      <c r="H7" s="21"/>
      <c r="I7" s="19"/>
      <c r="J7" s="137" t="s">
        <v>117</v>
      </c>
      <c r="K7" s="137" t="s">
        <v>71</v>
      </c>
      <c r="L7" s="137" t="s">
        <v>118</v>
      </c>
      <c r="M7" s="139" t="s">
        <v>131</v>
      </c>
      <c r="N7" s="140" t="s">
        <v>73</v>
      </c>
    </row>
    <row r="8" spans="1:14" ht="13.5" thickTop="1">
      <c r="A8" s="2" t="s">
        <v>1</v>
      </c>
      <c r="B8" s="141">
        <v>2639</v>
      </c>
      <c r="C8" s="128">
        <f t="shared" ref="C8:C58" si="0">+B8/$B$59</f>
        <v>5.1547962458863201E-4</v>
      </c>
      <c r="E8" s="92">
        <v>2911</v>
      </c>
      <c r="F8" s="128">
        <f t="shared" ref="F8:F59" si="1">(E8/E$59)</f>
        <v>5.2610205367759066E-4</v>
      </c>
      <c r="H8" s="142">
        <f>+'COEF Art 14 F I'!AQ8</f>
        <v>4.4676387536875034E-4</v>
      </c>
      <c r="J8" s="143">
        <f t="shared" ref="J8:J39" si="2">+C8*J$6</f>
        <v>45742.200114649779</v>
      </c>
      <c r="K8" s="144">
        <f t="shared" ref="K8:K39" si="3">+F8*K$6</f>
        <v>46684.804349450678</v>
      </c>
      <c r="L8" s="144">
        <f t="shared" ref="L8:L39" si="4">+H8*L$6</f>
        <v>33981.050905339995</v>
      </c>
      <c r="M8" s="144">
        <f>SUM(J8:L8)</f>
        <v>126408.05536944047</v>
      </c>
      <c r="N8" s="145">
        <f>+M8/M$59</f>
        <v>4.9858275000380311E-4</v>
      </c>
    </row>
    <row r="9" spans="1:14">
      <c r="A9" s="4" t="s">
        <v>2</v>
      </c>
      <c r="B9" s="146">
        <v>2439</v>
      </c>
      <c r="C9" s="129">
        <f t="shared" si="0"/>
        <v>4.7641334004231659E-4</v>
      </c>
      <c r="E9" s="93">
        <v>2627</v>
      </c>
      <c r="F9" s="129">
        <f t="shared" si="1"/>
        <v>4.7477502405050869E-4</v>
      </c>
      <c r="H9" s="147">
        <f>+'COEF Art 14 F I'!AQ9</f>
        <v>2.4368318122312267E-3</v>
      </c>
      <c r="J9" s="148">
        <f t="shared" si="2"/>
        <v>42275.568806226147</v>
      </c>
      <c r="K9" s="149">
        <f t="shared" si="3"/>
        <v>42130.18929096769</v>
      </c>
      <c r="L9" s="149">
        <f t="shared" si="4"/>
        <v>185346.46694707501</v>
      </c>
      <c r="M9" s="149">
        <f t="shared" ref="M9:M58" si="5">SUM(J9:L9)</f>
        <v>269752.22504426888</v>
      </c>
      <c r="N9" s="150">
        <f t="shared" ref="N9:N58" si="6">+M9/M$59</f>
        <v>1.063965471101857E-3</v>
      </c>
    </row>
    <row r="10" spans="1:14">
      <c r="A10" s="4" t="s">
        <v>3</v>
      </c>
      <c r="B10" s="146">
        <v>1292</v>
      </c>
      <c r="C10" s="129">
        <f t="shared" si="0"/>
        <v>2.5236819816919762E-4</v>
      </c>
      <c r="E10" s="93">
        <v>1485</v>
      </c>
      <c r="F10" s="129">
        <f t="shared" si="1"/>
        <v>2.6838253167681971E-4</v>
      </c>
      <c r="H10" s="147">
        <f>+'COEF Art 14 F I'!AQ10</f>
        <v>2.654868796154375E-3</v>
      </c>
      <c r="J10" s="148">
        <f t="shared" si="2"/>
        <v>22394.438252416639</v>
      </c>
      <c r="K10" s="149">
        <f t="shared" si="3"/>
        <v>23815.504795236779</v>
      </c>
      <c r="L10" s="149">
        <f t="shared" si="4"/>
        <v>201930.45293704333</v>
      </c>
      <c r="M10" s="149">
        <f t="shared" si="5"/>
        <v>248140.39598469675</v>
      </c>
      <c r="N10" s="150">
        <f t="shared" si="6"/>
        <v>9.7872339429241851E-4</v>
      </c>
    </row>
    <row r="11" spans="1:14" ht="13.5" customHeight="1">
      <c r="A11" s="4" t="s">
        <v>4</v>
      </c>
      <c r="B11" s="146">
        <v>34353</v>
      </c>
      <c r="C11" s="129">
        <f t="shared" si="0"/>
        <v>6.7102203650978689E-3</v>
      </c>
      <c r="E11" s="93">
        <v>37797</v>
      </c>
      <c r="F11" s="129">
        <f t="shared" si="1"/>
        <v>6.8310131648409121E-3</v>
      </c>
      <c r="H11" s="147">
        <f>+'COEF Art 14 F I'!AQ11</f>
        <v>7.320038752529184E-3</v>
      </c>
      <c r="J11" s="148">
        <f t="shared" si="2"/>
        <v>595445.92669138452</v>
      </c>
      <c r="K11" s="149">
        <f t="shared" si="3"/>
        <v>606164.73720240034</v>
      </c>
      <c r="L11" s="149">
        <f t="shared" si="4"/>
        <v>556765.26951389771</v>
      </c>
      <c r="M11" s="149">
        <f t="shared" si="5"/>
        <v>1758375.9334076825</v>
      </c>
      <c r="N11" s="150">
        <f t="shared" si="6"/>
        <v>6.9354433612373277E-3</v>
      </c>
    </row>
    <row r="12" spans="1:14">
      <c r="A12" s="4" t="s">
        <v>5</v>
      </c>
      <c r="B12" s="146">
        <v>18194</v>
      </c>
      <c r="C12" s="129">
        <f t="shared" si="0"/>
        <v>3.5538599051783142E-3</v>
      </c>
      <c r="E12" s="93">
        <v>19844</v>
      </c>
      <c r="F12" s="129">
        <f t="shared" si="1"/>
        <v>3.5863858307035759E-3</v>
      </c>
      <c r="H12" s="147">
        <f>+'COEF Art 14 F I'!AQ12</f>
        <v>7.2844235978765321E-3</v>
      </c>
      <c r="J12" s="148">
        <f t="shared" si="2"/>
        <v>315359.45012729749</v>
      </c>
      <c r="K12" s="149">
        <f t="shared" si="3"/>
        <v>318245.7085230159</v>
      </c>
      <c r="L12" s="149">
        <f t="shared" si="4"/>
        <v>554056.36566115357</v>
      </c>
      <c r="M12" s="149">
        <f t="shared" si="5"/>
        <v>1187661.5243114671</v>
      </c>
      <c r="N12" s="150">
        <f t="shared" si="6"/>
        <v>4.6844130869216219E-3</v>
      </c>
    </row>
    <row r="13" spans="1:14">
      <c r="A13" s="4" t="s">
        <v>6</v>
      </c>
      <c r="B13" s="146">
        <v>597207</v>
      </c>
      <c r="C13" s="129">
        <f t="shared" si="0"/>
        <v>0.11665329297525698</v>
      </c>
      <c r="E13" s="93">
        <v>654249</v>
      </c>
      <c r="F13" s="129">
        <f t="shared" si="1"/>
        <v>0.11824175283974925</v>
      </c>
      <c r="H13" s="147">
        <f>+'COEF Art 14 F I'!AQ13</f>
        <v>6.2991998515920161E-2</v>
      </c>
      <c r="J13" s="148">
        <f t="shared" si="2"/>
        <v>10351482.419048749</v>
      </c>
      <c r="K13" s="149">
        <f t="shared" si="3"/>
        <v>10492437.842948733</v>
      </c>
      <c r="L13" s="149">
        <f t="shared" si="4"/>
        <v>4791198.2732082549</v>
      </c>
      <c r="M13" s="149">
        <f t="shared" si="5"/>
        <v>25635118.535205737</v>
      </c>
      <c r="N13" s="150">
        <f t="shared" si="6"/>
        <v>0.10111086559002823</v>
      </c>
    </row>
    <row r="14" spans="1:14">
      <c r="A14" s="4" t="s">
        <v>7</v>
      </c>
      <c r="B14" s="146">
        <v>16152</v>
      </c>
      <c r="C14" s="129">
        <f t="shared" si="0"/>
        <v>3.1549931399604335E-3</v>
      </c>
      <c r="E14" s="93">
        <v>17586</v>
      </c>
      <c r="F14" s="129">
        <f t="shared" si="1"/>
        <v>3.1782997993727619E-3</v>
      </c>
      <c r="H14" s="147">
        <f>+'COEF Art 14 F I'!AQ14</f>
        <v>1.0420916955353356E-2</v>
      </c>
      <c r="J14" s="148">
        <f t="shared" si="2"/>
        <v>279965.14446829224</v>
      </c>
      <c r="K14" s="149">
        <f t="shared" si="3"/>
        <v>282033.31133268285</v>
      </c>
      <c r="L14" s="149">
        <f t="shared" si="4"/>
        <v>792619.38814525772</v>
      </c>
      <c r="M14" s="149">
        <f t="shared" si="5"/>
        <v>1354617.8439462329</v>
      </c>
      <c r="N14" s="150">
        <f t="shared" si="6"/>
        <v>5.342927615372626E-3</v>
      </c>
    </row>
    <row r="15" spans="1:14">
      <c r="A15" s="4" t="s">
        <v>8</v>
      </c>
      <c r="B15" s="146">
        <v>3977</v>
      </c>
      <c r="C15" s="129">
        <f t="shared" si="0"/>
        <v>7.7683306820348224E-4</v>
      </c>
      <c r="E15" s="93">
        <v>4330</v>
      </c>
      <c r="F15" s="129">
        <f t="shared" si="1"/>
        <v>7.8255647283544062E-4</v>
      </c>
      <c r="H15" s="147">
        <f>+'COEF Art 14 F I'!AQ15</f>
        <v>1.3580209499982647E-3</v>
      </c>
      <c r="J15" s="148">
        <f t="shared" si="2"/>
        <v>68933.963568003863</v>
      </c>
      <c r="K15" s="149">
        <f t="shared" si="3"/>
        <v>69441.842264899155</v>
      </c>
      <c r="L15" s="149">
        <f t="shared" si="4"/>
        <v>103291.65265280318</v>
      </c>
      <c r="M15" s="149">
        <f t="shared" si="5"/>
        <v>241667.45848570619</v>
      </c>
      <c r="N15" s="150">
        <f t="shared" si="6"/>
        <v>9.531926243631024E-4</v>
      </c>
    </row>
    <row r="16" spans="1:14">
      <c r="A16" s="4" t="s">
        <v>9</v>
      </c>
      <c r="B16" s="146">
        <v>95534</v>
      </c>
      <c r="C16" s="129">
        <f t="shared" si="0"/>
        <v>1.8660792139238488E-2</v>
      </c>
      <c r="E16" s="93">
        <v>103732</v>
      </c>
      <c r="F16" s="129">
        <f t="shared" si="1"/>
        <v>1.874737830026927E-2</v>
      </c>
      <c r="H16" s="147">
        <f>+'COEF Art 14 F I'!AQ16</f>
        <v>1.2560790500063177E-2</v>
      </c>
      <c r="J16" s="148">
        <f t="shared" si="2"/>
        <v>1655905.7770947146</v>
      </c>
      <c r="K16" s="149">
        <f t="shared" si="3"/>
        <v>1663589.18748788</v>
      </c>
      <c r="L16" s="149">
        <f t="shared" si="4"/>
        <v>955379.08261195349</v>
      </c>
      <c r="M16" s="149">
        <f t="shared" si="5"/>
        <v>4274874.047194548</v>
      </c>
      <c r="N16" s="150">
        <f t="shared" si="6"/>
        <v>1.6861096803846669E-2</v>
      </c>
    </row>
    <row r="17" spans="1:14">
      <c r="A17" s="4" t="s">
        <v>10</v>
      </c>
      <c r="B17" s="146">
        <v>38306</v>
      </c>
      <c r="C17" s="129">
        <f t="shared" si="0"/>
        <v>7.4823654791557935E-3</v>
      </c>
      <c r="E17" s="93">
        <v>45792</v>
      </c>
      <c r="F17" s="129">
        <f t="shared" si="1"/>
        <v>8.2759413404342955E-3</v>
      </c>
      <c r="H17" s="147">
        <f>+'COEF Art 14 F I'!AQ17</f>
        <v>2.913424399799816E-3</v>
      </c>
      <c r="J17" s="148">
        <f t="shared" si="2"/>
        <v>663963.8945023776</v>
      </c>
      <c r="K17" s="149">
        <f t="shared" si="3"/>
        <v>734383.56604948326</v>
      </c>
      <c r="L17" s="149">
        <f t="shared" si="4"/>
        <v>221596.30242428053</v>
      </c>
      <c r="M17" s="149">
        <f t="shared" si="5"/>
        <v>1619943.7629761412</v>
      </c>
      <c r="N17" s="150">
        <f t="shared" si="6"/>
        <v>6.3894347067964749E-3</v>
      </c>
    </row>
    <row r="18" spans="1:14">
      <c r="A18" s="4" t="s">
        <v>11</v>
      </c>
      <c r="B18" s="146">
        <v>7757</v>
      </c>
      <c r="C18" s="129">
        <f t="shared" si="0"/>
        <v>1.5151858461288437E-3</v>
      </c>
      <c r="E18" s="93">
        <v>8312</v>
      </c>
      <c r="F18" s="129">
        <f t="shared" si="1"/>
        <v>1.5022192614799498E-3</v>
      </c>
      <c r="H18" s="147">
        <f>+'COEF Art 14 F I'!AQ18</f>
        <v>4.2194870553740578E-3</v>
      </c>
      <c r="J18" s="148">
        <f t="shared" si="2"/>
        <v>134453.29529721042</v>
      </c>
      <c r="K18" s="149">
        <f t="shared" si="3"/>
        <v>133302.67734546002</v>
      </c>
      <c r="L18" s="149">
        <f t="shared" si="4"/>
        <v>320935.98504297994</v>
      </c>
      <c r="M18" s="149">
        <f t="shared" si="5"/>
        <v>588691.95768565033</v>
      </c>
      <c r="N18" s="150">
        <f t="shared" si="6"/>
        <v>2.3219379042752949E-3</v>
      </c>
    </row>
    <row r="19" spans="1:14">
      <c r="A19" s="4" t="s">
        <v>12</v>
      </c>
      <c r="B19" s="146">
        <v>10835</v>
      </c>
      <c r="C19" s="129">
        <f t="shared" si="0"/>
        <v>2.1164159652966382E-3</v>
      </c>
      <c r="E19" s="93">
        <v>11856</v>
      </c>
      <c r="F19" s="129">
        <f t="shared" si="1"/>
        <v>2.142722757953114E-3</v>
      </c>
      <c r="H19" s="147">
        <f>+'COEF Art 14 F I'!AQ19</f>
        <v>7.0644351540848742E-3</v>
      </c>
      <c r="J19" s="148">
        <f t="shared" si="2"/>
        <v>187804.75113385008</v>
      </c>
      <c r="K19" s="149">
        <f t="shared" si="3"/>
        <v>190139.14131469847</v>
      </c>
      <c r="L19" s="149">
        <f t="shared" si="4"/>
        <v>537323.95080128871</v>
      </c>
      <c r="M19" s="149">
        <f t="shared" si="5"/>
        <v>915267.84324983729</v>
      </c>
      <c r="N19" s="150">
        <f t="shared" si="6"/>
        <v>3.6100290993628754E-3</v>
      </c>
    </row>
    <row r="20" spans="1:14">
      <c r="A20" s="4" t="s">
        <v>13</v>
      </c>
      <c r="B20" s="146">
        <v>42715</v>
      </c>
      <c r="C20" s="129">
        <f t="shared" si="0"/>
        <v>8.3435817219793176E-3</v>
      </c>
      <c r="E20" s="93">
        <v>49098</v>
      </c>
      <c r="F20" s="129">
        <f t="shared" si="1"/>
        <v>8.873431340248145E-3</v>
      </c>
      <c r="H20" s="147">
        <f>+'COEF Art 14 F I'!AQ20</f>
        <v>3.8663688905713695E-3</v>
      </c>
      <c r="J20" s="148">
        <f t="shared" si="2"/>
        <v>740385.78169657651</v>
      </c>
      <c r="K20" s="149">
        <f t="shared" si="3"/>
        <v>787403.13430069725</v>
      </c>
      <c r="L20" s="149">
        <f t="shared" si="4"/>
        <v>294077.66682319017</v>
      </c>
      <c r="M20" s="149">
        <f t="shared" si="5"/>
        <v>1821866.5828204639</v>
      </c>
      <c r="N20" s="150">
        <f t="shared" si="6"/>
        <v>7.1858652389510226E-3</v>
      </c>
    </row>
    <row r="21" spans="1:14">
      <c r="A21" s="4" t="s">
        <v>14</v>
      </c>
      <c r="B21" s="146">
        <v>34110</v>
      </c>
      <c r="C21" s="129">
        <f t="shared" si="0"/>
        <v>6.6627548293740953E-3</v>
      </c>
      <c r="E21" s="93">
        <v>37512</v>
      </c>
      <c r="F21" s="129">
        <f t="shared" si="1"/>
        <v>6.7795054062362702E-3</v>
      </c>
      <c r="H21" s="147">
        <f>+'COEF Art 14 F I'!AQ21</f>
        <v>2.3570333897761319E-2</v>
      </c>
      <c r="J21" s="148">
        <f t="shared" si="2"/>
        <v>591233.96965164982</v>
      </c>
      <c r="K21" s="149">
        <f t="shared" si="3"/>
        <v>601594.08476695092</v>
      </c>
      <c r="L21" s="149">
        <f t="shared" si="4"/>
        <v>1792769.6490111332</v>
      </c>
      <c r="M21" s="149">
        <f t="shared" si="5"/>
        <v>2985597.7034297339</v>
      </c>
      <c r="N21" s="150">
        <f t="shared" si="6"/>
        <v>1.1775891251792023E-2</v>
      </c>
    </row>
    <row r="22" spans="1:14">
      <c r="A22" s="4" t="s">
        <v>15</v>
      </c>
      <c r="B22" s="146">
        <v>1632</v>
      </c>
      <c r="C22" s="129">
        <f t="shared" si="0"/>
        <v>3.1878088189793386E-4</v>
      </c>
      <c r="E22" s="93">
        <v>1822</v>
      </c>
      <c r="F22" s="129">
        <f t="shared" si="1"/>
        <v>3.2928819711458958E-4</v>
      </c>
      <c r="H22" s="147">
        <f>+'COEF Art 14 F I'!AQ22</f>
        <v>3.0255048816726815E-3</v>
      </c>
      <c r="J22" s="148">
        <f t="shared" si="2"/>
        <v>28287.711476736808</v>
      </c>
      <c r="K22" s="149">
        <f t="shared" si="3"/>
        <v>29220.10083294371</v>
      </c>
      <c r="L22" s="149">
        <f t="shared" si="4"/>
        <v>230121.1916778562</v>
      </c>
      <c r="M22" s="149">
        <f t="shared" si="5"/>
        <v>287629.00398753671</v>
      </c>
      <c r="N22" s="150">
        <f t="shared" si="6"/>
        <v>1.1344756421561876E-3</v>
      </c>
    </row>
    <row r="23" spans="1:14">
      <c r="A23" s="4" t="s">
        <v>16</v>
      </c>
      <c r="B23" s="146">
        <v>2861</v>
      </c>
      <c r="C23" s="129">
        <f t="shared" si="0"/>
        <v>5.588432004350421E-4</v>
      </c>
      <c r="E23" s="93">
        <v>3278</v>
      </c>
      <c r="F23" s="129">
        <f t="shared" si="1"/>
        <v>5.9242958844216501E-4</v>
      </c>
      <c r="H23" s="147">
        <f>+'COEF Art 14 F I'!AQ23</f>
        <v>1.1288486414847783E-3</v>
      </c>
      <c r="J23" s="148">
        <f t="shared" si="2"/>
        <v>49590.160867000006</v>
      </c>
      <c r="K23" s="149">
        <f t="shared" si="3"/>
        <v>52570.521696152296</v>
      </c>
      <c r="L23" s="149">
        <f t="shared" si="4"/>
        <v>85860.709125277834</v>
      </c>
      <c r="M23" s="149">
        <f t="shared" si="5"/>
        <v>188021.39168843016</v>
      </c>
      <c r="N23" s="150">
        <f t="shared" si="6"/>
        <v>7.4160006855245606E-4</v>
      </c>
    </row>
    <row r="24" spans="1:14">
      <c r="A24" s="4" t="s">
        <v>17</v>
      </c>
      <c r="B24" s="146">
        <v>41130</v>
      </c>
      <c r="C24" s="129">
        <f t="shared" si="0"/>
        <v>8.0339814169497672E-3</v>
      </c>
      <c r="E24" s="93">
        <v>44543</v>
      </c>
      <c r="F24" s="129">
        <f t="shared" si="1"/>
        <v>8.0502108474616706E-3</v>
      </c>
      <c r="H24" s="147">
        <f>+'COEF Art 14 F I'!AQ24</f>
        <v>1.7531571126368089E-2</v>
      </c>
      <c r="J24" s="148">
        <f t="shared" si="2"/>
        <v>712912.72857731918</v>
      </c>
      <c r="K24" s="149">
        <f t="shared" si="3"/>
        <v>714352.88221833797</v>
      </c>
      <c r="L24" s="149">
        <f t="shared" si="4"/>
        <v>1333458.7770866423</v>
      </c>
      <c r="M24" s="149">
        <f t="shared" si="5"/>
        <v>2760724.3878822997</v>
      </c>
      <c r="N24" s="150">
        <f t="shared" si="6"/>
        <v>1.0888938630454431E-2</v>
      </c>
    </row>
    <row r="25" spans="1:14">
      <c r="A25" s="4" t="s">
        <v>18</v>
      </c>
      <c r="B25" s="146">
        <v>247370</v>
      </c>
      <c r="C25" s="129">
        <f t="shared" si="0"/>
        <v>4.8319134041110233E-2</v>
      </c>
      <c r="E25" s="93">
        <v>290911</v>
      </c>
      <c r="F25" s="129">
        <f t="shared" si="1"/>
        <v>5.2576047591000201E-2</v>
      </c>
      <c r="H25" s="147">
        <f>+'COEF Art 14 F I'!AQ25</f>
        <v>2.3505232293335766E-2</v>
      </c>
      <c r="J25" s="148">
        <f t="shared" si="2"/>
        <v>4287702.9338237653</v>
      </c>
      <c r="K25" s="149">
        <f t="shared" si="3"/>
        <v>4665449.3706984017</v>
      </c>
      <c r="L25" s="149">
        <f t="shared" si="4"/>
        <v>1787817.9932126915</v>
      </c>
      <c r="M25" s="149">
        <f t="shared" si="5"/>
        <v>10740970.29773486</v>
      </c>
      <c r="N25" s="150">
        <f t="shared" si="6"/>
        <v>4.2364883259239393E-2</v>
      </c>
    </row>
    <row r="26" spans="1:14">
      <c r="A26" s="4" t="s">
        <v>19</v>
      </c>
      <c r="B26" s="146">
        <v>5479</v>
      </c>
      <c r="C26" s="129">
        <f t="shared" si="0"/>
        <v>1.0702208651463111E-3</v>
      </c>
      <c r="E26" s="93">
        <v>6059</v>
      </c>
      <c r="F26" s="129">
        <f t="shared" si="1"/>
        <v>1.0950368750369365E-3</v>
      </c>
      <c r="H26" s="147">
        <f>+'COEF Art 14 F I'!AQ26</f>
        <v>2.7232098342419302E-3</v>
      </c>
      <c r="J26" s="148">
        <f t="shared" si="2"/>
        <v>94968.364694265314</v>
      </c>
      <c r="K26" s="149">
        <f t="shared" si="3"/>
        <v>97170.46703995936</v>
      </c>
      <c r="L26" s="149">
        <f t="shared" si="4"/>
        <v>207128.50144143551</v>
      </c>
      <c r="M26" s="149">
        <f t="shared" si="5"/>
        <v>399267.33317566023</v>
      </c>
      <c r="N26" s="150">
        <f t="shared" si="6"/>
        <v>1.574803159336716E-3</v>
      </c>
    </row>
    <row r="27" spans="1:14">
      <c r="A27" s="4" t="s">
        <v>20</v>
      </c>
      <c r="B27" s="146">
        <v>425148</v>
      </c>
      <c r="C27" s="129">
        <f t="shared" si="0"/>
        <v>8.3044763711484545E-2</v>
      </c>
      <c r="E27" s="93">
        <v>459071</v>
      </c>
      <c r="F27" s="129">
        <f t="shared" si="1"/>
        <v>8.2967432457514687E-2</v>
      </c>
      <c r="H27" s="147">
        <f>+'COEF Art 14 F I'!AQ27</f>
        <v>4.5708276578502877E-2</v>
      </c>
      <c r="J27" s="148">
        <f t="shared" si="2"/>
        <v>7369156.8375684433</v>
      </c>
      <c r="K27" s="149">
        <f t="shared" si="3"/>
        <v>7362294.6813832615</v>
      </c>
      <c r="L27" s="149">
        <f t="shared" si="4"/>
        <v>3476591.0111408895</v>
      </c>
      <c r="M27" s="149">
        <f t="shared" si="5"/>
        <v>18208042.530092593</v>
      </c>
      <c r="N27" s="150">
        <f t="shared" si="6"/>
        <v>7.1816751632700584E-2</v>
      </c>
    </row>
    <row r="28" spans="1:14">
      <c r="A28" s="4" t="s">
        <v>21</v>
      </c>
      <c r="B28" s="146">
        <v>14795</v>
      </c>
      <c r="C28" s="129">
        <f t="shared" si="0"/>
        <v>2.8899283993136836E-3</v>
      </c>
      <c r="E28" s="93">
        <v>16112</v>
      </c>
      <c r="F28" s="129">
        <f t="shared" si="1"/>
        <v>2.9119052864491038E-3</v>
      </c>
      <c r="H28" s="147">
        <f>+'COEF Art 14 F I'!AQ28</f>
        <v>6.3385163746026169E-3</v>
      </c>
      <c r="J28" s="148">
        <f t="shared" si="2"/>
        <v>256444.05104063792</v>
      </c>
      <c r="K28" s="149">
        <f t="shared" si="3"/>
        <v>258394.21768407742</v>
      </c>
      <c r="L28" s="149">
        <f t="shared" si="4"/>
        <v>482110.25882950879</v>
      </c>
      <c r="M28" s="149">
        <f t="shared" si="5"/>
        <v>996948.52755422413</v>
      </c>
      <c r="N28" s="150">
        <f t="shared" si="6"/>
        <v>3.9321967023977604E-3</v>
      </c>
    </row>
    <row r="29" spans="1:14">
      <c r="A29" s="4" t="s">
        <v>22</v>
      </c>
      <c r="B29" s="146">
        <v>1044</v>
      </c>
      <c r="C29" s="129">
        <f t="shared" si="0"/>
        <v>2.0392600533176652E-4</v>
      </c>
      <c r="E29" s="93">
        <v>1196</v>
      </c>
      <c r="F29" s="129">
        <f t="shared" si="1"/>
        <v>2.1615185716193695E-4</v>
      </c>
      <c r="H29" s="147">
        <f>+'COEF Art 14 F I'!AQ29</f>
        <v>5.2818104864373039E-4</v>
      </c>
      <c r="J29" s="148">
        <f t="shared" si="2"/>
        <v>18095.815429971342</v>
      </c>
      <c r="K29" s="149">
        <f t="shared" si="3"/>
        <v>19180.702851921338</v>
      </c>
      <c r="L29" s="149">
        <f t="shared" si="4"/>
        <v>40173.675829059379</v>
      </c>
      <c r="M29" s="149">
        <f t="shared" si="5"/>
        <v>77450.194110952056</v>
      </c>
      <c r="N29" s="150">
        <f t="shared" si="6"/>
        <v>3.0548156646591532E-4</v>
      </c>
    </row>
    <row r="30" spans="1:14">
      <c r="A30" s="4" t="s">
        <v>23</v>
      </c>
      <c r="B30" s="146">
        <v>6011</v>
      </c>
      <c r="C30" s="129">
        <f t="shared" si="0"/>
        <v>1.17413718203951E-3</v>
      </c>
      <c r="E30" s="93">
        <v>6546</v>
      </c>
      <c r="F30" s="129">
        <f t="shared" si="1"/>
        <v>1.1830518871087286E-3</v>
      </c>
      <c r="H30" s="147">
        <f>+'COEF Art 14 F I'!AQ30</f>
        <v>5.2015325600007394E-3</v>
      </c>
      <c r="J30" s="148">
        <f t="shared" si="2"/>
        <v>104189.60397467215</v>
      </c>
      <c r="K30" s="149">
        <f t="shared" si="3"/>
        <v>104980.6696226397</v>
      </c>
      <c r="L30" s="149">
        <f t="shared" si="4"/>
        <v>395630.78496729309</v>
      </c>
      <c r="M30" s="149">
        <f t="shared" si="5"/>
        <v>604801.05856460496</v>
      </c>
      <c r="N30" s="150">
        <f t="shared" si="6"/>
        <v>2.3854759422021056E-3</v>
      </c>
    </row>
    <row r="31" spans="1:14">
      <c r="A31" s="4" t="s">
        <v>24</v>
      </c>
      <c r="B31" s="146">
        <v>67294</v>
      </c>
      <c r="C31" s="129">
        <f t="shared" si="0"/>
        <v>1.3144632761298751E-2</v>
      </c>
      <c r="E31" s="93">
        <v>88975</v>
      </c>
      <c r="F31" s="129">
        <f t="shared" si="1"/>
        <v>1.6080360778414165E-2</v>
      </c>
      <c r="H31" s="147">
        <f>+'COEF Art 14 F I'!AQ31</f>
        <v>5.1002466585912069E-3</v>
      </c>
      <c r="J31" s="148">
        <f t="shared" si="2"/>
        <v>1166417.4363452983</v>
      </c>
      <c r="K31" s="149">
        <f t="shared" si="3"/>
        <v>1426925.6155933957</v>
      </c>
      <c r="L31" s="149">
        <f t="shared" si="4"/>
        <v>387926.93610764708</v>
      </c>
      <c r="M31" s="149">
        <f t="shared" si="5"/>
        <v>2981269.9880463411</v>
      </c>
      <c r="N31" s="150">
        <f t="shared" si="6"/>
        <v>1.1758821736476884E-2</v>
      </c>
    </row>
    <row r="32" spans="1:14">
      <c r="A32" s="4" t="s">
        <v>25</v>
      </c>
      <c r="B32" s="146">
        <v>682880</v>
      </c>
      <c r="C32" s="129">
        <f t="shared" si="0"/>
        <v>0.1333879219549394</v>
      </c>
      <c r="E32" s="93">
        <v>706231</v>
      </c>
      <c r="F32" s="129">
        <f t="shared" si="1"/>
        <v>0.12763640655128086</v>
      </c>
      <c r="H32" s="147">
        <f>+'COEF Art 14 F I'!AQ32</f>
        <v>8.1298622370956614E-2</v>
      </c>
      <c r="J32" s="148">
        <f t="shared" si="2"/>
        <v>11836465.939481638</v>
      </c>
      <c r="K32" s="149">
        <f t="shared" si="3"/>
        <v>11326092.772420786</v>
      </c>
      <c r="L32" s="149">
        <f t="shared" si="4"/>
        <v>6183607.8913974017</v>
      </c>
      <c r="M32" s="149">
        <f t="shared" si="5"/>
        <v>29346166.603299826</v>
      </c>
      <c r="N32" s="150">
        <f t="shared" si="6"/>
        <v>0.11574810168846408</v>
      </c>
    </row>
    <row r="33" spans="1:14">
      <c r="A33" s="4" t="s">
        <v>26</v>
      </c>
      <c r="B33" s="146">
        <v>1764</v>
      </c>
      <c r="C33" s="129">
        <f t="shared" si="0"/>
        <v>3.4456462969850206E-4</v>
      </c>
      <c r="E33" s="93">
        <v>1986</v>
      </c>
      <c r="F33" s="129">
        <f t="shared" si="1"/>
        <v>3.5892774943445383E-4</v>
      </c>
      <c r="H33" s="147">
        <f>+'COEF Art 14 F I'!AQ33</f>
        <v>1.3775116841786808E-3</v>
      </c>
      <c r="J33" s="148">
        <f t="shared" si="2"/>
        <v>30575.688140296406</v>
      </c>
      <c r="K33" s="149">
        <f t="shared" si="3"/>
        <v>31850.230655447973</v>
      </c>
      <c r="L33" s="149">
        <f t="shared" si="4"/>
        <v>104774.12620736376</v>
      </c>
      <c r="M33" s="149">
        <f t="shared" si="5"/>
        <v>167200.04500310816</v>
      </c>
      <c r="N33" s="150">
        <f t="shared" si="6"/>
        <v>6.5947583795013883E-4</v>
      </c>
    </row>
    <row r="34" spans="1:14">
      <c r="A34" s="4" t="s">
        <v>27</v>
      </c>
      <c r="B34" s="146">
        <v>13836</v>
      </c>
      <c r="C34" s="129">
        <f t="shared" si="0"/>
        <v>2.702605564914101E-3</v>
      </c>
      <c r="E34" s="93">
        <v>15875</v>
      </c>
      <c r="F34" s="129">
        <f t="shared" si="1"/>
        <v>2.8690725187673488E-3</v>
      </c>
      <c r="H34" s="147">
        <f>+'COEF Art 14 F I'!AQ34</f>
        <v>3.2187586547037547E-3</v>
      </c>
      <c r="J34" s="148">
        <f t="shared" si="2"/>
        <v>239821.55391674663</v>
      </c>
      <c r="K34" s="149">
        <f t="shared" si="3"/>
        <v>254593.35934301943</v>
      </c>
      <c r="L34" s="149">
        <f t="shared" si="4"/>
        <v>244820.15607733381</v>
      </c>
      <c r="M34" s="149">
        <f t="shared" si="5"/>
        <v>739235.06933709991</v>
      </c>
      <c r="N34" s="150">
        <f t="shared" si="6"/>
        <v>2.9157149256996339E-3</v>
      </c>
    </row>
    <row r="35" spans="1:14">
      <c r="A35" s="4" t="s">
        <v>28</v>
      </c>
      <c r="B35" s="146">
        <v>1511</v>
      </c>
      <c r="C35" s="129">
        <f t="shared" si="0"/>
        <v>2.9514577974741303E-4</v>
      </c>
      <c r="E35" s="93">
        <v>1700</v>
      </c>
      <c r="F35" s="129">
        <f t="shared" si="1"/>
        <v>3.0723926185225153E-4</v>
      </c>
      <c r="H35" s="147">
        <f>+'COEF Art 14 F I'!AQ35</f>
        <v>2.1051500554698423E-3</v>
      </c>
      <c r="J35" s="148">
        <f t="shared" si="2"/>
        <v>26190.399535140514</v>
      </c>
      <c r="K35" s="149">
        <f t="shared" si="3"/>
        <v>27263.540843032002</v>
      </c>
      <c r="L35" s="149">
        <f t="shared" si="4"/>
        <v>160118.61106553487</v>
      </c>
      <c r="M35" s="149">
        <f t="shared" si="5"/>
        <v>213572.55144370737</v>
      </c>
      <c r="N35" s="150">
        <f t="shared" si="6"/>
        <v>8.4237978120083523E-4</v>
      </c>
    </row>
    <row r="36" spans="1:14">
      <c r="A36" s="4" t="s">
        <v>29</v>
      </c>
      <c r="B36" s="146">
        <v>6921</v>
      </c>
      <c r="C36" s="129">
        <f t="shared" si="0"/>
        <v>1.3518887767252452E-3</v>
      </c>
      <c r="E36" s="93">
        <v>7661</v>
      </c>
      <c r="F36" s="129">
        <f t="shared" si="1"/>
        <v>1.3845646970882936E-3</v>
      </c>
      <c r="H36" s="147">
        <f>+'COEF Art 14 F I'!AQ36</f>
        <v>2.3337408779132295E-3</v>
      </c>
      <c r="J36" s="148">
        <f t="shared" si="2"/>
        <v>119962.77642799966</v>
      </c>
      <c r="K36" s="149">
        <f t="shared" si="3"/>
        <v>122862.3449402754</v>
      </c>
      <c r="L36" s="149">
        <f t="shared" si="4"/>
        <v>177505.32651456466</v>
      </c>
      <c r="M36" s="149">
        <f t="shared" si="5"/>
        <v>420330.44788283971</v>
      </c>
      <c r="N36" s="150">
        <f t="shared" si="6"/>
        <v>1.6578809792087074E-3</v>
      </c>
    </row>
    <row r="37" spans="1:14">
      <c r="A37" s="4" t="s">
        <v>30</v>
      </c>
      <c r="B37" s="146">
        <v>3571</v>
      </c>
      <c r="C37" s="129">
        <f t="shared" si="0"/>
        <v>6.9752851057446193E-4</v>
      </c>
      <c r="E37" s="93">
        <v>3937</v>
      </c>
      <c r="F37" s="129">
        <f t="shared" si="1"/>
        <v>7.1152998465430256E-4</v>
      </c>
      <c r="H37" s="147">
        <f>+'COEF Art 14 F I'!AQ37</f>
        <v>2.7260874453038154E-3</v>
      </c>
      <c r="J37" s="148">
        <f t="shared" si="2"/>
        <v>61896.702011903893</v>
      </c>
      <c r="K37" s="149">
        <f t="shared" si="3"/>
        <v>63139.153117068825</v>
      </c>
      <c r="L37" s="149">
        <f t="shared" si="4"/>
        <v>207347.37376610361</v>
      </c>
      <c r="M37" s="149">
        <f t="shared" si="5"/>
        <v>332383.22889507632</v>
      </c>
      <c r="N37" s="150">
        <f t="shared" si="6"/>
        <v>1.3109967069212121E-3</v>
      </c>
    </row>
    <row r="38" spans="1:14">
      <c r="A38" s="4" t="s">
        <v>31</v>
      </c>
      <c r="B38" s="146">
        <v>333481</v>
      </c>
      <c r="C38" s="129">
        <f t="shared" si="0"/>
        <v>6.5139318183949066E-2</v>
      </c>
      <c r="E38" s="93">
        <v>385877</v>
      </c>
      <c r="F38" s="129">
        <f t="shared" si="1"/>
        <v>6.9739155673977218E-2</v>
      </c>
      <c r="H38" s="147">
        <f>+'COEF Art 14 F I'!AQ38</f>
        <v>2.4538329513775606E-2</v>
      </c>
      <c r="J38" s="148">
        <f t="shared" si="2"/>
        <v>5780278.3768221</v>
      </c>
      <c r="K38" s="149">
        <f t="shared" si="3"/>
        <v>6188454.9116980359</v>
      </c>
      <c r="L38" s="149">
        <f t="shared" si="4"/>
        <v>1866395.8084153102</v>
      </c>
      <c r="M38" s="149">
        <f t="shared" si="5"/>
        <v>13835129.096935445</v>
      </c>
      <c r="N38" s="150">
        <f t="shared" si="6"/>
        <v>5.4568964704406878E-2</v>
      </c>
    </row>
    <row r="39" spans="1:14">
      <c r="A39" s="4" t="s">
        <v>32</v>
      </c>
      <c r="B39" s="146">
        <v>5238</v>
      </c>
      <c r="C39" s="129">
        <f t="shared" si="0"/>
        <v>1.0231459922680009E-3</v>
      </c>
      <c r="E39" s="93">
        <v>5719</v>
      </c>
      <c r="F39" s="129">
        <f t="shared" si="1"/>
        <v>1.0335890226664862E-3</v>
      </c>
      <c r="H39" s="147">
        <f>+'COEF Art 14 F I'!AQ39</f>
        <v>4.4212673286792535E-3</v>
      </c>
      <c r="J39" s="148">
        <f t="shared" si="2"/>
        <v>90791.073967614822</v>
      </c>
      <c r="K39" s="149">
        <f t="shared" si="3"/>
        <v>91717.758871352955</v>
      </c>
      <c r="L39" s="149">
        <f t="shared" si="4"/>
        <v>336283.47868985968</v>
      </c>
      <c r="M39" s="149">
        <f t="shared" si="5"/>
        <v>518792.31152882747</v>
      </c>
      <c r="N39" s="150">
        <f t="shared" si="6"/>
        <v>2.0462374538308464E-3</v>
      </c>
    </row>
    <row r="40" spans="1:14">
      <c r="A40" s="4" t="s">
        <v>33</v>
      </c>
      <c r="B40" s="146">
        <v>79853</v>
      </c>
      <c r="C40" s="129">
        <f t="shared" si="0"/>
        <v>1.5597800099384627E-2</v>
      </c>
      <c r="E40" s="93">
        <v>87683</v>
      </c>
      <c r="F40" s="129">
        <f t="shared" si="1"/>
        <v>1.5846858939406454E-2</v>
      </c>
      <c r="H40" s="147">
        <f>+'COEF Art 14 F I'!AQ40</f>
        <v>1.6987872554517492E-2</v>
      </c>
      <c r="J40" s="148">
        <f t="shared" ref="J40:J58" si="7">+C40*J$6</f>
        <v>1384104.54935776</v>
      </c>
      <c r="K40" s="149">
        <f t="shared" ref="K40:K58" si="8">+F40*K$6</f>
        <v>1406205.3245526913</v>
      </c>
      <c r="L40" s="149">
        <f t="shared" ref="L40:L58" si="9">+H40*L$6</f>
        <v>1292104.8318242449</v>
      </c>
      <c r="M40" s="149">
        <f t="shared" si="5"/>
        <v>4082414.7057346962</v>
      </c>
      <c r="N40" s="150">
        <f t="shared" si="6"/>
        <v>1.6101992429932127E-2</v>
      </c>
    </row>
    <row r="41" spans="1:14">
      <c r="A41" s="4" t="s">
        <v>34</v>
      </c>
      <c r="B41" s="146">
        <v>5630</v>
      </c>
      <c r="C41" s="129">
        <f t="shared" si="0"/>
        <v>1.0997159099787792E-3</v>
      </c>
      <c r="E41" s="93">
        <v>6150</v>
      </c>
      <c r="F41" s="129">
        <f t="shared" si="1"/>
        <v>1.11148321199491E-3</v>
      </c>
      <c r="H41" s="147">
        <f>+'COEF Art 14 F I'!AQ41</f>
        <v>3.9262949885903557E-3</v>
      </c>
      <c r="J41" s="148">
        <f t="shared" si="7"/>
        <v>97585.671332125145</v>
      </c>
      <c r="K41" s="149">
        <f t="shared" si="8"/>
        <v>98629.868343909897</v>
      </c>
      <c r="L41" s="149">
        <f t="shared" si="9"/>
        <v>298635.67139699508</v>
      </c>
      <c r="M41" s="149">
        <f t="shared" si="5"/>
        <v>494851.21107303014</v>
      </c>
      <c r="N41" s="150">
        <f t="shared" si="6"/>
        <v>1.951808189267898E-3</v>
      </c>
    </row>
    <row r="42" spans="1:14">
      <c r="A42" s="4" t="s">
        <v>35</v>
      </c>
      <c r="B42" s="146">
        <v>955</v>
      </c>
      <c r="C42" s="129">
        <f t="shared" si="0"/>
        <v>1.8654150870865615E-4</v>
      </c>
      <c r="E42" s="93">
        <v>1057</v>
      </c>
      <c r="F42" s="129">
        <f t="shared" si="1"/>
        <v>1.910305292810764E-4</v>
      </c>
      <c r="H42" s="147">
        <f>+'COEF Art 14 F I'!AQ42</f>
        <v>3.8095314274861343E-3</v>
      </c>
      <c r="J42" s="148">
        <f t="shared" si="7"/>
        <v>16553.164497722824</v>
      </c>
      <c r="K42" s="149">
        <f t="shared" si="8"/>
        <v>16951.50745357931</v>
      </c>
      <c r="L42" s="149">
        <f t="shared" si="9"/>
        <v>289754.58513974922</v>
      </c>
      <c r="M42" s="149">
        <f t="shared" si="5"/>
        <v>323259.25709105138</v>
      </c>
      <c r="N42" s="150">
        <f t="shared" si="6"/>
        <v>1.2750096415422468E-3</v>
      </c>
    </row>
    <row r="43" spans="1:14">
      <c r="A43" s="4" t="s">
        <v>36</v>
      </c>
      <c r="B43" s="146">
        <v>6996</v>
      </c>
      <c r="C43" s="129">
        <f t="shared" si="0"/>
        <v>1.3665386334301135E-3</v>
      </c>
      <c r="E43" s="93">
        <v>7554</v>
      </c>
      <c r="F43" s="129">
        <f t="shared" si="1"/>
        <v>1.3652266964893577E-3</v>
      </c>
      <c r="H43" s="147">
        <f>+'COEF Art 14 F I'!AQ43</f>
        <v>3.8428381959386597E-3</v>
      </c>
      <c r="J43" s="148">
        <f t="shared" si="7"/>
        <v>121262.76316865852</v>
      </c>
      <c r="K43" s="149">
        <f t="shared" si="8"/>
        <v>121146.34560486104</v>
      </c>
      <c r="L43" s="149">
        <f t="shared" si="9"/>
        <v>292287.912153585</v>
      </c>
      <c r="M43" s="149">
        <f t="shared" si="5"/>
        <v>534697.02092710463</v>
      </c>
      <c r="N43" s="150">
        <f t="shared" si="6"/>
        <v>2.1089693242534132E-3</v>
      </c>
    </row>
    <row r="44" spans="1:14">
      <c r="A44" s="4" t="s">
        <v>37</v>
      </c>
      <c r="B44" s="146">
        <v>5326</v>
      </c>
      <c r="C44" s="129">
        <f t="shared" si="0"/>
        <v>1.0403351574683798E-3</v>
      </c>
      <c r="E44" s="93">
        <v>5846</v>
      </c>
      <c r="F44" s="129">
        <f t="shared" si="1"/>
        <v>1.056541602816625E-3</v>
      </c>
      <c r="H44" s="147">
        <f>+'COEF Art 14 F I'!AQ44</f>
        <v>4.8561665346687479E-3</v>
      </c>
      <c r="J44" s="148">
        <f t="shared" si="7"/>
        <v>92316.391743321234</v>
      </c>
      <c r="K44" s="149">
        <f t="shared" si="8"/>
        <v>93754.505746097115</v>
      </c>
      <c r="L44" s="149">
        <f t="shared" si="9"/>
        <v>369362.09778193198</v>
      </c>
      <c r="M44" s="149">
        <f t="shared" si="5"/>
        <v>555432.99527135026</v>
      </c>
      <c r="N44" s="150">
        <f t="shared" si="6"/>
        <v>2.1907568265003758E-3</v>
      </c>
    </row>
    <row r="45" spans="1:14">
      <c r="A45" s="4" t="s">
        <v>38</v>
      </c>
      <c r="B45" s="146">
        <v>60829</v>
      </c>
      <c r="C45" s="129">
        <f t="shared" si="0"/>
        <v>1.1881815113339104E-2</v>
      </c>
      <c r="E45" s="93">
        <v>66834</v>
      </c>
      <c r="F45" s="129">
        <f t="shared" si="1"/>
        <v>1.2078840486254929E-2</v>
      </c>
      <c r="H45" s="147">
        <f>+'COEF Art 14 F I'!AQ45</f>
        <v>1.1990238890005158E-2</v>
      </c>
      <c r="J45" s="148">
        <f t="shared" si="7"/>
        <v>1054358.5793005044</v>
      </c>
      <c r="K45" s="149">
        <f t="shared" si="8"/>
        <v>1071842.0521783535</v>
      </c>
      <c r="L45" s="149">
        <f t="shared" si="9"/>
        <v>911982.68381067889</v>
      </c>
      <c r="M45" s="149">
        <f t="shared" si="5"/>
        <v>3038183.315289537</v>
      </c>
      <c r="N45" s="150">
        <f t="shared" si="6"/>
        <v>1.1983301126859459E-2</v>
      </c>
    </row>
    <row r="46" spans="1:14">
      <c r="A46" s="4" t="s">
        <v>39</v>
      </c>
      <c r="B46" s="146">
        <v>1109171</v>
      </c>
      <c r="C46" s="129">
        <f t="shared" si="0"/>
        <v>0.21665594948260614</v>
      </c>
      <c r="E46" s="93">
        <v>1115043</v>
      </c>
      <c r="F46" s="129">
        <f t="shared" si="1"/>
        <v>0.20152058132560005</v>
      </c>
      <c r="H46" s="147">
        <f>+'COEF Art 14 F I'!AQ46</f>
        <v>0.27687040159666187</v>
      </c>
      <c r="J46" s="148">
        <f t="shared" si="7"/>
        <v>19225434.574977722</v>
      </c>
      <c r="K46" s="149">
        <f t="shared" si="8"/>
        <v>17882364.924845256</v>
      </c>
      <c r="L46" s="149">
        <f t="shared" si="9"/>
        <v>21058880.830668382</v>
      </c>
      <c r="M46" s="149">
        <f t="shared" si="5"/>
        <v>58166680.330491357</v>
      </c>
      <c r="N46" s="150">
        <f t="shared" si="6"/>
        <v>0.2294229062618707</v>
      </c>
    </row>
    <row r="47" spans="1:14">
      <c r="A47" s="4" t="s">
        <v>40</v>
      </c>
      <c r="B47" s="146">
        <v>971</v>
      </c>
      <c r="C47" s="129">
        <f t="shared" si="0"/>
        <v>1.8966681147236138E-4</v>
      </c>
      <c r="E47" s="93">
        <v>1080</v>
      </c>
      <c r="F47" s="129">
        <f t="shared" si="1"/>
        <v>1.9518729576495979E-4</v>
      </c>
      <c r="H47" s="147">
        <f>+'COEF Art 14 F I'!AQ47</f>
        <v>1.0369956733375309E-3</v>
      </c>
      <c r="J47" s="148">
        <f t="shared" si="7"/>
        <v>16830.495002396714</v>
      </c>
      <c r="K47" s="149">
        <f t="shared" si="8"/>
        <v>17320.367123808566</v>
      </c>
      <c r="L47" s="149">
        <f t="shared" si="9"/>
        <v>78874.333192707272</v>
      </c>
      <c r="M47" s="149">
        <f t="shared" si="5"/>
        <v>113025.19531891255</v>
      </c>
      <c r="N47" s="150">
        <f t="shared" si="6"/>
        <v>4.4579763953432161E-4</v>
      </c>
    </row>
    <row r="48" spans="1:14">
      <c r="A48" s="4" t="s">
        <v>41</v>
      </c>
      <c r="B48" s="146">
        <v>87168</v>
      </c>
      <c r="C48" s="129">
        <f t="shared" si="0"/>
        <v>1.7026649456666116E-2</v>
      </c>
      <c r="E48" s="93">
        <v>108796</v>
      </c>
      <c r="F48" s="129">
        <f t="shared" si="1"/>
        <v>1.9662589842633856E-2</v>
      </c>
      <c r="H48" s="147">
        <f>+'COEF Art 14 F I'!AQ48</f>
        <v>6.8249328385285432E-3</v>
      </c>
      <c r="J48" s="148">
        <f t="shared" si="7"/>
        <v>1510896.5894633543</v>
      </c>
      <c r="K48" s="149">
        <f t="shared" si="8"/>
        <v>1744802.4644461821</v>
      </c>
      <c r="L48" s="149">
        <f t="shared" si="9"/>
        <v>519107.30253233662</v>
      </c>
      <c r="M48" s="149">
        <f t="shared" si="5"/>
        <v>3774806.3564418731</v>
      </c>
      <c r="N48" s="150">
        <f t="shared" si="6"/>
        <v>1.4888713606313553E-2</v>
      </c>
    </row>
    <row r="49" spans="1:14">
      <c r="A49" s="4" t="s">
        <v>42</v>
      </c>
      <c r="B49" s="146">
        <v>4469</v>
      </c>
      <c r="C49" s="129">
        <f t="shared" si="0"/>
        <v>8.7293612818741819E-4</v>
      </c>
      <c r="E49" s="93">
        <v>5203</v>
      </c>
      <c r="F49" s="129">
        <f t="shared" si="1"/>
        <v>9.4033287024544981E-4</v>
      </c>
      <c r="H49" s="147">
        <f>+'COEF Art 14 F I'!AQ49</f>
        <v>1.8957386768042493E-3</v>
      </c>
      <c r="J49" s="148">
        <f t="shared" si="7"/>
        <v>77461.876586725979</v>
      </c>
      <c r="K49" s="149">
        <f t="shared" si="8"/>
        <v>83442.472356644415</v>
      </c>
      <c r="L49" s="149">
        <f t="shared" si="9"/>
        <v>144190.69229027684</v>
      </c>
      <c r="M49" s="149">
        <f t="shared" si="5"/>
        <v>305095.04123364727</v>
      </c>
      <c r="N49" s="150">
        <f t="shared" si="6"/>
        <v>1.2033657524927787E-3</v>
      </c>
    </row>
    <row r="50" spans="1:14">
      <c r="A50" s="4" t="s">
        <v>43</v>
      </c>
      <c r="B50" s="146">
        <v>2640</v>
      </c>
      <c r="C50" s="129">
        <f t="shared" si="0"/>
        <v>5.1567495601136364E-4</v>
      </c>
      <c r="E50" s="93">
        <v>2942</v>
      </c>
      <c r="F50" s="129">
        <f t="shared" si="1"/>
        <v>5.3170465198195533E-4</v>
      </c>
      <c r="H50" s="147">
        <f>+'COEF Art 14 F I'!AQ50</f>
        <v>3.291914035524045E-3</v>
      </c>
      <c r="J50" s="148">
        <f t="shared" si="7"/>
        <v>45759.533271191904</v>
      </c>
      <c r="K50" s="149">
        <f t="shared" si="8"/>
        <v>47181.963035411856</v>
      </c>
      <c r="L50" s="149">
        <f t="shared" si="9"/>
        <v>250384.38554329501</v>
      </c>
      <c r="M50" s="149">
        <f t="shared" si="5"/>
        <v>343325.88184989878</v>
      </c>
      <c r="N50" s="150">
        <f t="shared" si="6"/>
        <v>1.3541570734548751E-3</v>
      </c>
    </row>
    <row r="51" spans="1:14">
      <c r="A51" s="4" t="s">
        <v>44</v>
      </c>
      <c r="B51" s="146">
        <v>35456</v>
      </c>
      <c r="C51" s="129">
        <f t="shared" si="0"/>
        <v>6.9256709243707987E-3</v>
      </c>
      <c r="E51" s="93">
        <v>38710</v>
      </c>
      <c r="F51" s="129">
        <f t="shared" si="1"/>
        <v>6.9960187213533274E-3</v>
      </c>
      <c r="H51" s="147">
        <f>+'COEF Art 14 F I'!AQ51</f>
        <v>5.56656339581541E-3</v>
      </c>
      <c r="J51" s="148">
        <f t="shared" si="7"/>
        <v>614564.39835734095</v>
      </c>
      <c r="K51" s="149">
        <f t="shared" si="8"/>
        <v>620806.86237280525</v>
      </c>
      <c r="L51" s="149">
        <f t="shared" si="9"/>
        <v>423395.18602500838</v>
      </c>
      <c r="M51" s="149">
        <f t="shared" si="5"/>
        <v>1658766.4467551545</v>
      </c>
      <c r="N51" s="150">
        <f t="shared" si="6"/>
        <v>6.5425603947480669E-3</v>
      </c>
    </row>
    <row r="52" spans="1:14">
      <c r="A52" s="4" t="s">
        <v>45</v>
      </c>
      <c r="B52" s="146">
        <v>54192</v>
      </c>
      <c r="C52" s="129">
        <f t="shared" si="0"/>
        <v>1.0585400460669627E-2</v>
      </c>
      <c r="E52" s="93">
        <v>60377</v>
      </c>
      <c r="F52" s="129">
        <f t="shared" si="1"/>
        <v>1.0911873478149054E-2</v>
      </c>
      <c r="H52" s="147">
        <f>+'COEF Art 14 F I'!AQ52</f>
        <v>7.971184845572566E-3</v>
      </c>
      <c r="J52" s="148">
        <f t="shared" si="7"/>
        <v>939318.41933046642</v>
      </c>
      <c r="K52" s="149">
        <f t="shared" si="8"/>
        <v>968288.70910573145</v>
      </c>
      <c r="L52" s="149">
        <f t="shared" si="9"/>
        <v>606291.71906458598</v>
      </c>
      <c r="M52" s="149">
        <f t="shared" si="5"/>
        <v>2513898.8475007839</v>
      </c>
      <c r="N52" s="150">
        <f t="shared" si="6"/>
        <v>9.9154013322583084E-3</v>
      </c>
    </row>
    <row r="53" spans="1:14">
      <c r="A53" s="4" t="s">
        <v>46</v>
      </c>
      <c r="B53" s="146">
        <v>430143</v>
      </c>
      <c r="C53" s="129">
        <f t="shared" si="0"/>
        <v>8.4020444168028771E-2</v>
      </c>
      <c r="E53" s="93">
        <v>473285</v>
      </c>
      <c r="F53" s="129">
        <f t="shared" si="1"/>
        <v>8.553631414455462E-2</v>
      </c>
      <c r="H53" s="147">
        <f>+'COEF Art 14 F I'!AQ53</f>
        <v>6.8799785822066001E-2</v>
      </c>
      <c r="J53" s="148">
        <f t="shared" si="7"/>
        <v>7455735.9544963241</v>
      </c>
      <c r="K53" s="149">
        <f t="shared" si="8"/>
        <v>7590249.9575849418</v>
      </c>
      <c r="L53" s="149">
        <f t="shared" si="9"/>
        <v>5232941.0527349934</v>
      </c>
      <c r="M53" s="149">
        <f t="shared" si="5"/>
        <v>20278926.964816257</v>
      </c>
      <c r="N53" s="150">
        <f t="shared" si="6"/>
        <v>7.998480115602398E-2</v>
      </c>
    </row>
    <row r="54" spans="1:14">
      <c r="A54" s="4" t="s">
        <v>47</v>
      </c>
      <c r="B54" s="146">
        <v>123156</v>
      </c>
      <c r="C54" s="129">
        <f t="shared" si="0"/>
        <v>2.4056236697930111E-2</v>
      </c>
      <c r="E54" s="93">
        <v>136480</v>
      </c>
      <c r="F54" s="129">
        <f t="shared" si="1"/>
        <v>2.4665890857408994E-2</v>
      </c>
      <c r="H54" s="147">
        <f>+'COEF Art 14 F I'!AQ54</f>
        <v>0.14908858957337576</v>
      </c>
      <c r="J54" s="148">
        <f t="shared" si="7"/>
        <v>2134682.227101102</v>
      </c>
      <c r="K54" s="149">
        <f t="shared" si="8"/>
        <v>2188781.2083864752</v>
      </c>
      <c r="L54" s="149">
        <f t="shared" si="9"/>
        <v>11339741.709234413</v>
      </c>
      <c r="M54" s="149">
        <f t="shared" si="5"/>
        <v>15663205.14472199</v>
      </c>
      <c r="N54" s="150">
        <f t="shared" si="6"/>
        <v>6.1779321516381415E-2</v>
      </c>
    </row>
    <row r="55" spans="1:14">
      <c r="A55" s="4" t="s">
        <v>48</v>
      </c>
      <c r="B55" s="146">
        <v>296954</v>
      </c>
      <c r="C55" s="129">
        <f t="shared" si="0"/>
        <v>5.8004447305832756E-2</v>
      </c>
      <c r="E55" s="93">
        <v>318594</v>
      </c>
      <c r="F55" s="129">
        <f t="shared" si="1"/>
        <v>5.7579167876797781E-2</v>
      </c>
      <c r="H55" s="147">
        <f>+'COEF Art 14 F I'!AQ55</f>
        <v>3.5223175206024998E-2</v>
      </c>
      <c r="J55" s="148">
        <f t="shared" si="7"/>
        <v>5147150.1678081509</v>
      </c>
      <c r="K55" s="149">
        <f t="shared" si="8"/>
        <v>5109412.0772617282</v>
      </c>
      <c r="L55" s="149">
        <f t="shared" si="9"/>
        <v>2679089.7288544867</v>
      </c>
      <c r="M55" s="149">
        <f t="shared" si="5"/>
        <v>12935651.973924367</v>
      </c>
      <c r="N55" s="150">
        <f t="shared" si="6"/>
        <v>5.1021217875728192E-2</v>
      </c>
    </row>
    <row r="56" spans="1:14">
      <c r="A56" s="4" t="s">
        <v>49</v>
      </c>
      <c r="B56" s="146">
        <v>42407</v>
      </c>
      <c r="C56" s="129">
        <f t="shared" si="0"/>
        <v>8.2834196437779912E-3</v>
      </c>
      <c r="E56" s="93">
        <v>46435</v>
      </c>
      <c r="F56" s="129">
        <f t="shared" si="1"/>
        <v>8.3921500730054707E-3</v>
      </c>
      <c r="H56" s="147">
        <f>+'COEF Art 14 F I'!AQ56</f>
        <v>1.3108999282853707E-2</v>
      </c>
      <c r="J56" s="148">
        <f t="shared" si="7"/>
        <v>735047.16948160413</v>
      </c>
      <c r="K56" s="149">
        <f t="shared" si="8"/>
        <v>744695.59943893598</v>
      </c>
      <c r="L56" s="149">
        <f t="shared" si="9"/>
        <v>997076.07644204714</v>
      </c>
      <c r="M56" s="149">
        <f t="shared" si="5"/>
        <v>2476818.8453625874</v>
      </c>
      <c r="N56" s="150">
        <f t="shared" si="6"/>
        <v>9.7691491857303248E-3</v>
      </c>
    </row>
    <row r="57" spans="1:14">
      <c r="A57" s="4" t="s">
        <v>50</v>
      </c>
      <c r="B57" s="146">
        <v>1632</v>
      </c>
      <c r="C57" s="129">
        <f t="shared" si="0"/>
        <v>3.1878088189793386E-4</v>
      </c>
      <c r="E57" s="93">
        <v>1921</v>
      </c>
      <c r="F57" s="129">
        <f t="shared" si="1"/>
        <v>3.4718036589304421E-4</v>
      </c>
      <c r="H57" s="147">
        <f>+'COEF Art 14 F I'!AQ57</f>
        <v>1.7617236867334628E-3</v>
      </c>
      <c r="J57" s="148">
        <f t="shared" si="7"/>
        <v>28287.711476736808</v>
      </c>
      <c r="K57" s="149">
        <f t="shared" si="8"/>
        <v>30807.801152626162</v>
      </c>
      <c r="L57" s="149">
        <f t="shared" si="9"/>
        <v>133997.45498809958</v>
      </c>
      <c r="M57" s="149">
        <f t="shared" si="5"/>
        <v>193092.96761746256</v>
      </c>
      <c r="N57" s="150">
        <f t="shared" si="6"/>
        <v>7.616035427468812E-4</v>
      </c>
    </row>
    <row r="58" spans="1:14">
      <c r="A58" s="4" t="s">
        <v>51</v>
      </c>
      <c r="B58" s="146">
        <v>4080</v>
      </c>
      <c r="C58" s="129">
        <f t="shared" si="0"/>
        <v>7.9695220474483466E-4</v>
      </c>
      <c r="E58" s="93">
        <v>4527</v>
      </c>
      <c r="F58" s="129">
        <f t="shared" si="1"/>
        <v>8.181600814147898E-4</v>
      </c>
      <c r="H58" s="147">
        <f>+'COEF Art 14 F I'!AQ58</f>
        <v>1.2277616939835115E-3</v>
      </c>
      <c r="J58" s="148">
        <f t="shared" si="7"/>
        <v>70719.278691842017</v>
      </c>
      <c r="K58" s="149">
        <f t="shared" si="8"/>
        <v>72601.20552729757</v>
      </c>
      <c r="L58" s="149">
        <f t="shared" si="9"/>
        <v>93384.078084748369</v>
      </c>
      <c r="M58" s="149">
        <f t="shared" si="5"/>
        <v>236704.56230388797</v>
      </c>
      <c r="N58" s="150">
        <f t="shared" si="6"/>
        <v>9.3361780835092198E-4</v>
      </c>
    </row>
    <row r="59" spans="1:14" ht="13.5" thickBot="1">
      <c r="A59" s="6" t="s">
        <v>52</v>
      </c>
      <c r="B59" s="151">
        <f>SUM(B8:B58)</f>
        <v>5119504</v>
      </c>
      <c r="C59" s="130">
        <f>SUM(C8:C58)</f>
        <v>0.99999999999999989</v>
      </c>
      <c r="E59" s="152">
        <f>SUM(E8:E58)</f>
        <v>5533147</v>
      </c>
      <c r="F59" s="130">
        <f t="shared" si="1"/>
        <v>1</v>
      </c>
      <c r="H59" s="153">
        <f>SUM(H8:H58)</f>
        <v>1</v>
      </c>
      <c r="J59" s="154">
        <f>SUM(J8:J58)</f>
        <v>88737164.250000015</v>
      </c>
      <c r="K59" s="155">
        <f>SUM(K8:K58)</f>
        <v>88737164.25</v>
      </c>
      <c r="L59" s="155">
        <f>SUM(L8:L58)</f>
        <v>76060426.499999985</v>
      </c>
      <c r="M59" s="155">
        <f>SUM(M8:M58)</f>
        <v>253534755</v>
      </c>
      <c r="N59" s="156">
        <f>SUM(N8:N58)</f>
        <v>1</v>
      </c>
    </row>
    <row r="60" spans="1:14" ht="13.5" thickTop="1"/>
    <row r="61" spans="1:14" ht="15.75" customHeight="1">
      <c r="A61" s="14" t="s">
        <v>97</v>
      </c>
    </row>
    <row r="62" spans="1:14">
      <c r="A62" s="14" t="s">
        <v>158</v>
      </c>
    </row>
    <row r="63" spans="1:14">
      <c r="A63" s="14" t="s">
        <v>242</v>
      </c>
    </row>
  </sheetData>
  <mergeCells count="4">
    <mergeCell ref="A1:N1"/>
    <mergeCell ref="B3:C3"/>
    <mergeCell ref="E3:F3"/>
    <mergeCell ref="J3:N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opLeftCell="I1" zoomScale="85" zoomScaleNormal="85" workbookViewId="0">
      <selection activeCell="L1" sqref="L1:Q1"/>
    </sheetView>
  </sheetViews>
  <sheetFormatPr baseColWidth="10" defaultColWidth="11.42578125" defaultRowHeight="12.75"/>
  <cols>
    <col min="1" max="1" width="28.28515625" style="194" bestFit="1" customWidth="1"/>
    <col min="2" max="3" width="17.28515625" style="194" customWidth="1"/>
    <col min="4" max="4" width="14.28515625" style="194" customWidth="1"/>
    <col min="5" max="10" width="17.28515625" style="194" customWidth="1"/>
    <col min="11" max="11" width="2.28515625" style="194" customWidth="1"/>
    <col min="12" max="12" width="33.28515625" style="194" customWidth="1"/>
    <col min="13" max="13" width="21.42578125" style="194" customWidth="1"/>
    <col min="14" max="14" width="17.7109375" style="194" customWidth="1"/>
    <col min="15" max="15" width="17.7109375" style="194" bestFit="1" customWidth="1"/>
    <col min="16" max="16" width="22.7109375" style="194" customWidth="1"/>
    <col min="17" max="17" width="20.7109375" style="194" customWidth="1"/>
    <col min="18" max="18" width="0.28515625" style="194" customWidth="1"/>
    <col min="19" max="20" width="11.42578125" style="194" customWidth="1"/>
    <col min="21" max="21" width="21.28515625" style="194" customWidth="1"/>
    <col min="22" max="22" width="16.7109375" style="194" bestFit="1" customWidth="1"/>
    <col min="23" max="24" width="15.28515625" style="194" bestFit="1" customWidth="1"/>
    <col min="25" max="25" width="14.28515625" style="194" bestFit="1" customWidth="1"/>
    <col min="26" max="26" width="13.28515625" style="194" bestFit="1" customWidth="1"/>
    <col min="27" max="27" width="12.5703125" style="194" bestFit="1" customWidth="1"/>
    <col min="28" max="28" width="14.28515625" style="194" bestFit="1" customWidth="1"/>
    <col min="29" max="16384" width="11.42578125" style="194"/>
  </cols>
  <sheetData>
    <row r="1" spans="1:29" ht="38.25" customHeight="1" thickBot="1">
      <c r="A1" s="233"/>
      <c r="B1" s="309" t="s">
        <v>201</v>
      </c>
      <c r="C1" s="309"/>
      <c r="D1" s="309"/>
      <c r="E1" s="309"/>
      <c r="F1" s="309" t="s">
        <v>200</v>
      </c>
      <c r="G1" s="309"/>
      <c r="H1" s="309"/>
      <c r="I1" s="309"/>
      <c r="J1" s="244" t="s">
        <v>199</v>
      </c>
      <c r="L1" s="310" t="s">
        <v>198</v>
      </c>
      <c r="M1" s="310"/>
      <c r="N1" s="310"/>
      <c r="O1" s="310"/>
      <c r="P1" s="310"/>
      <c r="Q1" s="310"/>
      <c r="T1" s="243"/>
    </row>
    <row r="2" spans="1:29" ht="68.25" customHeight="1" thickTop="1" thickBot="1">
      <c r="A2" s="242" t="s">
        <v>0</v>
      </c>
      <c r="B2" s="241" t="s">
        <v>197</v>
      </c>
      <c r="C2" s="240" t="s">
        <v>196</v>
      </c>
      <c r="D2" s="240" t="s">
        <v>195</v>
      </c>
      <c r="E2" s="239" t="s">
        <v>194</v>
      </c>
      <c r="F2" s="240" t="s">
        <v>168</v>
      </c>
      <c r="G2" s="240" t="s">
        <v>193</v>
      </c>
      <c r="H2" s="240" t="s">
        <v>192</v>
      </c>
      <c r="I2" s="237" t="s">
        <v>191</v>
      </c>
      <c r="J2" s="238" t="s">
        <v>190</v>
      </c>
      <c r="L2" s="242" t="s">
        <v>0</v>
      </c>
      <c r="M2" s="241" t="s">
        <v>189</v>
      </c>
      <c r="N2" s="240" t="s">
        <v>188</v>
      </c>
      <c r="O2" s="239" t="s">
        <v>187</v>
      </c>
      <c r="P2" s="238" t="s">
        <v>186</v>
      </c>
      <c r="Q2" s="237" t="s">
        <v>114</v>
      </c>
    </row>
    <row r="3" spans="1:29" ht="26.25" customHeight="1" thickTop="1">
      <c r="A3" s="233"/>
      <c r="B3" s="236" t="s">
        <v>185</v>
      </c>
      <c r="C3" s="236" t="s">
        <v>184</v>
      </c>
      <c r="D3" s="236" t="s">
        <v>183</v>
      </c>
      <c r="E3" s="236" t="s">
        <v>182</v>
      </c>
      <c r="F3" s="236" t="s">
        <v>181</v>
      </c>
      <c r="G3" s="236" t="s">
        <v>180</v>
      </c>
      <c r="H3" s="236"/>
      <c r="I3" s="236" t="s">
        <v>179</v>
      </c>
      <c r="J3" s="236" t="s">
        <v>178</v>
      </c>
      <c r="M3" s="235">
        <f>M4*P3</f>
        <v>135995603.44147724</v>
      </c>
      <c r="N3" s="235">
        <f>P3*N4</f>
        <v>81597362.064886346</v>
      </c>
      <c r="O3" s="235">
        <f>P3*O4</f>
        <v>54398241.3765909</v>
      </c>
      <c r="P3" s="235">
        <f>+'PART MES'!D6</f>
        <v>271991206.88295448</v>
      </c>
    </row>
    <row r="4" spans="1:29" ht="13.5" thickBot="1">
      <c r="F4" s="234"/>
      <c r="G4" s="233"/>
      <c r="H4" s="233"/>
      <c r="I4" s="233"/>
      <c r="M4" s="232">
        <v>0.5</v>
      </c>
      <c r="N4" s="232">
        <v>0.3</v>
      </c>
      <c r="O4" s="232">
        <v>0.2</v>
      </c>
      <c r="P4" s="231" t="s">
        <v>177</v>
      </c>
      <c r="Q4" s="231"/>
    </row>
    <row r="5" spans="1:29" ht="13.5" thickTop="1">
      <c r="A5" s="225" t="s">
        <v>1</v>
      </c>
      <c r="B5" s="224">
        <v>501046</v>
      </c>
      <c r="C5" s="223">
        <v>121403</v>
      </c>
      <c r="D5" s="230">
        <f t="shared" ref="D5:D36" si="0">IFERROR(C5/B5,0)</f>
        <v>0.2422991102613333</v>
      </c>
      <c r="E5" s="229">
        <f t="shared" ref="E5:E36" si="1">IFERROR(D5/$D$56,0)</f>
        <v>1.625328071048332E-2</v>
      </c>
      <c r="F5" s="223">
        <v>115989</v>
      </c>
      <c r="G5" s="228">
        <f t="shared" ref="G5:G36" si="2">IFERROR((C5/F5)-1,0)</f>
        <v>4.6676840045176693E-2</v>
      </c>
      <c r="H5" s="227">
        <f t="shared" ref="H5:H36" si="3">IF(G5&lt;0,0,G5)</f>
        <v>4.6676840045176693E-2</v>
      </c>
      <c r="I5" s="220">
        <f t="shared" ref="I5:I36" si="4">IFERROR(H5/$H$56,0)</f>
        <v>1.4731296157378556E-2</v>
      </c>
      <c r="J5" s="226">
        <f t="shared" ref="J5:J36" si="5">IFERROR(C5/$C$56,0)</f>
        <v>5.884146148536424E-5</v>
      </c>
      <c r="L5" s="225" t="s">
        <v>1</v>
      </c>
      <c r="M5" s="224">
        <f t="shared" ref="M5:M36" si="6">IFERROR($M$3*E5,0)</f>
        <v>2210374.7181259012</v>
      </c>
      <c r="N5" s="223">
        <f t="shared" ref="N5:N36" si="7">IFERROR($N$3*I5,0)</f>
        <v>1202034.906238687</v>
      </c>
      <c r="O5" s="222">
        <f t="shared" ref="O5:O36" si="8">IFERROR($O$3*J5,0)</f>
        <v>3200.8720248322206</v>
      </c>
      <c r="P5" s="221">
        <f t="shared" ref="P5:P36" si="9">IFERROR(SUM(M5:O5),0)</f>
        <v>3415610.4963894207</v>
      </c>
      <c r="Q5" s="220">
        <f t="shared" ref="Q5:Q36" si="10">IFERROR(P5/$P$56,0)</f>
        <v>1.2557797494752302E-2</v>
      </c>
      <c r="S5" s="195"/>
      <c r="T5" s="195"/>
      <c r="AC5" s="195"/>
    </row>
    <row r="6" spans="1:29">
      <c r="A6" s="214" t="s">
        <v>2</v>
      </c>
      <c r="B6" s="213">
        <v>2275034</v>
      </c>
      <c r="C6" s="212">
        <v>836482</v>
      </c>
      <c r="D6" s="219">
        <f t="shared" si="0"/>
        <v>0.36767890062302366</v>
      </c>
      <c r="E6" s="218">
        <f t="shared" si="1"/>
        <v>2.4663682737846054E-2</v>
      </c>
      <c r="F6" s="212">
        <v>996699</v>
      </c>
      <c r="G6" s="217">
        <f t="shared" si="2"/>
        <v>-0.16074762791976316</v>
      </c>
      <c r="H6" s="216">
        <f t="shared" si="3"/>
        <v>0</v>
      </c>
      <c r="I6" s="209">
        <f t="shared" si="4"/>
        <v>0</v>
      </c>
      <c r="J6" s="215">
        <f t="shared" si="5"/>
        <v>4.0542509976030614E-4</v>
      </c>
      <c r="L6" s="214" t="s">
        <v>2</v>
      </c>
      <c r="M6" s="213">
        <f t="shared" si="6"/>
        <v>3354152.4170225197</v>
      </c>
      <c r="N6" s="212">
        <f t="shared" si="7"/>
        <v>0</v>
      </c>
      <c r="O6" s="211">
        <f t="shared" si="8"/>
        <v>22054.412436889579</v>
      </c>
      <c r="P6" s="210">
        <f t="shared" si="9"/>
        <v>3376206.8294594092</v>
      </c>
      <c r="Q6" s="209">
        <f t="shared" si="10"/>
        <v>1.2412926388875088E-2</v>
      </c>
      <c r="S6" s="195"/>
      <c r="T6" s="195"/>
      <c r="U6" s="195"/>
      <c r="V6" s="195"/>
      <c r="W6" s="195"/>
      <c r="X6" s="195"/>
      <c r="Y6" s="195"/>
      <c r="Z6" s="195"/>
    </row>
    <row r="7" spans="1:29">
      <c r="A7" s="214" t="s">
        <v>3</v>
      </c>
      <c r="B7" s="213">
        <v>1068579</v>
      </c>
      <c r="C7" s="212">
        <v>248385</v>
      </c>
      <c r="D7" s="219">
        <f t="shared" si="0"/>
        <v>0.23244420861723841</v>
      </c>
      <c r="E7" s="218">
        <f t="shared" si="1"/>
        <v>1.5592219749000956E-2</v>
      </c>
      <c r="F7" s="212">
        <v>231032</v>
      </c>
      <c r="G7" s="217">
        <f t="shared" si="2"/>
        <v>7.5110807160912785E-2</v>
      </c>
      <c r="H7" s="216">
        <f t="shared" si="3"/>
        <v>7.5110807160912785E-2</v>
      </c>
      <c r="I7" s="209">
        <f t="shared" si="4"/>
        <v>2.3705108225754737E-2</v>
      </c>
      <c r="J7" s="215">
        <f t="shared" si="5"/>
        <v>1.2038694604780933E-4</v>
      </c>
      <c r="L7" s="214" t="s">
        <v>3</v>
      </c>
      <c r="M7" s="213">
        <f t="shared" si="6"/>
        <v>2120473.3337575039</v>
      </c>
      <c r="N7" s="212">
        <f t="shared" si="7"/>
        <v>1934274.298684225</v>
      </c>
      <c r="O7" s="211">
        <f t="shared" si="8"/>
        <v>6548.8381496993579</v>
      </c>
      <c r="P7" s="210">
        <f t="shared" si="9"/>
        <v>4061296.4705914282</v>
      </c>
      <c r="Q7" s="209">
        <f t="shared" si="10"/>
        <v>1.4931719731436461E-2</v>
      </c>
      <c r="S7" s="195"/>
      <c r="T7" s="195"/>
      <c r="U7" s="195"/>
      <c r="V7" s="195"/>
      <c r="W7" s="195"/>
      <c r="X7" s="195"/>
      <c r="Y7" s="195"/>
      <c r="Z7" s="195"/>
    </row>
    <row r="8" spans="1:29">
      <c r="A8" s="214" t="s">
        <v>4</v>
      </c>
      <c r="B8" s="213">
        <v>34304269</v>
      </c>
      <c r="C8" s="212">
        <v>15242673</v>
      </c>
      <c r="D8" s="219">
        <f t="shared" si="0"/>
        <v>0.44433749630403141</v>
      </c>
      <c r="E8" s="218">
        <f t="shared" si="1"/>
        <v>2.9805895902108321E-2</v>
      </c>
      <c r="F8" s="212">
        <v>14228172</v>
      </c>
      <c r="G8" s="217">
        <f t="shared" si="2"/>
        <v>7.130227270235423E-2</v>
      </c>
      <c r="H8" s="216">
        <f t="shared" si="3"/>
        <v>7.130227270235423E-2</v>
      </c>
      <c r="I8" s="209">
        <f t="shared" si="4"/>
        <v>2.2503127779342644E-2</v>
      </c>
      <c r="J8" s="215">
        <f t="shared" si="5"/>
        <v>7.3878006001787547E-3</v>
      </c>
      <c r="L8" s="214" t="s">
        <v>4</v>
      </c>
      <c r="M8" s="213">
        <f t="shared" si="6"/>
        <v>4053470.7993210745</v>
      </c>
      <c r="N8" s="212">
        <f t="shared" si="7"/>
        <v>1836195.8650034235</v>
      </c>
      <c r="O8" s="211">
        <f t="shared" si="8"/>
        <v>401883.36029064702</v>
      </c>
      <c r="P8" s="210">
        <f t="shared" si="9"/>
        <v>6291550.0246151444</v>
      </c>
      <c r="Q8" s="209">
        <f t="shared" si="10"/>
        <v>2.3131446404892703E-2</v>
      </c>
      <c r="S8" s="195"/>
      <c r="T8" s="195"/>
      <c r="U8" s="195"/>
      <c r="V8" s="195"/>
      <c r="W8" s="195"/>
      <c r="X8" s="195"/>
      <c r="Y8" s="195"/>
      <c r="Z8" s="195"/>
    </row>
    <row r="9" spans="1:29">
      <c r="A9" s="214" t="s">
        <v>5</v>
      </c>
      <c r="B9" s="213">
        <v>10108332</v>
      </c>
      <c r="C9" s="212">
        <v>2322895</v>
      </c>
      <c r="D9" s="219">
        <f t="shared" si="0"/>
        <v>0.22980003031162807</v>
      </c>
      <c r="E9" s="218">
        <f t="shared" si="1"/>
        <v>1.5414849835412326E-2</v>
      </c>
      <c r="F9" s="212">
        <v>3579757</v>
      </c>
      <c r="G9" s="217">
        <f t="shared" si="2"/>
        <v>-0.35110260277443417</v>
      </c>
      <c r="H9" s="216">
        <f t="shared" si="3"/>
        <v>0</v>
      </c>
      <c r="I9" s="209">
        <f t="shared" si="4"/>
        <v>0</v>
      </c>
      <c r="J9" s="215">
        <f t="shared" si="5"/>
        <v>1.1258579827273228E-3</v>
      </c>
      <c r="L9" s="214" t="s">
        <v>5</v>
      </c>
      <c r="M9" s="213">
        <f t="shared" si="6"/>
        <v>2096351.8053266553</v>
      </c>
      <c r="N9" s="212">
        <f t="shared" si="7"/>
        <v>0</v>
      </c>
      <c r="O9" s="211">
        <f t="shared" si="8"/>
        <v>61244.694300162613</v>
      </c>
      <c r="P9" s="210">
        <f t="shared" si="9"/>
        <v>2157596.4996268181</v>
      </c>
      <c r="Q9" s="209">
        <f t="shared" si="10"/>
        <v>7.9325965142516275E-3</v>
      </c>
      <c r="S9" s="195"/>
      <c r="T9" s="195"/>
      <c r="U9" s="195"/>
      <c r="V9" s="195"/>
      <c r="W9" s="195"/>
      <c r="X9" s="195"/>
      <c r="Y9" s="195"/>
      <c r="Z9" s="195"/>
    </row>
    <row r="10" spans="1:29">
      <c r="A10" s="214" t="s">
        <v>6</v>
      </c>
      <c r="B10" s="213">
        <v>653982108</v>
      </c>
      <c r="C10" s="212">
        <v>263928665.28</v>
      </c>
      <c r="D10" s="219">
        <f t="shared" si="0"/>
        <v>0.40357169110809987</v>
      </c>
      <c r="E10" s="218">
        <f t="shared" si="1"/>
        <v>2.7071349850644383E-2</v>
      </c>
      <c r="F10" s="212">
        <v>243619322.05000001</v>
      </c>
      <c r="G10" s="217">
        <f t="shared" si="2"/>
        <v>8.3365075721833382E-2</v>
      </c>
      <c r="H10" s="216">
        <f t="shared" si="3"/>
        <v>8.3365075721833382E-2</v>
      </c>
      <c r="I10" s="209">
        <f t="shared" si="4"/>
        <v>2.6310170492518558E-2</v>
      </c>
      <c r="J10" s="215">
        <f t="shared" si="5"/>
        <v>0.12792063122786676</v>
      </c>
      <c r="L10" s="214" t="s">
        <v>6</v>
      </c>
      <c r="M10" s="213">
        <f t="shared" si="6"/>
        <v>3681584.5589137278</v>
      </c>
      <c r="N10" s="212">
        <f t="shared" si="7"/>
        <v>2146840.5076669259</v>
      </c>
      <c r="O10" s="211">
        <f t="shared" si="8"/>
        <v>6958657.3745793672</v>
      </c>
      <c r="P10" s="210">
        <f t="shared" si="9"/>
        <v>12787082.441160019</v>
      </c>
      <c r="Q10" s="209">
        <f t="shared" si="10"/>
        <v>4.7012852318651106E-2</v>
      </c>
      <c r="S10" s="195"/>
      <c r="T10" s="195"/>
      <c r="U10" s="195"/>
      <c r="V10" s="195"/>
      <c r="W10" s="195"/>
      <c r="X10" s="195"/>
      <c r="Y10" s="195"/>
      <c r="Z10" s="195"/>
    </row>
    <row r="11" spans="1:29">
      <c r="A11" s="214" t="s">
        <v>7</v>
      </c>
      <c r="B11" s="213">
        <v>0</v>
      </c>
      <c r="C11" s="212">
        <v>0</v>
      </c>
      <c r="D11" s="219">
        <f t="shared" si="0"/>
        <v>0</v>
      </c>
      <c r="E11" s="218">
        <f t="shared" si="1"/>
        <v>0</v>
      </c>
      <c r="F11" s="212">
        <v>0</v>
      </c>
      <c r="G11" s="217">
        <f t="shared" si="2"/>
        <v>0</v>
      </c>
      <c r="H11" s="216">
        <f t="shared" si="3"/>
        <v>0</v>
      </c>
      <c r="I11" s="209">
        <f t="shared" si="4"/>
        <v>0</v>
      </c>
      <c r="J11" s="215">
        <f t="shared" si="5"/>
        <v>0</v>
      </c>
      <c r="L11" s="214" t="s">
        <v>7</v>
      </c>
      <c r="M11" s="213">
        <f t="shared" si="6"/>
        <v>0</v>
      </c>
      <c r="N11" s="212">
        <f t="shared" si="7"/>
        <v>0</v>
      </c>
      <c r="O11" s="211">
        <f t="shared" si="8"/>
        <v>0</v>
      </c>
      <c r="P11" s="210">
        <f t="shared" si="9"/>
        <v>0</v>
      </c>
      <c r="Q11" s="209">
        <f t="shared" si="10"/>
        <v>0</v>
      </c>
      <c r="S11" s="195"/>
      <c r="T11" s="195"/>
      <c r="U11" s="195"/>
      <c r="V11" s="195"/>
      <c r="W11" s="195"/>
      <c r="X11" s="195"/>
      <c r="Y11" s="195"/>
      <c r="Z11" s="195"/>
    </row>
    <row r="12" spans="1:29">
      <c r="A12" s="214" t="s">
        <v>8</v>
      </c>
      <c r="B12" s="213">
        <v>2146802</v>
      </c>
      <c r="C12" s="212">
        <v>721021</v>
      </c>
      <c r="D12" s="219">
        <f t="shared" si="0"/>
        <v>0.33585817415858565</v>
      </c>
      <c r="E12" s="218">
        <f t="shared" si="1"/>
        <v>2.2529167266121058E-2</v>
      </c>
      <c r="F12" s="212">
        <v>739085</v>
      </c>
      <c r="G12" s="217">
        <f t="shared" si="2"/>
        <v>-2.4441031816367587E-2</v>
      </c>
      <c r="H12" s="216">
        <f t="shared" si="3"/>
        <v>0</v>
      </c>
      <c r="I12" s="209">
        <f t="shared" si="4"/>
        <v>0</v>
      </c>
      <c r="J12" s="215">
        <f t="shared" si="5"/>
        <v>3.4946359975979841E-4</v>
      </c>
      <c r="L12" s="214" t="s">
        <v>8</v>
      </c>
      <c r="M12" s="213">
        <f t="shared" si="6"/>
        <v>3063867.6973901093</v>
      </c>
      <c r="N12" s="212">
        <f t="shared" si="7"/>
        <v>0</v>
      </c>
      <c r="O12" s="211">
        <f t="shared" si="8"/>
        <v>19010.205252065869</v>
      </c>
      <c r="P12" s="210">
        <f t="shared" si="9"/>
        <v>3082877.9026421751</v>
      </c>
      <c r="Q12" s="209">
        <f t="shared" si="10"/>
        <v>1.1334476353012489E-2</v>
      </c>
      <c r="S12" s="195"/>
      <c r="T12" s="195"/>
      <c r="U12" s="195"/>
      <c r="V12" s="195"/>
      <c r="W12" s="195"/>
      <c r="X12" s="195"/>
      <c r="Y12" s="195"/>
      <c r="Z12" s="195"/>
    </row>
    <row r="13" spans="1:29">
      <c r="A13" s="214" t="s">
        <v>9</v>
      </c>
      <c r="B13" s="213">
        <v>98384121</v>
      </c>
      <c r="C13" s="212">
        <v>28310880.329999998</v>
      </c>
      <c r="D13" s="219">
        <f t="shared" si="0"/>
        <v>0.28775863464796314</v>
      </c>
      <c r="E13" s="218">
        <f t="shared" si="1"/>
        <v>1.9302678663385611E-2</v>
      </c>
      <c r="F13" s="212">
        <v>26808501</v>
      </c>
      <c r="G13" s="217">
        <f t="shared" si="2"/>
        <v>5.6041153886224215E-2</v>
      </c>
      <c r="H13" s="216">
        <f t="shared" si="3"/>
        <v>5.6041153886224215E-2</v>
      </c>
      <c r="I13" s="209">
        <f t="shared" si="4"/>
        <v>1.7686690746420899E-2</v>
      </c>
      <c r="J13" s="215">
        <f t="shared" si="5"/>
        <v>1.372168376855968E-2</v>
      </c>
      <c r="L13" s="214" t="s">
        <v>9</v>
      </c>
      <c r="M13" s="213">
        <f t="shared" si="6"/>
        <v>2625079.4328640536</v>
      </c>
      <c r="N13" s="212">
        <f t="shared" si="7"/>
        <v>1443187.308565381</v>
      </c>
      <c r="O13" s="211">
        <f t="shared" si="8"/>
        <v>746435.46573535888</v>
      </c>
      <c r="P13" s="210">
        <f t="shared" si="9"/>
        <v>4814702.2071647933</v>
      </c>
      <c r="Q13" s="209">
        <f t="shared" si="10"/>
        <v>1.7701683309331012E-2</v>
      </c>
      <c r="S13" s="195"/>
      <c r="T13" s="195"/>
      <c r="U13" s="195"/>
      <c r="V13" s="195"/>
      <c r="W13" s="195"/>
      <c r="X13" s="195"/>
      <c r="Y13" s="195"/>
      <c r="Z13" s="195"/>
    </row>
    <row r="14" spans="1:29">
      <c r="A14" s="214" t="s">
        <v>10</v>
      </c>
      <c r="B14" s="213">
        <v>21304607</v>
      </c>
      <c r="C14" s="212">
        <v>4203660</v>
      </c>
      <c r="D14" s="219">
        <f t="shared" si="0"/>
        <v>0.19731225269726871</v>
      </c>
      <c r="E14" s="218">
        <f t="shared" si="1"/>
        <v>1.3235588967898509E-2</v>
      </c>
      <c r="F14" s="212">
        <v>4025421.55</v>
      </c>
      <c r="G14" s="217">
        <f t="shared" si="2"/>
        <v>4.4278207334583319E-2</v>
      </c>
      <c r="H14" s="216">
        <f t="shared" si="3"/>
        <v>4.4278207334583319E-2</v>
      </c>
      <c r="I14" s="209">
        <f t="shared" si="4"/>
        <v>1.397428328336379E-2</v>
      </c>
      <c r="J14" s="215">
        <f t="shared" si="5"/>
        <v>2.0374249234991412E-3</v>
      </c>
      <c r="L14" s="214" t="s">
        <v>10</v>
      </c>
      <c r="M14" s="213">
        <f t="shared" si="6"/>
        <v>1799981.9085927166</v>
      </c>
      <c r="N14" s="212">
        <f t="shared" si="7"/>
        <v>1140264.6526699238</v>
      </c>
      <c r="O14" s="211">
        <f t="shared" si="8"/>
        <v>110832.33277518854</v>
      </c>
      <c r="P14" s="210">
        <f t="shared" si="9"/>
        <v>3051078.8940378288</v>
      </c>
      <c r="Q14" s="209">
        <f t="shared" si="10"/>
        <v>1.1217564453658218E-2</v>
      </c>
      <c r="S14" s="195"/>
      <c r="T14" s="195"/>
      <c r="U14" s="195"/>
      <c r="V14" s="195"/>
      <c r="W14" s="195"/>
      <c r="X14" s="195"/>
      <c r="Y14" s="195"/>
      <c r="Z14" s="195"/>
    </row>
    <row r="15" spans="1:29">
      <c r="A15" s="214" t="s">
        <v>11</v>
      </c>
      <c r="B15" s="213">
        <v>2970608</v>
      </c>
      <c r="C15" s="212">
        <v>3866062</v>
      </c>
      <c r="D15" s="219">
        <f t="shared" si="0"/>
        <v>1.3014379547890533</v>
      </c>
      <c r="E15" s="218">
        <f t="shared" si="1"/>
        <v>8.7299686670947604E-2</v>
      </c>
      <c r="F15" s="212">
        <v>5594177</v>
      </c>
      <c r="G15" s="217">
        <f t="shared" si="2"/>
        <v>-0.30891317882862845</v>
      </c>
      <c r="H15" s="216">
        <f t="shared" si="3"/>
        <v>0</v>
      </c>
      <c r="I15" s="209">
        <f t="shared" si="4"/>
        <v>0</v>
      </c>
      <c r="J15" s="215">
        <f t="shared" si="5"/>
        <v>1.8737983268373123E-3</v>
      </c>
      <c r="L15" s="214" t="s">
        <v>11</v>
      </c>
      <c r="M15" s="213">
        <f t="shared" si="6"/>
        <v>11872373.569067407</v>
      </c>
      <c r="N15" s="212">
        <f t="shared" si="7"/>
        <v>0</v>
      </c>
      <c r="O15" s="211">
        <f t="shared" si="8"/>
        <v>101931.33367434828</v>
      </c>
      <c r="P15" s="210">
        <f t="shared" si="9"/>
        <v>11974304.902741756</v>
      </c>
      <c r="Q15" s="209">
        <f t="shared" si="10"/>
        <v>4.4024603000841267E-2</v>
      </c>
      <c r="S15" s="195"/>
      <c r="T15" s="195"/>
      <c r="U15" s="195"/>
      <c r="V15" s="195"/>
      <c r="W15" s="195"/>
      <c r="X15" s="195"/>
      <c r="Y15" s="195"/>
      <c r="Z15" s="195"/>
    </row>
    <row r="16" spans="1:29">
      <c r="A16" s="214" t="s">
        <v>12</v>
      </c>
      <c r="B16" s="213">
        <v>4274726</v>
      </c>
      <c r="C16" s="212">
        <v>1407462</v>
      </c>
      <c r="D16" s="219">
        <f t="shared" si="0"/>
        <v>0.32925198012691342</v>
      </c>
      <c r="E16" s="218">
        <f t="shared" si="1"/>
        <v>2.2086027685835844E-2</v>
      </c>
      <c r="F16" s="212">
        <v>1434848</v>
      </c>
      <c r="G16" s="217">
        <f t="shared" si="2"/>
        <v>-1.9086342246704913E-2</v>
      </c>
      <c r="H16" s="216">
        <f t="shared" si="3"/>
        <v>0</v>
      </c>
      <c r="I16" s="209">
        <f t="shared" si="4"/>
        <v>0</v>
      </c>
      <c r="J16" s="215">
        <f t="shared" si="5"/>
        <v>6.8216700629402662E-4</v>
      </c>
      <c r="L16" s="214" t="s">
        <v>12</v>
      </c>
      <c r="M16" s="213">
        <f t="shared" si="6"/>
        <v>3003602.6627604188</v>
      </c>
      <c r="N16" s="212">
        <f t="shared" si="7"/>
        <v>0</v>
      </c>
      <c r="O16" s="211">
        <f t="shared" si="8"/>
        <v>37108.685467528863</v>
      </c>
      <c r="P16" s="210">
        <f t="shared" si="9"/>
        <v>3040711.3482279475</v>
      </c>
      <c r="Q16" s="209">
        <f t="shared" si="10"/>
        <v>1.1179447244176728E-2</v>
      </c>
      <c r="S16" s="195"/>
      <c r="T16" s="195"/>
      <c r="U16" s="195"/>
      <c r="V16" s="195"/>
      <c r="W16" s="195"/>
      <c r="X16" s="195"/>
      <c r="Y16" s="195"/>
      <c r="Z16" s="195"/>
    </row>
    <row r="17" spans="1:26">
      <c r="A17" s="214" t="s">
        <v>13</v>
      </c>
      <c r="B17" s="213">
        <v>41956827</v>
      </c>
      <c r="C17" s="212">
        <v>12855566</v>
      </c>
      <c r="D17" s="219">
        <f t="shared" si="0"/>
        <v>0.30639986193426877</v>
      </c>
      <c r="E17" s="218">
        <f t="shared" si="1"/>
        <v>2.0553121141467616E-2</v>
      </c>
      <c r="F17" s="212">
        <v>12542027</v>
      </c>
      <c r="G17" s="217">
        <f t="shared" si="2"/>
        <v>2.4999069129734819E-2</v>
      </c>
      <c r="H17" s="216">
        <f t="shared" si="3"/>
        <v>2.4999069129734819E-2</v>
      </c>
      <c r="I17" s="209">
        <f t="shared" si="4"/>
        <v>7.8897519766220354E-3</v>
      </c>
      <c r="J17" s="215">
        <f t="shared" si="5"/>
        <v>6.2308204217487043E-3</v>
      </c>
      <c r="L17" s="214" t="s">
        <v>13</v>
      </c>
      <c r="M17" s="213">
        <f t="shared" si="6"/>
        <v>2795134.1122396719</v>
      </c>
      <c r="N17" s="212">
        <f t="shared" si="7"/>
        <v>643782.94863858097</v>
      </c>
      <c r="O17" s="211">
        <f t="shared" si="8"/>
        <v>338945.6732764779</v>
      </c>
      <c r="P17" s="210">
        <f t="shared" si="9"/>
        <v>3777862.7341547306</v>
      </c>
      <c r="Q17" s="209">
        <f t="shared" si="10"/>
        <v>1.3889650248070158E-2</v>
      </c>
      <c r="S17" s="195"/>
      <c r="T17" s="195"/>
      <c r="U17" s="195"/>
      <c r="V17" s="195"/>
      <c r="W17" s="195"/>
      <c r="X17" s="195"/>
      <c r="Y17" s="195"/>
      <c r="Z17" s="195"/>
    </row>
    <row r="18" spans="1:26">
      <c r="A18" s="214" t="s">
        <v>14</v>
      </c>
      <c r="B18" s="213">
        <v>6139487</v>
      </c>
      <c r="C18" s="212">
        <v>602897</v>
      </c>
      <c r="D18" s="219">
        <f t="shared" si="0"/>
        <v>9.81998984605717E-2</v>
      </c>
      <c r="E18" s="218">
        <f t="shared" si="1"/>
        <v>6.587190987615176E-3</v>
      </c>
      <c r="F18" s="212">
        <v>637894</v>
      </c>
      <c r="G18" s="217">
        <f t="shared" si="2"/>
        <v>-5.4863347201886237E-2</v>
      </c>
      <c r="H18" s="216">
        <f t="shared" si="3"/>
        <v>0</v>
      </c>
      <c r="I18" s="209">
        <f t="shared" si="4"/>
        <v>0</v>
      </c>
      <c r="J18" s="215">
        <f t="shared" si="5"/>
        <v>2.9221140009012662E-4</v>
      </c>
      <c r="L18" s="214" t="s">
        <v>14</v>
      </c>
      <c r="M18" s="213">
        <f t="shared" si="6"/>
        <v>895829.01334498625</v>
      </c>
      <c r="N18" s="212">
        <f t="shared" si="7"/>
        <v>0</v>
      </c>
      <c r="O18" s="211">
        <f t="shared" si="8"/>
        <v>15895.786275094284</v>
      </c>
      <c r="P18" s="210">
        <f t="shared" si="9"/>
        <v>911724.79962008051</v>
      </c>
      <c r="Q18" s="209">
        <f t="shared" si="10"/>
        <v>3.3520377738256129E-3</v>
      </c>
      <c r="S18" s="195"/>
      <c r="T18" s="195"/>
      <c r="U18" s="195"/>
      <c r="V18" s="195"/>
      <c r="W18" s="195"/>
      <c r="X18" s="195"/>
      <c r="Y18" s="195"/>
      <c r="Z18" s="195"/>
    </row>
    <row r="19" spans="1:26">
      <c r="A19" s="214" t="s">
        <v>15</v>
      </c>
      <c r="B19" s="213">
        <v>1456249</v>
      </c>
      <c r="C19" s="212">
        <v>363371</v>
      </c>
      <c r="D19" s="219">
        <f t="shared" si="0"/>
        <v>0.24952532156245258</v>
      </c>
      <c r="E19" s="218">
        <f t="shared" si="1"/>
        <v>1.673801068173118E-2</v>
      </c>
      <c r="F19" s="212">
        <v>290883</v>
      </c>
      <c r="G19" s="217">
        <f t="shared" si="2"/>
        <v>0.24919985011155688</v>
      </c>
      <c r="H19" s="216">
        <f t="shared" si="3"/>
        <v>0.24919985011155688</v>
      </c>
      <c r="I19" s="209">
        <f t="shared" si="4"/>
        <v>7.8647928840397854E-2</v>
      </c>
      <c r="J19" s="215">
        <f t="shared" si="5"/>
        <v>1.761182236138999E-4</v>
      </c>
      <c r="L19" s="214" t="s">
        <v>15</v>
      </c>
      <c r="M19" s="213">
        <f t="shared" si="6"/>
        <v>2276295.8630719236</v>
      </c>
      <c r="N19" s="212">
        <f t="shared" si="7"/>
        <v>6417463.5252433605</v>
      </c>
      <c r="O19" s="211">
        <f t="shared" si="8"/>
        <v>9580.5216389653378</v>
      </c>
      <c r="P19" s="210">
        <f t="shared" si="9"/>
        <v>8703339.9099542499</v>
      </c>
      <c r="Q19" s="209">
        <f t="shared" si="10"/>
        <v>3.1998607637707725E-2</v>
      </c>
      <c r="S19" s="195"/>
      <c r="T19" s="195"/>
      <c r="U19" s="195"/>
      <c r="V19" s="195"/>
      <c r="W19" s="195"/>
      <c r="X19" s="195"/>
      <c r="Y19" s="195"/>
      <c r="Z19" s="195"/>
    </row>
    <row r="20" spans="1:26">
      <c r="A20" s="214" t="s">
        <v>16</v>
      </c>
      <c r="B20" s="213">
        <v>2045528</v>
      </c>
      <c r="C20" s="212">
        <v>531178</v>
      </c>
      <c r="D20" s="219">
        <f t="shared" si="0"/>
        <v>0.25967769690759551</v>
      </c>
      <c r="E20" s="218">
        <f t="shared" si="1"/>
        <v>1.7419026002773119E-2</v>
      </c>
      <c r="F20" s="212">
        <v>471485</v>
      </c>
      <c r="G20" s="217">
        <f t="shared" si="2"/>
        <v>0.12660636075378862</v>
      </c>
      <c r="H20" s="216">
        <f t="shared" si="3"/>
        <v>0.12660636075378862</v>
      </c>
      <c r="I20" s="209">
        <f t="shared" si="4"/>
        <v>3.9957199199149626E-2</v>
      </c>
      <c r="J20" s="215">
        <f t="shared" si="5"/>
        <v>2.5745072056598936E-4</v>
      </c>
      <c r="L20" s="214" t="s">
        <v>16</v>
      </c>
      <c r="M20" s="213">
        <f t="shared" si="6"/>
        <v>2368910.9526099134</v>
      </c>
      <c r="N20" s="212">
        <f t="shared" si="7"/>
        <v>3260402.0501517989</v>
      </c>
      <c r="O20" s="211">
        <f t="shared" si="8"/>
        <v>14004.866439925945</v>
      </c>
      <c r="P20" s="210">
        <f t="shared" si="9"/>
        <v>5643317.8692016378</v>
      </c>
      <c r="Q20" s="209">
        <f t="shared" si="10"/>
        <v>2.0748162905244644E-2</v>
      </c>
      <c r="S20" s="195"/>
      <c r="T20" s="195"/>
      <c r="U20" s="195"/>
      <c r="V20" s="195"/>
      <c r="W20" s="195"/>
      <c r="X20" s="195"/>
      <c r="Y20" s="195"/>
      <c r="Z20" s="195"/>
    </row>
    <row r="21" spans="1:26">
      <c r="A21" s="214" t="s">
        <v>17</v>
      </c>
      <c r="B21" s="213">
        <v>9607239</v>
      </c>
      <c r="C21" s="212">
        <v>1058773</v>
      </c>
      <c r="D21" s="219">
        <f t="shared" si="0"/>
        <v>0.11020575214169233</v>
      </c>
      <c r="E21" s="218">
        <f t="shared" si="1"/>
        <v>7.3925365369148805E-3</v>
      </c>
      <c r="F21" s="212">
        <v>892233</v>
      </c>
      <c r="G21" s="217">
        <f t="shared" si="2"/>
        <v>0.18665527950658634</v>
      </c>
      <c r="H21" s="216">
        <f t="shared" si="3"/>
        <v>0.18665527950658634</v>
      </c>
      <c r="I21" s="209">
        <f t="shared" si="4"/>
        <v>5.8908747873431297E-2</v>
      </c>
      <c r="J21" s="215">
        <f t="shared" si="5"/>
        <v>5.131648369582593E-4</v>
      </c>
      <c r="L21" s="214" t="s">
        <v>17</v>
      </c>
      <c r="M21" s="213">
        <f t="shared" si="6"/>
        <v>1005352.4673009076</v>
      </c>
      <c r="N21" s="212">
        <f t="shared" si="7"/>
        <v>4806798.4290174767</v>
      </c>
      <c r="O21" s="211">
        <f t="shared" si="8"/>
        <v>27915.264666834304</v>
      </c>
      <c r="P21" s="210">
        <f t="shared" si="9"/>
        <v>5840066.1609852184</v>
      </c>
      <c r="Q21" s="209">
        <f t="shared" si="10"/>
        <v>2.1471525597878481E-2</v>
      </c>
      <c r="S21" s="195"/>
      <c r="T21" s="195"/>
      <c r="U21" s="195"/>
      <c r="V21" s="195"/>
      <c r="W21" s="195"/>
      <c r="X21" s="195"/>
      <c r="Y21" s="195"/>
      <c r="Z21" s="195"/>
    </row>
    <row r="22" spans="1:26">
      <c r="A22" s="214" t="s">
        <v>18</v>
      </c>
      <c r="B22" s="213">
        <v>354652384</v>
      </c>
      <c r="C22" s="212">
        <v>84817135</v>
      </c>
      <c r="D22" s="219">
        <f t="shared" si="0"/>
        <v>0.23915568829222927</v>
      </c>
      <c r="E22" s="218">
        <f t="shared" si="1"/>
        <v>1.6042421827839284E-2</v>
      </c>
      <c r="F22" s="212">
        <v>74155651.00999999</v>
      </c>
      <c r="G22" s="217">
        <f t="shared" si="2"/>
        <v>0.14377169972605719</v>
      </c>
      <c r="H22" s="216">
        <f t="shared" si="3"/>
        <v>0.14377169972605719</v>
      </c>
      <c r="I22" s="209">
        <f t="shared" si="4"/>
        <v>4.5374611598908043E-2</v>
      </c>
      <c r="J22" s="215">
        <f t="shared" si="5"/>
        <v>4.1109067999978904E-2</v>
      </c>
      <c r="L22" s="214" t="s">
        <v>18</v>
      </c>
      <c r="M22" s="213">
        <f t="shared" si="6"/>
        <v>2181698.8371397299</v>
      </c>
      <c r="N22" s="212">
        <f t="shared" si="7"/>
        <v>3702448.6111896913</v>
      </c>
      <c r="O22" s="211">
        <f t="shared" si="8"/>
        <v>2236261.0038295412</v>
      </c>
      <c r="P22" s="210">
        <f t="shared" si="9"/>
        <v>8120408.4521589614</v>
      </c>
      <c r="Q22" s="209">
        <f t="shared" si="10"/>
        <v>2.9855407993587834E-2</v>
      </c>
      <c r="S22" s="195"/>
      <c r="T22" s="195"/>
      <c r="U22" s="195"/>
      <c r="V22" s="195"/>
      <c r="W22" s="195"/>
      <c r="X22" s="195"/>
      <c r="Y22" s="195"/>
      <c r="Z22" s="195"/>
    </row>
    <row r="23" spans="1:26">
      <c r="A23" s="214" t="s">
        <v>19</v>
      </c>
      <c r="B23" s="213">
        <v>4705374</v>
      </c>
      <c r="C23" s="212">
        <v>1347671</v>
      </c>
      <c r="D23" s="219">
        <f t="shared" si="0"/>
        <v>0.2864110270511972</v>
      </c>
      <c r="E23" s="218">
        <f t="shared" si="1"/>
        <v>1.9212281944494678E-2</v>
      </c>
      <c r="F23" s="212">
        <v>1274026</v>
      </c>
      <c r="G23" s="217">
        <f t="shared" si="2"/>
        <v>5.780494275627035E-2</v>
      </c>
      <c r="H23" s="216">
        <f t="shared" si="3"/>
        <v>5.780494275627035E-2</v>
      </c>
      <c r="I23" s="209">
        <f t="shared" si="4"/>
        <v>1.8243345742315863E-2</v>
      </c>
      <c r="J23" s="215">
        <f t="shared" si="5"/>
        <v>6.5318757560721159E-4</v>
      </c>
      <c r="L23" s="214" t="s">
        <v>19</v>
      </c>
      <c r="M23" s="213">
        <f t="shared" si="6"/>
        <v>2612785.8765293513</v>
      </c>
      <c r="N23" s="212">
        <f t="shared" si="7"/>
        <v>1488608.8878106503</v>
      </c>
      <c r="O23" s="211">
        <f t="shared" si="8"/>
        <v>35532.255402071314</v>
      </c>
      <c r="P23" s="210">
        <f t="shared" si="9"/>
        <v>4136927.019742073</v>
      </c>
      <c r="Q23" s="209">
        <f t="shared" si="10"/>
        <v>1.5209782210063541E-2</v>
      </c>
      <c r="S23" s="195"/>
      <c r="T23" s="195"/>
      <c r="U23" s="195"/>
      <c r="V23" s="195"/>
      <c r="W23" s="195"/>
      <c r="X23" s="195"/>
      <c r="Y23" s="195"/>
      <c r="Z23" s="195"/>
    </row>
    <row r="24" spans="1:26">
      <c r="A24" s="214" t="s">
        <v>20</v>
      </c>
      <c r="B24" s="213">
        <v>422301629</v>
      </c>
      <c r="C24" s="212">
        <v>139338983</v>
      </c>
      <c r="D24" s="219">
        <f t="shared" si="0"/>
        <v>0.3299513272774991</v>
      </c>
      <c r="E24" s="218">
        <f t="shared" si="1"/>
        <v>2.213293947820803E-2</v>
      </c>
      <c r="F24" s="212">
        <v>127647607.33</v>
      </c>
      <c r="G24" s="217">
        <f t="shared" si="2"/>
        <v>9.1591028727823875E-2</v>
      </c>
      <c r="H24" s="216">
        <f t="shared" si="3"/>
        <v>9.1591028727823875E-2</v>
      </c>
      <c r="I24" s="209">
        <f t="shared" si="4"/>
        <v>2.8906296318316531E-2</v>
      </c>
      <c r="J24" s="215">
        <f t="shared" si="5"/>
        <v>6.7534652369416914E-2</v>
      </c>
      <c r="L24" s="214" t="s">
        <v>20</v>
      </c>
      <c r="M24" s="213">
        <f t="shared" si="6"/>
        <v>3009982.4602725953</v>
      </c>
      <c r="N24" s="212">
        <f t="shared" si="7"/>
        <v>2358677.5266405651</v>
      </c>
      <c r="O24" s="211">
        <f t="shared" si="8"/>
        <v>3673766.3208756978</v>
      </c>
      <c r="P24" s="210">
        <f t="shared" si="9"/>
        <v>9042426.3077888582</v>
      </c>
      <c r="Q24" s="209">
        <f t="shared" si="10"/>
        <v>3.3245289108482359E-2</v>
      </c>
      <c r="S24" s="195"/>
      <c r="T24" s="195"/>
      <c r="U24" s="195"/>
      <c r="V24" s="195"/>
      <c r="W24" s="195"/>
      <c r="X24" s="195"/>
      <c r="Y24" s="195"/>
      <c r="Z24" s="195"/>
    </row>
    <row r="25" spans="1:26">
      <c r="A25" s="214" t="s">
        <v>21</v>
      </c>
      <c r="B25" s="213">
        <v>12413879</v>
      </c>
      <c r="C25" s="212">
        <v>3647488</v>
      </c>
      <c r="D25" s="219">
        <f t="shared" si="0"/>
        <v>0.29382338912760469</v>
      </c>
      <c r="E25" s="218">
        <f t="shared" si="1"/>
        <v>1.9709498799421025E-2</v>
      </c>
      <c r="F25" s="212">
        <v>4150430.84</v>
      </c>
      <c r="G25" s="217">
        <f t="shared" si="2"/>
        <v>-0.12117846541444832</v>
      </c>
      <c r="H25" s="216">
        <f t="shared" si="3"/>
        <v>0</v>
      </c>
      <c r="I25" s="209">
        <f t="shared" si="4"/>
        <v>0</v>
      </c>
      <c r="J25" s="215">
        <f t="shared" si="5"/>
        <v>1.7678601407735248E-3</v>
      </c>
      <c r="L25" s="214" t="s">
        <v>21</v>
      </c>
      <c r="M25" s="213">
        <f t="shared" si="6"/>
        <v>2680405.1827563336</v>
      </c>
      <c r="N25" s="212">
        <f t="shared" si="7"/>
        <v>0</v>
      </c>
      <c r="O25" s="211">
        <f t="shared" si="8"/>
        <v>96168.482657852175</v>
      </c>
      <c r="P25" s="210">
        <f t="shared" si="9"/>
        <v>2776573.6654141857</v>
      </c>
      <c r="Q25" s="209">
        <f t="shared" si="10"/>
        <v>1.0208321427865218E-2</v>
      </c>
      <c r="S25" s="195"/>
      <c r="T25" s="195"/>
      <c r="U25" s="195"/>
      <c r="V25" s="195"/>
      <c r="W25" s="195"/>
      <c r="X25" s="195"/>
      <c r="Y25" s="195"/>
      <c r="Z25" s="195"/>
    </row>
    <row r="26" spans="1:26">
      <c r="A26" s="214" t="s">
        <v>22</v>
      </c>
      <c r="B26" s="213">
        <v>784275</v>
      </c>
      <c r="C26" s="212">
        <v>228955</v>
      </c>
      <c r="D26" s="219">
        <f t="shared" si="0"/>
        <v>0.29193203914443278</v>
      </c>
      <c r="E26" s="218">
        <f t="shared" si="1"/>
        <v>1.9582628163515241E-2</v>
      </c>
      <c r="F26" s="212">
        <v>221868</v>
      </c>
      <c r="G26" s="217">
        <f t="shared" si="2"/>
        <v>3.1942416211441005E-2</v>
      </c>
      <c r="H26" s="216">
        <f t="shared" si="3"/>
        <v>3.1942416211441005E-2</v>
      </c>
      <c r="I26" s="209">
        <f t="shared" si="4"/>
        <v>1.0081085024983638E-2</v>
      </c>
      <c r="J26" s="215">
        <f t="shared" si="5"/>
        <v>1.1096963678312372E-4</v>
      </c>
      <c r="L26" s="214" t="s">
        <v>22</v>
      </c>
      <c r="M26" s="213">
        <f t="shared" si="6"/>
        <v>2663151.3340673223</v>
      </c>
      <c r="N26" s="212">
        <f t="shared" si="7"/>
        <v>822589.94479049381</v>
      </c>
      <c r="O26" s="211">
        <f t="shared" si="8"/>
        <v>6036.553087200984</v>
      </c>
      <c r="P26" s="210">
        <f t="shared" si="9"/>
        <v>3491777.831945017</v>
      </c>
      <c r="Q26" s="209">
        <f t="shared" si="10"/>
        <v>1.2837833516609337E-2</v>
      </c>
      <c r="S26" s="195"/>
      <c r="T26" s="195"/>
      <c r="U26" s="195"/>
      <c r="V26" s="195"/>
      <c r="W26" s="195"/>
      <c r="X26" s="195"/>
      <c r="Y26" s="195"/>
      <c r="Z26" s="195"/>
    </row>
    <row r="27" spans="1:26">
      <c r="A27" s="214" t="s">
        <v>23</v>
      </c>
      <c r="B27" s="213">
        <v>0</v>
      </c>
      <c r="C27" s="212">
        <v>0</v>
      </c>
      <c r="D27" s="219">
        <f t="shared" si="0"/>
        <v>0</v>
      </c>
      <c r="E27" s="218">
        <f t="shared" si="1"/>
        <v>0</v>
      </c>
      <c r="F27" s="212">
        <v>0</v>
      </c>
      <c r="G27" s="217">
        <f t="shared" si="2"/>
        <v>0</v>
      </c>
      <c r="H27" s="216">
        <f t="shared" si="3"/>
        <v>0</v>
      </c>
      <c r="I27" s="209">
        <f t="shared" si="4"/>
        <v>0</v>
      </c>
      <c r="J27" s="215">
        <f t="shared" si="5"/>
        <v>0</v>
      </c>
      <c r="L27" s="214" t="s">
        <v>23</v>
      </c>
      <c r="M27" s="213">
        <f t="shared" si="6"/>
        <v>0</v>
      </c>
      <c r="N27" s="212">
        <f t="shared" si="7"/>
        <v>0</v>
      </c>
      <c r="O27" s="211">
        <f t="shared" si="8"/>
        <v>0</v>
      </c>
      <c r="P27" s="210">
        <f t="shared" si="9"/>
        <v>0</v>
      </c>
      <c r="Q27" s="209">
        <f t="shared" si="10"/>
        <v>0</v>
      </c>
      <c r="S27" s="195"/>
      <c r="T27" s="195"/>
      <c r="U27" s="195"/>
      <c r="V27" s="195"/>
      <c r="W27" s="195"/>
      <c r="X27" s="195"/>
      <c r="Y27" s="195"/>
      <c r="Z27" s="195"/>
    </row>
    <row r="28" spans="1:26">
      <c r="A28" s="214" t="s">
        <v>24</v>
      </c>
      <c r="B28" s="213">
        <v>58791281</v>
      </c>
      <c r="C28" s="212">
        <v>11872386</v>
      </c>
      <c r="D28" s="219">
        <f t="shared" si="0"/>
        <v>0.20194127084932884</v>
      </c>
      <c r="E28" s="218">
        <f t="shared" si="1"/>
        <v>1.3546100762012028E-2</v>
      </c>
      <c r="F28" s="212">
        <v>9853275</v>
      </c>
      <c r="G28" s="217">
        <f t="shared" si="2"/>
        <v>0.20491775577155824</v>
      </c>
      <c r="H28" s="216">
        <f t="shared" si="3"/>
        <v>0.20491775577155824</v>
      </c>
      <c r="I28" s="209">
        <f t="shared" si="4"/>
        <v>6.4672418811010074E-2</v>
      </c>
      <c r="J28" s="215">
        <f t="shared" si="5"/>
        <v>5.7542939100218085E-3</v>
      </c>
      <c r="L28" s="214" t="s">
        <v>24</v>
      </c>
      <c r="M28" s="213">
        <f t="shared" si="6"/>
        <v>1842210.1474088805</v>
      </c>
      <c r="N28" s="212">
        <f t="shared" si="7"/>
        <v>5277098.7733339556</v>
      </c>
      <c r="O28" s="211">
        <f t="shared" si="8"/>
        <v>313023.46906921337</v>
      </c>
      <c r="P28" s="210">
        <f t="shared" si="9"/>
        <v>7432332.3898120495</v>
      </c>
      <c r="Q28" s="209">
        <f t="shared" si="10"/>
        <v>2.7325634806313399E-2</v>
      </c>
      <c r="S28" s="195"/>
      <c r="T28" s="195"/>
      <c r="U28" s="195"/>
      <c r="V28" s="195"/>
      <c r="W28" s="195"/>
      <c r="X28" s="195"/>
      <c r="Y28" s="195"/>
      <c r="Z28" s="195"/>
    </row>
    <row r="29" spans="1:26">
      <c r="A29" s="214" t="s">
        <v>25</v>
      </c>
      <c r="B29" s="213">
        <v>531696647</v>
      </c>
      <c r="C29" s="212">
        <v>252087113.56999999</v>
      </c>
      <c r="D29" s="219">
        <f t="shared" si="0"/>
        <v>0.47411830597833354</v>
      </c>
      <c r="E29" s="218">
        <f t="shared" si="1"/>
        <v>3.1803574964568974E-2</v>
      </c>
      <c r="F29" s="212">
        <v>228201604.11000001</v>
      </c>
      <c r="G29" s="217">
        <f t="shared" si="2"/>
        <v>0.10466845556653692</v>
      </c>
      <c r="H29" s="216">
        <f t="shared" si="3"/>
        <v>0.10466845556653692</v>
      </c>
      <c r="I29" s="209">
        <f t="shared" si="4"/>
        <v>3.3033556166049943E-2</v>
      </c>
      <c r="J29" s="215">
        <f t="shared" si="5"/>
        <v>0.12218128204480774</v>
      </c>
      <c r="L29" s="214" t="s">
        <v>25</v>
      </c>
      <c r="M29" s="213">
        <f t="shared" si="6"/>
        <v>4325146.3689028155</v>
      </c>
      <c r="N29" s="212">
        <f t="shared" si="7"/>
        <v>2695451.0427719359</v>
      </c>
      <c r="O29" s="211">
        <f t="shared" si="8"/>
        <v>6646446.8723747833</v>
      </c>
      <c r="P29" s="210">
        <f t="shared" si="9"/>
        <v>13667044.284049533</v>
      </c>
      <c r="Q29" s="209">
        <f t="shared" si="10"/>
        <v>5.0248110741061017E-2</v>
      </c>
      <c r="S29" s="195"/>
      <c r="T29" s="195"/>
      <c r="U29" s="195"/>
      <c r="V29" s="195"/>
      <c r="W29" s="195"/>
      <c r="X29" s="195"/>
      <c r="Y29" s="195"/>
      <c r="Z29" s="195"/>
    </row>
    <row r="30" spans="1:26">
      <c r="A30" s="214" t="s">
        <v>26</v>
      </c>
      <c r="B30" s="213">
        <v>818878</v>
      </c>
      <c r="C30" s="212">
        <v>228664</v>
      </c>
      <c r="D30" s="219">
        <f t="shared" si="0"/>
        <v>0.27924061948177875</v>
      </c>
      <c r="E30" s="218">
        <f t="shared" si="1"/>
        <v>1.8731295254495552E-2</v>
      </c>
      <c r="F30" s="212">
        <v>207054</v>
      </c>
      <c r="G30" s="217">
        <f t="shared" si="2"/>
        <v>0.10436890859389347</v>
      </c>
      <c r="H30" s="216">
        <f t="shared" si="3"/>
        <v>0.10436890859389347</v>
      </c>
      <c r="I30" s="209">
        <f t="shared" si="4"/>
        <v>3.293901859318113E-2</v>
      </c>
      <c r="J30" s="215">
        <f t="shared" si="5"/>
        <v>1.1082859524961763E-4</v>
      </c>
      <c r="L30" s="214" t="s">
        <v>26</v>
      </c>
      <c r="M30" s="213">
        <f t="shared" si="6"/>
        <v>2547373.8013756014</v>
      </c>
      <c r="N30" s="212">
        <f t="shared" si="7"/>
        <v>2687737.0262098238</v>
      </c>
      <c r="O30" s="211">
        <f t="shared" si="8"/>
        <v>6028.880675817195</v>
      </c>
      <c r="P30" s="210">
        <f t="shared" si="9"/>
        <v>5241139.7082612421</v>
      </c>
      <c r="Q30" s="209">
        <f t="shared" si="10"/>
        <v>1.9269518924252035E-2</v>
      </c>
      <c r="S30" s="195"/>
      <c r="T30" s="195"/>
      <c r="U30" s="195"/>
      <c r="V30" s="195"/>
      <c r="W30" s="195"/>
      <c r="X30" s="195"/>
      <c r="Y30" s="195"/>
      <c r="Z30" s="195"/>
    </row>
    <row r="31" spans="1:26">
      <c r="A31" s="214" t="s">
        <v>27</v>
      </c>
      <c r="B31" s="213">
        <v>2180533</v>
      </c>
      <c r="C31" s="212">
        <v>558660</v>
      </c>
      <c r="D31" s="219">
        <f t="shared" si="0"/>
        <v>0.25620341448627471</v>
      </c>
      <c r="E31" s="218">
        <f t="shared" si="1"/>
        <v>1.7185973197088773E-2</v>
      </c>
      <c r="F31" s="212">
        <v>642185</v>
      </c>
      <c r="G31" s="217">
        <f t="shared" si="2"/>
        <v>-0.1300637666715978</v>
      </c>
      <c r="H31" s="216">
        <f t="shared" si="3"/>
        <v>0</v>
      </c>
      <c r="I31" s="209">
        <f t="shared" si="4"/>
        <v>0</v>
      </c>
      <c r="J31" s="215">
        <f t="shared" si="5"/>
        <v>2.7077066360315299E-4</v>
      </c>
      <c r="L31" s="214" t="s">
        <v>27</v>
      </c>
      <c r="M31" s="213">
        <f t="shared" si="6"/>
        <v>2337216.7956671417</v>
      </c>
      <c r="N31" s="212">
        <f t="shared" si="7"/>
        <v>0</v>
      </c>
      <c r="O31" s="211">
        <f t="shared" si="8"/>
        <v>14729.447916384013</v>
      </c>
      <c r="P31" s="210">
        <f t="shared" si="9"/>
        <v>2351946.2435835255</v>
      </c>
      <c r="Q31" s="209">
        <f t="shared" si="10"/>
        <v>8.6471407312650166E-3</v>
      </c>
      <c r="S31" s="195"/>
      <c r="T31" s="195"/>
      <c r="U31" s="195"/>
      <c r="V31" s="195"/>
      <c r="W31" s="195"/>
      <c r="X31" s="195"/>
      <c r="Y31" s="195"/>
      <c r="Z31" s="195"/>
    </row>
    <row r="32" spans="1:26">
      <c r="A32" s="214" t="s">
        <v>28</v>
      </c>
      <c r="B32" s="213">
        <v>678268</v>
      </c>
      <c r="C32" s="212">
        <v>282361</v>
      </c>
      <c r="D32" s="219">
        <f t="shared" si="0"/>
        <v>0.41629709790230413</v>
      </c>
      <c r="E32" s="218">
        <f t="shared" si="1"/>
        <v>2.7924962596304965E-2</v>
      </c>
      <c r="F32" s="212">
        <v>360817</v>
      </c>
      <c r="G32" s="217">
        <f t="shared" si="2"/>
        <v>-0.21743986563825979</v>
      </c>
      <c r="H32" s="216">
        <f t="shared" si="3"/>
        <v>0</v>
      </c>
      <c r="I32" s="209">
        <f t="shared" si="4"/>
        <v>0</v>
      </c>
      <c r="J32" s="215">
        <f t="shared" si="5"/>
        <v>1.3685439327256271E-4</v>
      </c>
      <c r="L32" s="214" t="s">
        <v>28</v>
      </c>
      <c r="M32" s="213">
        <f t="shared" si="6"/>
        <v>3797672.1393651748</v>
      </c>
      <c r="N32" s="212">
        <f t="shared" si="7"/>
        <v>0</v>
      </c>
      <c r="O32" s="211">
        <f t="shared" si="8"/>
        <v>7444.6383186877638</v>
      </c>
      <c r="P32" s="210">
        <f t="shared" si="9"/>
        <v>3805116.7776838625</v>
      </c>
      <c r="Q32" s="209">
        <f t="shared" si="10"/>
        <v>1.3989852176806995E-2</v>
      </c>
      <c r="S32" s="195"/>
      <c r="T32" s="195"/>
      <c r="U32" s="195"/>
      <c r="V32" s="195"/>
      <c r="W32" s="195"/>
      <c r="X32" s="195"/>
      <c r="Y32" s="195"/>
      <c r="Z32" s="195"/>
    </row>
    <row r="33" spans="1:26">
      <c r="A33" s="214" t="s">
        <v>29</v>
      </c>
      <c r="B33" s="213">
        <v>1784944</v>
      </c>
      <c r="C33" s="212">
        <v>494360</v>
      </c>
      <c r="D33" s="219">
        <f t="shared" si="0"/>
        <v>0.27696106992712377</v>
      </c>
      <c r="E33" s="218">
        <f t="shared" si="1"/>
        <v>1.8578384421412821E-2</v>
      </c>
      <c r="F33" s="212">
        <v>457885</v>
      </c>
      <c r="G33" s="217">
        <f t="shared" si="2"/>
        <v>7.9659739891020598E-2</v>
      </c>
      <c r="H33" s="216">
        <f t="shared" si="3"/>
        <v>7.9659739891020598E-2</v>
      </c>
      <c r="I33" s="209">
        <f t="shared" si="4"/>
        <v>2.5140759721921847E-2</v>
      </c>
      <c r="J33" s="215">
        <f t="shared" si="5"/>
        <v>2.3960581616520732E-4</v>
      </c>
      <c r="L33" s="214" t="s">
        <v>29</v>
      </c>
      <c r="M33" s="213">
        <f t="shared" si="6"/>
        <v>2526578.6003577765</v>
      </c>
      <c r="N33" s="212">
        <f t="shared" si="7"/>
        <v>2051419.6736159683</v>
      </c>
      <c r="O33" s="211">
        <f t="shared" si="8"/>
        <v>13034.135022990014</v>
      </c>
      <c r="P33" s="210">
        <f t="shared" si="9"/>
        <v>4591032.4089967348</v>
      </c>
      <c r="Q33" s="209">
        <f t="shared" si="10"/>
        <v>1.6879341290516006E-2</v>
      </c>
      <c r="S33" s="195"/>
      <c r="T33" s="195"/>
      <c r="U33" s="195"/>
      <c r="V33" s="195"/>
      <c r="W33" s="195"/>
      <c r="X33" s="195"/>
      <c r="Y33" s="195"/>
      <c r="Z33" s="195"/>
    </row>
    <row r="34" spans="1:26">
      <c r="A34" s="214" t="s">
        <v>30</v>
      </c>
      <c r="B34" s="213">
        <v>550784</v>
      </c>
      <c r="C34" s="212">
        <v>111314</v>
      </c>
      <c r="D34" s="219">
        <f t="shared" si="0"/>
        <v>0.20210100511271206</v>
      </c>
      <c r="E34" s="218">
        <f t="shared" si="1"/>
        <v>1.3556815641728465E-2</v>
      </c>
      <c r="F34" s="212">
        <v>71527</v>
      </c>
      <c r="G34" s="217">
        <f t="shared" si="2"/>
        <v>0.55625148545304581</v>
      </c>
      <c r="H34" s="216">
        <f t="shared" si="3"/>
        <v>0.55625148545304581</v>
      </c>
      <c r="I34" s="209">
        <f t="shared" si="4"/>
        <v>0.17555398699354152</v>
      </c>
      <c r="J34" s="215">
        <f t="shared" si="5"/>
        <v>5.395153697834349E-5</v>
      </c>
      <c r="L34" s="214" t="s">
        <v>30</v>
      </c>
      <c r="M34" s="213">
        <f t="shared" si="6"/>
        <v>1843667.3239417202</v>
      </c>
      <c r="N34" s="212">
        <f t="shared" si="7"/>
        <v>14324742.238646356</v>
      </c>
      <c r="O34" s="211">
        <f t="shared" si="8"/>
        <v>2934.868731185999</v>
      </c>
      <c r="P34" s="210">
        <f t="shared" si="9"/>
        <v>16171344.431319263</v>
      </c>
      <c r="Q34" s="209">
        <f t="shared" si="10"/>
        <v>5.9455394226322365E-2</v>
      </c>
      <c r="S34" s="195"/>
      <c r="T34" s="195"/>
      <c r="U34" s="195"/>
      <c r="V34" s="195"/>
      <c r="W34" s="195"/>
      <c r="X34" s="195"/>
      <c r="Y34" s="195"/>
      <c r="Z34" s="195"/>
    </row>
    <row r="35" spans="1:26">
      <c r="A35" s="214" t="s">
        <v>31</v>
      </c>
      <c r="B35" s="213">
        <v>0</v>
      </c>
      <c r="C35" s="212">
        <v>0</v>
      </c>
      <c r="D35" s="219">
        <f t="shared" si="0"/>
        <v>0</v>
      </c>
      <c r="E35" s="218">
        <f t="shared" si="1"/>
        <v>0</v>
      </c>
      <c r="F35" s="212">
        <v>0</v>
      </c>
      <c r="G35" s="217">
        <f t="shared" si="2"/>
        <v>0</v>
      </c>
      <c r="H35" s="216">
        <f t="shared" si="3"/>
        <v>0</v>
      </c>
      <c r="I35" s="209">
        <f t="shared" si="4"/>
        <v>0</v>
      </c>
      <c r="J35" s="215">
        <f t="shared" si="5"/>
        <v>0</v>
      </c>
      <c r="L35" s="214" t="s">
        <v>31</v>
      </c>
      <c r="M35" s="213">
        <f t="shared" si="6"/>
        <v>0</v>
      </c>
      <c r="N35" s="212">
        <f t="shared" si="7"/>
        <v>0</v>
      </c>
      <c r="O35" s="211">
        <f t="shared" si="8"/>
        <v>0</v>
      </c>
      <c r="P35" s="210">
        <f t="shared" si="9"/>
        <v>0</v>
      </c>
      <c r="Q35" s="209">
        <f t="shared" si="10"/>
        <v>0</v>
      </c>
      <c r="S35" s="195"/>
      <c r="T35" s="195"/>
      <c r="U35" s="195"/>
      <c r="V35" s="195"/>
      <c r="W35" s="195"/>
      <c r="X35" s="195"/>
      <c r="Y35" s="195"/>
      <c r="Z35" s="195"/>
    </row>
    <row r="36" spans="1:26">
      <c r="A36" s="214" t="s">
        <v>32</v>
      </c>
      <c r="B36" s="213">
        <v>3683050</v>
      </c>
      <c r="C36" s="212">
        <v>1144646</v>
      </c>
      <c r="D36" s="219">
        <f t="shared" si="0"/>
        <v>0.3107875266423209</v>
      </c>
      <c r="E36" s="218">
        <f t="shared" si="1"/>
        <v>2.0847443089602447E-2</v>
      </c>
      <c r="F36" s="212">
        <v>1230552</v>
      </c>
      <c r="G36" s="217">
        <f t="shared" si="2"/>
        <v>-6.9810946632080539E-2</v>
      </c>
      <c r="H36" s="216">
        <f t="shared" si="3"/>
        <v>0</v>
      </c>
      <c r="I36" s="209">
        <f t="shared" si="4"/>
        <v>0</v>
      </c>
      <c r="J36" s="215">
        <f t="shared" si="5"/>
        <v>5.5478566034921901E-4</v>
      </c>
      <c r="L36" s="214" t="s">
        <v>32</v>
      </c>
      <c r="M36" s="213">
        <f t="shared" si="6"/>
        <v>2835160.6031823396</v>
      </c>
      <c r="N36" s="212">
        <f t="shared" si="7"/>
        <v>0</v>
      </c>
      <c r="O36" s="211">
        <f t="shared" si="8"/>
        <v>30179.364263948191</v>
      </c>
      <c r="P36" s="210">
        <f t="shared" si="9"/>
        <v>2865339.9674462876</v>
      </c>
      <c r="Q36" s="209">
        <f t="shared" si="10"/>
        <v>1.0534678676871067E-2</v>
      </c>
      <c r="S36" s="195"/>
      <c r="T36" s="195"/>
      <c r="U36" s="195"/>
      <c r="V36" s="195"/>
      <c r="W36" s="195"/>
      <c r="X36" s="195"/>
      <c r="Y36" s="195"/>
      <c r="Z36" s="195"/>
    </row>
    <row r="37" spans="1:26">
      <c r="A37" s="214" t="s">
        <v>33</v>
      </c>
      <c r="B37" s="213">
        <v>38008782</v>
      </c>
      <c r="C37" s="212">
        <v>10001944</v>
      </c>
      <c r="D37" s="219">
        <f t="shared" ref="D37:D55" si="11">IFERROR(C37/B37,0)</f>
        <v>0.26314823768885831</v>
      </c>
      <c r="E37" s="218">
        <f t="shared" ref="E37:E55" si="12">IFERROR(D37/$D$56,0)</f>
        <v>1.7651827821459971E-2</v>
      </c>
      <c r="F37" s="212">
        <v>10573187</v>
      </c>
      <c r="G37" s="217">
        <f t="shared" ref="G37:G55" si="13">IFERROR((C37/F37)-1,0)</f>
        <v>-5.4027513180273878E-2</v>
      </c>
      <c r="H37" s="216">
        <f t="shared" ref="H37:H55" si="14">IF(G37&lt;0,0,G37)</f>
        <v>0</v>
      </c>
      <c r="I37" s="209">
        <f t="shared" ref="I37:I55" si="15">IFERROR(H37/$H$56,0)</f>
        <v>0</v>
      </c>
      <c r="J37" s="215">
        <f t="shared" ref="J37:J55" si="16">IFERROR(C37/$C$56,0)</f>
        <v>4.8477303085983862E-3</v>
      </c>
      <c r="L37" s="214" t="s">
        <v>33</v>
      </c>
      <c r="M37" s="213">
        <f t="shared" ref="M37:M55" si="17">IFERROR($M$3*E37,0)</f>
        <v>2400570.9764245055</v>
      </c>
      <c r="N37" s="212">
        <f t="shared" ref="N37:N55" si="18">IFERROR($N$3*I37,0)</f>
        <v>0</v>
      </c>
      <c r="O37" s="211">
        <f t="shared" ref="O37:O55" si="19">IFERROR($O$3*J37,0)</f>
        <v>263708.00345575053</v>
      </c>
      <c r="P37" s="210">
        <f t="shared" ref="P37:P55" si="20">IFERROR(SUM(M37:O37),0)</f>
        <v>2664278.9798802561</v>
      </c>
      <c r="Q37" s="209">
        <f t="shared" ref="Q37:Q55" si="21">IFERROR(P37/$P$56,0)</f>
        <v>9.7954599724496636E-3</v>
      </c>
      <c r="S37" s="195"/>
      <c r="T37" s="195"/>
      <c r="U37" s="195"/>
      <c r="V37" s="195"/>
      <c r="W37" s="195"/>
      <c r="X37" s="195"/>
      <c r="Y37" s="195"/>
      <c r="Z37" s="195"/>
    </row>
    <row r="38" spans="1:26">
      <c r="A38" s="214" t="s">
        <v>34</v>
      </c>
      <c r="B38" s="213">
        <v>1478492</v>
      </c>
      <c r="C38" s="212">
        <v>491980</v>
      </c>
      <c r="D38" s="219">
        <f t="shared" si="11"/>
        <v>0.33275797231232906</v>
      </c>
      <c r="E38" s="218">
        <f t="shared" si="12"/>
        <v>2.2321207563701928E-2</v>
      </c>
      <c r="F38" s="212">
        <v>697553</v>
      </c>
      <c r="G38" s="217">
        <f t="shared" si="13"/>
        <v>-0.29470592198728984</v>
      </c>
      <c r="H38" s="216">
        <f t="shared" si="14"/>
        <v>0</v>
      </c>
      <c r="I38" s="209">
        <f t="shared" si="15"/>
        <v>0</v>
      </c>
      <c r="J38" s="215">
        <f t="shared" si="16"/>
        <v>2.3845228059907495E-4</v>
      </c>
      <c r="L38" s="214" t="s">
        <v>34</v>
      </c>
      <c r="M38" s="213">
        <f t="shared" si="17"/>
        <v>3035586.0921681095</v>
      </c>
      <c r="N38" s="212">
        <f t="shared" si="18"/>
        <v>0</v>
      </c>
      <c r="O38" s="211">
        <f t="shared" si="19"/>
        <v>12971.384716827062</v>
      </c>
      <c r="P38" s="210">
        <f t="shared" si="20"/>
        <v>3048557.4768849364</v>
      </c>
      <c r="Q38" s="209">
        <f t="shared" si="21"/>
        <v>1.1208294237970777E-2</v>
      </c>
      <c r="S38" s="195"/>
      <c r="T38" s="195"/>
      <c r="U38" s="195"/>
      <c r="V38" s="195"/>
      <c r="W38" s="195"/>
      <c r="X38" s="195"/>
      <c r="Y38" s="195"/>
      <c r="Z38" s="195"/>
    </row>
    <row r="39" spans="1:26">
      <c r="A39" s="214" t="s">
        <v>35</v>
      </c>
      <c r="B39" s="213">
        <v>737314</v>
      </c>
      <c r="C39" s="212">
        <v>296444</v>
      </c>
      <c r="D39" s="219">
        <f t="shared" si="11"/>
        <v>0.40205936683692428</v>
      </c>
      <c r="E39" s="218">
        <f t="shared" si="12"/>
        <v>2.6969904034858338E-2</v>
      </c>
      <c r="F39" s="212">
        <v>262924</v>
      </c>
      <c r="G39" s="217">
        <f t="shared" si="13"/>
        <v>0.12748931250095086</v>
      </c>
      <c r="H39" s="216">
        <f t="shared" si="14"/>
        <v>0.12748931250095086</v>
      </c>
      <c r="I39" s="209">
        <f t="shared" si="15"/>
        <v>4.023586038674358E-2</v>
      </c>
      <c r="J39" s="215">
        <f t="shared" si="16"/>
        <v>1.4368012494392492E-4</v>
      </c>
      <c r="L39" s="214" t="s">
        <v>35</v>
      </c>
      <c r="M39" s="213">
        <f t="shared" si="17"/>
        <v>3667788.3739792914</v>
      </c>
      <c r="N39" s="212">
        <f t="shared" si="18"/>
        <v>3283140.0679693338</v>
      </c>
      <c r="O39" s="211">
        <f t="shared" si="19"/>
        <v>7815.9461177183666</v>
      </c>
      <c r="P39" s="210">
        <f t="shared" si="20"/>
        <v>6958744.388066344</v>
      </c>
      <c r="Q39" s="209">
        <f t="shared" si="21"/>
        <v>2.5584446158441028E-2</v>
      </c>
      <c r="S39" s="195"/>
      <c r="T39" s="195"/>
      <c r="U39" s="195"/>
      <c r="V39" s="195"/>
      <c r="W39" s="195"/>
      <c r="X39" s="195"/>
      <c r="Y39" s="195"/>
      <c r="Z39" s="195"/>
    </row>
    <row r="40" spans="1:26">
      <c r="A40" s="214" t="s">
        <v>36</v>
      </c>
      <c r="B40" s="213">
        <v>752319</v>
      </c>
      <c r="C40" s="212">
        <v>94052</v>
      </c>
      <c r="D40" s="219">
        <f t="shared" si="11"/>
        <v>0.12501611683341773</v>
      </c>
      <c r="E40" s="218">
        <f t="shared" si="12"/>
        <v>8.3860070226282491E-3</v>
      </c>
      <c r="F40" s="212">
        <v>85535</v>
      </c>
      <c r="G40" s="217">
        <f t="shared" si="13"/>
        <v>9.9573274098322395E-2</v>
      </c>
      <c r="H40" s="216">
        <f t="shared" si="14"/>
        <v>9.9573274098322395E-2</v>
      </c>
      <c r="I40" s="209">
        <f t="shared" si="15"/>
        <v>3.1425507568261214E-2</v>
      </c>
      <c r="J40" s="215">
        <f t="shared" si="16"/>
        <v>4.5585011372218784E-5</v>
      </c>
      <c r="L40" s="214" t="s">
        <v>36</v>
      </c>
      <c r="M40" s="213">
        <f t="shared" si="17"/>
        <v>1140460.0855067945</v>
      </c>
      <c r="N40" s="212">
        <f t="shared" si="18"/>
        <v>2564238.5191202364</v>
      </c>
      <c r="O40" s="211">
        <f t="shared" si="19"/>
        <v>2479.7444517805984</v>
      </c>
      <c r="P40" s="210">
        <f t="shared" si="20"/>
        <v>3707178.3490788117</v>
      </c>
      <c r="Q40" s="209">
        <f t="shared" si="21"/>
        <v>1.3629772784066933E-2</v>
      </c>
      <c r="S40" s="195"/>
      <c r="T40" s="195"/>
      <c r="U40" s="195"/>
      <c r="V40" s="195"/>
      <c r="W40" s="195"/>
      <c r="X40" s="195"/>
      <c r="Y40" s="195"/>
      <c r="Z40" s="195"/>
    </row>
    <row r="41" spans="1:26">
      <c r="A41" s="214" t="s">
        <v>37</v>
      </c>
      <c r="B41" s="213">
        <v>4368244</v>
      </c>
      <c r="C41" s="212">
        <v>601205</v>
      </c>
      <c r="D41" s="219">
        <f t="shared" si="11"/>
        <v>0.13763081915753791</v>
      </c>
      <c r="E41" s="218">
        <f t="shared" si="12"/>
        <v>9.2321937780479226E-3</v>
      </c>
      <c r="F41" s="212">
        <v>684339</v>
      </c>
      <c r="G41" s="217">
        <f t="shared" si="13"/>
        <v>-0.12148072811866628</v>
      </c>
      <c r="H41" s="216">
        <f t="shared" si="14"/>
        <v>0</v>
      </c>
      <c r="I41" s="209">
        <f t="shared" si="15"/>
        <v>0</v>
      </c>
      <c r="J41" s="215">
        <f t="shared" si="16"/>
        <v>2.913913235447922E-4</v>
      </c>
      <c r="L41" s="214" t="s">
        <v>37</v>
      </c>
      <c r="M41" s="213">
        <f t="shared" si="17"/>
        <v>1255537.7639342789</v>
      </c>
      <c r="N41" s="212">
        <f t="shared" si="18"/>
        <v>0</v>
      </c>
      <c r="O41" s="211">
        <f t="shared" si="19"/>
        <v>15851.175553233901</v>
      </c>
      <c r="P41" s="210">
        <f t="shared" si="20"/>
        <v>1271388.9394875127</v>
      </c>
      <c r="Q41" s="209">
        <f t="shared" si="21"/>
        <v>4.6743751537329193E-3</v>
      </c>
      <c r="S41" s="195"/>
      <c r="T41" s="195"/>
      <c r="U41" s="195"/>
      <c r="V41" s="195"/>
      <c r="W41" s="195"/>
      <c r="X41" s="195"/>
      <c r="Y41" s="195"/>
      <c r="Z41" s="195"/>
    </row>
    <row r="42" spans="1:26">
      <c r="A42" s="214" t="s">
        <v>38</v>
      </c>
      <c r="B42" s="213">
        <v>54997682</v>
      </c>
      <c r="C42" s="212">
        <v>16720965.199999999</v>
      </c>
      <c r="D42" s="219">
        <f t="shared" si="11"/>
        <v>0.304030362588736</v>
      </c>
      <c r="E42" s="218">
        <f t="shared" si="12"/>
        <v>2.0394176529724251E-2</v>
      </c>
      <c r="F42" s="212">
        <v>16186491</v>
      </c>
      <c r="G42" s="217">
        <f t="shared" si="13"/>
        <v>3.3019769386706477E-2</v>
      </c>
      <c r="H42" s="216">
        <f t="shared" si="14"/>
        <v>3.3019769386706477E-2</v>
      </c>
      <c r="I42" s="209">
        <f t="shared" si="15"/>
        <v>1.0421099659126975E-2</v>
      </c>
      <c r="J42" s="215">
        <f t="shared" si="16"/>
        <v>8.1042975034712125E-3</v>
      </c>
      <c r="L42" s="214" t="s">
        <v>38</v>
      </c>
      <c r="M42" s="213">
        <f t="shared" si="17"/>
        <v>2773518.3438518615</v>
      </c>
      <c r="N42" s="212">
        <f t="shared" si="18"/>
        <v>850334.24200004747</v>
      </c>
      <c r="O42" s="211">
        <f t="shared" si="19"/>
        <v>440859.53178153007</v>
      </c>
      <c r="P42" s="210">
        <f t="shared" si="20"/>
        <v>4064712.1176334391</v>
      </c>
      <c r="Q42" s="209">
        <f t="shared" si="21"/>
        <v>1.494427766329446E-2</v>
      </c>
      <c r="S42" s="195"/>
      <c r="T42" s="195"/>
      <c r="U42" s="195"/>
      <c r="V42" s="195"/>
      <c r="W42" s="195"/>
      <c r="X42" s="195"/>
      <c r="Y42" s="195"/>
      <c r="Z42" s="195"/>
    </row>
    <row r="43" spans="1:26">
      <c r="A43" s="214" t="s">
        <v>39</v>
      </c>
      <c r="B43" s="213">
        <v>0</v>
      </c>
      <c r="C43" s="212">
        <v>0</v>
      </c>
      <c r="D43" s="219">
        <f t="shared" si="11"/>
        <v>0</v>
      </c>
      <c r="E43" s="218">
        <f t="shared" si="12"/>
        <v>0</v>
      </c>
      <c r="F43" s="212">
        <v>0</v>
      </c>
      <c r="G43" s="217">
        <f t="shared" si="13"/>
        <v>0</v>
      </c>
      <c r="H43" s="216">
        <f t="shared" si="14"/>
        <v>0</v>
      </c>
      <c r="I43" s="209">
        <f t="shared" si="15"/>
        <v>0</v>
      </c>
      <c r="J43" s="215">
        <f t="shared" si="16"/>
        <v>0</v>
      </c>
      <c r="L43" s="214" t="s">
        <v>39</v>
      </c>
      <c r="M43" s="213">
        <f t="shared" si="17"/>
        <v>0</v>
      </c>
      <c r="N43" s="212">
        <f t="shared" si="18"/>
        <v>0</v>
      </c>
      <c r="O43" s="211">
        <f t="shared" si="19"/>
        <v>0</v>
      </c>
      <c r="P43" s="210">
        <f t="shared" si="20"/>
        <v>0</v>
      </c>
      <c r="Q43" s="209">
        <f t="shared" si="21"/>
        <v>0</v>
      </c>
      <c r="S43" s="195"/>
      <c r="T43" s="195"/>
      <c r="U43" s="195"/>
      <c r="V43" s="195"/>
      <c r="W43" s="195"/>
      <c r="X43" s="195"/>
      <c r="Y43" s="195"/>
      <c r="Z43" s="195"/>
    </row>
    <row r="44" spans="1:26">
      <c r="A44" s="214" t="s">
        <v>40</v>
      </c>
      <c r="B44" s="213">
        <v>1283549</v>
      </c>
      <c r="C44" s="212">
        <v>476354</v>
      </c>
      <c r="D44" s="219">
        <f t="shared" si="11"/>
        <v>0.371122567194552</v>
      </c>
      <c r="E44" s="218">
        <f t="shared" si="12"/>
        <v>2.4894681850471723E-2</v>
      </c>
      <c r="F44" s="212">
        <v>507232</v>
      </c>
      <c r="G44" s="217">
        <f t="shared" si="13"/>
        <v>-6.0875496814081109E-2</v>
      </c>
      <c r="H44" s="216">
        <f t="shared" si="14"/>
        <v>0</v>
      </c>
      <c r="I44" s="209">
        <f t="shared" si="15"/>
        <v>0</v>
      </c>
      <c r="J44" s="215">
        <f t="shared" si="16"/>
        <v>2.3087868952496393E-4</v>
      </c>
      <c r="L44" s="214" t="s">
        <v>40</v>
      </c>
      <c r="M44" s="213">
        <f t="shared" si="17"/>
        <v>3385567.280738493</v>
      </c>
      <c r="N44" s="212">
        <f t="shared" si="18"/>
        <v>0</v>
      </c>
      <c r="O44" s="211">
        <f t="shared" si="19"/>
        <v>12559.394681489977</v>
      </c>
      <c r="P44" s="210">
        <f t="shared" si="20"/>
        <v>3398126.675419983</v>
      </c>
      <c r="Q44" s="209">
        <f t="shared" si="21"/>
        <v>1.2493516663140854E-2</v>
      </c>
      <c r="S44" s="195"/>
      <c r="T44" s="195"/>
      <c r="U44" s="195"/>
      <c r="V44" s="195"/>
      <c r="W44" s="195"/>
      <c r="X44" s="195"/>
      <c r="Y44" s="195"/>
      <c r="Z44" s="195"/>
    </row>
    <row r="45" spans="1:26">
      <c r="A45" s="214" t="s">
        <v>41</v>
      </c>
      <c r="B45" s="213">
        <v>73375379</v>
      </c>
      <c r="C45" s="212">
        <v>16886302</v>
      </c>
      <c r="D45" s="219">
        <f t="shared" si="11"/>
        <v>0.23013580618098067</v>
      </c>
      <c r="E45" s="218">
        <f t="shared" si="12"/>
        <v>1.5437373481720841E-2</v>
      </c>
      <c r="F45" s="212">
        <v>13914494.860000001</v>
      </c>
      <c r="G45" s="217">
        <f t="shared" si="13"/>
        <v>0.21357635831560451</v>
      </c>
      <c r="H45" s="216">
        <f t="shared" si="14"/>
        <v>0.21357635831560451</v>
      </c>
      <c r="I45" s="209">
        <f t="shared" si="15"/>
        <v>6.7405089622957146E-2</v>
      </c>
      <c r="J45" s="215">
        <f t="shared" si="16"/>
        <v>8.1844327468285714E-3</v>
      </c>
      <c r="L45" s="214" t="s">
        <v>41</v>
      </c>
      <c r="M45" s="213">
        <f t="shared" si="17"/>
        <v>2099414.9221980842</v>
      </c>
      <c r="N45" s="212">
        <f t="shared" si="18"/>
        <v>5500077.502980548</v>
      </c>
      <c r="O45" s="211">
        <f t="shared" si="19"/>
        <v>445218.7480924555</v>
      </c>
      <c r="P45" s="210">
        <f t="shared" si="20"/>
        <v>8044711.1732710879</v>
      </c>
      <c r="Q45" s="209">
        <f t="shared" si="21"/>
        <v>2.9577100177113281E-2</v>
      </c>
      <c r="S45" s="195"/>
      <c r="T45" s="195"/>
      <c r="U45" s="195"/>
      <c r="V45" s="195"/>
      <c r="W45" s="195"/>
      <c r="X45" s="195"/>
      <c r="Y45" s="195"/>
      <c r="Z45" s="195"/>
    </row>
    <row r="46" spans="1:26">
      <c r="A46" s="214" t="s">
        <v>42</v>
      </c>
      <c r="B46" s="213">
        <v>5999815</v>
      </c>
      <c r="C46" s="212">
        <v>704593</v>
      </c>
      <c r="D46" s="219">
        <f t="shared" si="11"/>
        <v>0.11743578760345111</v>
      </c>
      <c r="E46" s="218">
        <f t="shared" si="12"/>
        <v>7.8775230305919361E-3</v>
      </c>
      <c r="F46" s="212">
        <v>745242</v>
      </c>
      <c r="G46" s="217">
        <f t="shared" si="13"/>
        <v>-5.4544698232252053E-2</v>
      </c>
      <c r="H46" s="216">
        <f t="shared" si="14"/>
        <v>0</v>
      </c>
      <c r="I46" s="209">
        <f t="shared" si="15"/>
        <v>0</v>
      </c>
      <c r="J46" s="215">
        <f t="shared" si="16"/>
        <v>3.4150129628062934E-4</v>
      </c>
      <c r="L46" s="214" t="s">
        <v>42</v>
      </c>
      <c r="M46" s="213">
        <f t="shared" si="17"/>
        <v>1071308.498169485</v>
      </c>
      <c r="N46" s="212">
        <f t="shared" si="18"/>
        <v>0</v>
      </c>
      <c r="O46" s="211">
        <f t="shared" si="19"/>
        <v>18577.06994549236</v>
      </c>
      <c r="P46" s="210">
        <f t="shared" si="20"/>
        <v>1089885.5681149773</v>
      </c>
      <c r="Q46" s="209">
        <f t="shared" si="21"/>
        <v>4.0070617745520945E-3</v>
      </c>
      <c r="S46" s="195"/>
      <c r="T46" s="195"/>
      <c r="U46" s="195"/>
      <c r="V46" s="195"/>
      <c r="W46" s="195"/>
      <c r="X46" s="195"/>
      <c r="Y46" s="195"/>
      <c r="Z46" s="195"/>
    </row>
    <row r="47" spans="1:26">
      <c r="A47" s="214" t="s">
        <v>43</v>
      </c>
      <c r="B47" s="213">
        <v>1019262</v>
      </c>
      <c r="C47" s="212">
        <v>625255</v>
      </c>
      <c r="D47" s="219">
        <f t="shared" si="11"/>
        <v>0.61343893915401537</v>
      </c>
      <c r="E47" s="218">
        <f t="shared" si="12"/>
        <v>4.1149120465434945E-2</v>
      </c>
      <c r="F47" s="212">
        <v>536095</v>
      </c>
      <c r="G47" s="217">
        <f t="shared" si="13"/>
        <v>0.16631380632164072</v>
      </c>
      <c r="H47" s="216">
        <f t="shared" si="14"/>
        <v>0.16631380632164072</v>
      </c>
      <c r="I47" s="209">
        <f t="shared" si="15"/>
        <v>5.2488941702431235E-2</v>
      </c>
      <c r="J47" s="215">
        <f t="shared" si="16"/>
        <v>3.0304784890844064E-4</v>
      </c>
      <c r="L47" s="214" t="s">
        <v>43</v>
      </c>
      <c r="M47" s="213">
        <f t="shared" si="17"/>
        <v>5596099.4687828664</v>
      </c>
      <c r="N47" s="212">
        <f t="shared" si="18"/>
        <v>4282959.1804959932</v>
      </c>
      <c r="O47" s="211">
        <f t="shared" si="19"/>
        <v>16485.270033578003</v>
      </c>
      <c r="P47" s="210">
        <f t="shared" si="20"/>
        <v>9895543.919312438</v>
      </c>
      <c r="Q47" s="209">
        <f t="shared" si="21"/>
        <v>3.6381852313228533E-2</v>
      </c>
      <c r="S47" s="195"/>
      <c r="T47" s="195"/>
      <c r="U47" s="195"/>
      <c r="V47" s="195"/>
      <c r="W47" s="195"/>
      <c r="X47" s="195"/>
      <c r="Y47" s="195"/>
      <c r="Z47" s="195"/>
    </row>
    <row r="48" spans="1:26">
      <c r="A48" s="214" t="s">
        <v>44</v>
      </c>
      <c r="B48" s="213">
        <v>18416508</v>
      </c>
      <c r="C48" s="212">
        <v>6249012</v>
      </c>
      <c r="D48" s="219">
        <f t="shared" si="11"/>
        <v>0.33931579211433566</v>
      </c>
      <c r="E48" s="218">
        <f t="shared" si="12"/>
        <v>2.2761102229331611E-2</v>
      </c>
      <c r="F48" s="212">
        <v>6777223</v>
      </c>
      <c r="G48" s="217">
        <f t="shared" si="13"/>
        <v>-7.793915000288465E-2</v>
      </c>
      <c r="H48" s="216">
        <f t="shared" si="14"/>
        <v>0</v>
      </c>
      <c r="I48" s="209">
        <f t="shared" si="15"/>
        <v>0</v>
      </c>
      <c r="J48" s="215">
        <f t="shared" si="16"/>
        <v>3.0287636954571054E-3</v>
      </c>
      <c r="L48" s="214" t="s">
        <v>44</v>
      </c>
      <c r="M48" s="213">
        <f t="shared" si="17"/>
        <v>3095409.8326711054</v>
      </c>
      <c r="N48" s="212">
        <f t="shared" si="18"/>
        <v>0</v>
      </c>
      <c r="O48" s="211">
        <f t="shared" si="19"/>
        <v>164759.41857813107</v>
      </c>
      <c r="P48" s="210">
        <f t="shared" si="20"/>
        <v>3260169.2512492365</v>
      </c>
      <c r="Q48" s="209">
        <f t="shared" si="21"/>
        <v>1.1986303853757227E-2</v>
      </c>
      <c r="S48" s="195"/>
      <c r="T48" s="195"/>
      <c r="U48" s="195"/>
      <c r="V48" s="195"/>
      <c r="W48" s="195"/>
      <c r="X48" s="195"/>
      <c r="Y48" s="195"/>
      <c r="Z48" s="195"/>
    </row>
    <row r="49" spans="1:26">
      <c r="A49" s="214" t="s">
        <v>45</v>
      </c>
      <c r="B49" s="213">
        <v>345400602</v>
      </c>
      <c r="C49" s="212">
        <v>19718538</v>
      </c>
      <c r="D49" s="219">
        <f t="shared" si="11"/>
        <v>5.7088892971877331E-2</v>
      </c>
      <c r="E49" s="218">
        <f t="shared" si="12"/>
        <v>3.8294891051060299E-3</v>
      </c>
      <c r="F49" s="212">
        <v>21565896.16</v>
      </c>
      <c r="G49" s="217">
        <f t="shared" si="13"/>
        <v>-8.566108944855455E-2</v>
      </c>
      <c r="H49" s="216">
        <f t="shared" si="14"/>
        <v>0</v>
      </c>
      <c r="I49" s="209">
        <f t="shared" si="15"/>
        <v>0</v>
      </c>
      <c r="J49" s="215">
        <f t="shared" si="16"/>
        <v>9.5571575189632146E-3</v>
      </c>
      <c r="L49" s="214" t="s">
        <v>45</v>
      </c>
      <c r="M49" s="213">
        <f t="shared" si="17"/>
        <v>520793.68172145722</v>
      </c>
      <c r="N49" s="212">
        <f t="shared" si="18"/>
        <v>0</v>
      </c>
      <c r="O49" s="211">
        <f t="shared" si="19"/>
        <v>519892.56159066159</v>
      </c>
      <c r="P49" s="210">
        <f t="shared" si="20"/>
        <v>1040686.2433121188</v>
      </c>
      <c r="Q49" s="209">
        <f t="shared" si="21"/>
        <v>3.8261760563456583E-3</v>
      </c>
      <c r="S49" s="195"/>
      <c r="T49" s="195"/>
      <c r="U49" s="195"/>
      <c r="V49" s="195"/>
      <c r="W49" s="195"/>
      <c r="X49" s="195"/>
      <c r="Y49" s="195"/>
      <c r="Z49" s="195"/>
    </row>
    <row r="50" spans="1:26">
      <c r="A50" s="214" t="s">
        <v>46</v>
      </c>
      <c r="B50" s="213">
        <v>628178081</v>
      </c>
      <c r="C50" s="212">
        <v>290272983.67000002</v>
      </c>
      <c r="D50" s="219">
        <f t="shared" si="11"/>
        <v>0.46208709353231958</v>
      </c>
      <c r="E50" s="218">
        <f t="shared" si="12"/>
        <v>3.0996528364349855E-2</v>
      </c>
      <c r="F50" s="212">
        <v>273934217.07000005</v>
      </c>
      <c r="G50" s="217">
        <f t="shared" si="13"/>
        <v>5.9644854793093671E-2</v>
      </c>
      <c r="H50" s="216">
        <f t="shared" si="14"/>
        <v>5.9644854793093671E-2</v>
      </c>
      <c r="I50" s="209">
        <f t="shared" si="15"/>
        <v>1.882402534898454E-2</v>
      </c>
      <c r="J50" s="215">
        <f t="shared" si="16"/>
        <v>0.14068916409693391</v>
      </c>
      <c r="L50" s="214" t="s">
        <v>46</v>
      </c>
      <c r="M50" s="213">
        <f t="shared" si="17"/>
        <v>4215391.579500624</v>
      </c>
      <c r="N50" s="212">
        <f t="shared" si="18"/>
        <v>1535990.8119196901</v>
      </c>
      <c r="O50" s="211">
        <f t="shared" si="19"/>
        <v>7653243.1076158173</v>
      </c>
      <c r="P50" s="210">
        <f t="shared" si="20"/>
        <v>13404625.499036131</v>
      </c>
      <c r="Q50" s="209">
        <f t="shared" si="21"/>
        <v>4.9283304606257072E-2</v>
      </c>
      <c r="S50" s="195"/>
      <c r="T50" s="195"/>
      <c r="U50" s="195"/>
      <c r="V50" s="195"/>
      <c r="W50" s="195"/>
      <c r="X50" s="195"/>
      <c r="Y50" s="195"/>
      <c r="Z50" s="195"/>
    </row>
    <row r="51" spans="1:26">
      <c r="A51" s="214" t="s">
        <v>47</v>
      </c>
      <c r="B51" s="213">
        <v>1066601268</v>
      </c>
      <c r="C51" s="212">
        <v>691961660.51999998</v>
      </c>
      <c r="D51" s="219">
        <f t="shared" si="11"/>
        <v>0.64875383264592179</v>
      </c>
      <c r="E51" s="218">
        <f t="shared" si="12"/>
        <v>4.3518022590439458E-2</v>
      </c>
      <c r="F51" s="212">
        <v>648216317.71000004</v>
      </c>
      <c r="G51" s="217">
        <f t="shared" si="13"/>
        <v>6.7485716750455005E-2</v>
      </c>
      <c r="H51" s="216">
        <f t="shared" si="14"/>
        <v>6.7485716750455005E-2</v>
      </c>
      <c r="I51" s="209">
        <f t="shared" si="15"/>
        <v>2.1298615734949376E-2</v>
      </c>
      <c r="J51" s="215">
        <f t="shared" si="16"/>
        <v>0.33537915370160754</v>
      </c>
      <c r="L51" s="214" t="s">
        <v>47</v>
      </c>
      <c r="M51" s="213">
        <f t="shared" si="17"/>
        <v>5918259.7427666523</v>
      </c>
      <c r="N51" s="212">
        <f t="shared" si="18"/>
        <v>1737910.8596055496</v>
      </c>
      <c r="O51" s="211">
        <f t="shared" si="19"/>
        <v>18244036.155736826</v>
      </c>
      <c r="P51" s="210">
        <f t="shared" si="20"/>
        <v>25900206.758109029</v>
      </c>
      <c r="Q51" s="209">
        <f t="shared" si="21"/>
        <v>9.5224426756026062E-2</v>
      </c>
      <c r="S51" s="195"/>
      <c r="T51" s="195"/>
      <c r="U51" s="195"/>
      <c r="V51" s="195"/>
      <c r="W51" s="195"/>
      <c r="X51" s="195"/>
      <c r="Y51" s="195"/>
      <c r="Z51" s="195"/>
    </row>
    <row r="52" spans="1:26">
      <c r="A52" s="214" t="s">
        <v>48</v>
      </c>
      <c r="B52" s="213">
        <v>260271541</v>
      </c>
      <c r="C52" s="212">
        <v>108456329.03999999</v>
      </c>
      <c r="D52" s="219">
        <f t="shared" si="11"/>
        <v>0.41670452567843363</v>
      </c>
      <c r="E52" s="218">
        <f t="shared" si="12"/>
        <v>2.7952292610053421E-2</v>
      </c>
      <c r="F52" s="212">
        <v>121128581.79000001</v>
      </c>
      <c r="G52" s="217">
        <f t="shared" si="13"/>
        <v>-0.1046181880670396</v>
      </c>
      <c r="H52" s="216">
        <f t="shared" si="14"/>
        <v>0</v>
      </c>
      <c r="I52" s="209">
        <f t="shared" si="15"/>
        <v>0</v>
      </c>
      <c r="J52" s="215">
        <f t="shared" si="16"/>
        <v>5.2566484420081466E-2</v>
      </c>
      <c r="L52" s="214" t="s">
        <v>48</v>
      </c>
      <c r="M52" s="213">
        <f t="shared" si="17"/>
        <v>3801388.9010769599</v>
      </c>
      <c r="N52" s="212">
        <f t="shared" si="18"/>
        <v>0</v>
      </c>
      <c r="O52" s="211">
        <f t="shared" si="19"/>
        <v>2859524.3078023964</v>
      </c>
      <c r="P52" s="210">
        <f t="shared" si="20"/>
        <v>6660913.2088793563</v>
      </c>
      <c r="Q52" s="209">
        <f t="shared" si="21"/>
        <v>2.4489443189043003E-2</v>
      </c>
      <c r="S52" s="195"/>
      <c r="T52" s="195"/>
      <c r="U52" s="195"/>
      <c r="V52" s="195"/>
      <c r="W52" s="195"/>
      <c r="X52" s="195"/>
      <c r="Y52" s="195"/>
      <c r="Z52" s="195"/>
    </row>
    <row r="53" spans="1:26">
      <c r="A53" s="214" t="s">
        <v>49</v>
      </c>
      <c r="B53" s="213">
        <v>164659580</v>
      </c>
      <c r="C53" s="212">
        <v>65213950.950000003</v>
      </c>
      <c r="D53" s="219">
        <f t="shared" si="11"/>
        <v>0.39605318409047324</v>
      </c>
      <c r="E53" s="218">
        <f t="shared" si="12"/>
        <v>2.6567012855971045E-2</v>
      </c>
      <c r="F53" s="212">
        <v>61393149</v>
      </c>
      <c r="G53" s="217">
        <f t="shared" si="13"/>
        <v>6.2234988956178183E-2</v>
      </c>
      <c r="H53" s="216">
        <f t="shared" si="14"/>
        <v>6.2234988956178183E-2</v>
      </c>
      <c r="I53" s="209">
        <f t="shared" si="15"/>
        <v>1.9641476431937286E-2</v>
      </c>
      <c r="J53" s="215">
        <f t="shared" si="16"/>
        <v>3.1607820096149666E-2</v>
      </c>
      <c r="L53" s="214" t="s">
        <v>49</v>
      </c>
      <c r="M53" s="213">
        <f t="shared" si="17"/>
        <v>3612996.9449852658</v>
      </c>
      <c r="N53" s="212">
        <f t="shared" si="18"/>
        <v>1602692.6639057188</v>
      </c>
      <c r="O53" s="211">
        <f t="shared" si="19"/>
        <v>1719409.8269782101</v>
      </c>
      <c r="P53" s="210">
        <f t="shared" si="20"/>
        <v>6935099.4358691946</v>
      </c>
      <c r="Q53" s="209">
        <f t="shared" si="21"/>
        <v>2.5497513376796642E-2</v>
      </c>
      <c r="S53" s="195"/>
      <c r="T53" s="195"/>
      <c r="U53" s="195"/>
      <c r="V53" s="195"/>
      <c r="W53" s="195"/>
      <c r="X53" s="195"/>
      <c r="Y53" s="195"/>
      <c r="Z53" s="195"/>
    </row>
    <row r="54" spans="1:26">
      <c r="A54" s="214" t="s">
        <v>50</v>
      </c>
      <c r="B54" s="213">
        <v>4336101</v>
      </c>
      <c r="C54" s="212">
        <v>1227159</v>
      </c>
      <c r="D54" s="219">
        <f t="shared" si="11"/>
        <v>0.28300978229058776</v>
      </c>
      <c r="E54" s="218">
        <f t="shared" si="12"/>
        <v>1.8984128461802887E-2</v>
      </c>
      <c r="F54" s="212">
        <v>1339229</v>
      </c>
      <c r="G54" s="217">
        <f t="shared" si="13"/>
        <v>-8.3682477007293032E-2</v>
      </c>
      <c r="H54" s="216">
        <f t="shared" si="14"/>
        <v>0</v>
      </c>
      <c r="I54" s="209">
        <f t="shared" si="15"/>
        <v>0</v>
      </c>
      <c r="J54" s="215">
        <f t="shared" si="16"/>
        <v>5.9477796294093305E-4</v>
      </c>
      <c r="L54" s="214" t="s">
        <v>50</v>
      </c>
      <c r="M54" s="213">
        <f t="shared" si="17"/>
        <v>2581758.0059734066</v>
      </c>
      <c r="N54" s="212">
        <f t="shared" si="18"/>
        <v>0</v>
      </c>
      <c r="O54" s="211">
        <f t="shared" si="19"/>
        <v>32354.875193537911</v>
      </c>
      <c r="P54" s="210">
        <f t="shared" si="20"/>
        <v>2614112.8811669443</v>
      </c>
      <c r="Q54" s="209">
        <f t="shared" si="21"/>
        <v>9.6110198234896291E-3</v>
      </c>
      <c r="S54" s="195"/>
      <c r="T54" s="195"/>
      <c r="U54" s="195"/>
      <c r="V54" s="195"/>
      <c r="W54" s="195"/>
      <c r="X54" s="195"/>
      <c r="Y54" s="195"/>
      <c r="Z54" s="195"/>
    </row>
    <row r="55" spans="1:26">
      <c r="A55" s="214" t="s">
        <v>51</v>
      </c>
      <c r="B55" s="213">
        <v>2885796</v>
      </c>
      <c r="C55" s="212">
        <v>442199</v>
      </c>
      <c r="D55" s="219">
        <f t="shared" si="11"/>
        <v>0.15323293815640468</v>
      </c>
      <c r="E55" s="218">
        <f t="shared" si="12"/>
        <v>1.0278774673427358E-2</v>
      </c>
      <c r="F55" s="212">
        <v>482832</v>
      </c>
      <c r="G55" s="217">
        <f t="shared" si="13"/>
        <v>-8.4155565496901619E-2</v>
      </c>
      <c r="H55" s="216">
        <f t="shared" si="14"/>
        <v>0</v>
      </c>
      <c r="I55" s="209">
        <f t="shared" si="15"/>
        <v>0</v>
      </c>
      <c r="J55" s="215">
        <f t="shared" si="16"/>
        <v>2.1432448479334596E-4</v>
      </c>
      <c r="L55" s="214" t="s">
        <v>51</v>
      </c>
      <c r="M55" s="213">
        <f t="shared" si="17"/>
        <v>1397868.1643517266</v>
      </c>
      <c r="N55" s="212">
        <f t="shared" si="18"/>
        <v>0</v>
      </c>
      <c r="O55" s="211">
        <f t="shared" si="19"/>
        <v>11658.87505670192</v>
      </c>
      <c r="P55" s="210">
        <f t="shared" si="20"/>
        <v>1409527.0394084286</v>
      </c>
      <c r="Q55" s="209">
        <f t="shared" si="21"/>
        <v>5.182252233672348E-3</v>
      </c>
      <c r="S55" s="195"/>
      <c r="T55" s="195"/>
      <c r="U55" s="195"/>
      <c r="V55" s="195"/>
      <c r="W55" s="195"/>
      <c r="X55" s="195"/>
      <c r="Y55" s="195"/>
      <c r="Z55" s="195"/>
    </row>
    <row r="56" spans="1:26" ht="13.5" thickBot="1">
      <c r="A56" s="201" t="s">
        <v>52</v>
      </c>
      <c r="B56" s="208">
        <f>SUM(B5:B55)</f>
        <v>4960337803</v>
      </c>
      <c r="C56" s="207">
        <f>SUM(C5:C55)</f>
        <v>2063222036.5599999</v>
      </c>
      <c r="D56" s="206">
        <f>SUM(D5:D55)</f>
        <v>14.907704762956016</v>
      </c>
      <c r="E56" s="205">
        <f>SUM(E5:E55)</f>
        <v>1.0000000000000002</v>
      </c>
      <c r="F56" s="199">
        <f>SUM(F5:F55)</f>
        <v>1943712546.48</v>
      </c>
      <c r="G56" s="204"/>
      <c r="H56" s="203">
        <f>SUM(H5:H55)</f>
        <v>3.1685494301733508</v>
      </c>
      <c r="I56" s="196">
        <f>SUM(I5:I55)</f>
        <v>0.99999999999999989</v>
      </c>
      <c r="J56" s="202">
        <f>SUM(J5:J55)</f>
        <v>1</v>
      </c>
      <c r="L56" s="201" t="s">
        <v>52</v>
      </c>
      <c r="M56" s="200">
        <f>SUM(M5:M55)</f>
        <v>135995603.44147727</v>
      </c>
      <c r="N56" s="199">
        <f>SUM(N5:N55)</f>
        <v>81597362.064886361</v>
      </c>
      <c r="O56" s="198">
        <f>SUM(O5:O55)</f>
        <v>54398241.376590885</v>
      </c>
      <c r="P56" s="197">
        <f>SUM(P5:P55)</f>
        <v>271991206.88295448</v>
      </c>
      <c r="Q56" s="196">
        <f>SUM(Q5:Q55)</f>
        <v>0.99999999999999978</v>
      </c>
      <c r="S56" s="195"/>
      <c r="T56" s="195"/>
      <c r="U56" s="195"/>
      <c r="V56" s="195"/>
      <c r="W56" s="195"/>
      <c r="X56" s="195"/>
      <c r="Y56" s="195"/>
      <c r="Z56" s="195"/>
    </row>
    <row r="57" spans="1:26" ht="13.5" thickTop="1"/>
    <row r="59" spans="1:26">
      <c r="L59" s="311" t="s">
        <v>176</v>
      </c>
      <c r="M59" s="311"/>
      <c r="N59" s="311"/>
      <c r="O59" s="311"/>
      <c r="P59" s="311"/>
      <c r="Q59" s="311"/>
    </row>
    <row r="60" spans="1:26">
      <c r="L60" s="311"/>
      <c r="M60" s="311"/>
      <c r="N60" s="311"/>
      <c r="O60" s="311"/>
      <c r="P60" s="311"/>
      <c r="Q60" s="311"/>
    </row>
    <row r="61" spans="1:26">
      <c r="L61" s="311"/>
      <c r="M61" s="311"/>
      <c r="N61" s="311"/>
      <c r="O61" s="311"/>
      <c r="P61" s="311"/>
      <c r="Q61" s="311"/>
    </row>
    <row r="62" spans="1:26">
      <c r="L62" s="311"/>
      <c r="M62" s="311"/>
      <c r="N62" s="311"/>
      <c r="O62" s="311"/>
      <c r="P62" s="311"/>
      <c r="Q62" s="311"/>
    </row>
    <row r="63" spans="1:26">
      <c r="L63" s="311"/>
      <c r="M63" s="311"/>
      <c r="N63" s="311"/>
      <c r="O63" s="311"/>
      <c r="P63" s="311"/>
      <c r="Q63" s="311"/>
    </row>
  </sheetData>
  <mergeCells count="4">
    <mergeCell ref="B1:E1"/>
    <mergeCell ref="F1:I1"/>
    <mergeCell ref="L1:Q1"/>
    <mergeCell ref="L59:Q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5" orientation="landscape" r:id="rId1"/>
  <headerFooter>
    <oddHeader>&amp;LANEXO I</oddHeader>
  </headerFooter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85" zoomScaleNormal="85" workbookViewId="0">
      <selection activeCell="D24" sqref="D24"/>
    </sheetView>
  </sheetViews>
  <sheetFormatPr baseColWidth="10" defaultColWidth="11.42578125" defaultRowHeight="15"/>
  <cols>
    <col min="1" max="1" width="29.5703125" style="260" bestFit="1" customWidth="1"/>
    <col min="2" max="2" width="12.5703125" style="260" bestFit="1" customWidth="1"/>
    <col min="3" max="3" width="11.42578125" style="260"/>
    <col min="4" max="4" width="12.5703125" style="260" bestFit="1" customWidth="1"/>
    <col min="5" max="5" width="11.42578125" style="260"/>
    <col min="6" max="7" width="12.5703125" style="260" bestFit="1" customWidth="1"/>
    <col min="8" max="9" width="11.42578125" style="260"/>
    <col min="10" max="12" width="14.42578125" style="260" customWidth="1"/>
    <col min="13" max="13" width="11.42578125" style="260"/>
    <col min="14" max="14" width="19.85546875" style="260" customWidth="1"/>
    <col min="15" max="15" width="17.5703125" style="260" customWidth="1"/>
    <col min="16" max="16384" width="11.42578125" style="260"/>
  </cols>
  <sheetData>
    <row r="1" spans="1:15" ht="15" customHeight="1">
      <c r="A1" s="312" t="s">
        <v>145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5" ht="15" customHeight="1">
      <c r="A2" s="313" t="s">
        <v>171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5">
      <c r="A3" s="312" t="s">
        <v>221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5" ht="15.75" thickBot="1">
      <c r="A4" s="314" t="s">
        <v>222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5" ht="51.75" thickTop="1">
      <c r="A5" s="261" t="s">
        <v>0</v>
      </c>
      <c r="B5" s="262" t="s">
        <v>223</v>
      </c>
      <c r="C5" s="263" t="s">
        <v>224</v>
      </c>
      <c r="D5" s="263" t="s">
        <v>225</v>
      </c>
      <c r="E5" s="263" t="s">
        <v>226</v>
      </c>
      <c r="F5" s="263" t="s">
        <v>227</v>
      </c>
      <c r="G5" s="263" t="s">
        <v>228</v>
      </c>
      <c r="H5" s="263" t="s">
        <v>229</v>
      </c>
      <c r="I5" s="263" t="s">
        <v>230</v>
      </c>
      <c r="J5" s="263" t="s">
        <v>231</v>
      </c>
      <c r="K5" s="263" t="s">
        <v>232</v>
      </c>
      <c r="L5" s="263" t="s">
        <v>233</v>
      </c>
      <c r="M5" s="264" t="s">
        <v>234</v>
      </c>
      <c r="N5" s="263" t="s">
        <v>235</v>
      </c>
      <c r="O5" s="265" t="s">
        <v>236</v>
      </c>
    </row>
    <row r="6" spans="1:15">
      <c r="A6" s="266" t="s">
        <v>1</v>
      </c>
      <c r="B6" s="267">
        <f>[7]ISR_ENERO!B6</f>
        <v>0</v>
      </c>
      <c r="C6" s="268">
        <f>[7]ISR_FEBRERO!D6</f>
        <v>0</v>
      </c>
      <c r="D6" s="268">
        <f>[7]ISR_MARZO!B6</f>
        <v>0</v>
      </c>
      <c r="E6" s="268">
        <f>[7]ISR_ABRIL!B6</f>
        <v>0</v>
      </c>
      <c r="F6" s="268">
        <f>'[7]ISR MAYO'!D7</f>
        <v>0</v>
      </c>
      <c r="G6" s="268">
        <f>[7]ISR_JUNIO!B6</f>
        <v>0</v>
      </c>
      <c r="H6" s="268">
        <f>[7]ISR_JULIO!B6</f>
        <v>0</v>
      </c>
      <c r="I6" s="268">
        <f>[7]ISR_AGOSTO!B6</f>
        <v>0</v>
      </c>
      <c r="J6" s="268">
        <f>[7]ISR_SEPTIEMBRE!B6</f>
        <v>0</v>
      </c>
      <c r="K6" s="268">
        <f>[7]ISR_OCTUBRE!D6</f>
        <v>148292</v>
      </c>
      <c r="L6" s="268">
        <f>[7]ISR_NOVIEMBRE!D6</f>
        <v>215346</v>
      </c>
      <c r="M6" s="269">
        <f>[7]ISR_DICIEMBRE!C6</f>
        <v>108445</v>
      </c>
      <c r="N6" s="270">
        <f>SUM(B6:M6)</f>
        <v>472083</v>
      </c>
      <c r="O6" s="271">
        <f>N6/$N$57</f>
        <v>4.0076123573055467E-4</v>
      </c>
    </row>
    <row r="7" spans="1:15">
      <c r="A7" s="266" t="s">
        <v>2</v>
      </c>
      <c r="B7" s="267">
        <f>[7]ISR_ENERO!B7</f>
        <v>0</v>
      </c>
      <c r="C7" s="268">
        <f>[7]ISR_FEBRERO!D7</f>
        <v>0</v>
      </c>
      <c r="D7" s="268">
        <f>[7]ISR_MARZO!B7</f>
        <v>0</v>
      </c>
      <c r="E7" s="268">
        <f>[7]ISR_ABRIL!B7</f>
        <v>0</v>
      </c>
      <c r="F7" s="268">
        <f>'[7]ISR MAYO'!D8</f>
        <v>0</v>
      </c>
      <c r="G7" s="268">
        <f>[7]ISR_JUNIO!B7</f>
        <v>15747</v>
      </c>
      <c r="H7" s="268">
        <f>[7]ISR_JULIO!B7</f>
        <v>19187</v>
      </c>
      <c r="I7" s="268">
        <f>[7]ISR_AGOSTO!B7</f>
        <v>0</v>
      </c>
      <c r="J7" s="268">
        <f>[7]ISR_SEPTIEMBRE!B7</f>
        <v>0</v>
      </c>
      <c r="K7" s="268">
        <f>[7]ISR_OCTUBRE!D7</f>
        <v>-5806</v>
      </c>
      <c r="L7" s="268">
        <f>[7]ISR_NOVIEMBRE!D7</f>
        <v>15853</v>
      </c>
      <c r="M7" s="269">
        <f>[7]ISR_DICIEMBRE!C7</f>
        <v>0</v>
      </c>
      <c r="N7" s="270">
        <f t="shared" ref="N7:N56" si="0">SUM(B7:M7)</f>
        <v>44981</v>
      </c>
      <c r="O7" s="271">
        <f t="shared" ref="O7:O56" si="1">N7/$N$57</f>
        <v>3.8185321531163125E-5</v>
      </c>
    </row>
    <row r="8" spans="1:15">
      <c r="A8" s="266" t="s">
        <v>3</v>
      </c>
      <c r="B8" s="267">
        <f>[7]ISR_ENERO!B8</f>
        <v>0</v>
      </c>
      <c r="C8" s="268">
        <f>[7]ISR_FEBRERO!D8</f>
        <v>24907</v>
      </c>
      <c r="D8" s="268">
        <f>[7]ISR_MARZO!B8</f>
        <v>0</v>
      </c>
      <c r="E8" s="268">
        <f>[7]ISR_ABRIL!B8</f>
        <v>0</v>
      </c>
      <c r="F8" s="268">
        <f>'[7]ISR MAYO'!D9</f>
        <v>73593</v>
      </c>
      <c r="G8" s="268">
        <f>[7]ISR_JUNIO!B8</f>
        <v>19182</v>
      </c>
      <c r="H8" s="268">
        <f>[7]ISR_JULIO!B8</f>
        <v>0</v>
      </c>
      <c r="I8" s="268">
        <f>[7]ISR_AGOSTO!B8</f>
        <v>0</v>
      </c>
      <c r="J8" s="268">
        <f>[7]ISR_SEPTIEMBRE!B8</f>
        <v>135089</v>
      </c>
      <c r="K8" s="268">
        <f>[7]ISR_OCTUBRE!D8</f>
        <v>0</v>
      </c>
      <c r="L8" s="268">
        <f>[7]ISR_NOVIEMBRE!D8</f>
        <v>47592</v>
      </c>
      <c r="M8" s="269">
        <f>[7]ISR_DICIEMBRE!C8</f>
        <v>0</v>
      </c>
      <c r="N8" s="270">
        <f t="shared" si="0"/>
        <v>300363</v>
      </c>
      <c r="O8" s="271">
        <f t="shared" si="1"/>
        <v>2.5498449858973231E-4</v>
      </c>
    </row>
    <row r="9" spans="1:15">
      <c r="A9" s="266" t="s">
        <v>4</v>
      </c>
      <c r="B9" s="267">
        <f>[7]ISR_ENERO!B9</f>
        <v>0</v>
      </c>
      <c r="C9" s="268">
        <f>[7]ISR_FEBRERO!D9</f>
        <v>-29866</v>
      </c>
      <c r="D9" s="268">
        <f>[7]ISR_MARZO!B9</f>
        <v>7997130</v>
      </c>
      <c r="E9" s="268">
        <f>[7]ISR_ABRIL!B9</f>
        <v>1020416</v>
      </c>
      <c r="F9" s="268">
        <f>'[7]ISR MAYO'!D10</f>
        <v>0</v>
      </c>
      <c r="G9" s="268">
        <f>[7]ISR_JUNIO!B9</f>
        <v>1292669</v>
      </c>
      <c r="H9" s="268">
        <f>[7]ISR_JULIO!B9</f>
        <v>1812468</v>
      </c>
      <c r="I9" s="268">
        <f>[7]ISR_AGOSTO!B9</f>
        <v>1385950</v>
      </c>
      <c r="J9" s="268">
        <f>[7]ISR_SEPTIEMBRE!B9</f>
        <v>0</v>
      </c>
      <c r="K9" s="268">
        <f>[7]ISR_OCTUBRE!D9</f>
        <v>636434</v>
      </c>
      <c r="L9" s="268">
        <f>[7]ISR_NOVIEMBRE!D9</f>
        <v>1821391</v>
      </c>
      <c r="M9" s="269">
        <f>[7]ISR_DICIEMBRE!C9</f>
        <v>715642</v>
      </c>
      <c r="N9" s="270">
        <f t="shared" si="0"/>
        <v>16652234</v>
      </c>
      <c r="O9" s="271">
        <f t="shared" si="1"/>
        <v>1.413643337191629E-2</v>
      </c>
    </row>
    <row r="10" spans="1:15">
      <c r="A10" s="266" t="s">
        <v>5</v>
      </c>
      <c r="B10" s="267">
        <f>[7]ISR_ENERO!B10</f>
        <v>0</v>
      </c>
      <c r="C10" s="268">
        <f>[7]ISR_FEBRERO!D10</f>
        <v>270952</v>
      </c>
      <c r="D10" s="268">
        <f>[7]ISR_MARZO!B10</f>
        <v>231446</v>
      </c>
      <c r="E10" s="268">
        <f>[7]ISR_ABRIL!B10</f>
        <v>229281</v>
      </c>
      <c r="F10" s="268">
        <f>'[7]ISR MAYO'!D11</f>
        <v>0</v>
      </c>
      <c r="G10" s="268">
        <f>[7]ISR_JUNIO!B10</f>
        <v>-91283</v>
      </c>
      <c r="H10" s="268">
        <f>[7]ISR_JULIO!B10</f>
        <v>658034</v>
      </c>
      <c r="I10" s="268">
        <f>[7]ISR_AGOSTO!B10</f>
        <v>22016</v>
      </c>
      <c r="J10" s="268">
        <f>[7]ISR_SEPTIEMBRE!B10</f>
        <v>65339</v>
      </c>
      <c r="K10" s="268">
        <f>[7]ISR_OCTUBRE!D10</f>
        <v>440708</v>
      </c>
      <c r="L10" s="268">
        <f>[7]ISR_NOVIEMBRE!D10</f>
        <v>2184567</v>
      </c>
      <c r="M10" s="269">
        <f>[7]ISR_DICIEMBRE!C10</f>
        <v>570954</v>
      </c>
      <c r="N10" s="270">
        <f t="shared" si="0"/>
        <v>4582014</v>
      </c>
      <c r="O10" s="271">
        <f t="shared" si="1"/>
        <v>3.8897685211598423E-3</v>
      </c>
    </row>
    <row r="11" spans="1:15">
      <c r="A11" s="266" t="s">
        <v>6</v>
      </c>
      <c r="B11" s="267">
        <f>[7]ISR_ENERO!B11</f>
        <v>2228201</v>
      </c>
      <c r="C11" s="268">
        <f>[7]ISR_FEBRERO!D11</f>
        <v>7856526</v>
      </c>
      <c r="D11" s="268">
        <f>[7]ISR_MARZO!B11</f>
        <v>2550200</v>
      </c>
      <c r="E11" s="268">
        <f>[7]ISR_ABRIL!B11</f>
        <v>7215226</v>
      </c>
      <c r="F11" s="268">
        <f>'[7]ISR MAYO'!D12</f>
        <v>2536989</v>
      </c>
      <c r="G11" s="268">
        <f>[7]ISR_JUNIO!B11</f>
        <v>388534</v>
      </c>
      <c r="H11" s="268">
        <f>[7]ISR_JULIO!B11</f>
        <v>3524150</v>
      </c>
      <c r="I11" s="268">
        <f>[7]ISR_AGOSTO!B11</f>
        <v>3344489</v>
      </c>
      <c r="J11" s="268">
        <f>[7]ISR_SEPTIEMBRE!B11</f>
        <v>3786800</v>
      </c>
      <c r="K11" s="268">
        <f>[7]ISR_OCTUBRE!D11</f>
        <v>3203339</v>
      </c>
      <c r="L11" s="268">
        <f>[7]ISR_NOVIEMBRE!D11</f>
        <v>115484</v>
      </c>
      <c r="M11" s="269">
        <f>[7]ISR_DICIEMBRE!C11</f>
        <v>0</v>
      </c>
      <c r="N11" s="270">
        <f t="shared" si="0"/>
        <v>36749938</v>
      </c>
      <c r="O11" s="271">
        <f t="shared" si="1"/>
        <v>3.1197799043603074E-2</v>
      </c>
    </row>
    <row r="12" spans="1:15">
      <c r="A12" s="266" t="s">
        <v>7</v>
      </c>
      <c r="B12" s="267">
        <f>[7]ISR_ENERO!B12</f>
        <v>0</v>
      </c>
      <c r="C12" s="268">
        <f>[7]ISR_FEBRERO!D12</f>
        <v>0</v>
      </c>
      <c r="D12" s="268">
        <f>[7]ISR_MARZO!B12</f>
        <v>0</v>
      </c>
      <c r="E12" s="268">
        <f>[7]ISR_ABRIL!B12</f>
        <v>1239755</v>
      </c>
      <c r="F12" s="268">
        <f>'[7]ISR MAYO'!D13</f>
        <v>0</v>
      </c>
      <c r="G12" s="268">
        <f>[7]ISR_JUNIO!B12</f>
        <v>-21478</v>
      </c>
      <c r="H12" s="268">
        <f>[7]ISR_JULIO!B12</f>
        <v>0</v>
      </c>
      <c r="I12" s="268">
        <f>[7]ISR_AGOSTO!B12</f>
        <v>0</v>
      </c>
      <c r="J12" s="268">
        <f>[7]ISR_SEPTIEMBRE!B12</f>
        <v>183853</v>
      </c>
      <c r="K12" s="268">
        <f>[7]ISR_OCTUBRE!D12</f>
        <v>41453</v>
      </c>
      <c r="L12" s="268">
        <f>[7]ISR_NOVIEMBRE!D12</f>
        <v>959875</v>
      </c>
      <c r="M12" s="269">
        <f>[7]ISR_DICIEMBRE!C12</f>
        <v>0</v>
      </c>
      <c r="N12" s="270">
        <f t="shared" si="0"/>
        <v>2403458</v>
      </c>
      <c r="O12" s="271">
        <f t="shared" si="1"/>
        <v>2.0403462910261278E-3</v>
      </c>
    </row>
    <row r="13" spans="1:15">
      <c r="A13" s="266" t="s">
        <v>8</v>
      </c>
      <c r="B13" s="267">
        <f>[7]ISR_ENERO!B13</f>
        <v>0</v>
      </c>
      <c r="C13" s="268">
        <f>[7]ISR_FEBRERO!D13</f>
        <v>0</v>
      </c>
      <c r="D13" s="268">
        <f>[7]ISR_MARZO!B13</f>
        <v>0</v>
      </c>
      <c r="E13" s="268">
        <f>[7]ISR_ABRIL!B13</f>
        <v>0</v>
      </c>
      <c r="F13" s="268">
        <f>'[7]ISR MAYO'!D14</f>
        <v>139404</v>
      </c>
      <c r="G13" s="268">
        <f>[7]ISR_JUNIO!B13</f>
        <v>-1510</v>
      </c>
      <c r="H13" s="268">
        <f>[7]ISR_JULIO!B13</f>
        <v>0</v>
      </c>
      <c r="I13" s="268">
        <f>[7]ISR_AGOSTO!B13</f>
        <v>0</v>
      </c>
      <c r="J13" s="268">
        <f>[7]ISR_SEPTIEMBRE!B13</f>
        <v>0</v>
      </c>
      <c r="K13" s="268">
        <f>[7]ISR_OCTUBRE!D13</f>
        <v>0</v>
      </c>
      <c r="L13" s="268">
        <f>[7]ISR_NOVIEMBRE!D13</f>
        <v>0</v>
      </c>
      <c r="M13" s="269">
        <f>[7]ISR_DICIEMBRE!C13</f>
        <v>0</v>
      </c>
      <c r="N13" s="270">
        <f t="shared" si="0"/>
        <v>137894</v>
      </c>
      <c r="O13" s="271">
        <f t="shared" si="1"/>
        <v>1.170611308601011E-4</v>
      </c>
    </row>
    <row r="14" spans="1:15">
      <c r="A14" s="266" t="s">
        <v>9</v>
      </c>
      <c r="B14" s="267">
        <f>[7]ISR_ENERO!B14</f>
        <v>0</v>
      </c>
      <c r="C14" s="268">
        <f>[7]ISR_FEBRERO!D14</f>
        <v>4006508</v>
      </c>
      <c r="D14" s="268">
        <f>[7]ISR_MARZO!B14</f>
        <v>633808</v>
      </c>
      <c r="E14" s="268">
        <f>[7]ISR_ABRIL!B14</f>
        <v>1609892</v>
      </c>
      <c r="F14" s="268">
        <f>'[7]ISR MAYO'!D15</f>
        <v>5371095</v>
      </c>
      <c r="G14" s="268">
        <f>[7]ISR_JUNIO!B14</f>
        <v>1406093</v>
      </c>
      <c r="H14" s="268">
        <f>[7]ISR_JULIO!B14</f>
        <v>3397395</v>
      </c>
      <c r="I14" s="268">
        <f>[7]ISR_AGOSTO!B14</f>
        <v>1548562</v>
      </c>
      <c r="J14" s="268">
        <f>[7]ISR_SEPTIEMBRE!B14</f>
        <v>0</v>
      </c>
      <c r="K14" s="268">
        <f>[7]ISR_OCTUBRE!D14</f>
        <v>25784575</v>
      </c>
      <c r="L14" s="268">
        <f>[7]ISR_NOVIEMBRE!D14</f>
        <v>44807655</v>
      </c>
      <c r="M14" s="269">
        <f>[7]ISR_DICIEMBRE!C14</f>
        <v>949616</v>
      </c>
      <c r="N14" s="270">
        <f t="shared" si="0"/>
        <v>89515199</v>
      </c>
      <c r="O14" s="271">
        <f t="shared" si="1"/>
        <v>7.5991344250706999E-2</v>
      </c>
    </row>
    <row r="15" spans="1:15">
      <c r="A15" s="266" t="s">
        <v>10</v>
      </c>
      <c r="B15" s="267">
        <f>[7]ISR_ENERO!B15</f>
        <v>0</v>
      </c>
      <c r="C15" s="268">
        <f>[7]ISR_FEBRERO!D15</f>
        <v>640108</v>
      </c>
      <c r="D15" s="268">
        <f>[7]ISR_MARZO!B15</f>
        <v>0</v>
      </c>
      <c r="E15" s="268">
        <f>[7]ISR_ABRIL!B15</f>
        <v>0</v>
      </c>
      <c r="F15" s="268">
        <f>'[7]ISR MAYO'!D16</f>
        <v>0</v>
      </c>
      <c r="G15" s="268">
        <f>[7]ISR_JUNIO!B15</f>
        <v>863226</v>
      </c>
      <c r="H15" s="268">
        <f>[7]ISR_JULIO!B15</f>
        <v>386</v>
      </c>
      <c r="I15" s="268">
        <f>[7]ISR_AGOSTO!B15</f>
        <v>0</v>
      </c>
      <c r="J15" s="268">
        <f>[7]ISR_SEPTIEMBRE!B15</f>
        <v>4225094</v>
      </c>
      <c r="K15" s="268">
        <f>[7]ISR_OCTUBRE!D15</f>
        <v>1405491</v>
      </c>
      <c r="L15" s="268">
        <f>[7]ISR_NOVIEMBRE!D15</f>
        <v>2363608</v>
      </c>
      <c r="M15" s="269">
        <f>[7]ISR_DICIEMBRE!C15</f>
        <v>0</v>
      </c>
      <c r="N15" s="270">
        <f t="shared" si="0"/>
        <v>9497913</v>
      </c>
      <c r="O15" s="271">
        <f t="shared" si="1"/>
        <v>8.062979075165384E-3</v>
      </c>
    </row>
    <row r="16" spans="1:15">
      <c r="A16" s="266" t="s">
        <v>11</v>
      </c>
      <c r="B16" s="267">
        <f>[7]ISR_ENERO!B16</f>
        <v>0</v>
      </c>
      <c r="C16" s="268">
        <f>[7]ISR_FEBRERO!D16</f>
        <v>0</v>
      </c>
      <c r="D16" s="268">
        <f>[7]ISR_MARZO!B16</f>
        <v>702393</v>
      </c>
      <c r="E16" s="268">
        <f>[7]ISR_ABRIL!B16</f>
        <v>0</v>
      </c>
      <c r="F16" s="268">
        <f>'[7]ISR MAYO'!D17</f>
        <v>0</v>
      </c>
      <c r="G16" s="268">
        <f>[7]ISR_JUNIO!B16</f>
        <v>0</v>
      </c>
      <c r="H16" s="268">
        <f>[7]ISR_JULIO!B16</f>
        <v>0</v>
      </c>
      <c r="I16" s="268">
        <f>[7]ISR_AGOSTO!B16</f>
        <v>0</v>
      </c>
      <c r="J16" s="268">
        <f>[7]ISR_SEPTIEMBRE!B16</f>
        <v>1809585</v>
      </c>
      <c r="K16" s="268">
        <f>[7]ISR_OCTUBRE!D16</f>
        <v>1654756</v>
      </c>
      <c r="L16" s="268">
        <f>[7]ISR_NOVIEMBRE!D16</f>
        <v>1568357</v>
      </c>
      <c r="M16" s="269">
        <f>[7]ISR_DICIEMBRE!C16</f>
        <v>0</v>
      </c>
      <c r="N16" s="270">
        <f t="shared" si="0"/>
        <v>5735091</v>
      </c>
      <c r="O16" s="271">
        <f t="shared" si="1"/>
        <v>4.8686399556586079E-3</v>
      </c>
    </row>
    <row r="17" spans="1:15">
      <c r="A17" s="266" t="s">
        <v>12</v>
      </c>
      <c r="B17" s="267">
        <f>[7]ISR_ENERO!B17</f>
        <v>0</v>
      </c>
      <c r="C17" s="268">
        <f>[7]ISR_FEBRERO!D17</f>
        <v>0</v>
      </c>
      <c r="D17" s="268">
        <f>[7]ISR_MARZO!B17</f>
        <v>0</v>
      </c>
      <c r="E17" s="268">
        <f>[7]ISR_ABRIL!B17</f>
        <v>0</v>
      </c>
      <c r="F17" s="268">
        <f>'[7]ISR MAYO'!D18</f>
        <v>0</v>
      </c>
      <c r="G17" s="268">
        <f>[7]ISR_JUNIO!B17</f>
        <v>0</v>
      </c>
      <c r="H17" s="268">
        <f>[7]ISR_JULIO!B17</f>
        <v>0</v>
      </c>
      <c r="I17" s="268">
        <f>[7]ISR_AGOSTO!B17</f>
        <v>0</v>
      </c>
      <c r="J17" s="268">
        <f>[7]ISR_SEPTIEMBRE!B17</f>
        <v>0</v>
      </c>
      <c r="K17" s="268">
        <f>[7]ISR_OCTUBRE!D17</f>
        <v>0</v>
      </c>
      <c r="L17" s="268">
        <f>[7]ISR_NOVIEMBRE!D17</f>
        <v>199742</v>
      </c>
      <c r="M17" s="269">
        <f>[7]ISR_DICIEMBRE!C17</f>
        <v>0</v>
      </c>
      <c r="N17" s="270">
        <f t="shared" si="0"/>
        <v>199742</v>
      </c>
      <c r="O17" s="271">
        <f t="shared" si="1"/>
        <v>1.695652051594581E-4</v>
      </c>
    </row>
    <row r="18" spans="1:15">
      <c r="A18" s="266" t="s">
        <v>13</v>
      </c>
      <c r="B18" s="267">
        <f>[7]ISR_ENERO!B18</f>
        <v>0</v>
      </c>
      <c r="C18" s="268">
        <f>[7]ISR_FEBRERO!D18</f>
        <v>0</v>
      </c>
      <c r="D18" s="268">
        <f>[7]ISR_MARZO!B18</f>
        <v>0</v>
      </c>
      <c r="E18" s="268">
        <f>[7]ISR_ABRIL!B18</f>
        <v>0</v>
      </c>
      <c r="F18" s="268">
        <f>'[7]ISR MAYO'!D19</f>
        <v>0</v>
      </c>
      <c r="G18" s="268">
        <f>[7]ISR_JUNIO!B18</f>
        <v>0</v>
      </c>
      <c r="H18" s="268">
        <f>[7]ISR_JULIO!B18</f>
        <v>0</v>
      </c>
      <c r="I18" s="268">
        <f>[7]ISR_AGOSTO!B18</f>
        <v>0</v>
      </c>
      <c r="J18" s="268">
        <f>[7]ISR_SEPTIEMBRE!B18</f>
        <v>0</v>
      </c>
      <c r="K18" s="268">
        <f>[7]ISR_OCTUBRE!D18</f>
        <v>0</v>
      </c>
      <c r="L18" s="268">
        <f>[7]ISR_NOVIEMBRE!D18</f>
        <v>0</v>
      </c>
      <c r="M18" s="269">
        <f>[7]ISR_DICIEMBRE!C18</f>
        <v>0</v>
      </c>
      <c r="N18" s="270">
        <f t="shared" si="0"/>
        <v>0</v>
      </c>
      <c r="O18" s="271">
        <f t="shared" si="1"/>
        <v>0</v>
      </c>
    </row>
    <row r="19" spans="1:15">
      <c r="A19" s="266" t="s">
        <v>14</v>
      </c>
      <c r="B19" s="267">
        <f>[7]ISR_ENERO!B19</f>
        <v>0</v>
      </c>
      <c r="C19" s="268">
        <f>[7]ISR_FEBRERO!D19</f>
        <v>0</v>
      </c>
      <c r="D19" s="268">
        <f>[7]ISR_MARZO!B19</f>
        <v>0</v>
      </c>
      <c r="E19" s="268">
        <f>[7]ISR_ABRIL!B19</f>
        <v>0</v>
      </c>
      <c r="F19" s="268">
        <f>'[7]ISR MAYO'!D20</f>
        <v>0</v>
      </c>
      <c r="G19" s="268">
        <f>[7]ISR_JUNIO!B19</f>
        <v>0</v>
      </c>
      <c r="H19" s="268">
        <f>[7]ISR_JULIO!B19</f>
        <v>0</v>
      </c>
      <c r="I19" s="268">
        <f>[7]ISR_AGOSTO!B19</f>
        <v>0</v>
      </c>
      <c r="J19" s="268">
        <f>[7]ISR_SEPTIEMBRE!B19</f>
        <v>0</v>
      </c>
      <c r="K19" s="268">
        <f>[7]ISR_OCTUBRE!D19</f>
        <v>0</v>
      </c>
      <c r="L19" s="268">
        <f>[7]ISR_NOVIEMBRE!D19</f>
        <v>0</v>
      </c>
      <c r="M19" s="269">
        <f>[7]ISR_DICIEMBRE!C19</f>
        <v>0</v>
      </c>
      <c r="N19" s="270">
        <f t="shared" si="0"/>
        <v>0</v>
      </c>
      <c r="O19" s="271">
        <f t="shared" si="1"/>
        <v>0</v>
      </c>
    </row>
    <row r="20" spans="1:15">
      <c r="A20" s="266" t="s">
        <v>15</v>
      </c>
      <c r="B20" s="267">
        <f>[7]ISR_ENERO!B20</f>
        <v>0</v>
      </c>
      <c r="C20" s="268">
        <f>[7]ISR_FEBRERO!D20</f>
        <v>0</v>
      </c>
      <c r="D20" s="268">
        <f>[7]ISR_MARZO!B20</f>
        <v>0</v>
      </c>
      <c r="E20" s="268">
        <f>[7]ISR_ABRIL!B20</f>
        <v>0</v>
      </c>
      <c r="F20" s="268">
        <f>'[7]ISR MAYO'!D21</f>
        <v>27124</v>
      </c>
      <c r="G20" s="268">
        <f>[7]ISR_JUNIO!B20</f>
        <v>0</v>
      </c>
      <c r="H20" s="268">
        <f>[7]ISR_JULIO!B20</f>
        <v>128508</v>
      </c>
      <c r="I20" s="268">
        <f>[7]ISR_AGOSTO!B20</f>
        <v>0</v>
      </c>
      <c r="J20" s="268">
        <f>[7]ISR_SEPTIEMBRE!B20</f>
        <v>11096</v>
      </c>
      <c r="K20" s="268">
        <f>[7]ISR_OCTUBRE!D20</f>
        <v>0</v>
      </c>
      <c r="L20" s="268">
        <f>[7]ISR_NOVIEMBRE!D20</f>
        <v>24632</v>
      </c>
      <c r="M20" s="269">
        <f>[7]ISR_DICIEMBRE!C20</f>
        <v>0</v>
      </c>
      <c r="N20" s="270">
        <f t="shared" si="0"/>
        <v>191360</v>
      </c>
      <c r="O20" s="271">
        <f t="shared" si="1"/>
        <v>1.6244954821376527E-4</v>
      </c>
    </row>
    <row r="21" spans="1:15">
      <c r="A21" s="266" t="s">
        <v>16</v>
      </c>
      <c r="B21" s="267">
        <f>[7]ISR_ENERO!B21</f>
        <v>0</v>
      </c>
      <c r="C21" s="268">
        <f>[7]ISR_FEBRERO!D21</f>
        <v>0</v>
      </c>
      <c r="D21" s="268">
        <f>[7]ISR_MARZO!B21</f>
        <v>0</v>
      </c>
      <c r="E21" s="268">
        <f>[7]ISR_ABRIL!B21</f>
        <v>0</v>
      </c>
      <c r="F21" s="268">
        <f>'[7]ISR MAYO'!D22</f>
        <v>272827</v>
      </c>
      <c r="G21" s="268">
        <f>[7]ISR_JUNIO!B21</f>
        <v>181793</v>
      </c>
      <c r="H21" s="268">
        <f>[7]ISR_JULIO!B21</f>
        <v>408624</v>
      </c>
      <c r="I21" s="268">
        <f>[7]ISR_AGOSTO!B21</f>
        <v>90106</v>
      </c>
      <c r="J21" s="268">
        <f>[7]ISR_SEPTIEMBRE!B21</f>
        <v>90767</v>
      </c>
      <c r="K21" s="268">
        <f>[7]ISR_OCTUBRE!D21</f>
        <v>91450</v>
      </c>
      <c r="L21" s="268">
        <f>[7]ISR_NOVIEMBRE!D21</f>
        <v>237016</v>
      </c>
      <c r="M21" s="269">
        <f>[7]ISR_DICIEMBRE!C21</f>
        <v>51023</v>
      </c>
      <c r="N21" s="270">
        <f t="shared" si="0"/>
        <v>1423606</v>
      </c>
      <c r="O21" s="271">
        <f t="shared" si="1"/>
        <v>1.2085292199749452E-3</v>
      </c>
    </row>
    <row r="22" spans="1:15">
      <c r="A22" s="266" t="s">
        <v>17</v>
      </c>
      <c r="B22" s="267">
        <f>[7]ISR_ENERO!B22</f>
        <v>290362</v>
      </c>
      <c r="C22" s="268">
        <f>[7]ISR_FEBRERO!D22</f>
        <v>1681086</v>
      </c>
      <c r="D22" s="268">
        <f>[7]ISR_MARZO!B22</f>
        <v>254477</v>
      </c>
      <c r="E22" s="268">
        <f>[7]ISR_ABRIL!B22</f>
        <v>0</v>
      </c>
      <c r="F22" s="268">
        <f>'[7]ISR MAYO'!D23</f>
        <v>0</v>
      </c>
      <c r="G22" s="268">
        <f>[7]ISR_JUNIO!B22</f>
        <v>808085</v>
      </c>
      <c r="H22" s="268">
        <f>[7]ISR_JULIO!B22</f>
        <v>493430</v>
      </c>
      <c r="I22" s="268">
        <f>[7]ISR_AGOSTO!B22</f>
        <v>676653</v>
      </c>
      <c r="J22" s="268">
        <f>[7]ISR_SEPTIEMBRE!B22</f>
        <v>464945</v>
      </c>
      <c r="K22" s="268">
        <f>[7]ISR_OCTUBRE!D22</f>
        <v>267863</v>
      </c>
      <c r="L22" s="268">
        <f>[7]ISR_NOVIEMBRE!D22</f>
        <v>423204</v>
      </c>
      <c r="M22" s="269">
        <f>[7]ISR_DICIEMBRE!C22</f>
        <v>352182</v>
      </c>
      <c r="N22" s="270">
        <f t="shared" si="0"/>
        <v>5712287</v>
      </c>
      <c r="O22" s="271">
        <f t="shared" si="1"/>
        <v>4.8492811581174987E-3</v>
      </c>
    </row>
    <row r="23" spans="1:15">
      <c r="A23" s="266" t="s">
        <v>18</v>
      </c>
      <c r="B23" s="267">
        <f>[7]ISR_ENERO!B23</f>
        <v>4760734</v>
      </c>
      <c r="C23" s="268">
        <f>[7]ISR_FEBRERO!D23</f>
        <v>-18372</v>
      </c>
      <c r="D23" s="268">
        <f>[7]ISR_MARZO!B23</f>
        <v>4533811</v>
      </c>
      <c r="E23" s="268">
        <f>[7]ISR_ABRIL!B23</f>
        <v>2803140</v>
      </c>
      <c r="F23" s="268">
        <f>'[7]ISR MAYO'!D24</f>
        <v>0</v>
      </c>
      <c r="G23" s="268">
        <f>[7]ISR_JUNIO!B23</f>
        <v>-81320</v>
      </c>
      <c r="H23" s="268">
        <f>[7]ISR_JULIO!B23</f>
        <v>0</v>
      </c>
      <c r="I23" s="268">
        <f>[7]ISR_AGOSTO!B23</f>
        <v>0</v>
      </c>
      <c r="J23" s="268">
        <f>[7]ISR_SEPTIEMBRE!B23</f>
        <v>3538077</v>
      </c>
      <c r="K23" s="268">
        <f>[7]ISR_OCTUBRE!D23</f>
        <v>-19707</v>
      </c>
      <c r="L23" s="268">
        <f>[7]ISR_NOVIEMBRE!D23</f>
        <v>4198643</v>
      </c>
      <c r="M23" s="269">
        <f>[7]ISR_DICIEMBRE!C23</f>
        <v>0</v>
      </c>
      <c r="N23" s="270">
        <f t="shared" si="0"/>
        <v>19715006</v>
      </c>
      <c r="O23" s="271">
        <f t="shared" si="1"/>
        <v>1.6736485251524203E-2</v>
      </c>
    </row>
    <row r="24" spans="1:15">
      <c r="A24" s="266" t="s">
        <v>19</v>
      </c>
      <c r="B24" s="267">
        <f>[7]ISR_ENERO!B24</f>
        <v>0</v>
      </c>
      <c r="C24" s="268">
        <f>[7]ISR_FEBRERO!D24</f>
        <v>0</v>
      </c>
      <c r="D24" s="268">
        <f>[7]ISR_MARZO!B24</f>
        <v>0</v>
      </c>
      <c r="E24" s="268">
        <f>[7]ISR_ABRIL!B24</f>
        <v>0</v>
      </c>
      <c r="F24" s="268">
        <f>'[7]ISR MAYO'!D25</f>
        <v>0</v>
      </c>
      <c r="G24" s="268">
        <f>[7]ISR_JUNIO!B24</f>
        <v>0</v>
      </c>
      <c r="H24" s="268">
        <f>[7]ISR_JULIO!B24</f>
        <v>0</v>
      </c>
      <c r="I24" s="268">
        <f>[7]ISR_AGOSTO!B24</f>
        <v>0</v>
      </c>
      <c r="J24" s="268">
        <f>[7]ISR_SEPTIEMBRE!B24</f>
        <v>0</v>
      </c>
      <c r="K24" s="268">
        <f>[7]ISR_OCTUBRE!D24</f>
        <v>0</v>
      </c>
      <c r="L24" s="268">
        <f>[7]ISR_NOVIEMBRE!D24</f>
        <v>0</v>
      </c>
      <c r="M24" s="269">
        <f>[7]ISR_DICIEMBRE!C24</f>
        <v>0</v>
      </c>
      <c r="N24" s="270">
        <f t="shared" si="0"/>
        <v>0</v>
      </c>
      <c r="O24" s="271">
        <f t="shared" si="1"/>
        <v>0</v>
      </c>
    </row>
    <row r="25" spans="1:15">
      <c r="A25" s="266" t="s">
        <v>20</v>
      </c>
      <c r="B25" s="267">
        <f>[7]ISR_ENERO!B25</f>
        <v>0</v>
      </c>
      <c r="C25" s="268">
        <f>[7]ISR_FEBRERO!D25</f>
        <v>10401379</v>
      </c>
      <c r="D25" s="268">
        <f>[7]ISR_MARZO!B25</f>
        <v>17426803</v>
      </c>
      <c r="E25" s="268">
        <f>[7]ISR_ABRIL!B25</f>
        <v>0</v>
      </c>
      <c r="F25" s="268">
        <f>'[7]ISR MAYO'!D26</f>
        <v>25528844</v>
      </c>
      <c r="G25" s="268">
        <f>[7]ISR_JUNIO!B25</f>
        <v>24572072</v>
      </c>
      <c r="H25" s="268">
        <f>[7]ISR_JULIO!B25</f>
        <v>3990802</v>
      </c>
      <c r="I25" s="268">
        <f>[7]ISR_AGOSTO!B25</f>
        <v>0</v>
      </c>
      <c r="J25" s="268">
        <f>[7]ISR_SEPTIEMBRE!B25</f>
        <v>2983872</v>
      </c>
      <c r="K25" s="268">
        <f>[7]ISR_OCTUBRE!D25</f>
        <v>2910270</v>
      </c>
      <c r="L25" s="268">
        <f>[7]ISR_NOVIEMBRE!D25</f>
        <v>19975756</v>
      </c>
      <c r="M25" s="269">
        <f>[7]ISR_DICIEMBRE!C25</f>
        <v>5198467</v>
      </c>
      <c r="N25" s="270">
        <f t="shared" si="0"/>
        <v>112988265</v>
      </c>
      <c r="O25" s="271">
        <f t="shared" si="1"/>
        <v>9.5918126059297587E-2</v>
      </c>
    </row>
    <row r="26" spans="1:15">
      <c r="A26" s="266" t="s">
        <v>21</v>
      </c>
      <c r="B26" s="267">
        <f>[7]ISR_ENERO!B26</f>
        <v>0</v>
      </c>
      <c r="C26" s="268">
        <f>[7]ISR_FEBRERO!D26</f>
        <v>0</v>
      </c>
      <c r="D26" s="268">
        <f>[7]ISR_MARZO!B26</f>
        <v>0</v>
      </c>
      <c r="E26" s="268">
        <f>[7]ISR_ABRIL!B26</f>
        <v>0</v>
      </c>
      <c r="F26" s="268">
        <f>'[7]ISR MAYO'!D27</f>
        <v>150641</v>
      </c>
      <c r="G26" s="268">
        <f>[7]ISR_JUNIO!B26</f>
        <v>329690</v>
      </c>
      <c r="H26" s="268">
        <f>[7]ISR_JULIO!B26</f>
        <v>0</v>
      </c>
      <c r="I26" s="268">
        <f>[7]ISR_AGOSTO!B26</f>
        <v>542109</v>
      </c>
      <c r="J26" s="268">
        <f>[7]ISR_SEPTIEMBRE!B26</f>
        <v>681393</v>
      </c>
      <c r="K26" s="268">
        <f>[7]ISR_OCTUBRE!D26</f>
        <v>1429449</v>
      </c>
      <c r="L26" s="268">
        <f>[7]ISR_NOVIEMBRE!D26</f>
        <v>5197794</v>
      </c>
      <c r="M26" s="269">
        <f>[7]ISR_DICIEMBRE!C26</f>
        <v>485402</v>
      </c>
      <c r="N26" s="270">
        <f t="shared" si="0"/>
        <v>8816478</v>
      </c>
      <c r="O26" s="271">
        <f t="shared" si="1"/>
        <v>7.4844945021770521E-3</v>
      </c>
    </row>
    <row r="27" spans="1:15">
      <c r="A27" s="266" t="s">
        <v>22</v>
      </c>
      <c r="B27" s="267">
        <f>[7]ISR_ENERO!B27</f>
        <v>0</v>
      </c>
      <c r="C27" s="268">
        <f>[7]ISR_FEBRERO!D27</f>
        <v>0</v>
      </c>
      <c r="D27" s="268">
        <f>[7]ISR_MARZO!B27</f>
        <v>0</v>
      </c>
      <c r="E27" s="268">
        <f>[7]ISR_ABRIL!B27</f>
        <v>0</v>
      </c>
      <c r="F27" s="268">
        <f>'[7]ISR MAYO'!D28</f>
        <v>0</v>
      </c>
      <c r="G27" s="268">
        <f>[7]ISR_JUNIO!B27</f>
        <v>0</v>
      </c>
      <c r="H27" s="268">
        <f>[7]ISR_JULIO!B27</f>
        <v>0</v>
      </c>
      <c r="I27" s="268">
        <f>[7]ISR_AGOSTO!B27</f>
        <v>0</v>
      </c>
      <c r="J27" s="268">
        <f>[7]ISR_SEPTIEMBRE!B27</f>
        <v>0</v>
      </c>
      <c r="K27" s="268">
        <f>[7]ISR_OCTUBRE!D27</f>
        <v>0</v>
      </c>
      <c r="L27" s="268">
        <f>[7]ISR_NOVIEMBRE!D27</f>
        <v>0</v>
      </c>
      <c r="M27" s="269">
        <f>[7]ISR_DICIEMBRE!C27</f>
        <v>0</v>
      </c>
      <c r="N27" s="270">
        <f t="shared" si="0"/>
        <v>0</v>
      </c>
      <c r="O27" s="271">
        <f t="shared" si="1"/>
        <v>0</v>
      </c>
    </row>
    <row r="28" spans="1:15">
      <c r="A28" s="266" t="s">
        <v>23</v>
      </c>
      <c r="B28" s="267">
        <f>[7]ISR_ENERO!B28</f>
        <v>0</v>
      </c>
      <c r="C28" s="268">
        <f>[7]ISR_FEBRERO!D28</f>
        <v>0</v>
      </c>
      <c r="D28" s="268">
        <f>[7]ISR_MARZO!B28</f>
        <v>0</v>
      </c>
      <c r="E28" s="268">
        <f>[7]ISR_ABRIL!B28</f>
        <v>0</v>
      </c>
      <c r="F28" s="268">
        <f>'[7]ISR MAYO'!D29</f>
        <v>0</v>
      </c>
      <c r="G28" s="268">
        <f>[7]ISR_JUNIO!B28</f>
        <v>0</v>
      </c>
      <c r="H28" s="268">
        <f>[7]ISR_JULIO!B28</f>
        <v>0</v>
      </c>
      <c r="I28" s="268">
        <f>[7]ISR_AGOSTO!B28</f>
        <v>0</v>
      </c>
      <c r="J28" s="268">
        <f>[7]ISR_SEPTIEMBRE!B28</f>
        <v>129376</v>
      </c>
      <c r="K28" s="268">
        <f>[7]ISR_OCTUBRE!D28</f>
        <v>1235959</v>
      </c>
      <c r="L28" s="268">
        <f>[7]ISR_NOVIEMBRE!D28</f>
        <v>431435</v>
      </c>
      <c r="M28" s="269">
        <f>[7]ISR_DICIEMBRE!C28</f>
        <v>0</v>
      </c>
      <c r="N28" s="270">
        <f t="shared" si="0"/>
        <v>1796770</v>
      </c>
      <c r="O28" s="271">
        <f t="shared" si="1"/>
        <v>1.5253160260453962E-3</v>
      </c>
    </row>
    <row r="29" spans="1:15">
      <c r="A29" s="266" t="s">
        <v>24</v>
      </c>
      <c r="B29" s="267">
        <f>[7]ISR_ENERO!B29</f>
        <v>0</v>
      </c>
      <c r="C29" s="268">
        <f>[7]ISR_FEBRERO!D29</f>
        <v>0</v>
      </c>
      <c r="D29" s="268">
        <f>[7]ISR_MARZO!B29</f>
        <v>0</v>
      </c>
      <c r="E29" s="268">
        <f>[7]ISR_ABRIL!B29</f>
        <v>0</v>
      </c>
      <c r="F29" s="268">
        <f>'[7]ISR MAYO'!D30</f>
        <v>0</v>
      </c>
      <c r="G29" s="268">
        <f>[7]ISR_JUNIO!B29</f>
        <v>0</v>
      </c>
      <c r="H29" s="268">
        <f>[7]ISR_JULIO!B29</f>
        <v>0</v>
      </c>
      <c r="I29" s="268">
        <f>[7]ISR_AGOSTO!B29</f>
        <v>0</v>
      </c>
      <c r="J29" s="268">
        <f>[7]ISR_SEPTIEMBRE!B29</f>
        <v>0</v>
      </c>
      <c r="K29" s="268">
        <f>[7]ISR_OCTUBRE!D29</f>
        <v>0</v>
      </c>
      <c r="L29" s="268">
        <f>[7]ISR_NOVIEMBRE!D29</f>
        <v>0</v>
      </c>
      <c r="M29" s="269">
        <f>[7]ISR_DICIEMBRE!C29</f>
        <v>0</v>
      </c>
      <c r="N29" s="270">
        <f t="shared" si="0"/>
        <v>0</v>
      </c>
      <c r="O29" s="271">
        <f t="shared" si="1"/>
        <v>0</v>
      </c>
    </row>
    <row r="30" spans="1:15">
      <c r="A30" s="266" t="s">
        <v>25</v>
      </c>
      <c r="B30" s="267">
        <f>[7]ISR_ENERO!B30</f>
        <v>1436497</v>
      </c>
      <c r="C30" s="268">
        <f>[7]ISR_FEBRERO!D30</f>
        <v>27947725</v>
      </c>
      <c r="D30" s="268">
        <f>[7]ISR_MARZO!B30</f>
        <v>30031367</v>
      </c>
      <c r="E30" s="268">
        <f>[7]ISR_ABRIL!B30</f>
        <v>25176547</v>
      </c>
      <c r="F30" s="268">
        <f>'[7]ISR MAYO'!D31</f>
        <v>219621</v>
      </c>
      <c r="G30" s="268">
        <f>[7]ISR_JUNIO!B30</f>
        <v>9143226</v>
      </c>
      <c r="H30" s="268">
        <f>[7]ISR_JULIO!B30</f>
        <v>10591880</v>
      </c>
      <c r="I30" s="268">
        <f>[7]ISR_AGOSTO!B30</f>
        <v>7314273</v>
      </c>
      <c r="J30" s="268">
        <f>[7]ISR_SEPTIEMBRE!B30</f>
        <v>5345200</v>
      </c>
      <c r="K30" s="268">
        <f>[7]ISR_OCTUBRE!D30</f>
        <v>4921813</v>
      </c>
      <c r="L30" s="268">
        <f>[7]ISR_NOVIEMBRE!D30</f>
        <v>9959560</v>
      </c>
      <c r="M30" s="269">
        <f>[7]ISR_DICIEMBRE!C30</f>
        <v>9215740</v>
      </c>
      <c r="N30" s="270">
        <f t="shared" si="0"/>
        <v>141303449</v>
      </c>
      <c r="O30" s="271">
        <f t="shared" si="1"/>
        <v>0.11995548417170161</v>
      </c>
    </row>
    <row r="31" spans="1:15">
      <c r="A31" s="266" t="s">
        <v>26</v>
      </c>
      <c r="B31" s="267">
        <f>[7]ISR_ENERO!B31</f>
        <v>0</v>
      </c>
      <c r="C31" s="268">
        <f>[7]ISR_FEBRERO!D31</f>
        <v>0</v>
      </c>
      <c r="D31" s="268">
        <f>[7]ISR_MARZO!B31</f>
        <v>0</v>
      </c>
      <c r="E31" s="268">
        <f>[7]ISR_ABRIL!B31</f>
        <v>0</v>
      </c>
      <c r="F31" s="268">
        <f>'[7]ISR MAYO'!D32</f>
        <v>0</v>
      </c>
      <c r="G31" s="268">
        <f>[7]ISR_JUNIO!B31</f>
        <v>0</v>
      </c>
      <c r="H31" s="268">
        <f>[7]ISR_JULIO!B31</f>
        <v>72334</v>
      </c>
      <c r="I31" s="268">
        <f>[7]ISR_AGOSTO!B31</f>
        <v>175706</v>
      </c>
      <c r="J31" s="268">
        <f>[7]ISR_SEPTIEMBRE!B31</f>
        <v>0</v>
      </c>
      <c r="K31" s="268">
        <f>[7]ISR_OCTUBRE!D31</f>
        <v>0</v>
      </c>
      <c r="L31" s="268">
        <f>[7]ISR_NOVIEMBRE!D31</f>
        <v>0</v>
      </c>
      <c r="M31" s="269">
        <f>[7]ISR_DICIEMBRE!C31</f>
        <v>0</v>
      </c>
      <c r="N31" s="270">
        <f t="shared" si="0"/>
        <v>248040</v>
      </c>
      <c r="O31" s="271">
        <f t="shared" si="1"/>
        <v>2.1056639809229898E-4</v>
      </c>
    </row>
    <row r="32" spans="1:15">
      <c r="A32" s="266" t="s">
        <v>27</v>
      </c>
      <c r="B32" s="267">
        <f>[7]ISR_ENERO!B32</f>
        <v>0</v>
      </c>
      <c r="C32" s="268">
        <f>[7]ISR_FEBRERO!D32</f>
        <v>0</v>
      </c>
      <c r="D32" s="268">
        <f>[7]ISR_MARZO!B32</f>
        <v>0</v>
      </c>
      <c r="E32" s="268">
        <f>[7]ISR_ABRIL!B32</f>
        <v>0</v>
      </c>
      <c r="F32" s="268">
        <f>'[7]ISR MAYO'!D33</f>
        <v>0</v>
      </c>
      <c r="G32" s="268">
        <f>[7]ISR_JUNIO!B32</f>
        <v>0</v>
      </c>
      <c r="H32" s="268">
        <f>[7]ISR_JULIO!B32</f>
        <v>762962</v>
      </c>
      <c r="I32" s="268">
        <f>[7]ISR_AGOSTO!B32</f>
        <v>0</v>
      </c>
      <c r="J32" s="268">
        <f>[7]ISR_SEPTIEMBRE!B32</f>
        <v>0</v>
      </c>
      <c r="K32" s="268">
        <f>[7]ISR_OCTUBRE!D32</f>
        <v>142365</v>
      </c>
      <c r="L32" s="268">
        <f>[7]ISR_NOVIEMBRE!D32</f>
        <v>178651</v>
      </c>
      <c r="M32" s="269">
        <f>[7]ISR_DICIEMBRE!C32</f>
        <v>2550</v>
      </c>
      <c r="N32" s="270">
        <f t="shared" si="0"/>
        <v>1086528</v>
      </c>
      <c r="O32" s="271">
        <f t="shared" si="1"/>
        <v>9.223765819481916E-4</v>
      </c>
    </row>
    <row r="33" spans="1:15">
      <c r="A33" s="266" t="s">
        <v>28</v>
      </c>
      <c r="B33" s="267">
        <f>[7]ISR_ENERO!B33</f>
        <v>31467</v>
      </c>
      <c r="C33" s="268">
        <f>[7]ISR_FEBRERO!D33</f>
        <v>0</v>
      </c>
      <c r="D33" s="268">
        <f>[7]ISR_MARZO!B33</f>
        <v>34045</v>
      </c>
      <c r="E33" s="268">
        <f>[7]ISR_ABRIL!B33</f>
        <v>50783</v>
      </c>
      <c r="F33" s="268">
        <f>'[7]ISR MAYO'!D34</f>
        <v>0</v>
      </c>
      <c r="G33" s="268">
        <f>[7]ISR_JUNIO!B33</f>
        <v>39225</v>
      </c>
      <c r="H33" s="268">
        <f>[7]ISR_JULIO!B33</f>
        <v>39226</v>
      </c>
      <c r="I33" s="268">
        <f>[7]ISR_AGOSTO!B33</f>
        <v>55081</v>
      </c>
      <c r="J33" s="268">
        <f>[7]ISR_SEPTIEMBRE!B33</f>
        <v>0</v>
      </c>
      <c r="K33" s="268">
        <f>[7]ISR_OCTUBRE!D33</f>
        <v>42957</v>
      </c>
      <c r="L33" s="268">
        <f>[7]ISR_NOVIEMBRE!D33</f>
        <v>43989</v>
      </c>
      <c r="M33" s="269">
        <f>[7]ISR_DICIEMBRE!C33</f>
        <v>0</v>
      </c>
      <c r="N33" s="270">
        <f t="shared" si="0"/>
        <v>336773</v>
      </c>
      <c r="O33" s="271">
        <f t="shared" si="1"/>
        <v>2.8589371708086524E-4</v>
      </c>
    </row>
    <row r="34" spans="1:15">
      <c r="A34" s="266" t="s">
        <v>29</v>
      </c>
      <c r="B34" s="267">
        <f>[7]ISR_ENERO!B34</f>
        <v>0</v>
      </c>
      <c r="C34" s="268">
        <f>[7]ISR_FEBRERO!D34</f>
        <v>0</v>
      </c>
      <c r="D34" s="268">
        <f>[7]ISR_MARZO!B34</f>
        <v>0</v>
      </c>
      <c r="E34" s="268">
        <f>[7]ISR_ABRIL!B34</f>
        <v>0</v>
      </c>
      <c r="F34" s="268">
        <f>'[7]ISR MAYO'!D35</f>
        <v>0</v>
      </c>
      <c r="G34" s="268">
        <f>[7]ISR_JUNIO!B34</f>
        <v>0</v>
      </c>
      <c r="H34" s="268">
        <f>[7]ISR_JULIO!B34</f>
        <v>0</v>
      </c>
      <c r="I34" s="268">
        <f>[7]ISR_AGOSTO!B34</f>
        <v>0</v>
      </c>
      <c r="J34" s="268">
        <f>[7]ISR_SEPTIEMBRE!B34</f>
        <v>155333</v>
      </c>
      <c r="K34" s="268">
        <f>[7]ISR_OCTUBRE!D34</f>
        <v>107438</v>
      </c>
      <c r="L34" s="268">
        <f>[7]ISR_NOVIEMBRE!D34</f>
        <v>332434</v>
      </c>
      <c r="M34" s="269">
        <f>[7]ISR_DICIEMBRE!C34</f>
        <v>72297</v>
      </c>
      <c r="N34" s="270">
        <f t="shared" si="0"/>
        <v>667502</v>
      </c>
      <c r="O34" s="271">
        <f t="shared" si="1"/>
        <v>5.6665655482747044E-4</v>
      </c>
    </row>
    <row r="35" spans="1:15">
      <c r="A35" s="266" t="s">
        <v>30</v>
      </c>
      <c r="B35" s="267">
        <f>[7]ISR_ENERO!B35</f>
        <v>0</v>
      </c>
      <c r="C35" s="268">
        <f>[7]ISR_FEBRERO!D35</f>
        <v>92832</v>
      </c>
      <c r="D35" s="268">
        <f>[7]ISR_MARZO!B35</f>
        <v>0</v>
      </c>
      <c r="E35" s="268">
        <f>[7]ISR_ABRIL!B35</f>
        <v>73019</v>
      </c>
      <c r="F35" s="268">
        <f>'[7]ISR MAYO'!D36</f>
        <v>78912</v>
      </c>
      <c r="G35" s="268">
        <f>[7]ISR_JUNIO!B35</f>
        <v>35884</v>
      </c>
      <c r="H35" s="268">
        <f>[7]ISR_JULIO!B35</f>
        <v>48833</v>
      </c>
      <c r="I35" s="268">
        <f>[7]ISR_AGOSTO!B35</f>
        <v>0</v>
      </c>
      <c r="J35" s="268">
        <f>[7]ISR_SEPTIEMBRE!B35</f>
        <v>30779</v>
      </c>
      <c r="K35" s="268">
        <f>[7]ISR_OCTUBRE!D35</f>
        <v>32971</v>
      </c>
      <c r="L35" s="268">
        <f>[7]ISR_NOVIEMBRE!D35</f>
        <v>64641</v>
      </c>
      <c r="M35" s="269">
        <f>[7]ISR_DICIEMBRE!C35</f>
        <v>34157</v>
      </c>
      <c r="N35" s="270">
        <f t="shared" si="0"/>
        <v>492028</v>
      </c>
      <c r="O35" s="271">
        <f t="shared" si="1"/>
        <v>4.1769296774938594E-4</v>
      </c>
    </row>
    <row r="36" spans="1:15">
      <c r="A36" s="266" t="s">
        <v>31</v>
      </c>
      <c r="B36" s="267">
        <f>[7]ISR_ENERO!B36</f>
        <v>0</v>
      </c>
      <c r="C36" s="268">
        <f>[7]ISR_FEBRERO!D36</f>
        <v>0</v>
      </c>
      <c r="D36" s="268">
        <f>[7]ISR_MARZO!B36</f>
        <v>0</v>
      </c>
      <c r="E36" s="268">
        <f>[7]ISR_ABRIL!B36</f>
        <v>2276451</v>
      </c>
      <c r="F36" s="268">
        <f>'[7]ISR MAYO'!D37</f>
        <v>4864019</v>
      </c>
      <c r="G36" s="268">
        <f>[7]ISR_JUNIO!B36</f>
        <v>4899914</v>
      </c>
      <c r="H36" s="268">
        <f>[7]ISR_JULIO!B36</f>
        <v>4935266</v>
      </c>
      <c r="I36" s="268">
        <f>[7]ISR_AGOSTO!B36</f>
        <v>3555515</v>
      </c>
      <c r="J36" s="268">
        <f>[7]ISR_SEPTIEMBRE!B36</f>
        <v>55758419</v>
      </c>
      <c r="K36" s="268">
        <f>[7]ISR_OCTUBRE!D36</f>
        <v>12931728</v>
      </c>
      <c r="L36" s="268">
        <f>[7]ISR_NOVIEMBRE!D36</f>
        <v>37336882</v>
      </c>
      <c r="M36" s="269">
        <f>[7]ISR_DICIEMBRE!C36</f>
        <v>0</v>
      </c>
      <c r="N36" s="270">
        <f t="shared" si="0"/>
        <v>126558194</v>
      </c>
      <c r="O36" s="271">
        <f t="shared" si="1"/>
        <v>0.10743792557509436</v>
      </c>
    </row>
    <row r="37" spans="1:15">
      <c r="A37" s="266" t="s">
        <v>32</v>
      </c>
      <c r="B37" s="267">
        <f>[7]ISR_ENERO!B37</f>
        <v>0</v>
      </c>
      <c r="C37" s="268">
        <f>[7]ISR_FEBRERO!D37</f>
        <v>0</v>
      </c>
      <c r="D37" s="268">
        <f>[7]ISR_MARZO!B37</f>
        <v>0</v>
      </c>
      <c r="E37" s="268">
        <f>[7]ISR_ABRIL!B37</f>
        <v>0</v>
      </c>
      <c r="F37" s="268">
        <f>'[7]ISR MAYO'!D38</f>
        <v>0</v>
      </c>
      <c r="G37" s="268">
        <f>[7]ISR_JUNIO!B37</f>
        <v>0</v>
      </c>
      <c r="H37" s="268">
        <f>[7]ISR_JULIO!B37</f>
        <v>0</v>
      </c>
      <c r="I37" s="268">
        <f>[7]ISR_AGOSTO!B37</f>
        <v>0</v>
      </c>
      <c r="J37" s="268">
        <f>[7]ISR_SEPTIEMBRE!B37</f>
        <v>0</v>
      </c>
      <c r="K37" s="268">
        <f>[7]ISR_OCTUBRE!D37</f>
        <v>0</v>
      </c>
      <c r="L37" s="268">
        <f>[7]ISR_NOVIEMBRE!D37</f>
        <v>99951</v>
      </c>
      <c r="M37" s="269">
        <f>[7]ISR_DICIEMBRE!C37</f>
        <v>68139</v>
      </c>
      <c r="N37" s="270">
        <f t="shared" si="0"/>
        <v>168090</v>
      </c>
      <c r="O37" s="271">
        <f t="shared" si="1"/>
        <v>1.4269515342418376E-4</v>
      </c>
    </row>
    <row r="38" spans="1:15">
      <c r="A38" s="266" t="s">
        <v>33</v>
      </c>
      <c r="B38" s="267">
        <f>[7]ISR_ENERO!B38</f>
        <v>2673517</v>
      </c>
      <c r="C38" s="268">
        <f>[7]ISR_FEBRERO!D38</f>
        <v>785823</v>
      </c>
      <c r="D38" s="268">
        <f>[7]ISR_MARZO!B38</f>
        <v>786199</v>
      </c>
      <c r="E38" s="268">
        <f>[7]ISR_ABRIL!B38</f>
        <v>785490</v>
      </c>
      <c r="F38" s="268">
        <f>'[7]ISR MAYO'!D39</f>
        <v>1016732</v>
      </c>
      <c r="G38" s="268">
        <f>[7]ISR_JUNIO!B38</f>
        <v>835837</v>
      </c>
      <c r="H38" s="268">
        <f>[7]ISR_JULIO!B38</f>
        <v>793627</v>
      </c>
      <c r="I38" s="268">
        <f>[7]ISR_AGOSTO!B38</f>
        <v>791010</v>
      </c>
      <c r="J38" s="268">
        <f>[7]ISR_SEPTIEMBRE!B38</f>
        <v>1009369</v>
      </c>
      <c r="K38" s="268">
        <f>[7]ISR_OCTUBRE!D38</f>
        <v>974608</v>
      </c>
      <c r="L38" s="268">
        <f>[7]ISR_NOVIEMBRE!D38</f>
        <v>973603</v>
      </c>
      <c r="M38" s="269">
        <f>[7]ISR_DICIEMBRE!C38</f>
        <v>932766</v>
      </c>
      <c r="N38" s="270">
        <f t="shared" si="0"/>
        <v>12358581</v>
      </c>
      <c r="O38" s="271">
        <f t="shared" si="1"/>
        <v>1.0491460597895189E-2</v>
      </c>
    </row>
    <row r="39" spans="1:15">
      <c r="A39" s="266" t="s">
        <v>34</v>
      </c>
      <c r="B39" s="267">
        <f>[7]ISR_ENERO!B39</f>
        <v>0</v>
      </c>
      <c r="C39" s="268">
        <f>[7]ISR_FEBRERO!D39</f>
        <v>0</v>
      </c>
      <c r="D39" s="268">
        <f>[7]ISR_MARZO!B39</f>
        <v>0</v>
      </c>
      <c r="E39" s="268">
        <f>[7]ISR_ABRIL!B39</f>
        <v>0</v>
      </c>
      <c r="F39" s="268">
        <f>'[7]ISR MAYO'!D40</f>
        <v>0</v>
      </c>
      <c r="G39" s="268">
        <f>[7]ISR_JUNIO!B39</f>
        <v>316808</v>
      </c>
      <c r="H39" s="268">
        <f>[7]ISR_JULIO!B39</f>
        <v>221169</v>
      </c>
      <c r="I39" s="268">
        <f>[7]ISR_AGOSTO!B39</f>
        <v>83221</v>
      </c>
      <c r="J39" s="268">
        <f>[7]ISR_SEPTIEMBRE!B39</f>
        <v>122700</v>
      </c>
      <c r="K39" s="268">
        <f>[7]ISR_OCTUBRE!D39</f>
        <v>102976</v>
      </c>
      <c r="L39" s="268">
        <f>[7]ISR_NOVIEMBRE!D39</f>
        <v>132156</v>
      </c>
      <c r="M39" s="269">
        <f>[7]ISR_DICIEMBRE!C39</f>
        <v>0</v>
      </c>
      <c r="N39" s="270">
        <f t="shared" si="0"/>
        <v>979030</v>
      </c>
      <c r="O39" s="271">
        <f t="shared" si="1"/>
        <v>8.3111925787898516E-4</v>
      </c>
    </row>
    <row r="40" spans="1:15">
      <c r="A40" s="266" t="s">
        <v>35</v>
      </c>
      <c r="B40" s="267">
        <f>[7]ISR_ENERO!B40</f>
        <v>33980</v>
      </c>
      <c r="C40" s="268">
        <f>[7]ISR_FEBRERO!D40</f>
        <v>0</v>
      </c>
      <c r="D40" s="268">
        <f>[7]ISR_MARZO!B40</f>
        <v>196578</v>
      </c>
      <c r="E40" s="268">
        <f>[7]ISR_ABRIL!B40</f>
        <v>103569</v>
      </c>
      <c r="F40" s="268">
        <f>'[7]ISR MAYO'!D41</f>
        <v>0</v>
      </c>
      <c r="G40" s="268">
        <f>[7]ISR_JUNIO!B40</f>
        <v>61215</v>
      </c>
      <c r="H40" s="268">
        <f>[7]ISR_JULIO!B40</f>
        <v>47117</v>
      </c>
      <c r="I40" s="268">
        <f>[7]ISR_AGOSTO!B40</f>
        <v>46674</v>
      </c>
      <c r="J40" s="268">
        <f>[7]ISR_SEPTIEMBRE!B40</f>
        <v>46894</v>
      </c>
      <c r="K40" s="268">
        <f>[7]ISR_OCTUBRE!D40</f>
        <v>50756</v>
      </c>
      <c r="L40" s="268">
        <f>[7]ISR_NOVIEMBRE!D40</f>
        <v>54531</v>
      </c>
      <c r="M40" s="269">
        <f>[7]ISR_DICIEMBRE!C40</f>
        <v>61068</v>
      </c>
      <c r="N40" s="270">
        <f t="shared" si="0"/>
        <v>702382</v>
      </c>
      <c r="O40" s="271">
        <f t="shared" si="1"/>
        <v>5.962669239834912E-4</v>
      </c>
    </row>
    <row r="41" spans="1:15">
      <c r="A41" s="266" t="s">
        <v>36</v>
      </c>
      <c r="B41" s="267">
        <f>[7]ISR_ENERO!B41</f>
        <v>0</v>
      </c>
      <c r="C41" s="268">
        <f>[7]ISR_FEBRERO!D41</f>
        <v>0</v>
      </c>
      <c r="D41" s="268">
        <f>[7]ISR_MARZO!B41</f>
        <v>0</v>
      </c>
      <c r="E41" s="268">
        <f>[7]ISR_ABRIL!B41</f>
        <v>0</v>
      </c>
      <c r="F41" s="268">
        <f>'[7]ISR MAYO'!D42</f>
        <v>0</v>
      </c>
      <c r="G41" s="268">
        <f>[7]ISR_JUNIO!B41</f>
        <v>0</v>
      </c>
      <c r="H41" s="268">
        <f>[7]ISR_JULIO!B41</f>
        <v>0</v>
      </c>
      <c r="I41" s="268">
        <f>[7]ISR_AGOSTO!B41</f>
        <v>0</v>
      </c>
      <c r="J41" s="268">
        <f>[7]ISR_SEPTIEMBRE!B41</f>
        <v>0</v>
      </c>
      <c r="K41" s="268">
        <f>[7]ISR_OCTUBRE!D41</f>
        <v>0</v>
      </c>
      <c r="L41" s="268">
        <f>[7]ISR_NOVIEMBRE!D41</f>
        <v>0</v>
      </c>
      <c r="M41" s="269">
        <f>[7]ISR_DICIEMBRE!C41</f>
        <v>0</v>
      </c>
      <c r="N41" s="270">
        <f t="shared" si="0"/>
        <v>0</v>
      </c>
      <c r="O41" s="271">
        <f t="shared" si="1"/>
        <v>0</v>
      </c>
    </row>
    <row r="42" spans="1:15">
      <c r="A42" s="266" t="s">
        <v>37</v>
      </c>
      <c r="B42" s="267">
        <f>[7]ISR_ENERO!B42</f>
        <v>0</v>
      </c>
      <c r="C42" s="268">
        <f>[7]ISR_FEBRERO!D42</f>
        <v>0</v>
      </c>
      <c r="D42" s="268">
        <f>[7]ISR_MARZO!B42</f>
        <v>0</v>
      </c>
      <c r="E42" s="268">
        <f>[7]ISR_ABRIL!B42</f>
        <v>0</v>
      </c>
      <c r="F42" s="268">
        <f>'[7]ISR MAYO'!D43</f>
        <v>0</v>
      </c>
      <c r="G42" s="268">
        <f>[7]ISR_JUNIO!B42</f>
        <v>0</v>
      </c>
      <c r="H42" s="268">
        <f>[7]ISR_JULIO!B42</f>
        <v>0</v>
      </c>
      <c r="I42" s="268">
        <f>[7]ISR_AGOSTO!B42</f>
        <v>0</v>
      </c>
      <c r="J42" s="268">
        <f>[7]ISR_SEPTIEMBRE!B42</f>
        <v>0</v>
      </c>
      <c r="K42" s="268">
        <f>[7]ISR_OCTUBRE!D42</f>
        <v>0</v>
      </c>
      <c r="L42" s="268">
        <f>[7]ISR_NOVIEMBRE!D42</f>
        <v>129659</v>
      </c>
      <c r="M42" s="269">
        <f>[7]ISR_DICIEMBRE!C42</f>
        <v>0</v>
      </c>
      <c r="N42" s="270">
        <f t="shared" si="0"/>
        <v>129659</v>
      </c>
      <c r="O42" s="271">
        <f t="shared" si="1"/>
        <v>1.1007026532111513E-4</v>
      </c>
    </row>
    <row r="43" spans="1:15">
      <c r="A43" s="266" t="s">
        <v>38</v>
      </c>
      <c r="B43" s="267">
        <f>[7]ISR_ENERO!B43</f>
        <v>0</v>
      </c>
      <c r="C43" s="268">
        <f>[7]ISR_FEBRERO!D43</f>
        <v>0</v>
      </c>
      <c r="D43" s="268">
        <f>[7]ISR_MARZO!B43</f>
        <v>0</v>
      </c>
      <c r="E43" s="268">
        <f>[7]ISR_ABRIL!B43</f>
        <v>0</v>
      </c>
      <c r="F43" s="268">
        <f>'[7]ISR MAYO'!D44</f>
        <v>0</v>
      </c>
      <c r="G43" s="268">
        <f>[7]ISR_JUNIO!B43</f>
        <v>-29793</v>
      </c>
      <c r="H43" s="268">
        <f>[7]ISR_JULIO!B43</f>
        <v>0</v>
      </c>
      <c r="I43" s="268">
        <f>[7]ISR_AGOSTO!B43</f>
        <v>0</v>
      </c>
      <c r="J43" s="268">
        <f>[7]ISR_SEPTIEMBRE!B43</f>
        <v>0</v>
      </c>
      <c r="K43" s="268">
        <f>[7]ISR_OCTUBRE!D43</f>
        <v>-40885</v>
      </c>
      <c r="L43" s="268">
        <f>[7]ISR_NOVIEMBRE!D43</f>
        <v>78856</v>
      </c>
      <c r="M43" s="269">
        <f>[7]ISR_DICIEMBRE!C43</f>
        <v>2602749</v>
      </c>
      <c r="N43" s="270">
        <f t="shared" si="0"/>
        <v>2610927</v>
      </c>
      <c r="O43" s="271">
        <f t="shared" si="1"/>
        <v>2.2164711097884694E-3</v>
      </c>
    </row>
    <row r="44" spans="1:15">
      <c r="A44" s="266" t="s">
        <v>39</v>
      </c>
      <c r="B44" s="267">
        <f>[7]ISR_ENERO!B44</f>
        <v>12863697</v>
      </c>
      <c r="C44" s="268">
        <f>[7]ISR_FEBRERO!D44</f>
        <v>43894659</v>
      </c>
      <c r="D44" s="268">
        <f>[7]ISR_MARZO!B44</f>
        <v>1677771</v>
      </c>
      <c r="E44" s="268">
        <f>[7]ISR_ABRIL!B44</f>
        <v>2388407</v>
      </c>
      <c r="F44" s="268">
        <f>'[7]ISR MAYO'!D45</f>
        <v>18397502</v>
      </c>
      <c r="G44" s="268">
        <f>[7]ISR_JUNIO!B44</f>
        <v>28429672</v>
      </c>
      <c r="H44" s="268">
        <f>[7]ISR_JULIO!B44</f>
        <v>10785851</v>
      </c>
      <c r="I44" s="268">
        <f>[7]ISR_AGOSTO!B44</f>
        <v>9808823</v>
      </c>
      <c r="J44" s="268">
        <f>[7]ISR_SEPTIEMBRE!B44</f>
        <v>10203659</v>
      </c>
      <c r="K44" s="268">
        <f>[7]ISR_OCTUBRE!D44</f>
        <v>-1282592</v>
      </c>
      <c r="L44" s="268">
        <f>[7]ISR_NOVIEMBRE!D44</f>
        <v>55988871</v>
      </c>
      <c r="M44" s="269">
        <f>[7]ISR_DICIEMBRE!C44</f>
        <v>16778739</v>
      </c>
      <c r="N44" s="270">
        <f t="shared" si="0"/>
        <v>209935059</v>
      </c>
      <c r="O44" s="271">
        <f t="shared" si="1"/>
        <v>0.17821830836528091</v>
      </c>
    </row>
    <row r="45" spans="1:15">
      <c r="A45" s="266" t="s">
        <v>40</v>
      </c>
      <c r="B45" s="267">
        <f>[7]ISR_ENERO!B45</f>
        <v>27500</v>
      </c>
      <c r="C45" s="268">
        <f>[7]ISR_FEBRERO!D45</f>
        <v>24374</v>
      </c>
      <c r="D45" s="268">
        <f>[7]ISR_MARZO!B45</f>
        <v>19449</v>
      </c>
      <c r="E45" s="268">
        <f>[7]ISR_ABRIL!B45</f>
        <v>40294</v>
      </c>
      <c r="F45" s="268">
        <f>'[7]ISR MAYO'!D46</f>
        <v>80786</v>
      </c>
      <c r="G45" s="268">
        <f>[7]ISR_JUNIO!B45</f>
        <v>21314</v>
      </c>
      <c r="H45" s="268">
        <f>[7]ISR_JULIO!B45</f>
        <v>21107</v>
      </c>
      <c r="I45" s="268">
        <f>[7]ISR_AGOSTO!B45</f>
        <v>20914</v>
      </c>
      <c r="J45" s="268">
        <f>[7]ISR_SEPTIEMBRE!B45</f>
        <v>21197</v>
      </c>
      <c r="K45" s="268">
        <f>[7]ISR_OCTUBRE!D45</f>
        <v>-8483</v>
      </c>
      <c r="L45" s="268">
        <f>[7]ISR_NOVIEMBRE!D45</f>
        <v>42953</v>
      </c>
      <c r="M45" s="269">
        <f>[7]ISR_DICIEMBRE!C45</f>
        <v>23721</v>
      </c>
      <c r="N45" s="270">
        <f t="shared" si="0"/>
        <v>335126</v>
      </c>
      <c r="O45" s="271">
        <f t="shared" si="1"/>
        <v>2.8449554397306804E-4</v>
      </c>
    </row>
    <row r="46" spans="1:15">
      <c r="A46" s="266" t="s">
        <v>41</v>
      </c>
      <c r="B46" s="267">
        <f>[7]ISR_ENERO!B46</f>
        <v>368010</v>
      </c>
      <c r="C46" s="268">
        <f>[7]ISR_FEBRERO!D46</f>
        <v>1226070</v>
      </c>
      <c r="D46" s="268">
        <f>[7]ISR_MARZO!B46</f>
        <v>378623</v>
      </c>
      <c r="E46" s="268">
        <f>[7]ISR_ABRIL!B46</f>
        <v>545978</v>
      </c>
      <c r="F46" s="268">
        <f>'[7]ISR MAYO'!D47</f>
        <v>247882</v>
      </c>
      <c r="G46" s="268">
        <f>[7]ISR_JUNIO!B46</f>
        <v>-71808</v>
      </c>
      <c r="H46" s="268">
        <f>[7]ISR_JULIO!B46</f>
        <v>271298</v>
      </c>
      <c r="I46" s="268">
        <f>[7]ISR_AGOSTO!B46</f>
        <v>2593396</v>
      </c>
      <c r="J46" s="268">
        <f>[7]ISR_SEPTIEMBRE!B46</f>
        <v>0</v>
      </c>
      <c r="K46" s="268">
        <f>[7]ISR_OCTUBRE!D46</f>
        <v>4201699</v>
      </c>
      <c r="L46" s="268">
        <f>[7]ISR_NOVIEMBRE!D46</f>
        <v>2838036</v>
      </c>
      <c r="M46" s="269">
        <f>[7]ISR_DICIEMBRE!C46</f>
        <v>0</v>
      </c>
      <c r="N46" s="270">
        <f t="shared" si="0"/>
        <v>12599184</v>
      </c>
      <c r="O46" s="271">
        <f t="shared" si="1"/>
        <v>1.0695713569513482E-2</v>
      </c>
    </row>
    <row r="47" spans="1:15">
      <c r="A47" s="266" t="s">
        <v>42</v>
      </c>
      <c r="B47" s="267">
        <f>[7]ISR_ENERO!B47</f>
        <v>0</v>
      </c>
      <c r="C47" s="268">
        <f>[7]ISR_FEBRERO!D47</f>
        <v>0</v>
      </c>
      <c r="D47" s="268">
        <f>[7]ISR_MARZO!B47</f>
        <v>0</v>
      </c>
      <c r="E47" s="268">
        <f>[7]ISR_ABRIL!B47</f>
        <v>0</v>
      </c>
      <c r="F47" s="268">
        <f>'[7]ISR MAYO'!D48</f>
        <v>0</v>
      </c>
      <c r="G47" s="268">
        <f>[7]ISR_JUNIO!B47</f>
        <v>0</v>
      </c>
      <c r="H47" s="268">
        <f>[7]ISR_JULIO!B47</f>
        <v>0</v>
      </c>
      <c r="I47" s="268">
        <f>[7]ISR_AGOSTO!B47</f>
        <v>0</v>
      </c>
      <c r="J47" s="268">
        <f>[7]ISR_SEPTIEMBRE!B47</f>
        <v>0</v>
      </c>
      <c r="K47" s="268">
        <f>[7]ISR_OCTUBRE!D47</f>
        <v>0</v>
      </c>
      <c r="L47" s="268">
        <f>[7]ISR_NOVIEMBRE!D47</f>
        <v>1191562</v>
      </c>
      <c r="M47" s="269">
        <f>[7]ISR_DICIEMBRE!C47</f>
        <v>0</v>
      </c>
      <c r="N47" s="270">
        <f t="shared" si="0"/>
        <v>1191562</v>
      </c>
      <c r="O47" s="271">
        <f t="shared" si="1"/>
        <v>1.0115421643430737E-3</v>
      </c>
    </row>
    <row r="48" spans="1:15">
      <c r="A48" s="266" t="s">
        <v>43</v>
      </c>
      <c r="B48" s="267">
        <f>[7]ISR_ENERO!B48</f>
        <v>0</v>
      </c>
      <c r="C48" s="268">
        <f>[7]ISR_FEBRERO!D48</f>
        <v>0</v>
      </c>
      <c r="D48" s="268">
        <f>[7]ISR_MARZO!B48</f>
        <v>0</v>
      </c>
      <c r="E48" s="268">
        <f>[7]ISR_ABRIL!B48</f>
        <v>0</v>
      </c>
      <c r="F48" s="268">
        <f>'[7]ISR MAYO'!D49</f>
        <v>0</v>
      </c>
      <c r="G48" s="268">
        <f>[7]ISR_JUNIO!B48</f>
        <v>0</v>
      </c>
      <c r="H48" s="268">
        <f>[7]ISR_JULIO!B48</f>
        <v>0</v>
      </c>
      <c r="I48" s="268">
        <f>[7]ISR_AGOSTO!B48</f>
        <v>0</v>
      </c>
      <c r="J48" s="268">
        <f>[7]ISR_SEPTIEMBRE!B48</f>
        <v>0</v>
      </c>
      <c r="K48" s="268">
        <f>[7]ISR_OCTUBRE!D48</f>
        <v>0</v>
      </c>
      <c r="L48" s="268">
        <f>[7]ISR_NOVIEMBRE!D48</f>
        <v>0</v>
      </c>
      <c r="M48" s="269">
        <f>[7]ISR_DICIEMBRE!C48</f>
        <v>0</v>
      </c>
      <c r="N48" s="270">
        <f t="shared" si="0"/>
        <v>0</v>
      </c>
      <c r="O48" s="271">
        <f t="shared" si="1"/>
        <v>0</v>
      </c>
    </row>
    <row r="49" spans="1:15">
      <c r="A49" s="266" t="s">
        <v>44</v>
      </c>
      <c r="B49" s="267">
        <f>[7]ISR_ENERO!B49</f>
        <v>0</v>
      </c>
      <c r="C49" s="268">
        <f>[7]ISR_FEBRERO!D49</f>
        <v>-1959</v>
      </c>
      <c r="D49" s="268">
        <f>[7]ISR_MARZO!B49</f>
        <v>0</v>
      </c>
      <c r="E49" s="268">
        <f>[7]ISR_ABRIL!B49</f>
        <v>489518</v>
      </c>
      <c r="F49" s="268">
        <f>'[7]ISR MAYO'!D50</f>
        <v>531421</v>
      </c>
      <c r="G49" s="268">
        <f>[7]ISR_JUNIO!B49</f>
        <v>503215</v>
      </c>
      <c r="H49" s="268">
        <f>[7]ISR_JULIO!B49</f>
        <v>0</v>
      </c>
      <c r="I49" s="268">
        <f>[7]ISR_AGOSTO!B49</f>
        <v>0</v>
      </c>
      <c r="J49" s="268">
        <f>[7]ISR_SEPTIEMBRE!B49</f>
        <v>0</v>
      </c>
      <c r="K49" s="268">
        <f>[7]ISR_OCTUBRE!D49</f>
        <v>5077372</v>
      </c>
      <c r="L49" s="268">
        <f>[7]ISR_NOVIEMBRE!D49</f>
        <v>4920789</v>
      </c>
      <c r="M49" s="269">
        <f>[7]ISR_DICIEMBRE!C49</f>
        <v>574713</v>
      </c>
      <c r="N49" s="270">
        <f t="shared" si="0"/>
        <v>12095069</v>
      </c>
      <c r="O49" s="271">
        <f t="shared" si="1"/>
        <v>1.0267759692016709E-2</v>
      </c>
    </row>
    <row r="50" spans="1:15">
      <c r="A50" s="266" t="s">
        <v>45</v>
      </c>
      <c r="B50" s="267">
        <f>[7]ISR_ENERO!B50</f>
        <v>0</v>
      </c>
      <c r="C50" s="268">
        <f>[7]ISR_FEBRERO!D50</f>
        <v>0</v>
      </c>
      <c r="D50" s="268">
        <f>[7]ISR_MARZO!B50</f>
        <v>0</v>
      </c>
      <c r="E50" s="268">
        <f>[7]ISR_ABRIL!B50</f>
        <v>0</v>
      </c>
      <c r="F50" s="268">
        <f>'[7]ISR MAYO'!D51</f>
        <v>0</v>
      </c>
      <c r="G50" s="268">
        <f>[7]ISR_JUNIO!B50</f>
        <v>0</v>
      </c>
      <c r="H50" s="268">
        <f>[7]ISR_JULIO!B50</f>
        <v>0</v>
      </c>
      <c r="I50" s="268">
        <f>[7]ISR_AGOSTO!B50</f>
        <v>0</v>
      </c>
      <c r="J50" s="268">
        <f>[7]ISR_SEPTIEMBRE!B50</f>
        <v>0</v>
      </c>
      <c r="K50" s="268">
        <f>[7]ISR_OCTUBRE!D50</f>
        <v>0</v>
      </c>
      <c r="L50" s="268">
        <f>[7]ISR_NOVIEMBRE!D50</f>
        <v>0</v>
      </c>
      <c r="M50" s="269">
        <f>[7]ISR_DICIEMBRE!C50</f>
        <v>0</v>
      </c>
      <c r="N50" s="270">
        <f t="shared" si="0"/>
        <v>0</v>
      </c>
      <c r="O50" s="271">
        <f t="shared" si="1"/>
        <v>0</v>
      </c>
    </row>
    <row r="51" spans="1:15">
      <c r="A51" s="266" t="s">
        <v>46</v>
      </c>
      <c r="B51" s="267">
        <f>[7]ISR_ENERO!B51</f>
        <v>42762</v>
      </c>
      <c r="C51" s="268">
        <f>[7]ISR_FEBRERO!D51</f>
        <v>718599</v>
      </c>
      <c r="D51" s="268">
        <f>[7]ISR_MARZO!B51</f>
        <v>15416124</v>
      </c>
      <c r="E51" s="268">
        <f>[7]ISR_ABRIL!B51</f>
        <v>49846</v>
      </c>
      <c r="F51" s="268">
        <f>'[7]ISR MAYO'!D52</f>
        <v>46009</v>
      </c>
      <c r="G51" s="268">
        <f>[7]ISR_JUNIO!B51</f>
        <v>11807612</v>
      </c>
      <c r="H51" s="268">
        <f>[7]ISR_JULIO!B51</f>
        <v>55581</v>
      </c>
      <c r="I51" s="268">
        <f>[7]ISR_AGOSTO!B51</f>
        <v>11955056</v>
      </c>
      <c r="J51" s="268">
        <f>[7]ISR_SEPTIEMBRE!B51</f>
        <v>17918438</v>
      </c>
      <c r="K51" s="268">
        <f>[7]ISR_OCTUBRE!D51</f>
        <v>5532424</v>
      </c>
      <c r="L51" s="268">
        <f>[7]ISR_NOVIEMBRE!D51</f>
        <v>14479742</v>
      </c>
      <c r="M51" s="269">
        <f>[7]ISR_DICIEMBRE!C51</f>
        <v>5536159</v>
      </c>
      <c r="N51" s="270">
        <f t="shared" si="0"/>
        <v>83558352</v>
      </c>
      <c r="O51" s="271">
        <f t="shared" si="1"/>
        <v>7.0934450940043733E-2</v>
      </c>
    </row>
    <row r="52" spans="1:15">
      <c r="A52" s="266" t="s">
        <v>47</v>
      </c>
      <c r="B52" s="267">
        <f>[7]ISR_ENERO!B52</f>
        <v>9319285</v>
      </c>
      <c r="C52" s="268">
        <f>[7]ISR_FEBRERO!D52</f>
        <v>1112991</v>
      </c>
      <c r="D52" s="268">
        <f>[7]ISR_MARZO!B52</f>
        <v>10353213</v>
      </c>
      <c r="E52" s="268">
        <f>[7]ISR_ABRIL!B52</f>
        <v>6772417</v>
      </c>
      <c r="F52" s="268">
        <f>'[7]ISR MAYO'!D53</f>
        <v>0</v>
      </c>
      <c r="G52" s="268">
        <f>[7]ISR_JUNIO!B52</f>
        <v>13968096</v>
      </c>
      <c r="H52" s="268">
        <f>[7]ISR_JULIO!B52</f>
        <v>15532093</v>
      </c>
      <c r="I52" s="268">
        <f>[7]ISR_AGOSTO!B52</f>
        <v>23738460</v>
      </c>
      <c r="J52" s="268">
        <f>[7]ISR_SEPTIEMBRE!B52</f>
        <v>28805606</v>
      </c>
      <c r="K52" s="268">
        <f>[7]ISR_OCTUBRE!D52</f>
        <v>7178214</v>
      </c>
      <c r="L52" s="268">
        <f>[7]ISR_NOVIEMBRE!D52</f>
        <v>1008059</v>
      </c>
      <c r="M52" s="269">
        <f>[7]ISR_DICIEMBRE!C52</f>
        <v>2241333</v>
      </c>
      <c r="N52" s="270">
        <f t="shared" si="0"/>
        <v>120029767</v>
      </c>
      <c r="O52" s="271">
        <f t="shared" si="1"/>
        <v>0.10189580592262495</v>
      </c>
    </row>
    <row r="53" spans="1:15">
      <c r="A53" s="266" t="s">
        <v>48</v>
      </c>
      <c r="B53" s="267">
        <f>[7]ISR_ENERO!B53</f>
        <v>0</v>
      </c>
      <c r="C53" s="268">
        <f>[7]ISR_FEBRERO!D53</f>
        <v>-1759113</v>
      </c>
      <c r="D53" s="268">
        <f>[7]ISR_MARZO!B53</f>
        <v>1718158</v>
      </c>
      <c r="E53" s="268">
        <f>[7]ISR_ABRIL!B53</f>
        <v>6377213</v>
      </c>
      <c r="F53" s="268">
        <f>'[7]ISR MAYO'!D54</f>
        <v>6236038</v>
      </c>
      <c r="G53" s="268">
        <f>[7]ISR_JUNIO!B53</f>
        <v>4832334</v>
      </c>
      <c r="H53" s="268">
        <f>[7]ISR_JULIO!B53</f>
        <v>2660872</v>
      </c>
      <c r="I53" s="268">
        <f>[7]ISR_AGOSTO!B53</f>
        <v>5722917</v>
      </c>
      <c r="J53" s="268">
        <f>[7]ISR_SEPTIEMBRE!B53</f>
        <v>13402320</v>
      </c>
      <c r="K53" s="268">
        <f>[7]ISR_OCTUBRE!D53</f>
        <v>22058649</v>
      </c>
      <c r="L53" s="268">
        <f>[7]ISR_NOVIEMBRE!D53</f>
        <v>39610979</v>
      </c>
      <c r="M53" s="269">
        <f>[7]ISR_DICIEMBRE!C53</f>
        <v>10426778</v>
      </c>
      <c r="N53" s="270">
        <f t="shared" si="0"/>
        <v>111287145</v>
      </c>
      <c r="O53" s="271">
        <f t="shared" si="1"/>
        <v>9.4474009339725051E-2</v>
      </c>
    </row>
    <row r="54" spans="1:15">
      <c r="A54" s="266" t="s">
        <v>49</v>
      </c>
      <c r="B54" s="267">
        <f>[7]ISR_ENERO!B54</f>
        <v>2657700</v>
      </c>
      <c r="C54" s="268">
        <f>[7]ISR_FEBRERO!D54</f>
        <v>824189</v>
      </c>
      <c r="D54" s="268">
        <f>[7]ISR_MARZO!B54</f>
        <v>0</v>
      </c>
      <c r="E54" s="268">
        <f>[7]ISR_ABRIL!B54</f>
        <v>6142866</v>
      </c>
      <c r="F54" s="268">
        <f>'[7]ISR MAYO'!D55</f>
        <v>0</v>
      </c>
      <c r="G54" s="268">
        <f>[7]ISR_JUNIO!B54</f>
        <v>3450732</v>
      </c>
      <c r="H54" s="268">
        <f>[7]ISR_JULIO!B54</f>
        <v>791520</v>
      </c>
      <c r="I54" s="268">
        <f>[7]ISR_AGOSTO!B54</f>
        <v>1533005</v>
      </c>
      <c r="J54" s="268">
        <f>[7]ISR_SEPTIEMBRE!B54</f>
        <v>1900952</v>
      </c>
      <c r="K54" s="268">
        <f>[7]ISR_OCTUBRE!D54</f>
        <v>779408</v>
      </c>
      <c r="L54" s="268">
        <f>[7]ISR_NOVIEMBRE!D54</f>
        <v>1395259</v>
      </c>
      <c r="M54" s="269">
        <f>[7]ISR_DICIEMBRE!C54</f>
        <v>1915819</v>
      </c>
      <c r="N54" s="270">
        <f t="shared" si="0"/>
        <v>21391450</v>
      </c>
      <c r="O54" s="271">
        <f t="shared" si="1"/>
        <v>1.8159653993192668E-2</v>
      </c>
    </row>
    <row r="55" spans="1:15">
      <c r="A55" s="266" t="s">
        <v>50</v>
      </c>
      <c r="B55" s="267">
        <f>[7]ISR_ENERO!B55</f>
        <v>0</v>
      </c>
      <c r="C55" s="268">
        <f>[7]ISR_FEBRERO!D55</f>
        <v>0</v>
      </c>
      <c r="D55" s="268">
        <f>[7]ISR_MARZO!B55</f>
        <v>0</v>
      </c>
      <c r="E55" s="268">
        <f>[7]ISR_ABRIL!B55</f>
        <v>0</v>
      </c>
      <c r="F55" s="268">
        <f>'[7]ISR MAYO'!D56</f>
        <v>0</v>
      </c>
      <c r="G55" s="268">
        <f>[7]ISR_JUNIO!B55</f>
        <v>0</v>
      </c>
      <c r="H55" s="268">
        <f>[7]ISR_JULIO!B55</f>
        <v>0</v>
      </c>
      <c r="I55" s="268">
        <f>[7]ISR_AGOSTO!B55</f>
        <v>818685</v>
      </c>
      <c r="J55" s="268">
        <f>[7]ISR_SEPTIEMBRE!B55</f>
        <v>56687</v>
      </c>
      <c r="K55" s="268">
        <f>[7]ISR_OCTUBRE!D55</f>
        <v>0</v>
      </c>
      <c r="L55" s="268">
        <f>[7]ISR_NOVIEMBRE!D55</f>
        <v>67779</v>
      </c>
      <c r="M55" s="269">
        <f>[7]ISR_DICIEMBRE!C55</f>
        <v>23996</v>
      </c>
      <c r="N55" s="270">
        <f t="shared" si="0"/>
        <v>967147</v>
      </c>
      <c r="O55" s="271">
        <f t="shared" si="1"/>
        <v>8.2103152804294754E-4</v>
      </c>
    </row>
    <row r="56" spans="1:15">
      <c r="A56" s="266" t="s">
        <v>51</v>
      </c>
      <c r="B56" s="267">
        <f>[7]ISR_ENERO!B56</f>
        <v>0</v>
      </c>
      <c r="C56" s="268">
        <f>[7]ISR_FEBRERO!D56</f>
        <v>0</v>
      </c>
      <c r="D56" s="268">
        <f>[7]ISR_MARZO!B56</f>
        <v>0</v>
      </c>
      <c r="E56" s="268">
        <f>[7]ISR_ABRIL!B56</f>
        <v>0</v>
      </c>
      <c r="F56" s="268">
        <f>'[7]ISR MAYO'!D57</f>
        <v>0</v>
      </c>
      <c r="G56" s="268">
        <f>[7]ISR_JUNIO!B56</f>
        <v>0</v>
      </c>
      <c r="H56" s="268">
        <f>[7]ISR_JULIO!B56</f>
        <v>0</v>
      </c>
      <c r="I56" s="268">
        <f>[7]ISR_AGOSTO!B56</f>
        <v>0</v>
      </c>
      <c r="J56" s="268">
        <f>[7]ISR_SEPTIEMBRE!B56</f>
        <v>0</v>
      </c>
      <c r="K56" s="268">
        <f>[7]ISR_OCTUBRE!D56</f>
        <v>0</v>
      </c>
      <c r="L56" s="268">
        <f>[7]ISR_NOVIEMBRE!D56</f>
        <v>0</v>
      </c>
      <c r="M56" s="269">
        <f>[7]ISR_DICIEMBRE!C56</f>
        <v>0</v>
      </c>
      <c r="N56" s="270">
        <f t="shared" si="0"/>
        <v>0</v>
      </c>
      <c r="O56" s="271">
        <f t="shared" si="1"/>
        <v>0</v>
      </c>
    </row>
    <row r="57" spans="1:15" ht="15.75" thickBot="1">
      <c r="A57" s="272" t="s">
        <v>52</v>
      </c>
      <c r="B57" s="273">
        <f>SUM(B6:B56)</f>
        <v>36733712</v>
      </c>
      <c r="C57" s="274">
        <f t="shared" ref="C57:O57" si="2">SUM(C6:C56)</f>
        <v>99699418</v>
      </c>
      <c r="D57" s="274">
        <f t="shared" si="2"/>
        <v>94941595</v>
      </c>
      <c r="E57" s="274">
        <f t="shared" si="2"/>
        <v>65390108</v>
      </c>
      <c r="F57" s="274">
        <f t="shared" si="2"/>
        <v>65819439</v>
      </c>
      <c r="G57" s="274">
        <f t="shared" si="2"/>
        <v>107924983</v>
      </c>
      <c r="H57" s="274">
        <f t="shared" si="2"/>
        <v>62063720</v>
      </c>
      <c r="I57" s="274">
        <f t="shared" si="2"/>
        <v>75822621</v>
      </c>
      <c r="J57" s="274">
        <f t="shared" si="2"/>
        <v>152882839</v>
      </c>
      <c r="K57" s="274">
        <f t="shared" si="2"/>
        <v>102027944</v>
      </c>
      <c r="L57" s="274">
        <f t="shared" si="2"/>
        <v>255716892</v>
      </c>
      <c r="M57" s="275">
        <f t="shared" si="2"/>
        <v>58942455</v>
      </c>
      <c r="N57" s="273">
        <f t="shared" si="2"/>
        <v>1177965726</v>
      </c>
      <c r="O57" s="276">
        <f t="shared" si="2"/>
        <v>0.99999999999999978</v>
      </c>
    </row>
    <row r="58" spans="1:15" ht="15.75" thickTop="1"/>
    <row r="62" spans="1:15">
      <c r="B62" s="277"/>
    </row>
    <row r="64" spans="1:15">
      <c r="D64" s="277"/>
      <c r="F64" s="27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PART MES</vt:lpstr>
      <vt:lpstr>DIST MES</vt:lpstr>
      <vt:lpstr>COEF Art 14 F I</vt:lpstr>
      <vt:lpstr>CALCULO GARANTIA</vt:lpstr>
      <vt:lpstr>COEF Art 14 F II</vt:lpstr>
      <vt:lpstr>Art.14 Frac.III</vt:lpstr>
      <vt:lpstr>ISR_2019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'DIST MES'!Área_de_impresión</vt:lpstr>
      <vt:lpstr>'PART MES'!Área_de_impresión</vt:lpstr>
      <vt:lpstr>'COEF Art 14 F I'!Títulos_a_imprimir</vt:lpstr>
      <vt:lpstr>'DIST MES'!Títulos_a_imprimir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2020-02-06T16:40:00Z</cp:lastPrinted>
  <dcterms:created xsi:type="dcterms:W3CDTF">2009-12-17T23:31:03Z</dcterms:created>
  <dcterms:modified xsi:type="dcterms:W3CDTF">2020-02-12T17:59:24Z</dcterms:modified>
</cp:coreProperties>
</file>