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ajuste anual 2020\"/>
    </mc:Choice>
  </mc:AlternateContent>
  <bookViews>
    <workbookView xWindow="0" yWindow="1290" windowWidth="10530" windowHeight="6855" activeTab="1"/>
  </bookViews>
  <sheets>
    <sheet name="PART MES" sheetId="41" r:id="rId1"/>
    <sheet name="DIST MES" sheetId="48" r:id="rId2"/>
    <sheet name="COEF Art 14 F I" sheetId="1" r:id="rId3"/>
    <sheet name="PART PEF2020" sheetId="43" r:id="rId4"/>
    <sheet name="CALCULO GARANTIA" sheetId="28" r:id="rId5"/>
    <sheet name="COEF Art 14 F II" sheetId="36" r:id="rId6"/>
    <sheet name="Art.14 Frac.III" sheetId="44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'DIST MES'!#REF!</definedName>
    <definedName name="A_impresión_IM" localSheetId="4">#REF!</definedName>
    <definedName name="A_impresión_IM" localSheetId="5">#REF!</definedName>
    <definedName name="A_impresión_IM" localSheetId="1">#REF!</definedName>
    <definedName name="A_impresión_IM" localSheetId="0">#REF!</definedName>
    <definedName name="A_impresión_IM" localSheetId="3">#REF!</definedName>
    <definedName name="A_impresión_IM">#REF!</definedName>
    <definedName name="AJUSTES" localSheetId="4" hidden="1">{"'beneficiarios'!$A$1:$C$7"}</definedName>
    <definedName name="AJUSTES" localSheetId="1" hidden="1">{"'beneficiarios'!$A$1:$C$7"}</definedName>
    <definedName name="AJUSTES" localSheetId="0" hidden="1">{"'beneficiarios'!$A$1:$C$7"}</definedName>
    <definedName name="AJUSTES" localSheetId="3" hidden="1">{"'beneficiarios'!$A$1:$C$7"}</definedName>
    <definedName name="AJUSTES" hidden="1">{"'beneficiarios'!$A$1:$C$7"}</definedName>
    <definedName name="_xlnm.Print_Area" localSheetId="6">'Art.14 Frac.III'!$A$1:$Q$56</definedName>
    <definedName name="_xlnm.Print_Area" localSheetId="4">'CALCULO GARANTIA'!$A$1:$Q$60</definedName>
    <definedName name="_xlnm.Print_Area" localSheetId="2">'COEF Art 14 F I'!$A$3:$AI$60</definedName>
    <definedName name="_xlnm.Print_Area" localSheetId="5">'COEF Art 14 F II'!$A$3:$M$62</definedName>
    <definedName name="_xlnm.Print_Area" localSheetId="1">'DIST MES'!$A$1:$K$57</definedName>
    <definedName name="_xlnm.Print_Area" localSheetId="0">'PART MES'!$A$1:$E$15</definedName>
    <definedName name="_xlnm.Print_Area" localSheetId="3">'PART PEF2020'!$A$1:$D$14</definedName>
    <definedName name="_xlnm.Database" localSheetId="4">#REF!</definedName>
    <definedName name="_xlnm.Database" localSheetId="5">#REF!</definedName>
    <definedName name="_xlnm.Database" localSheetId="1">#REF!</definedName>
    <definedName name="_xlnm.Database" localSheetId="0">#REF!</definedName>
    <definedName name="_xlnm.Database" localSheetId="3">#REF!</definedName>
    <definedName name="_xlnm.Database">#REF!</definedName>
    <definedName name="cierre_2001" localSheetId="5">'[1]deuda c sadm'!#REF!</definedName>
    <definedName name="cierre_2001" localSheetId="1">'[1]deuda c sadm'!#REF!</definedName>
    <definedName name="cierre_2001" localSheetId="0">'[1]deuda c sadm'!#REF!</definedName>
    <definedName name="cierre_2001" localSheetId="3">'[1]deuda c sadm'!#REF!</definedName>
    <definedName name="cierre_2001">'[1]deuda c sadm'!#REF!</definedName>
    <definedName name="deuda" localSheetId="5">'[1]deuda c sadm'!#REF!</definedName>
    <definedName name="deuda" localSheetId="1">'[1]deuda c sadm'!#REF!</definedName>
    <definedName name="deuda" localSheetId="0">'[1]deuda c sadm'!#REF!</definedName>
    <definedName name="deuda" localSheetId="3">'[1]deuda c sadm'!#REF!</definedName>
    <definedName name="deuda">'[1]deuda c sadm'!#REF!</definedName>
    <definedName name="Deuda_ingTot" localSheetId="5">'[1]deuda c sadm'!#REF!</definedName>
    <definedName name="Deuda_ingTot" localSheetId="1">'[1]deuda c sadm'!#REF!</definedName>
    <definedName name="Deuda_ingTot" localSheetId="0">'[1]deuda c sadm'!#REF!</definedName>
    <definedName name="Deuda_ingTot" localSheetId="3">'[1]deuda c sadm'!#REF!</definedName>
    <definedName name="Deuda_ingTot">'[1]deuda c sadm'!#REF!</definedName>
    <definedName name="ENERO" localSheetId="4">#REF!</definedName>
    <definedName name="ENERO" localSheetId="5">#REF!</definedName>
    <definedName name="ENERO" localSheetId="1">#REF!</definedName>
    <definedName name="ENERO" localSheetId="0">#REF!</definedName>
    <definedName name="ENERO" localSheetId="3">#REF!</definedName>
    <definedName name="ENERO">#REF!</definedName>
    <definedName name="ENEROAJUSTE" localSheetId="1">#REF!</definedName>
    <definedName name="ENEROAJUSTE" localSheetId="3">#REF!</definedName>
    <definedName name="ENEROAJUSTE">#REF!</definedName>
    <definedName name="Estado">'[2]Compendio de nombres'!$C$2:$C$33</definedName>
    <definedName name="Estado1" localSheetId="1">#REF!</definedName>
    <definedName name="Estado1">#REF!</definedName>
    <definedName name="Fto_1" localSheetId="4">#REF!</definedName>
    <definedName name="Fto_1" localSheetId="5">#REF!</definedName>
    <definedName name="Fto_1" localSheetId="1">#REF!</definedName>
    <definedName name="Fto_1" localSheetId="0">#REF!</definedName>
    <definedName name="Fto_1" localSheetId="3">#REF!</definedName>
    <definedName name="Fto_1">#REF!</definedName>
    <definedName name="HTML_CodePage" hidden="1">1252</definedName>
    <definedName name="HTML_Control" localSheetId="4" hidden="1">{"'beneficiarios'!$A$1:$C$7"}</definedName>
    <definedName name="HTML_Control" localSheetId="1" hidden="1">{"'beneficiarios'!$A$1:$C$7"}</definedName>
    <definedName name="HTML_Control" localSheetId="0" hidden="1">{"'beneficiarios'!$A$1:$C$7"}</definedName>
    <definedName name="HTML_Control" localSheetId="3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4" hidden="1">{"'beneficiarios'!$A$1:$C$7"}</definedName>
    <definedName name="INDICADORES" localSheetId="1" hidden="1">{"'beneficiarios'!$A$1:$C$7"}</definedName>
    <definedName name="INDICADORES" localSheetId="0" hidden="1">{"'beneficiarios'!$A$1:$C$7"}</definedName>
    <definedName name="INDICADORES" localSheetId="3" hidden="1">{"'beneficiarios'!$A$1:$C$7"}</definedName>
    <definedName name="INDICADORES" hidden="1">{"'beneficiarios'!$A$1:$C$7"}</definedName>
    <definedName name="ingresofederales" localSheetId="4" hidden="1">{"'beneficiarios'!$A$1:$C$7"}</definedName>
    <definedName name="ingresofederales" localSheetId="1" hidden="1">{"'beneficiarios'!$A$1:$C$7"}</definedName>
    <definedName name="ingresofederales" localSheetId="0" hidden="1">{"'beneficiarios'!$A$1:$C$7"}</definedName>
    <definedName name="ingresofederales" localSheetId="3" hidden="1">{"'beneficiarios'!$A$1:$C$7"}</definedName>
    <definedName name="ingresofederales" hidden="1">{"'beneficiarios'!$A$1:$C$7"}</definedName>
    <definedName name="MUNICIPIOS" localSheetId="6">[3]IMPORTE!$A$3:$A$53</definedName>
    <definedName name="MUNICIPIOS" hidden="1">{"'beneficiarios'!$A$1:$C$7"}</definedName>
    <definedName name="Notas_Fto_1" localSheetId="5">#REF!</definedName>
    <definedName name="Notas_Fto_1" localSheetId="1">#REF!</definedName>
    <definedName name="Notas_Fto_1" localSheetId="0">#REF!</definedName>
    <definedName name="Notas_Fto_1" localSheetId="3">#REF!</definedName>
    <definedName name="Notas_Fto_1">#REF!</definedName>
    <definedName name="Partidas">[4]TECHO!$B$1:$Q$2798</definedName>
    <definedName name="SINAJUSTE" localSheetId="4" hidden="1">{"'beneficiarios'!$A$1:$C$7"}</definedName>
    <definedName name="SINAJUSTE" localSheetId="1" hidden="1">{"'beneficiarios'!$A$1:$C$7"}</definedName>
    <definedName name="SINAJUSTE" localSheetId="0" hidden="1">{"'beneficiarios'!$A$1:$C$7"}</definedName>
    <definedName name="SINAJUSTE" localSheetId="3" hidden="1">{"'beneficiarios'!$A$1:$C$7"}</definedName>
    <definedName name="SINAJUSTE" hidden="1">{"'beneficiarios'!$A$1:$C$7"}</definedName>
    <definedName name="t" localSheetId="1">#REF!</definedName>
    <definedName name="t" localSheetId="0">#REF!</definedName>
    <definedName name="t" localSheetId="3">#REF!</definedName>
    <definedName name="t">#REF!</definedName>
    <definedName name="_xlnm.Print_Titles" localSheetId="2">'COEF Art 14 F I'!$A:$A,'COEF Art 14 F I'!$3:$3</definedName>
    <definedName name="_xlnm.Print_Titles" localSheetId="1">'DIST MES'!$1:$3</definedName>
    <definedName name="TOT" localSheetId="5">#REF!</definedName>
    <definedName name="TOT" localSheetId="1">#REF!</definedName>
    <definedName name="TOT" localSheetId="0">#REF!</definedName>
    <definedName name="TOT" localSheetId="3">#REF!</definedName>
    <definedName name="TOT">#REF!</definedName>
    <definedName name="TOTAL" localSheetId="5">#REF!</definedName>
    <definedName name="TOTAL" localSheetId="1">#REF!</definedName>
    <definedName name="TOTAL" localSheetId="0">#REF!</definedName>
    <definedName name="TOTAL" localSheetId="3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AJ56" i="48" l="1"/>
  <c r="AI56" i="48"/>
  <c r="AH56" i="48"/>
  <c r="AG56" i="48"/>
  <c r="AF56" i="48"/>
  <c r="AE56" i="48"/>
  <c r="AD56" i="48"/>
  <c r="AC56" i="48"/>
  <c r="AJ55" i="48"/>
  <c r="AI55" i="48"/>
  <c r="AH55" i="48"/>
  <c r="AG55" i="48"/>
  <c r="AF55" i="48"/>
  <c r="AE55" i="48"/>
  <c r="AD55" i="48"/>
  <c r="AK55" i="48" s="1"/>
  <c r="AC55" i="48"/>
  <c r="AJ54" i="48"/>
  <c r="AI54" i="48"/>
  <c r="AH54" i="48"/>
  <c r="AG54" i="48"/>
  <c r="AF54" i="48"/>
  <c r="AE54" i="48"/>
  <c r="AD54" i="48"/>
  <c r="AC54" i="48"/>
  <c r="AJ53" i="48"/>
  <c r="AI53" i="48"/>
  <c r="AH53" i="48"/>
  <c r="AG53" i="48"/>
  <c r="AF53" i="48"/>
  <c r="AE53" i="48"/>
  <c r="AD53" i="48"/>
  <c r="AC53" i="48"/>
  <c r="AJ52" i="48"/>
  <c r="AI52" i="48"/>
  <c r="AH52" i="48"/>
  <c r="AG52" i="48"/>
  <c r="AF52" i="48"/>
  <c r="AE52" i="48"/>
  <c r="AD52" i="48"/>
  <c r="AC52" i="48"/>
  <c r="AJ51" i="48"/>
  <c r="AI51" i="48"/>
  <c r="AH51" i="48"/>
  <c r="AG51" i="48"/>
  <c r="AF51" i="48"/>
  <c r="AE51" i="48"/>
  <c r="AD51" i="48"/>
  <c r="AC51" i="48"/>
  <c r="AJ50" i="48"/>
  <c r="AI50" i="48"/>
  <c r="AH50" i="48"/>
  <c r="AG50" i="48"/>
  <c r="AF50" i="48"/>
  <c r="AE50" i="48"/>
  <c r="AD50" i="48"/>
  <c r="AC50" i="48"/>
  <c r="AJ49" i="48"/>
  <c r="AI49" i="48"/>
  <c r="AH49" i="48"/>
  <c r="AG49" i="48"/>
  <c r="AF49" i="48"/>
  <c r="AE49" i="48"/>
  <c r="AD49" i="48"/>
  <c r="AC49" i="48"/>
  <c r="AJ48" i="48"/>
  <c r="AI48" i="48"/>
  <c r="AH48" i="48"/>
  <c r="AG48" i="48"/>
  <c r="AF48" i="48"/>
  <c r="AE48" i="48"/>
  <c r="AD48" i="48"/>
  <c r="AC48" i="48"/>
  <c r="AK48" i="48" s="1"/>
  <c r="AJ47" i="48"/>
  <c r="AI47" i="48"/>
  <c r="AH47" i="48"/>
  <c r="AG47" i="48"/>
  <c r="AF47" i="48"/>
  <c r="AE47" i="48"/>
  <c r="AD47" i="48"/>
  <c r="AC47" i="48"/>
  <c r="AJ46" i="48"/>
  <c r="AI46" i="48"/>
  <c r="AH46" i="48"/>
  <c r="AG46" i="48"/>
  <c r="AF46" i="48"/>
  <c r="AE46" i="48"/>
  <c r="AD46" i="48"/>
  <c r="AC46" i="48"/>
  <c r="AJ45" i="48"/>
  <c r="AI45" i="48"/>
  <c r="AH45" i="48"/>
  <c r="AG45" i="48"/>
  <c r="AF45" i="48"/>
  <c r="AE45" i="48"/>
  <c r="AD45" i="48"/>
  <c r="AC45" i="48"/>
  <c r="AJ44" i="48"/>
  <c r="AI44" i="48"/>
  <c r="AH44" i="48"/>
  <c r="AG44" i="48"/>
  <c r="AF44" i="48"/>
  <c r="AE44" i="48"/>
  <c r="AD44" i="48"/>
  <c r="AC44" i="48"/>
  <c r="AJ43" i="48"/>
  <c r="AI43" i="48"/>
  <c r="AH43" i="48"/>
  <c r="AG43" i="48"/>
  <c r="AF43" i="48"/>
  <c r="AE43" i="48"/>
  <c r="AD43" i="48"/>
  <c r="AK43" i="48" s="1"/>
  <c r="AC43" i="48"/>
  <c r="AJ42" i="48"/>
  <c r="AI42" i="48"/>
  <c r="AH42" i="48"/>
  <c r="AG42" i="48"/>
  <c r="AF42" i="48"/>
  <c r="AE42" i="48"/>
  <c r="AD42" i="48"/>
  <c r="AC42" i="48"/>
  <c r="AJ41" i="48"/>
  <c r="AI41" i="48"/>
  <c r="AH41" i="48"/>
  <c r="AG41" i="48"/>
  <c r="AF41" i="48"/>
  <c r="AE41" i="48"/>
  <c r="AD41" i="48"/>
  <c r="AC41" i="48"/>
  <c r="AK41" i="48" s="1"/>
  <c r="AJ40" i="48"/>
  <c r="AI40" i="48"/>
  <c r="AH40" i="48"/>
  <c r="AG40" i="48"/>
  <c r="AF40" i="48"/>
  <c r="AE40" i="48"/>
  <c r="AD40" i="48"/>
  <c r="AC40" i="48"/>
  <c r="AJ39" i="48"/>
  <c r="AI39" i="48"/>
  <c r="AH39" i="48"/>
  <c r="AG39" i="48"/>
  <c r="AF39" i="48"/>
  <c r="AE39" i="48"/>
  <c r="AD39" i="48"/>
  <c r="AC39" i="48"/>
  <c r="AJ38" i="48"/>
  <c r="AI38" i="48"/>
  <c r="AH38" i="48"/>
  <c r="AG38" i="48"/>
  <c r="AF38" i="48"/>
  <c r="AE38" i="48"/>
  <c r="AD38" i="48"/>
  <c r="AC38" i="48"/>
  <c r="AJ37" i="48"/>
  <c r="AI37" i="48"/>
  <c r="AH37" i="48"/>
  <c r="AG37" i="48"/>
  <c r="AF37" i="48"/>
  <c r="AE37" i="48"/>
  <c r="AD37" i="48"/>
  <c r="AC37" i="48"/>
  <c r="AJ36" i="48"/>
  <c r="AI36" i="48"/>
  <c r="AH36" i="48"/>
  <c r="AG36" i="48"/>
  <c r="AF36" i="48"/>
  <c r="AE36" i="48"/>
  <c r="AD36" i="48"/>
  <c r="AC36" i="48"/>
  <c r="AK36" i="48" s="1"/>
  <c r="AJ35" i="48"/>
  <c r="AI35" i="48"/>
  <c r="AH35" i="48"/>
  <c r="AG35" i="48"/>
  <c r="AF35" i="48"/>
  <c r="AE35" i="48"/>
  <c r="AD35" i="48"/>
  <c r="AC35" i="48"/>
  <c r="AK35" i="48" s="1"/>
  <c r="AJ34" i="48"/>
  <c r="AI34" i="48"/>
  <c r="AH34" i="48"/>
  <c r="AG34" i="48"/>
  <c r="AF34" i="48"/>
  <c r="AE34" i="48"/>
  <c r="AD34" i="48"/>
  <c r="AC34" i="48"/>
  <c r="AJ33" i="48"/>
  <c r="AI33" i="48"/>
  <c r="AH33" i="48"/>
  <c r="AG33" i="48"/>
  <c r="AF33" i="48"/>
  <c r="AE33" i="48"/>
  <c r="AD33" i="48"/>
  <c r="AC33" i="48"/>
  <c r="AJ32" i="48"/>
  <c r="AI32" i="48"/>
  <c r="AH32" i="48"/>
  <c r="AG32" i="48"/>
  <c r="AF32" i="48"/>
  <c r="AE32" i="48"/>
  <c r="AD32" i="48"/>
  <c r="AC32" i="48"/>
  <c r="AJ31" i="48"/>
  <c r="AI31" i="48"/>
  <c r="AH31" i="48"/>
  <c r="AG31" i="48"/>
  <c r="AF31" i="48"/>
  <c r="AE31" i="48"/>
  <c r="AD31" i="48"/>
  <c r="AC31" i="48"/>
  <c r="AK31" i="48" s="1"/>
  <c r="AJ30" i="48"/>
  <c r="AI30" i="48"/>
  <c r="AH30" i="48"/>
  <c r="AG30" i="48"/>
  <c r="AF30" i="48"/>
  <c r="AE30" i="48"/>
  <c r="AD30" i="48"/>
  <c r="AC30" i="48"/>
  <c r="AJ29" i="48"/>
  <c r="AI29" i="48"/>
  <c r="AH29" i="48"/>
  <c r="AG29" i="48"/>
  <c r="AF29" i="48"/>
  <c r="AE29" i="48"/>
  <c r="AD29" i="48"/>
  <c r="AC29" i="48"/>
  <c r="AJ28" i="48"/>
  <c r="AI28" i="48"/>
  <c r="AH28" i="48"/>
  <c r="AG28" i="48"/>
  <c r="AF28" i="48"/>
  <c r="AE28" i="48"/>
  <c r="AD28" i="48"/>
  <c r="AC28" i="48"/>
  <c r="AJ27" i="48"/>
  <c r="AI27" i="48"/>
  <c r="AH27" i="48"/>
  <c r="AG27" i="48"/>
  <c r="AF27" i="48"/>
  <c r="AE27" i="48"/>
  <c r="AD27" i="48"/>
  <c r="AC27" i="48"/>
  <c r="AJ26" i="48"/>
  <c r="AI26" i="48"/>
  <c r="AH26" i="48"/>
  <c r="AG26" i="48"/>
  <c r="AF26" i="48"/>
  <c r="AE26" i="48"/>
  <c r="AD26" i="48"/>
  <c r="AC26" i="48"/>
  <c r="AJ25" i="48"/>
  <c r="AI25" i="48"/>
  <c r="AH25" i="48"/>
  <c r="AG25" i="48"/>
  <c r="AF25" i="48"/>
  <c r="AE25" i="48"/>
  <c r="AD25" i="48"/>
  <c r="AC25" i="48"/>
  <c r="AJ24" i="48"/>
  <c r="AI24" i="48"/>
  <c r="AH24" i="48"/>
  <c r="AG24" i="48"/>
  <c r="AF24" i="48"/>
  <c r="AE24" i="48"/>
  <c r="AD24" i="48"/>
  <c r="AC24" i="48"/>
  <c r="AK24" i="48" s="1"/>
  <c r="AJ23" i="48"/>
  <c r="AI23" i="48"/>
  <c r="AH23" i="48"/>
  <c r="AG23" i="48"/>
  <c r="AF23" i="48"/>
  <c r="AE23" i="48"/>
  <c r="AD23" i="48"/>
  <c r="AC23" i="48"/>
  <c r="AK23" i="48" s="1"/>
  <c r="AJ22" i="48"/>
  <c r="AI22" i="48"/>
  <c r="AH22" i="48"/>
  <c r="AG22" i="48"/>
  <c r="AF22" i="48"/>
  <c r="AE22" i="48"/>
  <c r="AD22" i="48"/>
  <c r="AC22" i="48"/>
  <c r="AJ21" i="48"/>
  <c r="AI21" i="48"/>
  <c r="AH21" i="48"/>
  <c r="AG21" i="48"/>
  <c r="AF21" i="48"/>
  <c r="AE21" i="48"/>
  <c r="AD21" i="48"/>
  <c r="AC21" i="48"/>
  <c r="AJ20" i="48"/>
  <c r="AI20" i="48"/>
  <c r="AH20" i="48"/>
  <c r="AG20" i="48"/>
  <c r="AF20" i="48"/>
  <c r="AE20" i="48"/>
  <c r="AD20" i="48"/>
  <c r="AC20" i="48"/>
  <c r="AJ19" i="48"/>
  <c r="AI19" i="48"/>
  <c r="AH19" i="48"/>
  <c r="AG19" i="48"/>
  <c r="AF19" i="48"/>
  <c r="AE19" i="48"/>
  <c r="AD19" i="48"/>
  <c r="AC19" i="48"/>
  <c r="AK19" i="48" s="1"/>
  <c r="AJ18" i="48"/>
  <c r="AI18" i="48"/>
  <c r="AH18" i="48"/>
  <c r="AG18" i="48"/>
  <c r="AF18" i="48"/>
  <c r="AE18" i="48"/>
  <c r="AD18" i="48"/>
  <c r="AC18" i="48"/>
  <c r="AJ17" i="48"/>
  <c r="AI17" i="48"/>
  <c r="AH17" i="48"/>
  <c r="AG17" i="48"/>
  <c r="AF17" i="48"/>
  <c r="AE17" i="48"/>
  <c r="AD17" i="48"/>
  <c r="AC17" i="48"/>
  <c r="AK17" i="48" s="1"/>
  <c r="AJ16" i="48"/>
  <c r="AI16" i="48"/>
  <c r="AH16" i="48"/>
  <c r="AG16" i="48"/>
  <c r="AF16" i="48"/>
  <c r="AE16" i="48"/>
  <c r="AD16" i="48"/>
  <c r="AC16" i="48"/>
  <c r="AJ15" i="48"/>
  <c r="AI15" i="48"/>
  <c r="AH15" i="48"/>
  <c r="AG15" i="48"/>
  <c r="AF15" i="48"/>
  <c r="AE15" i="48"/>
  <c r="AD15" i="48"/>
  <c r="AC15" i="48"/>
  <c r="AJ14" i="48"/>
  <c r="AI14" i="48"/>
  <c r="AH14" i="48"/>
  <c r="AG14" i="48"/>
  <c r="AF14" i="48"/>
  <c r="AE14" i="48"/>
  <c r="AD14" i="48"/>
  <c r="AC14" i="48"/>
  <c r="AJ13" i="48"/>
  <c r="AI13" i="48"/>
  <c r="AH13" i="48"/>
  <c r="AG13" i="48"/>
  <c r="AF13" i="48"/>
  <c r="AE13" i="48"/>
  <c r="AD13" i="48"/>
  <c r="AC13" i="48"/>
  <c r="AK13" i="48" s="1"/>
  <c r="AJ12" i="48"/>
  <c r="AI12" i="48"/>
  <c r="AH12" i="48"/>
  <c r="AG12" i="48"/>
  <c r="AF12" i="48"/>
  <c r="AE12" i="48"/>
  <c r="AD12" i="48"/>
  <c r="AC12" i="48"/>
  <c r="AK12" i="48" s="1"/>
  <c r="AJ11" i="48"/>
  <c r="AI11" i="48"/>
  <c r="AH11" i="48"/>
  <c r="AG11" i="48"/>
  <c r="AF11" i="48"/>
  <c r="AE11" i="48"/>
  <c r="AD11" i="48"/>
  <c r="AC11" i="48"/>
  <c r="AK11" i="48" s="1"/>
  <c r="AJ10" i="48"/>
  <c r="AI10" i="48"/>
  <c r="AH10" i="48"/>
  <c r="AG10" i="48"/>
  <c r="AF10" i="48"/>
  <c r="AE10" i="48"/>
  <c r="AD10" i="48"/>
  <c r="AC10" i="48"/>
  <c r="AJ9" i="48"/>
  <c r="AI9" i="48"/>
  <c r="AH9" i="48"/>
  <c r="AG9" i="48"/>
  <c r="AF9" i="48"/>
  <c r="AE9" i="48"/>
  <c r="AD9" i="48"/>
  <c r="AC9" i="48"/>
  <c r="AJ8" i="48"/>
  <c r="AJ57" i="48" s="1"/>
  <c r="AI8" i="48"/>
  <c r="AH8" i="48"/>
  <c r="AH57" i="48" s="1"/>
  <c r="AG8" i="48"/>
  <c r="AG57" i="48" s="1"/>
  <c r="AF8" i="48"/>
  <c r="AE8" i="48"/>
  <c r="AD8" i="48"/>
  <c r="AC8" i="48"/>
  <c r="AJ7" i="48"/>
  <c r="AI7" i="48"/>
  <c r="AH7" i="48"/>
  <c r="AG7" i="48"/>
  <c r="AF7" i="48"/>
  <c r="AF57" i="48" s="1"/>
  <c r="AE7" i="48"/>
  <c r="AE57" i="48" s="1"/>
  <c r="AD7" i="48"/>
  <c r="AD57" i="48" s="1"/>
  <c r="AC7" i="48"/>
  <c r="AK7" i="48" s="1"/>
  <c r="AJ6" i="48"/>
  <c r="AI6" i="48"/>
  <c r="AI57" i="48" s="1"/>
  <c r="AH6" i="48"/>
  <c r="AG6" i="48"/>
  <c r="AF6" i="48"/>
  <c r="AE6" i="48"/>
  <c r="AD6" i="48"/>
  <c r="AC6" i="48"/>
  <c r="AB57" i="48"/>
  <c r="AB7" i="48"/>
  <c r="AB8" i="48"/>
  <c r="AB9" i="48"/>
  <c r="AK9" i="48" s="1"/>
  <c r="AB10" i="48"/>
  <c r="AB11" i="48"/>
  <c r="AB12" i="48"/>
  <c r="AB13" i="48"/>
  <c r="AB14" i="48"/>
  <c r="AB15" i="48"/>
  <c r="AB16" i="48"/>
  <c r="AB17" i="48"/>
  <c r="AB18" i="48"/>
  <c r="AB19" i="48"/>
  <c r="AB20" i="48"/>
  <c r="AK20" i="48" s="1"/>
  <c r="AB21" i="48"/>
  <c r="AK21" i="48" s="1"/>
  <c r="AB22" i="48"/>
  <c r="AB23" i="48"/>
  <c r="AB24" i="48"/>
  <c r="AB25" i="48"/>
  <c r="AB26" i="48"/>
  <c r="AB27" i="48"/>
  <c r="AB28" i="48"/>
  <c r="AB29" i="48"/>
  <c r="AB30" i="48"/>
  <c r="AB31" i="48"/>
  <c r="AB32" i="48"/>
  <c r="AK32" i="48" s="1"/>
  <c r="AB33" i="48"/>
  <c r="AK33" i="48" s="1"/>
  <c r="AB34" i="48"/>
  <c r="AB35" i="48"/>
  <c r="AB36" i="48"/>
  <c r="AB37" i="48"/>
  <c r="AB38" i="48"/>
  <c r="AB39" i="48"/>
  <c r="AK39" i="48" s="1"/>
  <c r="AB40" i="48"/>
  <c r="AB41" i="48"/>
  <c r="AB42" i="48"/>
  <c r="AB43" i="48"/>
  <c r="AB44" i="48"/>
  <c r="AK44" i="48" s="1"/>
  <c r="AB45" i="48"/>
  <c r="AK45" i="48" s="1"/>
  <c r="AB46" i="48"/>
  <c r="AB47" i="48"/>
  <c r="AB48" i="48"/>
  <c r="AB49" i="48"/>
  <c r="AB50" i="48"/>
  <c r="AB51" i="48"/>
  <c r="AK51" i="48" s="1"/>
  <c r="AB52" i="48"/>
  <c r="AB53" i="48"/>
  <c r="AB54" i="48"/>
  <c r="AB55" i="48"/>
  <c r="AB56" i="48"/>
  <c r="AK56" i="48" s="1"/>
  <c r="AB6" i="48"/>
  <c r="AK54" i="48"/>
  <c r="AK53" i="48"/>
  <c r="AK49" i="48"/>
  <c r="AK47" i="48"/>
  <c r="AK42" i="48"/>
  <c r="AK37" i="48"/>
  <c r="AK30" i="48"/>
  <c r="AK29" i="48"/>
  <c r="AK25" i="48"/>
  <c r="AK18" i="48"/>
  <c r="X56" i="48"/>
  <c r="X55" i="48"/>
  <c r="X54" i="48"/>
  <c r="X53" i="48"/>
  <c r="X52" i="48"/>
  <c r="X51" i="48"/>
  <c r="X50" i="48"/>
  <c r="X49" i="48"/>
  <c r="X48" i="48"/>
  <c r="X47" i="48"/>
  <c r="X46" i="48"/>
  <c r="X45" i="48"/>
  <c r="X44" i="48"/>
  <c r="X43" i="48"/>
  <c r="X42" i="48"/>
  <c r="X41" i="48"/>
  <c r="X40" i="48"/>
  <c r="X39" i="48"/>
  <c r="X38" i="48"/>
  <c r="X37" i="48"/>
  <c r="X36" i="48"/>
  <c r="X35" i="48"/>
  <c r="X34" i="48"/>
  <c r="X33" i="48"/>
  <c r="X32" i="48"/>
  <c r="X31" i="48"/>
  <c r="X30" i="48"/>
  <c r="X29" i="48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X9" i="48"/>
  <c r="X8" i="48"/>
  <c r="X7" i="48"/>
  <c r="W57" i="48"/>
  <c r="V57" i="48"/>
  <c r="U57" i="48"/>
  <c r="T57" i="48"/>
  <c r="S57" i="48"/>
  <c r="R57" i="48"/>
  <c r="Q57" i="48"/>
  <c r="P57" i="48"/>
  <c r="X6" i="48"/>
  <c r="AC57" i="48" l="1"/>
  <c r="AK52" i="48"/>
  <c r="AK40" i="48"/>
  <c r="AK28" i="48"/>
  <c r="AK16" i="48"/>
  <c r="AK27" i="48"/>
  <c r="AK15" i="48"/>
  <c r="AK50" i="48"/>
  <c r="AK38" i="48"/>
  <c r="AK26" i="48"/>
  <c r="AK14" i="48"/>
  <c r="AK8" i="48"/>
  <c r="AK46" i="48"/>
  <c r="AK34" i="48"/>
  <c r="AK22" i="48"/>
  <c r="AK10" i="48"/>
  <c r="AK6" i="48"/>
  <c r="X57" i="48"/>
  <c r="O57" i="48"/>
  <c r="G7" i="48"/>
  <c r="G8" i="48"/>
  <c r="G9" i="48"/>
  <c r="G10" i="48"/>
  <c r="G11" i="48"/>
  <c r="G12" i="48"/>
  <c r="G13" i="48"/>
  <c r="G14" i="48"/>
  <c r="G15" i="48"/>
  <c r="G16" i="48"/>
  <c r="G17" i="48"/>
  <c r="G18" i="48"/>
  <c r="G19" i="48"/>
  <c r="G20" i="48"/>
  <c r="G21" i="48"/>
  <c r="G22" i="48"/>
  <c r="G23" i="48"/>
  <c r="G24" i="48"/>
  <c r="G25" i="48"/>
  <c r="G26" i="48"/>
  <c r="G27" i="48"/>
  <c r="G28" i="48"/>
  <c r="G29" i="48"/>
  <c r="G30" i="48"/>
  <c r="G31" i="48"/>
  <c r="G32" i="48"/>
  <c r="G33" i="48"/>
  <c r="G34" i="48"/>
  <c r="G35" i="48"/>
  <c r="G36" i="48"/>
  <c r="G37" i="48"/>
  <c r="G38" i="48"/>
  <c r="G39" i="48"/>
  <c r="G40" i="48"/>
  <c r="G41" i="48"/>
  <c r="G42" i="48"/>
  <c r="G43" i="48"/>
  <c r="G44" i="48"/>
  <c r="G45" i="48"/>
  <c r="G46" i="48"/>
  <c r="G47" i="48"/>
  <c r="G48" i="48"/>
  <c r="G49" i="48"/>
  <c r="G50" i="48"/>
  <c r="G51" i="48"/>
  <c r="G52" i="48"/>
  <c r="G53" i="48"/>
  <c r="G54" i="48"/>
  <c r="G55" i="48"/>
  <c r="G56" i="48"/>
  <c r="G6" i="48"/>
  <c r="AK57" i="48" l="1"/>
  <c r="G57" i="48"/>
  <c r="K6" i="28" l="1"/>
  <c r="C9" i="41" l="1"/>
  <c r="E9" i="41"/>
  <c r="B13" i="41"/>
  <c r="C8" i="41" l="1"/>
  <c r="C12" i="41"/>
  <c r="C5" i="41"/>
  <c r="C6" i="41"/>
  <c r="C7" i="41"/>
  <c r="C10" i="41"/>
  <c r="C11" i="41"/>
  <c r="C4" i="41"/>
  <c r="B13" i="43" l="1"/>
  <c r="D12" i="43" l="1"/>
  <c r="L5" i="36" s="1"/>
  <c r="D11" i="43"/>
  <c r="D10" i="43"/>
  <c r="D9" i="43"/>
  <c r="D8" i="43"/>
  <c r="D7" i="43"/>
  <c r="D6" i="43"/>
  <c r="D5" i="43"/>
  <c r="H57" i="28"/>
  <c r="G57" i="28"/>
  <c r="F57" i="28"/>
  <c r="E57" i="28"/>
  <c r="D57" i="28"/>
  <c r="C57" i="28"/>
  <c r="B57" i="28"/>
  <c r="I56" i="28"/>
  <c r="I55" i="28"/>
  <c r="I54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7" i="28" l="1"/>
  <c r="D4" i="43"/>
  <c r="D13" i="43" l="1"/>
  <c r="AH5" i="1"/>
  <c r="W57" i="1" l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Y8" i="1" l="1"/>
  <c r="Y10" i="1"/>
  <c r="Y12" i="1"/>
  <c r="Y14" i="1"/>
  <c r="Y16" i="1"/>
  <c r="Y18" i="1"/>
  <c r="Y20" i="1"/>
  <c r="Y22" i="1"/>
  <c r="Y24" i="1"/>
  <c r="Y26" i="1"/>
  <c r="Y28" i="1"/>
  <c r="Y30" i="1"/>
  <c r="Y32" i="1"/>
  <c r="Y34" i="1"/>
  <c r="Y36" i="1"/>
  <c r="Y38" i="1"/>
  <c r="Y40" i="1"/>
  <c r="Y42" i="1"/>
  <c r="Y44" i="1"/>
  <c r="Y46" i="1"/>
  <c r="Y48" i="1"/>
  <c r="Y50" i="1"/>
  <c r="Y52" i="1"/>
  <c r="Y54" i="1"/>
  <c r="Y56" i="1"/>
  <c r="Y7" i="1"/>
  <c r="Y9" i="1"/>
  <c r="Y11" i="1"/>
  <c r="Y13" i="1"/>
  <c r="Y15" i="1"/>
  <c r="Y17" i="1"/>
  <c r="Y19" i="1"/>
  <c r="Y21" i="1"/>
  <c r="Y23" i="1"/>
  <c r="Y25" i="1"/>
  <c r="Y27" i="1"/>
  <c r="Y29" i="1"/>
  <c r="Y31" i="1"/>
  <c r="Y33" i="1"/>
  <c r="Y35" i="1"/>
  <c r="Y37" i="1"/>
  <c r="Y39" i="1"/>
  <c r="Y41" i="1"/>
  <c r="Y43" i="1"/>
  <c r="Y45" i="1"/>
  <c r="Y47" i="1"/>
  <c r="Y49" i="1"/>
  <c r="Y51" i="1"/>
  <c r="Y53" i="1"/>
  <c r="Y55" i="1"/>
  <c r="Y57" i="1"/>
  <c r="E12" i="41" l="1"/>
  <c r="C13" i="41" l="1"/>
  <c r="D5" i="44"/>
  <c r="G5" i="44"/>
  <c r="H5" i="44" s="1"/>
  <c r="D6" i="44"/>
  <c r="G6" i="44"/>
  <c r="H6" i="44" s="1"/>
  <c r="D7" i="44"/>
  <c r="G7" i="44"/>
  <c r="H7" i="44" s="1"/>
  <c r="D8" i="44"/>
  <c r="G8" i="44"/>
  <c r="H8" i="44" s="1"/>
  <c r="D9" i="44"/>
  <c r="G9" i="44"/>
  <c r="H9" i="44" s="1"/>
  <c r="D10" i="44"/>
  <c r="G10" i="44"/>
  <c r="H10" i="44" s="1"/>
  <c r="D11" i="44"/>
  <c r="G11" i="44"/>
  <c r="H11" i="44" s="1"/>
  <c r="D12" i="44"/>
  <c r="G12" i="44"/>
  <c r="H12" i="44" s="1"/>
  <c r="D13" i="44"/>
  <c r="G13" i="44"/>
  <c r="H13" i="44" s="1"/>
  <c r="D14" i="44"/>
  <c r="G14" i="44"/>
  <c r="H14" i="44" s="1"/>
  <c r="D15" i="44"/>
  <c r="G15" i="44"/>
  <c r="H15" i="44" s="1"/>
  <c r="D16" i="44"/>
  <c r="G16" i="44"/>
  <c r="H16" i="44" s="1"/>
  <c r="D17" i="44"/>
  <c r="G17" i="44"/>
  <c r="H17" i="44" s="1"/>
  <c r="D18" i="44"/>
  <c r="G18" i="44"/>
  <c r="H18" i="44" s="1"/>
  <c r="D19" i="44"/>
  <c r="G19" i="44"/>
  <c r="H19" i="44" s="1"/>
  <c r="D20" i="44"/>
  <c r="G20" i="44"/>
  <c r="H20" i="44" s="1"/>
  <c r="D21" i="44"/>
  <c r="G21" i="44"/>
  <c r="H21" i="44" s="1"/>
  <c r="D22" i="44"/>
  <c r="G22" i="44"/>
  <c r="H22" i="44" s="1"/>
  <c r="D23" i="44"/>
  <c r="G23" i="44"/>
  <c r="H23" i="44" s="1"/>
  <c r="D24" i="44"/>
  <c r="G24" i="44"/>
  <c r="H24" i="44" s="1"/>
  <c r="D25" i="44"/>
  <c r="G25" i="44"/>
  <c r="H25" i="44" s="1"/>
  <c r="D26" i="44"/>
  <c r="G26" i="44"/>
  <c r="H26" i="44" s="1"/>
  <c r="D27" i="44"/>
  <c r="G27" i="44"/>
  <c r="H27" i="44" s="1"/>
  <c r="D28" i="44"/>
  <c r="G28" i="44"/>
  <c r="H28" i="44" s="1"/>
  <c r="D29" i="44"/>
  <c r="G29" i="44"/>
  <c r="H29" i="44" s="1"/>
  <c r="D30" i="44"/>
  <c r="G30" i="44"/>
  <c r="H30" i="44" s="1"/>
  <c r="D31" i="44"/>
  <c r="G31" i="44"/>
  <c r="H31" i="44" s="1"/>
  <c r="D32" i="44"/>
  <c r="G32" i="44"/>
  <c r="H32" i="44" s="1"/>
  <c r="D33" i="44"/>
  <c r="G33" i="44"/>
  <c r="H33" i="44" s="1"/>
  <c r="D34" i="44"/>
  <c r="G34" i="44"/>
  <c r="H34" i="44" s="1"/>
  <c r="D35" i="44"/>
  <c r="G35" i="44"/>
  <c r="H35" i="44" s="1"/>
  <c r="D36" i="44"/>
  <c r="G36" i="44"/>
  <c r="H36" i="44" s="1"/>
  <c r="D37" i="44"/>
  <c r="G37" i="44"/>
  <c r="H37" i="44" s="1"/>
  <c r="D38" i="44"/>
  <c r="G38" i="44"/>
  <c r="H38" i="44" s="1"/>
  <c r="D39" i="44"/>
  <c r="G39" i="44"/>
  <c r="H39" i="44" s="1"/>
  <c r="D40" i="44"/>
  <c r="G40" i="44"/>
  <c r="H40" i="44" s="1"/>
  <c r="D41" i="44"/>
  <c r="G41" i="44"/>
  <c r="H41" i="44" s="1"/>
  <c r="D42" i="44"/>
  <c r="G42" i="44"/>
  <c r="H42" i="44" s="1"/>
  <c r="D43" i="44"/>
  <c r="G43" i="44"/>
  <c r="H43" i="44" s="1"/>
  <c r="D44" i="44"/>
  <c r="G44" i="44"/>
  <c r="H44" i="44" s="1"/>
  <c r="D45" i="44"/>
  <c r="G45" i="44"/>
  <c r="H45" i="44" s="1"/>
  <c r="D46" i="44"/>
  <c r="G46" i="44"/>
  <c r="H46" i="44" s="1"/>
  <c r="D47" i="44"/>
  <c r="G47" i="44"/>
  <c r="H47" i="44" s="1"/>
  <c r="D48" i="44"/>
  <c r="G48" i="44"/>
  <c r="H48" i="44" s="1"/>
  <c r="D49" i="44"/>
  <c r="G49" i="44"/>
  <c r="H49" i="44" s="1"/>
  <c r="D50" i="44"/>
  <c r="G50" i="44"/>
  <c r="H50" i="44" s="1"/>
  <c r="D51" i="44"/>
  <c r="G51" i="44"/>
  <c r="H51" i="44" s="1"/>
  <c r="D52" i="44"/>
  <c r="G52" i="44"/>
  <c r="H52" i="44" s="1"/>
  <c r="D53" i="44"/>
  <c r="G53" i="44"/>
  <c r="H53" i="44" s="1"/>
  <c r="D54" i="44"/>
  <c r="G54" i="44"/>
  <c r="H54" i="44" s="1"/>
  <c r="D55" i="44"/>
  <c r="G55" i="44"/>
  <c r="H55" i="44" s="1"/>
  <c r="B56" i="44"/>
  <c r="C56" i="44"/>
  <c r="J55" i="44" s="1"/>
  <c r="F56" i="44"/>
  <c r="D56" i="44" l="1"/>
  <c r="E54" i="44" s="1"/>
  <c r="H56" i="44"/>
  <c r="I54" i="44" s="1"/>
  <c r="J54" i="44"/>
  <c r="J5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53" i="44"/>
  <c r="J52" i="44"/>
  <c r="J51" i="44"/>
  <c r="J50" i="44"/>
  <c r="J49" i="44"/>
  <c r="J48" i="44"/>
  <c r="J47" i="44"/>
  <c r="J46" i="44"/>
  <c r="J45" i="44"/>
  <c r="J44" i="44"/>
  <c r="J43" i="44"/>
  <c r="J42" i="44"/>
  <c r="I14" i="44" l="1"/>
  <c r="I9" i="44"/>
  <c r="I16" i="44"/>
  <c r="I20" i="44"/>
  <c r="I26" i="44"/>
  <c r="I28" i="44"/>
  <c r="I30" i="44"/>
  <c r="I32" i="44"/>
  <c r="I34" i="44"/>
  <c r="I5" i="44"/>
  <c r="I36" i="44"/>
  <c r="I7" i="44"/>
  <c r="I38" i="44"/>
  <c r="I18" i="44"/>
  <c r="E8" i="44"/>
  <c r="E10" i="44"/>
  <c r="E18" i="44"/>
  <c r="E32" i="44"/>
  <c r="E52" i="44"/>
  <c r="E36" i="44"/>
  <c r="E14" i="44"/>
  <c r="E50" i="44"/>
  <c r="E6" i="44"/>
  <c r="E23" i="44"/>
  <c r="E25" i="44"/>
  <c r="E34" i="44"/>
  <c r="E27" i="44"/>
  <c r="E12" i="44"/>
  <c r="E38" i="44"/>
  <c r="E40" i="44"/>
  <c r="E16" i="44"/>
  <c r="E42" i="44"/>
  <c r="E44" i="44"/>
  <c r="E46" i="44"/>
  <c r="E48" i="44"/>
  <c r="E21" i="44"/>
  <c r="E30" i="44"/>
  <c r="I11" i="44"/>
  <c r="I22" i="44"/>
  <c r="I40" i="44"/>
  <c r="I24" i="44"/>
  <c r="I6" i="44"/>
  <c r="I8" i="44"/>
  <c r="I10" i="44"/>
  <c r="I12" i="44"/>
  <c r="I13" i="44"/>
  <c r="I15" i="44"/>
  <c r="I17" i="44"/>
  <c r="I19" i="44"/>
  <c r="I21" i="44"/>
  <c r="I23" i="44"/>
  <c r="I25" i="44"/>
  <c r="I27" i="44"/>
  <c r="I29" i="44"/>
  <c r="I31" i="44"/>
  <c r="I33" i="44"/>
  <c r="I35" i="44"/>
  <c r="I37" i="44"/>
  <c r="I39" i="44"/>
  <c r="I41" i="44"/>
  <c r="E5" i="44"/>
  <c r="E7" i="44"/>
  <c r="E9" i="44"/>
  <c r="E11" i="44"/>
  <c r="E13" i="44"/>
  <c r="E15" i="44"/>
  <c r="E17" i="44"/>
  <c r="E19" i="44"/>
  <c r="E20" i="44"/>
  <c r="E22" i="44"/>
  <c r="E24" i="44"/>
  <c r="E26" i="44"/>
  <c r="E28" i="44"/>
  <c r="E29" i="44"/>
  <c r="E31" i="44"/>
  <c r="E33" i="44"/>
  <c r="E35" i="44"/>
  <c r="E37" i="44"/>
  <c r="E39" i="44"/>
  <c r="E41" i="44"/>
  <c r="E43" i="44"/>
  <c r="E45" i="44"/>
  <c r="E47" i="44"/>
  <c r="E49" i="44"/>
  <c r="E51" i="44"/>
  <c r="E53" i="44"/>
  <c r="I43" i="44"/>
  <c r="I46" i="44"/>
  <c r="I49" i="44"/>
  <c r="E55" i="44"/>
  <c r="I45" i="44"/>
  <c r="I50" i="44"/>
  <c r="I53" i="44"/>
  <c r="J56" i="44"/>
  <c r="I42" i="44"/>
  <c r="I44" i="44"/>
  <c r="I48" i="44"/>
  <c r="I52" i="44"/>
  <c r="I55" i="44"/>
  <c r="I47" i="44"/>
  <c r="I51" i="44"/>
  <c r="I56" i="44" l="1"/>
  <c r="E56" i="44"/>
  <c r="E6" i="41" l="1"/>
  <c r="P3" i="44" s="1"/>
  <c r="M3" i="44" l="1"/>
  <c r="O3" i="44"/>
  <c r="N3" i="44"/>
  <c r="O55" i="44" l="1"/>
  <c r="O43" i="44"/>
  <c r="O47" i="44"/>
  <c r="O51" i="44"/>
  <c r="O40" i="44"/>
  <c r="O36" i="44"/>
  <c r="O32" i="44"/>
  <c r="O28" i="44"/>
  <c r="O24" i="44"/>
  <c r="O20" i="44"/>
  <c r="O16" i="44"/>
  <c r="O12" i="44"/>
  <c r="O8" i="44"/>
  <c r="O54" i="44"/>
  <c r="O42" i="44"/>
  <c r="O46" i="44"/>
  <c r="O50" i="44"/>
  <c r="O41" i="44"/>
  <c r="O37" i="44"/>
  <c r="O33" i="44"/>
  <c r="O29" i="44"/>
  <c r="O25" i="44"/>
  <c r="O21" i="44"/>
  <c r="O17" i="44"/>
  <c r="O13" i="44"/>
  <c r="O9" i="44"/>
  <c r="O45" i="44"/>
  <c r="O49" i="44"/>
  <c r="O53" i="44"/>
  <c r="O38" i="44"/>
  <c r="O34" i="44"/>
  <c r="O30" i="44"/>
  <c r="O26" i="44"/>
  <c r="O22" i="44"/>
  <c r="O18" i="44"/>
  <c r="O14" i="44"/>
  <c r="O10" i="44"/>
  <c r="O6" i="44"/>
  <c r="O44" i="44"/>
  <c r="O48" i="44"/>
  <c r="O52" i="44"/>
  <c r="O39" i="44"/>
  <c r="O35" i="44"/>
  <c r="O31" i="44"/>
  <c r="O27" i="44"/>
  <c r="O23" i="44"/>
  <c r="O19" i="44"/>
  <c r="O15" i="44"/>
  <c r="O11" i="44"/>
  <c r="O7" i="44"/>
  <c r="O5" i="44"/>
  <c r="N9" i="44"/>
  <c r="N20" i="44"/>
  <c r="N28" i="44"/>
  <c r="N36" i="44"/>
  <c r="N7" i="44"/>
  <c r="N18" i="44"/>
  <c r="N26" i="44"/>
  <c r="N34" i="44"/>
  <c r="N54" i="44"/>
  <c r="N16" i="44"/>
  <c r="N24" i="44"/>
  <c r="N32" i="44"/>
  <c r="N40" i="44"/>
  <c r="N11" i="44"/>
  <c r="N14" i="44"/>
  <c r="N22" i="44"/>
  <c r="N30" i="44"/>
  <c r="N38" i="44"/>
  <c r="N5" i="44"/>
  <c r="N47" i="44"/>
  <c r="N52" i="44"/>
  <c r="N35" i="44"/>
  <c r="N27" i="44"/>
  <c r="N19" i="44"/>
  <c r="N10" i="44"/>
  <c r="N51" i="44"/>
  <c r="N48" i="44"/>
  <c r="N53" i="44"/>
  <c r="N49" i="44"/>
  <c r="N41" i="44"/>
  <c r="N33" i="44"/>
  <c r="N25" i="44"/>
  <c r="N17" i="44"/>
  <c r="N12" i="44"/>
  <c r="N44" i="44"/>
  <c r="N50" i="44"/>
  <c r="N46" i="44"/>
  <c r="N39" i="44"/>
  <c r="N31" i="44"/>
  <c r="N23" i="44"/>
  <c r="N15" i="44"/>
  <c r="N6" i="44"/>
  <c r="N55" i="44"/>
  <c r="N42" i="44"/>
  <c r="N45" i="44"/>
  <c r="N43" i="44"/>
  <c r="N37" i="44"/>
  <c r="N29" i="44"/>
  <c r="N21" i="44"/>
  <c r="N13" i="44"/>
  <c r="N8" i="44"/>
  <c r="M10" i="44"/>
  <c r="M18" i="44"/>
  <c r="M25" i="44"/>
  <c r="M30" i="44"/>
  <c r="M38" i="44"/>
  <c r="M46" i="44"/>
  <c r="M8" i="44"/>
  <c r="M16" i="44"/>
  <c r="M23" i="44"/>
  <c r="M32" i="44"/>
  <c r="M40" i="44"/>
  <c r="M48" i="44"/>
  <c r="M5" i="44"/>
  <c r="M6" i="44"/>
  <c r="M14" i="44"/>
  <c r="M21" i="44"/>
  <c r="M34" i="44"/>
  <c r="P34" i="44" s="1"/>
  <c r="D35" i="48" s="1"/>
  <c r="M42" i="44"/>
  <c r="M50" i="44"/>
  <c r="M54" i="44"/>
  <c r="M12" i="44"/>
  <c r="M27" i="44"/>
  <c r="M36" i="44"/>
  <c r="M44" i="44"/>
  <c r="M52" i="44"/>
  <c r="M55" i="44"/>
  <c r="M53" i="44"/>
  <c r="M45" i="44"/>
  <c r="M37" i="44"/>
  <c r="M29" i="44"/>
  <c r="M22" i="44"/>
  <c r="M15" i="44"/>
  <c r="M7" i="44"/>
  <c r="M51" i="44"/>
  <c r="M43" i="44"/>
  <c r="M35" i="44"/>
  <c r="M28" i="44"/>
  <c r="M20" i="44"/>
  <c r="M13" i="44"/>
  <c r="M49" i="44"/>
  <c r="M41" i="44"/>
  <c r="M33" i="44"/>
  <c r="M26" i="44"/>
  <c r="M19" i="44"/>
  <c r="M11" i="44"/>
  <c r="M47" i="44"/>
  <c r="M39" i="44"/>
  <c r="M31" i="44"/>
  <c r="M24" i="44"/>
  <c r="M17" i="44"/>
  <c r="M9" i="44"/>
  <c r="P13" i="44" l="1"/>
  <c r="D14" i="48" s="1"/>
  <c r="P33" i="44"/>
  <c r="D34" i="48" s="1"/>
  <c r="P29" i="44"/>
  <c r="D30" i="48" s="1"/>
  <c r="P46" i="44"/>
  <c r="D47" i="48" s="1"/>
  <c r="P30" i="44"/>
  <c r="D31" i="48" s="1"/>
  <c r="P51" i="44"/>
  <c r="D52" i="48" s="1"/>
  <c r="P11" i="44"/>
  <c r="D12" i="48" s="1"/>
  <c r="P20" i="44"/>
  <c r="D21" i="48" s="1"/>
  <c r="P55" i="44"/>
  <c r="D56" i="48" s="1"/>
  <c r="P17" i="44"/>
  <c r="D18" i="48" s="1"/>
  <c r="P21" i="44"/>
  <c r="D22" i="48" s="1"/>
  <c r="P31" i="44"/>
  <c r="D32" i="48" s="1"/>
  <c r="P35" i="44"/>
  <c r="D36" i="48" s="1"/>
  <c r="P47" i="44"/>
  <c r="D48" i="48" s="1"/>
  <c r="P32" i="44"/>
  <c r="D33" i="48" s="1"/>
  <c r="P18" i="44"/>
  <c r="D19" i="48" s="1"/>
  <c r="P54" i="44"/>
  <c r="D55" i="48" s="1"/>
  <c r="P19" i="44"/>
  <c r="D20" i="48" s="1"/>
  <c r="P15" i="44"/>
  <c r="D16" i="48" s="1"/>
  <c r="P16" i="44"/>
  <c r="D17" i="48" s="1"/>
  <c r="P9" i="44"/>
  <c r="D10" i="48" s="1"/>
  <c r="P24" i="44"/>
  <c r="D25" i="48" s="1"/>
  <c r="P39" i="44"/>
  <c r="D40" i="48" s="1"/>
  <c r="P26" i="44"/>
  <c r="D27" i="48" s="1"/>
  <c r="P41" i="44"/>
  <c r="D42" i="48" s="1"/>
  <c r="P28" i="44"/>
  <c r="D29" i="48" s="1"/>
  <c r="P43" i="44"/>
  <c r="D44" i="48" s="1"/>
  <c r="P7" i="44"/>
  <c r="D8" i="48" s="1"/>
  <c r="P22" i="44"/>
  <c r="D23" i="48" s="1"/>
  <c r="P37" i="44"/>
  <c r="D38" i="48" s="1"/>
  <c r="P36" i="44"/>
  <c r="D37" i="48" s="1"/>
  <c r="P12" i="44"/>
  <c r="D13" i="48" s="1"/>
  <c r="P14" i="44"/>
  <c r="D15" i="48" s="1"/>
  <c r="P40" i="44"/>
  <c r="D41" i="48" s="1"/>
  <c r="P8" i="44"/>
  <c r="D9" i="48" s="1"/>
  <c r="P38" i="44"/>
  <c r="D39" i="48" s="1"/>
  <c r="O56" i="44"/>
  <c r="P45" i="44"/>
  <c r="D46" i="48" s="1"/>
  <c r="P44" i="44"/>
  <c r="D45" i="48" s="1"/>
  <c r="P49" i="44"/>
  <c r="D50" i="48" s="1"/>
  <c r="P48" i="44"/>
  <c r="D49" i="48" s="1"/>
  <c r="P10" i="44"/>
  <c r="D11" i="48" s="1"/>
  <c r="P27" i="44"/>
  <c r="D28" i="48" s="1"/>
  <c r="P52" i="44"/>
  <c r="D53" i="48" s="1"/>
  <c r="N56" i="44"/>
  <c r="M56" i="44"/>
  <c r="P5" i="44"/>
  <c r="D6" i="48" s="1"/>
  <c r="P42" i="44"/>
  <c r="D43" i="48" s="1"/>
  <c r="P6" i="44"/>
  <c r="D7" i="48" s="1"/>
  <c r="P23" i="44"/>
  <c r="D24" i="48" s="1"/>
  <c r="P50" i="44"/>
  <c r="D51" i="48" s="1"/>
  <c r="P25" i="44"/>
  <c r="D26" i="48" s="1"/>
  <c r="P53" i="44"/>
  <c r="D54" i="48" s="1"/>
  <c r="E11" i="41"/>
  <c r="E10" i="41"/>
  <c r="G11" i="41" s="1"/>
  <c r="E8" i="41"/>
  <c r="E7" i="41"/>
  <c r="E5" i="41"/>
  <c r="E4" i="41"/>
  <c r="D57" i="48" l="1"/>
  <c r="E13" i="41"/>
  <c r="P56" i="44"/>
  <c r="Q23" i="44" s="1"/>
  <c r="Q49" i="44" l="1"/>
  <c r="Q25" i="44"/>
  <c r="Q52" i="44"/>
  <c r="Q48" i="44"/>
  <c r="Q45" i="44"/>
  <c r="Q10" i="44"/>
  <c r="Q42" i="44"/>
  <c r="Q44" i="44"/>
  <c r="Q27" i="44"/>
  <c r="Q5" i="44"/>
  <c r="Q9" i="44"/>
  <c r="Q17" i="44"/>
  <c r="Q31" i="44"/>
  <c r="Q47" i="44"/>
  <c r="Q19" i="44"/>
  <c r="Q33" i="44"/>
  <c r="Q20" i="44"/>
  <c r="Q35" i="44"/>
  <c r="Q51" i="44"/>
  <c r="Q15" i="44"/>
  <c r="Q29" i="44"/>
  <c r="Q55" i="44"/>
  <c r="Q54" i="44"/>
  <c r="Q21" i="44"/>
  <c r="Q32" i="44"/>
  <c r="Q16" i="44"/>
  <c r="Q46" i="44"/>
  <c r="Q30" i="44"/>
  <c r="Q18" i="44"/>
  <c r="Q24" i="44"/>
  <c r="Q39" i="44"/>
  <c r="Q11" i="44"/>
  <c r="Q26" i="44"/>
  <c r="Q41" i="44"/>
  <c r="Q13" i="44"/>
  <c r="Q28" i="44"/>
  <c r="Q43" i="44"/>
  <c r="Q7" i="44"/>
  <c r="Q22" i="44"/>
  <c r="Q37" i="44"/>
  <c r="Q36" i="44"/>
  <c r="Q12" i="44"/>
  <c r="Q34" i="44"/>
  <c r="Q14" i="44"/>
  <c r="Q40" i="44"/>
  <c r="Q8" i="44"/>
  <c r="Q38" i="44"/>
  <c r="Q6" i="44"/>
  <c r="Q50" i="44"/>
  <c r="Q53" i="44"/>
  <c r="C58" i="1"/>
  <c r="B58" i="1"/>
  <c r="I5" i="36"/>
  <c r="Z53" i="1"/>
  <c r="X51" i="1"/>
  <c r="Z49" i="1"/>
  <c r="X43" i="1"/>
  <c r="X40" i="1"/>
  <c r="X39" i="1"/>
  <c r="Z37" i="1"/>
  <c r="Z34" i="1"/>
  <c r="X31" i="1"/>
  <c r="Z26" i="1"/>
  <c r="Z22" i="1"/>
  <c r="Z57" i="1"/>
  <c r="Z55" i="1"/>
  <c r="Z52" i="1"/>
  <c r="Z50" i="1"/>
  <c r="Z48" i="1"/>
  <c r="Z46" i="1"/>
  <c r="Z44" i="1"/>
  <c r="Z42" i="1"/>
  <c r="Z40" i="1"/>
  <c r="Z38" i="1"/>
  <c r="Z36" i="1"/>
  <c r="Z32" i="1"/>
  <c r="Z30" i="1"/>
  <c r="Z28" i="1"/>
  <c r="Z24" i="1"/>
  <c r="Z20" i="1"/>
  <c r="Z17" i="1"/>
  <c r="Z15" i="1"/>
  <c r="Z12" i="1"/>
  <c r="Z10" i="1"/>
  <c r="X23" i="1"/>
  <c r="X7" i="1"/>
  <c r="D58" i="36"/>
  <c r="E58" i="36" s="1"/>
  <c r="B58" i="36"/>
  <c r="C57" i="36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X57" i="1"/>
  <c r="Z56" i="1"/>
  <c r="X56" i="1"/>
  <c r="X55" i="1"/>
  <c r="X53" i="1"/>
  <c r="X52" i="1"/>
  <c r="Z51" i="1"/>
  <c r="X50" i="1"/>
  <c r="X49" i="1"/>
  <c r="X48" i="1"/>
  <c r="Z47" i="1"/>
  <c r="X47" i="1"/>
  <c r="X46" i="1"/>
  <c r="Z45" i="1"/>
  <c r="X45" i="1"/>
  <c r="X44" i="1"/>
  <c r="Z43" i="1"/>
  <c r="X42" i="1"/>
  <c r="Z41" i="1"/>
  <c r="X41" i="1"/>
  <c r="Z39" i="1"/>
  <c r="X38" i="1"/>
  <c r="X37" i="1"/>
  <c r="X36" i="1"/>
  <c r="Z35" i="1"/>
  <c r="X35" i="1"/>
  <c r="X34" i="1"/>
  <c r="Z33" i="1"/>
  <c r="X33" i="1"/>
  <c r="X32" i="1"/>
  <c r="Z31" i="1"/>
  <c r="X30" i="1"/>
  <c r="Z29" i="1"/>
  <c r="X29" i="1"/>
  <c r="X28" i="1"/>
  <c r="Z27" i="1"/>
  <c r="X27" i="1"/>
  <c r="Z25" i="1"/>
  <c r="X25" i="1"/>
  <c r="X24" i="1"/>
  <c r="Z23" i="1"/>
  <c r="X22" i="1"/>
  <c r="Z21" i="1"/>
  <c r="X21" i="1"/>
  <c r="X20" i="1"/>
  <c r="Z19" i="1"/>
  <c r="X19" i="1"/>
  <c r="Z18" i="1"/>
  <c r="X18" i="1"/>
  <c r="X17" i="1"/>
  <c r="Z16" i="1"/>
  <c r="X16" i="1"/>
  <c r="X15" i="1"/>
  <c r="X14" i="1"/>
  <c r="Z13" i="1"/>
  <c r="X13" i="1"/>
  <c r="X12" i="1"/>
  <c r="Z11" i="1"/>
  <c r="X11" i="1"/>
  <c r="X10" i="1"/>
  <c r="Z9" i="1"/>
  <c r="X9" i="1"/>
  <c r="X8" i="1"/>
  <c r="Z7" i="1"/>
  <c r="C11" i="36"/>
  <c r="C7" i="36"/>
  <c r="C26" i="36"/>
  <c r="C8" i="36"/>
  <c r="C12" i="36"/>
  <c r="C16" i="36"/>
  <c r="C24" i="36"/>
  <c r="C33" i="36"/>
  <c r="C17" i="36"/>
  <c r="C21" i="36"/>
  <c r="C25" i="36"/>
  <c r="C29" i="36"/>
  <c r="C34" i="36"/>
  <c r="C38" i="36"/>
  <c r="C46" i="36"/>
  <c r="C39" i="36"/>
  <c r="C43" i="36"/>
  <c r="C48" i="36"/>
  <c r="C56" i="36"/>
  <c r="D7" i="1"/>
  <c r="E7" i="1" s="1"/>
  <c r="C47" i="36"/>
  <c r="C51" i="36"/>
  <c r="C55" i="36"/>
  <c r="J58" i="1"/>
  <c r="K10" i="1" s="1"/>
  <c r="L10" i="1" s="1"/>
  <c r="G58" i="1"/>
  <c r="H10" i="1" s="1"/>
  <c r="I10" i="1" s="1"/>
  <c r="H38" i="1"/>
  <c r="I38" i="1" s="1"/>
  <c r="K26" i="1"/>
  <c r="L26" i="1" s="1"/>
  <c r="H33" i="1"/>
  <c r="I33" i="1" s="1"/>
  <c r="H16" i="1"/>
  <c r="I16" i="1" s="1"/>
  <c r="H48" i="1"/>
  <c r="I48" i="1" s="1"/>
  <c r="H40" i="1"/>
  <c r="I40" i="1" s="1"/>
  <c r="H28" i="1"/>
  <c r="I28" i="1" s="1"/>
  <c r="H13" i="1"/>
  <c r="I13" i="1" s="1"/>
  <c r="H30" i="1"/>
  <c r="I30" i="1" s="1"/>
  <c r="H22" i="1"/>
  <c r="I22" i="1" s="1"/>
  <c r="K13" i="1"/>
  <c r="L13" i="1" s="1"/>
  <c r="K9" i="1"/>
  <c r="L9" i="1" s="1"/>
  <c r="C50" i="36" l="1"/>
  <c r="C13" i="36"/>
  <c r="C35" i="36"/>
  <c r="C30" i="36"/>
  <c r="H24" i="1"/>
  <c r="I24" i="1" s="1"/>
  <c r="K34" i="1"/>
  <c r="L34" i="1" s="1"/>
  <c r="H25" i="1"/>
  <c r="I25" i="1" s="1"/>
  <c r="H51" i="1"/>
  <c r="I51" i="1" s="1"/>
  <c r="C53" i="36"/>
  <c r="I53" i="36" s="1"/>
  <c r="C49" i="36"/>
  <c r="I49" i="36" s="1"/>
  <c r="C52" i="36"/>
  <c r="I52" i="36" s="1"/>
  <c r="C45" i="36"/>
  <c r="I45" i="36" s="1"/>
  <c r="C41" i="36"/>
  <c r="I41" i="36" s="1"/>
  <c r="C54" i="36"/>
  <c r="C42" i="36"/>
  <c r="C36" i="36"/>
  <c r="C32" i="36"/>
  <c r="C40" i="36"/>
  <c r="C31" i="36"/>
  <c r="I31" i="36" s="1"/>
  <c r="C27" i="36"/>
  <c r="C23" i="36"/>
  <c r="I23" i="36" s="1"/>
  <c r="C19" i="36"/>
  <c r="C44" i="36"/>
  <c r="I44" i="36" s="1"/>
  <c r="C28" i="36"/>
  <c r="I28" i="36" s="1"/>
  <c r="C20" i="36"/>
  <c r="I20" i="36" s="1"/>
  <c r="C14" i="36"/>
  <c r="C10" i="36"/>
  <c r="C37" i="36"/>
  <c r="C18" i="36"/>
  <c r="I18" i="36" s="1"/>
  <c r="C9" i="36"/>
  <c r="C15" i="36"/>
  <c r="C22" i="36"/>
  <c r="I22" i="36" s="1"/>
  <c r="E7" i="36"/>
  <c r="E16" i="36"/>
  <c r="K11" i="1"/>
  <c r="L11" i="1" s="1"/>
  <c r="K15" i="1"/>
  <c r="L15" i="1" s="1"/>
  <c r="H18" i="1"/>
  <c r="I18" i="1" s="1"/>
  <c r="H26" i="1"/>
  <c r="I26" i="1" s="1"/>
  <c r="M26" i="1" s="1"/>
  <c r="H34" i="1"/>
  <c r="I34" i="1" s="1"/>
  <c r="M34" i="1" s="1"/>
  <c r="H8" i="1"/>
  <c r="I8" i="1" s="1"/>
  <c r="H41" i="1"/>
  <c r="I41" i="1" s="1"/>
  <c r="H50" i="1"/>
  <c r="I50" i="1" s="1"/>
  <c r="H20" i="1"/>
  <c r="I20" i="1" s="1"/>
  <c r="H36" i="1"/>
  <c r="I36" i="1" s="1"/>
  <c r="H44" i="1"/>
  <c r="I44" i="1" s="1"/>
  <c r="H56" i="1"/>
  <c r="I56" i="1" s="1"/>
  <c r="H47" i="1"/>
  <c r="I47" i="1" s="1"/>
  <c r="H9" i="1"/>
  <c r="I9" i="1" s="1"/>
  <c r="M9" i="1" s="1"/>
  <c r="H54" i="1"/>
  <c r="I54" i="1" s="1"/>
  <c r="H46" i="1"/>
  <c r="I46" i="1" s="1"/>
  <c r="M46" i="1" s="1"/>
  <c r="Z54" i="1"/>
  <c r="X54" i="1"/>
  <c r="K18" i="1"/>
  <c r="L18" i="1" s="1"/>
  <c r="K58" i="1"/>
  <c r="K7" i="1"/>
  <c r="L7" i="1" s="1"/>
  <c r="K54" i="1"/>
  <c r="L54" i="1" s="1"/>
  <c r="K46" i="1"/>
  <c r="L46" i="1" s="1"/>
  <c r="K38" i="1"/>
  <c r="L38" i="1" s="1"/>
  <c r="K30" i="1"/>
  <c r="L30" i="1" s="1"/>
  <c r="M30" i="1" s="1"/>
  <c r="K22" i="1"/>
  <c r="L22" i="1" s="1"/>
  <c r="K14" i="1"/>
  <c r="L14" i="1" s="1"/>
  <c r="K56" i="1"/>
  <c r="L56" i="1" s="1"/>
  <c r="M56" i="1" s="1"/>
  <c r="K52" i="1"/>
  <c r="L52" i="1" s="1"/>
  <c r="K48" i="1"/>
  <c r="L48" i="1" s="1"/>
  <c r="M48" i="1" s="1"/>
  <c r="K44" i="1"/>
  <c r="L44" i="1" s="1"/>
  <c r="K40" i="1"/>
  <c r="L40" i="1" s="1"/>
  <c r="K36" i="1"/>
  <c r="L36" i="1" s="1"/>
  <c r="K32" i="1"/>
  <c r="L32" i="1" s="1"/>
  <c r="K28" i="1"/>
  <c r="L28" i="1" s="1"/>
  <c r="M28" i="1" s="1"/>
  <c r="K24" i="1"/>
  <c r="L24" i="1" s="1"/>
  <c r="M24" i="1" s="1"/>
  <c r="K20" i="1"/>
  <c r="L20" i="1" s="1"/>
  <c r="M20" i="1" s="1"/>
  <c r="K16" i="1"/>
  <c r="L16" i="1" s="1"/>
  <c r="M16" i="1" s="1"/>
  <c r="K12" i="1"/>
  <c r="L12" i="1" s="1"/>
  <c r="K8" i="1"/>
  <c r="L8" i="1" s="1"/>
  <c r="K57" i="1"/>
  <c r="L57" i="1" s="1"/>
  <c r="K55" i="1"/>
  <c r="L55" i="1" s="1"/>
  <c r="K53" i="1"/>
  <c r="L53" i="1" s="1"/>
  <c r="K51" i="1"/>
  <c r="L51" i="1" s="1"/>
  <c r="K49" i="1"/>
  <c r="L49" i="1" s="1"/>
  <c r="K47" i="1"/>
  <c r="L47" i="1" s="1"/>
  <c r="K45" i="1"/>
  <c r="L45" i="1" s="1"/>
  <c r="K43" i="1"/>
  <c r="L43" i="1" s="1"/>
  <c r="K41" i="1"/>
  <c r="L41" i="1" s="1"/>
  <c r="M41" i="1" s="1"/>
  <c r="K39" i="1"/>
  <c r="L39" i="1" s="1"/>
  <c r="K37" i="1"/>
  <c r="L37" i="1" s="1"/>
  <c r="K35" i="1"/>
  <c r="L35" i="1" s="1"/>
  <c r="K33" i="1"/>
  <c r="L33" i="1" s="1"/>
  <c r="M33" i="1" s="1"/>
  <c r="K31" i="1"/>
  <c r="L31" i="1" s="1"/>
  <c r="K29" i="1"/>
  <c r="L29" i="1" s="1"/>
  <c r="K27" i="1"/>
  <c r="L27" i="1" s="1"/>
  <c r="K25" i="1"/>
  <c r="L25" i="1" s="1"/>
  <c r="K23" i="1"/>
  <c r="L23" i="1" s="1"/>
  <c r="K21" i="1"/>
  <c r="L21" i="1" s="1"/>
  <c r="K19" i="1"/>
  <c r="L19" i="1" s="1"/>
  <c r="K17" i="1"/>
  <c r="L17" i="1" s="1"/>
  <c r="K50" i="1"/>
  <c r="L50" i="1" s="1"/>
  <c r="M50" i="1" s="1"/>
  <c r="M25" i="1"/>
  <c r="M51" i="1"/>
  <c r="M13" i="1"/>
  <c r="M40" i="1"/>
  <c r="K42" i="1"/>
  <c r="L42" i="1" s="1"/>
  <c r="X26" i="1"/>
  <c r="Z14" i="1"/>
  <c r="W58" i="1"/>
  <c r="M22" i="1"/>
  <c r="M38" i="1"/>
  <c r="M10" i="1"/>
  <c r="Z8" i="1"/>
  <c r="Q56" i="44"/>
  <c r="E27" i="36"/>
  <c r="E22" i="36"/>
  <c r="E43" i="36"/>
  <c r="E54" i="36"/>
  <c r="E28" i="36"/>
  <c r="E51" i="36"/>
  <c r="E35" i="36"/>
  <c r="E19" i="36"/>
  <c r="E38" i="36"/>
  <c r="E10" i="36"/>
  <c r="E40" i="36"/>
  <c r="E55" i="36"/>
  <c r="E47" i="36"/>
  <c r="E39" i="36"/>
  <c r="E31" i="36"/>
  <c r="E23" i="36"/>
  <c r="E15" i="36"/>
  <c r="E48" i="36"/>
  <c r="E50" i="36"/>
  <c r="E46" i="36"/>
  <c r="E30" i="36"/>
  <c r="E14" i="36"/>
  <c r="E44" i="36"/>
  <c r="E13" i="36"/>
  <c r="E11" i="36"/>
  <c r="E57" i="36"/>
  <c r="E53" i="36"/>
  <c r="E49" i="36"/>
  <c r="E45" i="36"/>
  <c r="E41" i="36"/>
  <c r="E37" i="36"/>
  <c r="E33" i="36"/>
  <c r="E29" i="36"/>
  <c r="E25" i="36"/>
  <c r="E21" i="36"/>
  <c r="E17" i="36"/>
  <c r="E56" i="36"/>
  <c r="E52" i="36"/>
  <c r="E42" i="36"/>
  <c r="E34" i="36"/>
  <c r="E26" i="36"/>
  <c r="E18" i="36"/>
  <c r="E12" i="36"/>
  <c r="E8" i="36"/>
  <c r="E36" i="36"/>
  <c r="E20" i="36"/>
  <c r="E9" i="36"/>
  <c r="E24" i="36"/>
  <c r="E32" i="36"/>
  <c r="H14" i="1"/>
  <c r="I14" i="1" s="1"/>
  <c r="H19" i="1"/>
  <c r="I19" i="1" s="1"/>
  <c r="H23" i="1"/>
  <c r="I23" i="1" s="1"/>
  <c r="M23" i="1" s="1"/>
  <c r="H27" i="1"/>
  <c r="I27" i="1" s="1"/>
  <c r="H31" i="1"/>
  <c r="I31" i="1" s="1"/>
  <c r="H35" i="1"/>
  <c r="I35" i="1" s="1"/>
  <c r="H39" i="1"/>
  <c r="I39" i="1" s="1"/>
  <c r="M39" i="1" s="1"/>
  <c r="H43" i="1"/>
  <c r="I43" i="1" s="1"/>
  <c r="H12" i="1"/>
  <c r="I12" i="1" s="1"/>
  <c r="M12" i="1" s="1"/>
  <c r="H21" i="1"/>
  <c r="I21" i="1" s="1"/>
  <c r="H29" i="1"/>
  <c r="I29" i="1" s="1"/>
  <c r="M29" i="1" s="1"/>
  <c r="H37" i="1"/>
  <c r="I37" i="1" s="1"/>
  <c r="H45" i="1"/>
  <c r="I45" i="1" s="1"/>
  <c r="H49" i="1"/>
  <c r="I49" i="1" s="1"/>
  <c r="H53" i="1"/>
  <c r="I53" i="1" s="1"/>
  <c r="M53" i="1" s="1"/>
  <c r="H57" i="1"/>
  <c r="I57" i="1" s="1"/>
  <c r="H7" i="1"/>
  <c r="H11" i="1"/>
  <c r="I11" i="1" s="1"/>
  <c r="M11" i="1" s="1"/>
  <c r="H15" i="1"/>
  <c r="I15" i="1" s="1"/>
  <c r="M15" i="1" s="1"/>
  <c r="H55" i="1"/>
  <c r="I55" i="1" s="1"/>
  <c r="H17" i="1"/>
  <c r="I17" i="1" s="1"/>
  <c r="M17" i="1" s="1"/>
  <c r="H32" i="1"/>
  <c r="I32" i="1" s="1"/>
  <c r="H42" i="1"/>
  <c r="I42" i="1" s="1"/>
  <c r="H52" i="1"/>
  <c r="I52" i="1" s="1"/>
  <c r="I55" i="36"/>
  <c r="I50" i="36"/>
  <c r="I34" i="36"/>
  <c r="I15" i="36"/>
  <c r="I47" i="36"/>
  <c r="I10" i="36"/>
  <c r="I26" i="36"/>
  <c r="I42" i="36"/>
  <c r="I7" i="36"/>
  <c r="I39" i="36"/>
  <c r="AE5" i="1"/>
  <c r="I57" i="36"/>
  <c r="I37" i="36"/>
  <c r="I33" i="36"/>
  <c r="I29" i="36"/>
  <c r="I25" i="36"/>
  <c r="I21" i="36"/>
  <c r="I17" i="36"/>
  <c r="I13" i="36"/>
  <c r="I56" i="36"/>
  <c r="I48" i="36"/>
  <c r="I40" i="36"/>
  <c r="I36" i="36"/>
  <c r="I32" i="36"/>
  <c r="I24" i="36"/>
  <c r="I16" i="36"/>
  <c r="I12" i="36"/>
  <c r="I8" i="36"/>
  <c r="J5" i="36"/>
  <c r="K5" i="36"/>
  <c r="I14" i="36"/>
  <c r="I30" i="36"/>
  <c r="I38" i="36"/>
  <c r="I46" i="36"/>
  <c r="I54" i="36"/>
  <c r="I11" i="36"/>
  <c r="I19" i="36"/>
  <c r="I27" i="36"/>
  <c r="I35" i="36"/>
  <c r="I43" i="36"/>
  <c r="I51" i="36"/>
  <c r="D58" i="1"/>
  <c r="E58" i="1"/>
  <c r="F7" i="1" s="1"/>
  <c r="C58" i="36" l="1"/>
  <c r="I9" i="36"/>
  <c r="M8" i="1"/>
  <c r="M45" i="1"/>
  <c r="M14" i="1"/>
  <c r="M42" i="1"/>
  <c r="M31" i="1"/>
  <c r="M44" i="1"/>
  <c r="M18" i="1"/>
  <c r="F50" i="1"/>
  <c r="AE50" i="1" s="1"/>
  <c r="F48" i="1"/>
  <c r="AE48" i="1" s="1"/>
  <c r="F39" i="1"/>
  <c r="AE39" i="1" s="1"/>
  <c r="F33" i="1"/>
  <c r="AE33" i="1" s="1"/>
  <c r="F31" i="1"/>
  <c r="AE31" i="1" s="1"/>
  <c r="F27" i="1"/>
  <c r="AE27" i="1" s="1"/>
  <c r="F43" i="1"/>
  <c r="M32" i="1"/>
  <c r="M55" i="1"/>
  <c r="M43" i="1"/>
  <c r="M35" i="1"/>
  <c r="M27" i="1"/>
  <c r="M19" i="1"/>
  <c r="M36" i="1"/>
  <c r="F25" i="1"/>
  <c r="AE25" i="1" s="1"/>
  <c r="F17" i="1"/>
  <c r="AE17" i="1" s="1"/>
  <c r="F15" i="1"/>
  <c r="AE15" i="1" s="1"/>
  <c r="F10" i="1"/>
  <c r="AE10" i="1" s="1"/>
  <c r="F8" i="1"/>
  <c r="AE8" i="1" s="1"/>
  <c r="F51" i="1"/>
  <c r="AE51" i="1" s="1"/>
  <c r="F49" i="1"/>
  <c r="AE49" i="1" s="1"/>
  <c r="F45" i="1"/>
  <c r="AE45" i="1" s="1"/>
  <c r="F40" i="1"/>
  <c r="AE40" i="1" s="1"/>
  <c r="F34" i="1"/>
  <c r="AE34" i="1" s="1"/>
  <c r="F32" i="1"/>
  <c r="AE32" i="1" s="1"/>
  <c r="F28" i="1"/>
  <c r="AE28" i="1" s="1"/>
  <c r="F26" i="1"/>
  <c r="AE26" i="1" s="1"/>
  <c r="F18" i="1"/>
  <c r="AE18" i="1" s="1"/>
  <c r="F16" i="1"/>
  <c r="AE16" i="1" s="1"/>
  <c r="F13" i="1"/>
  <c r="AE13" i="1" s="1"/>
  <c r="F9" i="1"/>
  <c r="AE9" i="1" s="1"/>
  <c r="M54" i="1"/>
  <c r="M47" i="1"/>
  <c r="L58" i="1"/>
  <c r="M52" i="1"/>
  <c r="M57" i="1"/>
  <c r="M49" i="1"/>
  <c r="M37" i="1"/>
  <c r="M21" i="1"/>
  <c r="X58" i="1"/>
  <c r="Z58" i="1"/>
  <c r="I7" i="1"/>
  <c r="H58" i="1"/>
  <c r="AG5" i="1"/>
  <c r="AF5" i="1"/>
  <c r="AE43" i="1"/>
  <c r="I58" i="36"/>
  <c r="J13" i="36"/>
  <c r="J50" i="36"/>
  <c r="J9" i="36"/>
  <c r="J8" i="36"/>
  <c r="J12" i="36"/>
  <c r="J20" i="36"/>
  <c r="J54" i="36"/>
  <c r="J56" i="36"/>
  <c r="J15" i="36"/>
  <c r="J17" i="36"/>
  <c r="J19" i="36"/>
  <c r="J21" i="36"/>
  <c r="J23" i="36"/>
  <c r="J25" i="36"/>
  <c r="J27" i="36"/>
  <c r="J29" i="36"/>
  <c r="J31" i="36"/>
  <c r="J33" i="36"/>
  <c r="J35" i="36"/>
  <c r="J37" i="36"/>
  <c r="J39" i="36"/>
  <c r="J41" i="36"/>
  <c r="J43" i="36"/>
  <c r="J45" i="36"/>
  <c r="J47" i="36"/>
  <c r="J49" i="36"/>
  <c r="J51" i="36"/>
  <c r="J53" i="36"/>
  <c r="J55" i="36"/>
  <c r="J57" i="36"/>
  <c r="J28" i="36"/>
  <c r="J36" i="36"/>
  <c r="J44" i="36"/>
  <c r="J18" i="36"/>
  <c r="J22" i="36"/>
  <c r="J26" i="36"/>
  <c r="J30" i="36"/>
  <c r="J34" i="36"/>
  <c r="J38" i="36"/>
  <c r="J42" i="36"/>
  <c r="J46" i="36"/>
  <c r="J48" i="36"/>
  <c r="J52" i="36"/>
  <c r="J7" i="36"/>
  <c r="J10" i="36"/>
  <c r="J32" i="36"/>
  <c r="J16" i="36"/>
  <c r="J24" i="36"/>
  <c r="J40" i="36"/>
  <c r="J11" i="36"/>
  <c r="J14" i="36"/>
  <c r="AE7" i="1"/>
  <c r="F57" i="1"/>
  <c r="AE57" i="1" s="1"/>
  <c r="F37" i="1"/>
  <c r="AE37" i="1" s="1"/>
  <c r="F53" i="1"/>
  <c r="AE53" i="1" s="1"/>
  <c r="F21" i="1"/>
  <c r="AE21" i="1" s="1"/>
  <c r="F38" i="1"/>
  <c r="AE38" i="1" s="1"/>
  <c r="F54" i="1"/>
  <c r="AE54" i="1" s="1"/>
  <c r="F42" i="1"/>
  <c r="AE42" i="1" s="1"/>
  <c r="F23" i="1"/>
  <c r="AE23" i="1" s="1"/>
  <c r="F55" i="1"/>
  <c r="AE55" i="1" s="1"/>
  <c r="F46" i="1"/>
  <c r="AE46" i="1" s="1"/>
  <c r="F36" i="1"/>
  <c r="AE36" i="1" s="1"/>
  <c r="F29" i="1"/>
  <c r="AE29" i="1" s="1"/>
  <c r="F14" i="1"/>
  <c r="AE14" i="1" s="1"/>
  <c r="F44" i="1"/>
  <c r="AE44" i="1" s="1"/>
  <c r="F30" i="1"/>
  <c r="AE30" i="1" s="1"/>
  <c r="F20" i="1"/>
  <c r="AE20" i="1" s="1"/>
  <c r="F41" i="1"/>
  <c r="AE41" i="1" s="1"/>
  <c r="F19" i="1"/>
  <c r="AE19" i="1" s="1"/>
  <c r="F22" i="1"/>
  <c r="AE22" i="1" s="1"/>
  <c r="F12" i="1"/>
  <c r="AE12" i="1" s="1"/>
  <c r="F56" i="1"/>
  <c r="AE56" i="1" s="1"/>
  <c r="F52" i="1"/>
  <c r="AE52" i="1" s="1"/>
  <c r="F47" i="1"/>
  <c r="AE47" i="1" s="1"/>
  <c r="F11" i="1"/>
  <c r="AE11" i="1" s="1"/>
  <c r="F24" i="1"/>
  <c r="AE24" i="1" s="1"/>
  <c r="F35" i="1"/>
  <c r="AE35" i="1" s="1"/>
  <c r="AF36" i="1" l="1"/>
  <c r="AA54" i="1"/>
  <c r="AB54" i="1" s="1"/>
  <c r="AC54" i="1" s="1"/>
  <c r="AG54" i="1" s="1"/>
  <c r="AA33" i="1"/>
  <c r="AB33" i="1" s="1"/>
  <c r="AC33" i="1" s="1"/>
  <c r="AG33" i="1" s="1"/>
  <c r="AA25" i="1"/>
  <c r="AB25" i="1" s="1"/>
  <c r="AC25" i="1" s="1"/>
  <c r="AG25" i="1" s="1"/>
  <c r="AA37" i="1"/>
  <c r="AB37" i="1" s="1"/>
  <c r="AC37" i="1" s="1"/>
  <c r="AG37" i="1" s="1"/>
  <c r="AA32" i="1"/>
  <c r="AB32" i="1" s="1"/>
  <c r="AC32" i="1" s="1"/>
  <c r="AG32" i="1" s="1"/>
  <c r="AA52" i="1"/>
  <c r="AB52" i="1" s="1"/>
  <c r="AC52" i="1" s="1"/>
  <c r="AG52" i="1" s="1"/>
  <c r="AA36" i="1"/>
  <c r="AB36" i="1" s="1"/>
  <c r="AC36" i="1" s="1"/>
  <c r="AA57" i="1"/>
  <c r="AB57" i="1" s="1"/>
  <c r="AC57" i="1" s="1"/>
  <c r="AG57" i="1" s="1"/>
  <c r="AA46" i="1"/>
  <c r="AB46" i="1" s="1"/>
  <c r="AC46" i="1" s="1"/>
  <c r="AG46" i="1" s="1"/>
  <c r="AA28" i="1"/>
  <c r="AB28" i="1" s="1"/>
  <c r="AC28" i="1" s="1"/>
  <c r="AG28" i="1" s="1"/>
  <c r="AA12" i="1"/>
  <c r="AB12" i="1" s="1"/>
  <c r="AC12" i="1" s="1"/>
  <c r="AG12" i="1" s="1"/>
  <c r="AA44" i="1"/>
  <c r="AB44" i="1" s="1"/>
  <c r="AC44" i="1" s="1"/>
  <c r="AG44" i="1" s="1"/>
  <c r="AA51" i="1"/>
  <c r="AB51" i="1" s="1"/>
  <c r="AC51" i="1" s="1"/>
  <c r="AG51" i="1" s="1"/>
  <c r="AA35" i="1"/>
  <c r="AB35" i="1" s="1"/>
  <c r="AC35" i="1" s="1"/>
  <c r="AG35" i="1" s="1"/>
  <c r="AA19" i="1"/>
  <c r="AB19" i="1" s="1"/>
  <c r="AC19" i="1" s="1"/>
  <c r="AG19" i="1" s="1"/>
  <c r="AA14" i="1"/>
  <c r="AB14" i="1" s="1"/>
  <c r="AC14" i="1" s="1"/>
  <c r="AG14" i="1" s="1"/>
  <c r="AA16" i="1"/>
  <c r="AB16" i="1" s="1"/>
  <c r="AC16" i="1" s="1"/>
  <c r="AG16" i="1" s="1"/>
  <c r="AA11" i="1"/>
  <c r="AB11" i="1" s="1"/>
  <c r="AC11" i="1" s="1"/>
  <c r="AG11" i="1" s="1"/>
  <c r="AA43" i="1"/>
  <c r="AB43" i="1" s="1"/>
  <c r="AC43" i="1" s="1"/>
  <c r="AG43" i="1" s="1"/>
  <c r="AA7" i="1"/>
  <c r="AA23" i="1"/>
  <c r="AB23" i="1" s="1"/>
  <c r="AC23" i="1" s="1"/>
  <c r="AG23" i="1" s="1"/>
  <c r="AA39" i="1"/>
  <c r="AB39" i="1" s="1"/>
  <c r="AC39" i="1" s="1"/>
  <c r="AG39" i="1" s="1"/>
  <c r="AA56" i="1"/>
  <c r="AB56" i="1" s="1"/>
  <c r="AC56" i="1" s="1"/>
  <c r="AG56" i="1" s="1"/>
  <c r="AA17" i="1"/>
  <c r="AB17" i="1" s="1"/>
  <c r="AC17" i="1" s="1"/>
  <c r="AG17" i="1" s="1"/>
  <c r="AA26" i="1"/>
  <c r="AB26" i="1" s="1"/>
  <c r="AC26" i="1" s="1"/>
  <c r="AG26" i="1" s="1"/>
  <c r="AA38" i="1"/>
  <c r="AB38" i="1" s="1"/>
  <c r="AC38" i="1" s="1"/>
  <c r="AG38" i="1" s="1"/>
  <c r="AA50" i="1"/>
  <c r="AB50" i="1" s="1"/>
  <c r="AC50" i="1" s="1"/>
  <c r="AG50" i="1" s="1"/>
  <c r="AA9" i="1"/>
  <c r="AB9" i="1" s="1"/>
  <c r="AC9" i="1" s="1"/>
  <c r="AG9" i="1" s="1"/>
  <c r="AA18" i="1"/>
  <c r="AB18" i="1" s="1"/>
  <c r="AC18" i="1" s="1"/>
  <c r="AG18" i="1" s="1"/>
  <c r="AA29" i="1"/>
  <c r="AB29" i="1" s="1"/>
  <c r="AC29" i="1" s="1"/>
  <c r="AG29" i="1" s="1"/>
  <c r="AA45" i="1"/>
  <c r="AB45" i="1" s="1"/>
  <c r="AC45" i="1" s="1"/>
  <c r="AG45" i="1" s="1"/>
  <c r="AA53" i="1"/>
  <c r="AB53" i="1" s="1"/>
  <c r="AC53" i="1" s="1"/>
  <c r="AG53" i="1" s="1"/>
  <c r="AA20" i="1"/>
  <c r="AB20" i="1" s="1"/>
  <c r="AC20" i="1" s="1"/>
  <c r="AG20" i="1" s="1"/>
  <c r="AA40" i="1"/>
  <c r="AB40" i="1" s="1"/>
  <c r="AC40" i="1" s="1"/>
  <c r="AG40" i="1" s="1"/>
  <c r="AA27" i="1"/>
  <c r="AB27" i="1" s="1"/>
  <c r="AC27" i="1" s="1"/>
  <c r="AG27" i="1" s="1"/>
  <c r="AA30" i="1"/>
  <c r="AB30" i="1" s="1"/>
  <c r="AC30" i="1" s="1"/>
  <c r="AG30" i="1" s="1"/>
  <c r="AA31" i="1"/>
  <c r="AB31" i="1" s="1"/>
  <c r="AC31" i="1" s="1"/>
  <c r="AG31" i="1" s="1"/>
  <c r="AA47" i="1"/>
  <c r="AB47" i="1" s="1"/>
  <c r="AC47" i="1" s="1"/>
  <c r="AG47" i="1" s="1"/>
  <c r="AA15" i="1"/>
  <c r="AB15" i="1" s="1"/>
  <c r="AC15" i="1" s="1"/>
  <c r="AG15" i="1" s="1"/>
  <c r="AA22" i="1"/>
  <c r="AB22" i="1" s="1"/>
  <c r="AC22" i="1" s="1"/>
  <c r="AG22" i="1" s="1"/>
  <c r="AA34" i="1"/>
  <c r="AB34" i="1" s="1"/>
  <c r="AC34" i="1" s="1"/>
  <c r="AG34" i="1" s="1"/>
  <c r="AA42" i="1"/>
  <c r="AB42" i="1" s="1"/>
  <c r="AC42" i="1" s="1"/>
  <c r="AG42" i="1" s="1"/>
  <c r="AA55" i="1"/>
  <c r="AB55" i="1" s="1"/>
  <c r="AC55" i="1" s="1"/>
  <c r="AG55" i="1" s="1"/>
  <c r="AA13" i="1"/>
  <c r="AB13" i="1" s="1"/>
  <c r="AC13" i="1" s="1"/>
  <c r="AG13" i="1" s="1"/>
  <c r="AA21" i="1"/>
  <c r="AB21" i="1" s="1"/>
  <c r="AC21" i="1" s="1"/>
  <c r="AG21" i="1" s="1"/>
  <c r="AA41" i="1"/>
  <c r="AB41" i="1" s="1"/>
  <c r="AC41" i="1" s="1"/>
  <c r="AG41" i="1" s="1"/>
  <c r="AA49" i="1"/>
  <c r="AB49" i="1" s="1"/>
  <c r="AC49" i="1" s="1"/>
  <c r="AG49" i="1" s="1"/>
  <c r="AA10" i="1"/>
  <c r="AB10" i="1" s="1"/>
  <c r="AC10" i="1" s="1"/>
  <c r="AG10" i="1" s="1"/>
  <c r="AA24" i="1"/>
  <c r="AB24" i="1" s="1"/>
  <c r="AC24" i="1" s="1"/>
  <c r="AG24" i="1" s="1"/>
  <c r="AA48" i="1"/>
  <c r="AB48" i="1" s="1"/>
  <c r="AC48" i="1" s="1"/>
  <c r="AG48" i="1" s="1"/>
  <c r="AA8" i="1"/>
  <c r="AB8" i="1" s="1"/>
  <c r="AC8" i="1" s="1"/>
  <c r="AG8" i="1" s="1"/>
  <c r="M7" i="1"/>
  <c r="M58" i="1" s="1"/>
  <c r="I58" i="1"/>
  <c r="AF54" i="1"/>
  <c r="AF16" i="1"/>
  <c r="AF53" i="1"/>
  <c r="AF24" i="1"/>
  <c r="AF12" i="1"/>
  <c r="AF35" i="1"/>
  <c r="AF48" i="1"/>
  <c r="AF9" i="1"/>
  <c r="AF26" i="1"/>
  <c r="AF15" i="1"/>
  <c r="AF46" i="1"/>
  <c r="AF47" i="1"/>
  <c r="AF21" i="1"/>
  <c r="AF11" i="1"/>
  <c r="AF38" i="1"/>
  <c r="AF34" i="1"/>
  <c r="AF10" i="1"/>
  <c r="AF40" i="1"/>
  <c r="AF22" i="1"/>
  <c r="AF50" i="1"/>
  <c r="AF43" i="1"/>
  <c r="AF8" i="1"/>
  <c r="AF25" i="1"/>
  <c r="AF17" i="1"/>
  <c r="AF51" i="1"/>
  <c r="AF39" i="1"/>
  <c r="AF27" i="1"/>
  <c r="AF30" i="1"/>
  <c r="AF45" i="1"/>
  <c r="AF42" i="1"/>
  <c r="AF19" i="1"/>
  <c r="AF32" i="1"/>
  <c r="AF41" i="1"/>
  <c r="AF20" i="1"/>
  <c r="AF52" i="1"/>
  <c r="AF37" i="1"/>
  <c r="AF44" i="1"/>
  <c r="AF56" i="1"/>
  <c r="AF29" i="1"/>
  <c r="AF55" i="1"/>
  <c r="AF18" i="1"/>
  <c r="AF14" i="1"/>
  <c r="AF49" i="1"/>
  <c r="AF57" i="1"/>
  <c r="AF28" i="1"/>
  <c r="AF23" i="1"/>
  <c r="AF31" i="1"/>
  <c r="AF13" i="1"/>
  <c r="AF33" i="1"/>
  <c r="AG36" i="1"/>
  <c r="AH36" i="1" s="1"/>
  <c r="K35" i="28" s="1"/>
  <c r="J58" i="36"/>
  <c r="F58" i="1"/>
  <c r="AE58" i="1"/>
  <c r="AF7" i="1" l="1"/>
  <c r="AH46" i="1"/>
  <c r="K45" i="28" s="1"/>
  <c r="AH55" i="1"/>
  <c r="K54" i="28" s="1"/>
  <c r="AH32" i="1"/>
  <c r="K31" i="28" s="1"/>
  <c r="AH37" i="1"/>
  <c r="K36" i="28" s="1"/>
  <c r="AH45" i="1"/>
  <c r="K44" i="28" s="1"/>
  <c r="AA58" i="1"/>
  <c r="AB7" i="1"/>
  <c r="AH8" i="1"/>
  <c r="K7" i="28" s="1"/>
  <c r="AH47" i="1"/>
  <c r="K46" i="28" s="1"/>
  <c r="AH54" i="1"/>
  <c r="K53" i="28" s="1"/>
  <c r="AH35" i="1"/>
  <c r="K34" i="28" s="1"/>
  <c r="AH33" i="1"/>
  <c r="K32" i="28" s="1"/>
  <c r="AH11" i="1"/>
  <c r="K10" i="28" s="1"/>
  <c r="AH31" i="1"/>
  <c r="K30" i="28" s="1"/>
  <c r="AH10" i="1"/>
  <c r="K9" i="28" s="1"/>
  <c r="AH21" i="1"/>
  <c r="K20" i="28" s="1"/>
  <c r="AH28" i="1"/>
  <c r="K27" i="28" s="1"/>
  <c r="AH14" i="1"/>
  <c r="K13" i="28" s="1"/>
  <c r="AH56" i="1"/>
  <c r="K55" i="28" s="1"/>
  <c r="AH19" i="1"/>
  <c r="K18" i="28" s="1"/>
  <c r="AH44" i="1"/>
  <c r="K43" i="28" s="1"/>
  <c r="AH20" i="1"/>
  <c r="K19" i="28" s="1"/>
  <c r="AH42" i="1"/>
  <c r="K41" i="28" s="1"/>
  <c r="AH53" i="1"/>
  <c r="K52" i="28" s="1"/>
  <c r="AH27" i="1"/>
  <c r="K26" i="28" s="1"/>
  <c r="AH24" i="1"/>
  <c r="K23" i="28" s="1"/>
  <c r="AH16" i="1"/>
  <c r="K15" i="28" s="1"/>
  <c r="AH41" i="1"/>
  <c r="K40" i="28" s="1"/>
  <c r="AH38" i="1"/>
  <c r="K37" i="28" s="1"/>
  <c r="AH26" i="1"/>
  <c r="K25" i="28" s="1"/>
  <c r="AH12" i="1"/>
  <c r="K11" i="28" s="1"/>
  <c r="AH50" i="1"/>
  <c r="K49" i="28" s="1"/>
  <c r="AH40" i="1"/>
  <c r="K39" i="28" s="1"/>
  <c r="AH34" i="1"/>
  <c r="K33" i="28" s="1"/>
  <c r="AH48" i="1"/>
  <c r="K47" i="28" s="1"/>
  <c r="AH9" i="1"/>
  <c r="K8" i="28" s="1"/>
  <c r="AH23" i="1"/>
  <c r="K22" i="28" s="1"/>
  <c r="AH52" i="1"/>
  <c r="K51" i="28" s="1"/>
  <c r="AH15" i="1"/>
  <c r="K14" i="28" s="1"/>
  <c r="AH17" i="1"/>
  <c r="K16" i="28" s="1"/>
  <c r="AH51" i="1"/>
  <c r="K50" i="28" s="1"/>
  <c r="AH25" i="1"/>
  <c r="K24" i="28" s="1"/>
  <c r="AH22" i="1"/>
  <c r="K21" i="28" s="1"/>
  <c r="AH39" i="1"/>
  <c r="K38" i="28" s="1"/>
  <c r="AH13" i="1"/>
  <c r="K12" i="28" s="1"/>
  <c r="AH49" i="1"/>
  <c r="K48" i="28" s="1"/>
  <c r="AH43" i="1"/>
  <c r="K42" i="28" s="1"/>
  <c r="AH29" i="1"/>
  <c r="K28" i="28" s="1"/>
  <c r="AH18" i="1"/>
  <c r="K17" i="28" s="1"/>
  <c r="AH57" i="1"/>
  <c r="K56" i="28" s="1"/>
  <c r="AF58" i="1"/>
  <c r="AH30" i="1"/>
  <c r="K29" i="28" s="1"/>
  <c r="AC7" i="1" l="1"/>
  <c r="AB58" i="1"/>
  <c r="AC58" i="1" l="1"/>
  <c r="AG7" i="1"/>
  <c r="AH7" i="1" l="1"/>
  <c r="AG58" i="1"/>
  <c r="K57" i="28" l="1"/>
  <c r="I60" i="28" s="1"/>
  <c r="J4" i="28" s="1"/>
  <c r="AH58" i="1"/>
  <c r="J55" i="28" l="1"/>
  <c r="J28" i="28"/>
  <c r="J26" i="28"/>
  <c r="J44" i="28"/>
  <c r="J8" i="28"/>
  <c r="J10" i="28"/>
  <c r="J13" i="28"/>
  <c r="J34" i="28"/>
  <c r="J15" i="28"/>
  <c r="J19" i="28"/>
  <c r="J21" i="28"/>
  <c r="J23" i="28"/>
  <c r="J35" i="28"/>
  <c r="J49" i="28"/>
  <c r="J39" i="28"/>
  <c r="J53" i="28"/>
  <c r="J43" i="28"/>
  <c r="J56" i="28"/>
  <c r="J47" i="28"/>
  <c r="J52" i="28"/>
  <c r="J30" i="28"/>
  <c r="J48" i="28"/>
  <c r="J22" i="28"/>
  <c r="J18" i="28"/>
  <c r="J40" i="28"/>
  <c r="J9" i="28"/>
  <c r="J14" i="28"/>
  <c r="J36" i="28"/>
  <c r="J11" i="28"/>
  <c r="J7" i="28"/>
  <c r="J17" i="28"/>
  <c r="J32" i="28"/>
  <c r="J31" i="28"/>
  <c r="J25" i="28"/>
  <c r="J29" i="28"/>
  <c r="J37" i="28"/>
  <c r="J27" i="28"/>
  <c r="J45" i="28"/>
  <c r="J24" i="28"/>
  <c r="J54" i="28"/>
  <c r="J20" i="28"/>
  <c r="J50" i="28"/>
  <c r="J6" i="28"/>
  <c r="J42" i="28"/>
  <c r="J16" i="28"/>
  <c r="J12" i="28"/>
  <c r="J41" i="28"/>
  <c r="J46" i="28"/>
  <c r="J38" i="28"/>
  <c r="J51" i="28"/>
  <c r="J33" i="28"/>
  <c r="AI7" i="1"/>
  <c r="AI34" i="1"/>
  <c r="G34" i="36" s="1"/>
  <c r="K34" i="36" s="1"/>
  <c r="L34" i="36" s="1"/>
  <c r="AI44" i="1"/>
  <c r="G44" i="36" s="1"/>
  <c r="K44" i="36" s="1"/>
  <c r="L44" i="36" s="1"/>
  <c r="AI47" i="1"/>
  <c r="G47" i="36" s="1"/>
  <c r="K47" i="36" s="1"/>
  <c r="L47" i="36" s="1"/>
  <c r="AI21" i="1"/>
  <c r="G21" i="36" s="1"/>
  <c r="K21" i="36" s="1"/>
  <c r="L21" i="36" s="1"/>
  <c r="AI36" i="1"/>
  <c r="G36" i="36" s="1"/>
  <c r="K36" i="36" s="1"/>
  <c r="L36" i="36" s="1"/>
  <c r="AI54" i="1"/>
  <c r="G54" i="36" s="1"/>
  <c r="K54" i="36" s="1"/>
  <c r="L54" i="36" s="1"/>
  <c r="AI31" i="1"/>
  <c r="G31" i="36" s="1"/>
  <c r="K31" i="36" s="1"/>
  <c r="L31" i="36" s="1"/>
  <c r="AI48" i="1"/>
  <c r="G48" i="36" s="1"/>
  <c r="K48" i="36" s="1"/>
  <c r="L48" i="36" s="1"/>
  <c r="AI45" i="1"/>
  <c r="G45" i="36" s="1"/>
  <c r="K45" i="36" s="1"/>
  <c r="L45" i="36" s="1"/>
  <c r="AI14" i="1"/>
  <c r="G14" i="36" s="1"/>
  <c r="K14" i="36" s="1"/>
  <c r="L14" i="36" s="1"/>
  <c r="AI46" i="1"/>
  <c r="G46" i="36" s="1"/>
  <c r="K46" i="36" s="1"/>
  <c r="L46" i="36" s="1"/>
  <c r="AI39" i="1"/>
  <c r="G39" i="36" s="1"/>
  <c r="K39" i="36" s="1"/>
  <c r="L39" i="36" s="1"/>
  <c r="AI50" i="1"/>
  <c r="G50" i="36" s="1"/>
  <c r="K50" i="36" s="1"/>
  <c r="L50" i="36" s="1"/>
  <c r="AI51" i="1"/>
  <c r="G51" i="36" s="1"/>
  <c r="K51" i="36" s="1"/>
  <c r="L51" i="36" s="1"/>
  <c r="AI22" i="1"/>
  <c r="G22" i="36" s="1"/>
  <c r="K22" i="36" s="1"/>
  <c r="L22" i="36" s="1"/>
  <c r="AI29" i="1"/>
  <c r="G29" i="36" s="1"/>
  <c r="K29" i="36" s="1"/>
  <c r="L29" i="36" s="1"/>
  <c r="AI8" i="1"/>
  <c r="G8" i="36" s="1"/>
  <c r="K8" i="36" s="1"/>
  <c r="L8" i="36" s="1"/>
  <c r="AI9" i="1"/>
  <c r="G9" i="36" s="1"/>
  <c r="K9" i="36" s="1"/>
  <c r="L9" i="36" s="1"/>
  <c r="AI57" i="1"/>
  <c r="G57" i="36" s="1"/>
  <c r="K57" i="36" s="1"/>
  <c r="L57" i="36" s="1"/>
  <c r="AI56" i="1"/>
  <c r="G56" i="36" s="1"/>
  <c r="K56" i="36" s="1"/>
  <c r="L56" i="36" s="1"/>
  <c r="AI23" i="1"/>
  <c r="G23" i="36" s="1"/>
  <c r="K23" i="36" s="1"/>
  <c r="L23" i="36" s="1"/>
  <c r="AI11" i="1"/>
  <c r="G11" i="36" s="1"/>
  <c r="K11" i="36" s="1"/>
  <c r="L11" i="36" s="1"/>
  <c r="AI17" i="1"/>
  <c r="G17" i="36" s="1"/>
  <c r="K17" i="36" s="1"/>
  <c r="L17" i="36" s="1"/>
  <c r="AI13" i="1"/>
  <c r="G13" i="36" s="1"/>
  <c r="K13" i="36" s="1"/>
  <c r="L13" i="36" s="1"/>
  <c r="AI49" i="1"/>
  <c r="G49" i="36" s="1"/>
  <c r="K49" i="36" s="1"/>
  <c r="L49" i="36" s="1"/>
  <c r="AI10" i="1"/>
  <c r="G10" i="36" s="1"/>
  <c r="K10" i="36" s="1"/>
  <c r="L10" i="36" s="1"/>
  <c r="AI42" i="1"/>
  <c r="G42" i="36" s="1"/>
  <c r="K42" i="36" s="1"/>
  <c r="L42" i="36" s="1"/>
  <c r="AI35" i="1"/>
  <c r="G35" i="36" s="1"/>
  <c r="K35" i="36" s="1"/>
  <c r="L35" i="36" s="1"/>
  <c r="AI16" i="1"/>
  <c r="G16" i="36" s="1"/>
  <c r="K16" i="36" s="1"/>
  <c r="L16" i="36" s="1"/>
  <c r="AI33" i="1"/>
  <c r="G33" i="36" s="1"/>
  <c r="K33" i="36" s="1"/>
  <c r="L33" i="36" s="1"/>
  <c r="AI24" i="1"/>
  <c r="G24" i="36" s="1"/>
  <c r="K24" i="36" s="1"/>
  <c r="L24" i="36" s="1"/>
  <c r="AI19" i="1"/>
  <c r="G19" i="36" s="1"/>
  <c r="K19" i="36" s="1"/>
  <c r="L19" i="36" s="1"/>
  <c r="AI15" i="1"/>
  <c r="G15" i="36" s="1"/>
  <c r="K15" i="36" s="1"/>
  <c r="L15" i="36" s="1"/>
  <c r="AI18" i="1"/>
  <c r="G18" i="36" s="1"/>
  <c r="K18" i="36" s="1"/>
  <c r="L18" i="36" s="1"/>
  <c r="AI53" i="1"/>
  <c r="G53" i="36" s="1"/>
  <c r="K53" i="36" s="1"/>
  <c r="L53" i="36" s="1"/>
  <c r="AI37" i="1"/>
  <c r="G37" i="36" s="1"/>
  <c r="K37" i="36" s="1"/>
  <c r="L37" i="36" s="1"/>
  <c r="AI12" i="1"/>
  <c r="G12" i="36" s="1"/>
  <c r="K12" i="36" s="1"/>
  <c r="L12" i="36" s="1"/>
  <c r="AI25" i="1"/>
  <c r="G25" i="36" s="1"/>
  <c r="K25" i="36" s="1"/>
  <c r="L25" i="36" s="1"/>
  <c r="AI26" i="1"/>
  <c r="G26" i="36" s="1"/>
  <c r="K26" i="36" s="1"/>
  <c r="L26" i="36" s="1"/>
  <c r="AI38" i="1"/>
  <c r="G38" i="36" s="1"/>
  <c r="K38" i="36" s="1"/>
  <c r="L38" i="36" s="1"/>
  <c r="AI41" i="1"/>
  <c r="G41" i="36" s="1"/>
  <c r="K41" i="36" s="1"/>
  <c r="L41" i="36" s="1"/>
  <c r="AI52" i="1"/>
  <c r="G52" i="36" s="1"/>
  <c r="K52" i="36" s="1"/>
  <c r="L52" i="36" s="1"/>
  <c r="AI27" i="1"/>
  <c r="G27" i="36" s="1"/>
  <c r="K27" i="36" s="1"/>
  <c r="L27" i="36" s="1"/>
  <c r="AI32" i="1"/>
  <c r="G32" i="36" s="1"/>
  <c r="K32" i="36" s="1"/>
  <c r="L32" i="36" s="1"/>
  <c r="AI55" i="1"/>
  <c r="G55" i="36" s="1"/>
  <c r="K55" i="36" s="1"/>
  <c r="L55" i="36" s="1"/>
  <c r="AI30" i="1"/>
  <c r="G30" i="36" s="1"/>
  <c r="K30" i="36" s="1"/>
  <c r="L30" i="36" s="1"/>
  <c r="AI20" i="1"/>
  <c r="G20" i="36" s="1"/>
  <c r="K20" i="36" s="1"/>
  <c r="L20" i="36" s="1"/>
  <c r="AI40" i="1"/>
  <c r="G40" i="36" s="1"/>
  <c r="K40" i="36" s="1"/>
  <c r="L40" i="36" s="1"/>
  <c r="AI43" i="1"/>
  <c r="G43" i="36" s="1"/>
  <c r="K43" i="36" s="1"/>
  <c r="L43" i="36" s="1"/>
  <c r="AI28" i="1"/>
  <c r="G28" i="36" s="1"/>
  <c r="K28" i="36" s="1"/>
  <c r="L28" i="36" s="1"/>
  <c r="L21" i="28" l="1"/>
  <c r="O21" i="28" s="1"/>
  <c r="M21" i="28"/>
  <c r="M25" i="28"/>
  <c r="L25" i="28"/>
  <c r="L46" i="28"/>
  <c r="M46" i="28"/>
  <c r="L30" i="28"/>
  <c r="M30" i="28"/>
  <c r="L15" i="28"/>
  <c r="M15" i="28"/>
  <c r="L23" i="28"/>
  <c r="M23" i="28"/>
  <c r="L42" i="28"/>
  <c r="O42" i="28" s="1"/>
  <c r="M42" i="28"/>
  <c r="L32" i="28"/>
  <c r="O32" i="28" s="1"/>
  <c r="M32" i="28"/>
  <c r="M52" i="28"/>
  <c r="L52" i="28"/>
  <c r="L34" i="28"/>
  <c r="O34" i="28" s="1"/>
  <c r="M34" i="28"/>
  <c r="M22" i="28"/>
  <c r="L22" i="28"/>
  <c r="O22" i="28" s="1"/>
  <c r="M6" i="28"/>
  <c r="J57" i="28"/>
  <c r="L6" i="28"/>
  <c r="L17" i="28"/>
  <c r="O17" i="28" s="1"/>
  <c r="M17" i="28"/>
  <c r="L47" i="28"/>
  <c r="O47" i="28" s="1"/>
  <c r="M47" i="28"/>
  <c r="L13" i="28"/>
  <c r="O13" i="28" s="1"/>
  <c r="M13" i="28"/>
  <c r="L19" i="28"/>
  <c r="M19" i="28"/>
  <c r="L50" i="28"/>
  <c r="M50" i="28"/>
  <c r="L7" i="28"/>
  <c r="O7" i="28" s="1"/>
  <c r="M7" i="28"/>
  <c r="M56" i="28"/>
  <c r="L56" i="28"/>
  <c r="O56" i="28" s="1"/>
  <c r="M10" i="28"/>
  <c r="L10" i="28"/>
  <c r="O10" i="28" s="1"/>
  <c r="L20" i="28"/>
  <c r="M20" i="28"/>
  <c r="L11" i="28"/>
  <c r="M11" i="28"/>
  <c r="L43" i="28"/>
  <c r="O43" i="28" s="1"/>
  <c r="M43" i="28"/>
  <c r="L8" i="28"/>
  <c r="M8" i="28"/>
  <c r="L29" i="28"/>
  <c r="M29" i="28"/>
  <c r="L54" i="28"/>
  <c r="M54" i="28"/>
  <c r="L36" i="28"/>
  <c r="M36" i="28"/>
  <c r="L53" i="28"/>
  <c r="O53" i="28" s="1"/>
  <c r="M53" i="28"/>
  <c r="L44" i="28"/>
  <c r="M44" i="28"/>
  <c r="L18" i="28"/>
  <c r="O18" i="28" s="1"/>
  <c r="M18" i="28"/>
  <c r="L41" i="28"/>
  <c r="O41" i="28" s="1"/>
  <c r="M41" i="28"/>
  <c r="L31" i="28"/>
  <c r="O31" i="28" s="1"/>
  <c r="M31" i="28"/>
  <c r="L33" i="28"/>
  <c r="M33" i="28"/>
  <c r="M24" i="28"/>
  <c r="L24" i="28"/>
  <c r="O24" i="28" s="1"/>
  <c r="M14" i="28"/>
  <c r="L14" i="28"/>
  <c r="O14" i="28" s="1"/>
  <c r="L39" i="28"/>
  <c r="M39" i="28"/>
  <c r="L26" i="28"/>
  <c r="O26" i="28" s="1"/>
  <c r="M26" i="28"/>
  <c r="L37" i="28"/>
  <c r="O37" i="28" s="1"/>
  <c r="M37" i="28"/>
  <c r="L48" i="28"/>
  <c r="M48" i="28"/>
  <c r="L51" i="28"/>
  <c r="O51" i="28" s="1"/>
  <c r="M51" i="28"/>
  <c r="L45" i="28"/>
  <c r="O45" i="28" s="1"/>
  <c r="M45" i="28"/>
  <c r="L9" i="28"/>
  <c r="M9" i="28"/>
  <c r="L49" i="28"/>
  <c r="O49" i="28" s="1"/>
  <c r="M49" i="28"/>
  <c r="M28" i="28"/>
  <c r="L28" i="28"/>
  <c r="L12" i="28"/>
  <c r="M12" i="28"/>
  <c r="L16" i="28"/>
  <c r="M16" i="28"/>
  <c r="L38" i="28"/>
  <c r="O38" i="28" s="1"/>
  <c r="M38" i="28"/>
  <c r="L27" i="28"/>
  <c r="O27" i="28" s="1"/>
  <c r="M27" i="28"/>
  <c r="L40" i="28"/>
  <c r="M40" i="28"/>
  <c r="L35" i="28"/>
  <c r="M35" i="28"/>
  <c r="L55" i="28"/>
  <c r="O55" i="28" s="1"/>
  <c r="M55" i="28"/>
  <c r="G7" i="36"/>
  <c r="AI58" i="1"/>
  <c r="P7" i="28" l="1"/>
  <c r="P22" i="28"/>
  <c r="P14" i="28"/>
  <c r="P18" i="28"/>
  <c r="P43" i="28"/>
  <c r="P27" i="28"/>
  <c r="P34" i="28"/>
  <c r="P53" i="28"/>
  <c r="P55" i="28"/>
  <c r="P13" i="28"/>
  <c r="P51" i="28"/>
  <c r="P10" i="28"/>
  <c r="P24" i="28"/>
  <c r="P37" i="28"/>
  <c r="P47" i="28"/>
  <c r="M57" i="28"/>
  <c r="P56" i="28"/>
  <c r="P32" i="28"/>
  <c r="P38" i="28"/>
  <c r="P31" i="28"/>
  <c r="P49" i="28"/>
  <c r="P26" i="28"/>
  <c r="P41" i="28"/>
  <c r="P17" i="28"/>
  <c r="P45" i="28"/>
  <c r="O6" i="28"/>
  <c r="L57" i="28"/>
  <c r="P42" i="28"/>
  <c r="P21" i="28"/>
  <c r="K7" i="36"/>
  <c r="G58" i="36"/>
  <c r="N4" i="28" l="1"/>
  <c r="P6" i="28"/>
  <c r="L7" i="36"/>
  <c r="L58" i="36" s="1"/>
  <c r="K58" i="36"/>
  <c r="N48" i="28" l="1"/>
  <c r="O48" i="28" s="1"/>
  <c r="N20" i="28"/>
  <c r="O20" i="28" s="1"/>
  <c r="N46" i="28"/>
  <c r="O46" i="28" s="1"/>
  <c r="N31" i="28"/>
  <c r="N49" i="28"/>
  <c r="N51" i="28"/>
  <c r="N56" i="28"/>
  <c r="N18" i="28"/>
  <c r="N7" i="28"/>
  <c r="N21" i="28"/>
  <c r="N24" i="28"/>
  <c r="N55" i="28"/>
  <c r="N25" i="28"/>
  <c r="O25" i="28" s="1"/>
  <c r="N16" i="28"/>
  <c r="O16" i="28" s="1"/>
  <c r="N13" i="28"/>
  <c r="N45" i="28"/>
  <c r="N26" i="28"/>
  <c r="N12" i="28"/>
  <c r="O12" i="28" s="1"/>
  <c r="N8" i="28"/>
  <c r="O8" i="28" s="1"/>
  <c r="N41" i="28"/>
  <c r="N30" i="28"/>
  <c r="O30" i="28" s="1"/>
  <c r="N29" i="28"/>
  <c r="O29" i="28" s="1"/>
  <c r="N42" i="28"/>
  <c r="N50" i="28"/>
  <c r="O50" i="28" s="1"/>
  <c r="N15" i="28"/>
  <c r="O15" i="28" s="1"/>
  <c r="N32" i="28"/>
  <c r="N17" i="28"/>
  <c r="N14" i="28"/>
  <c r="N6" i="28"/>
  <c r="N53" i="28"/>
  <c r="N35" i="28"/>
  <c r="O35" i="28" s="1"/>
  <c r="N27" i="28"/>
  <c r="N54" i="28"/>
  <c r="O54" i="28" s="1"/>
  <c r="N23" i="28"/>
  <c r="O23" i="28" s="1"/>
  <c r="N34" i="28"/>
  <c r="N28" i="28"/>
  <c r="O28" i="28" s="1"/>
  <c r="N37" i="28"/>
  <c r="N10" i="28"/>
  <c r="N38" i="28"/>
  <c r="N11" i="28"/>
  <c r="O11" i="28" s="1"/>
  <c r="N39" i="28"/>
  <c r="O39" i="28" s="1"/>
  <c r="N44" i="28"/>
  <c r="O44" i="28" s="1"/>
  <c r="N47" i="28"/>
  <c r="N52" i="28"/>
  <c r="O52" i="28" s="1"/>
  <c r="N33" i="28"/>
  <c r="O33" i="28" s="1"/>
  <c r="N36" i="28"/>
  <c r="O36" i="28" s="1"/>
  <c r="N40" i="28"/>
  <c r="O40" i="28" s="1"/>
  <c r="N19" i="28"/>
  <c r="O19" i="28" s="1"/>
  <c r="P19" i="28" s="1"/>
  <c r="N43" i="28"/>
  <c r="N22" i="28"/>
  <c r="N9" i="28"/>
  <c r="O9" i="28" s="1"/>
  <c r="M7" i="36"/>
  <c r="J6" i="48" s="1"/>
  <c r="M57" i="36"/>
  <c r="J56" i="48" s="1"/>
  <c r="M55" i="36"/>
  <c r="J54" i="48" s="1"/>
  <c r="M56" i="36"/>
  <c r="J55" i="48" s="1"/>
  <c r="M30" i="36"/>
  <c r="J29" i="48" s="1"/>
  <c r="M23" i="36"/>
  <c r="J22" i="48" s="1"/>
  <c r="M20" i="36"/>
  <c r="J19" i="48" s="1"/>
  <c r="M11" i="36"/>
  <c r="J10" i="48" s="1"/>
  <c r="M40" i="36"/>
  <c r="J39" i="48" s="1"/>
  <c r="M17" i="36"/>
  <c r="J16" i="48" s="1"/>
  <c r="M43" i="36"/>
  <c r="J42" i="48" s="1"/>
  <c r="M13" i="36"/>
  <c r="J12" i="48" s="1"/>
  <c r="M28" i="36"/>
  <c r="J27" i="48" s="1"/>
  <c r="M49" i="36"/>
  <c r="J48" i="48" s="1"/>
  <c r="M42" i="36"/>
  <c r="J41" i="48" s="1"/>
  <c r="M22" i="36"/>
  <c r="J21" i="48" s="1"/>
  <c r="M37" i="36"/>
  <c r="J36" i="48" s="1"/>
  <c r="M54" i="36"/>
  <c r="J53" i="48" s="1"/>
  <c r="M44" i="36"/>
  <c r="J43" i="48" s="1"/>
  <c r="M52" i="36"/>
  <c r="J51" i="48" s="1"/>
  <c r="M15" i="36"/>
  <c r="J14" i="48" s="1"/>
  <c r="M33" i="36"/>
  <c r="J32" i="48" s="1"/>
  <c r="M9" i="36"/>
  <c r="J8" i="48" s="1"/>
  <c r="M26" i="36"/>
  <c r="J25" i="48" s="1"/>
  <c r="M45" i="36"/>
  <c r="J44" i="48" s="1"/>
  <c r="M24" i="36"/>
  <c r="J23" i="48" s="1"/>
  <c r="M12" i="36"/>
  <c r="J11" i="48" s="1"/>
  <c r="M31" i="36"/>
  <c r="J30" i="48" s="1"/>
  <c r="M27" i="36"/>
  <c r="J26" i="48" s="1"/>
  <c r="M50" i="36"/>
  <c r="J49" i="48" s="1"/>
  <c r="M34" i="36"/>
  <c r="J33" i="48" s="1"/>
  <c r="M53" i="36"/>
  <c r="J52" i="48" s="1"/>
  <c r="M36" i="36"/>
  <c r="J35" i="48" s="1"/>
  <c r="M47" i="36"/>
  <c r="J46" i="48" s="1"/>
  <c r="M41" i="36"/>
  <c r="J40" i="48" s="1"/>
  <c r="M46" i="36"/>
  <c r="J45" i="48" s="1"/>
  <c r="M8" i="36"/>
  <c r="J7" i="48" s="1"/>
  <c r="M16" i="36"/>
  <c r="J15" i="48" s="1"/>
  <c r="M32" i="36"/>
  <c r="J31" i="48" s="1"/>
  <c r="M25" i="36"/>
  <c r="J24" i="48" s="1"/>
  <c r="M19" i="36"/>
  <c r="J18" i="48" s="1"/>
  <c r="M10" i="36"/>
  <c r="J9" i="48" s="1"/>
  <c r="M51" i="36"/>
  <c r="J50" i="48" s="1"/>
  <c r="M14" i="36"/>
  <c r="J13" i="48" s="1"/>
  <c r="M21" i="36"/>
  <c r="J20" i="48" s="1"/>
  <c r="M38" i="36"/>
  <c r="J37" i="48" s="1"/>
  <c r="M18" i="36"/>
  <c r="J17" i="48" s="1"/>
  <c r="M35" i="36"/>
  <c r="J34" i="48" s="1"/>
  <c r="M29" i="36"/>
  <c r="J28" i="48" s="1"/>
  <c r="M39" i="36"/>
  <c r="J38" i="48" s="1"/>
  <c r="M48" i="36"/>
  <c r="J47" i="48" s="1"/>
  <c r="J57" i="48" l="1"/>
  <c r="P28" i="28"/>
  <c r="P50" i="28"/>
  <c r="P15" i="28"/>
  <c r="P40" i="28"/>
  <c r="P36" i="28"/>
  <c r="P23" i="28"/>
  <c r="P29" i="28"/>
  <c r="P25" i="28"/>
  <c r="P33" i="28"/>
  <c r="P54" i="28"/>
  <c r="P30" i="28"/>
  <c r="P52" i="28"/>
  <c r="P44" i="28"/>
  <c r="P12" i="28"/>
  <c r="P48" i="28"/>
  <c r="P35" i="28"/>
  <c r="P39" i="28"/>
  <c r="N57" i="28"/>
  <c r="P8" i="28"/>
  <c r="O57" i="28"/>
  <c r="Q29" i="28" s="1"/>
  <c r="P11" i="28"/>
  <c r="P9" i="28"/>
  <c r="P46" i="28"/>
  <c r="P16" i="28"/>
  <c r="P20" i="28"/>
  <c r="M58" i="36"/>
  <c r="B29" i="48" l="1"/>
  <c r="F29" i="48"/>
  <c r="C29" i="48"/>
  <c r="I29" i="48"/>
  <c r="E29" i="48"/>
  <c r="H29" i="48"/>
  <c r="Q11" i="28"/>
  <c r="Q23" i="28"/>
  <c r="Q44" i="28"/>
  <c r="Q20" i="28"/>
  <c r="Q30" i="28"/>
  <c r="Q40" i="28"/>
  <c r="Q39" i="28"/>
  <c r="Q16" i="28"/>
  <c r="Q28" i="28"/>
  <c r="Q54" i="28"/>
  <c r="Q15" i="28"/>
  <c r="Q35" i="28"/>
  <c r="Q46" i="28"/>
  <c r="Q50" i="28"/>
  <c r="Q48" i="28"/>
  <c r="Q25" i="28"/>
  <c r="Q9" i="28"/>
  <c r="Q12" i="28"/>
  <c r="Q19" i="28"/>
  <c r="P57" i="28"/>
  <c r="Q43" i="28"/>
  <c r="Q34" i="28"/>
  <c r="Q27" i="28"/>
  <c r="Q18" i="28"/>
  <c r="Q24" i="28"/>
  <c r="Q38" i="28"/>
  <c r="Q7" i="28"/>
  <c r="Q17" i="28"/>
  <c r="Q56" i="28"/>
  <c r="Q37" i="28"/>
  <c r="Q22" i="28"/>
  <c r="Q47" i="28"/>
  <c r="Q31" i="28"/>
  <c r="Q14" i="28"/>
  <c r="Q10" i="28"/>
  <c r="Q53" i="28"/>
  <c r="Q49" i="28"/>
  <c r="Q13" i="28"/>
  <c r="Q51" i="28"/>
  <c r="Q42" i="28"/>
  <c r="Q45" i="28"/>
  <c r="Q41" i="28"/>
  <c r="Q32" i="28"/>
  <c r="Q21" i="28"/>
  <c r="Q26" i="28"/>
  <c r="Q55" i="28"/>
  <c r="Q6" i="28"/>
  <c r="Q36" i="28"/>
  <c r="Q8" i="28"/>
  <c r="Q52" i="28"/>
  <c r="Q33" i="28"/>
  <c r="B41" i="48" l="1"/>
  <c r="F41" i="48"/>
  <c r="C41" i="48"/>
  <c r="E41" i="48"/>
  <c r="I41" i="48"/>
  <c r="H41" i="48"/>
  <c r="C45" i="48"/>
  <c r="B45" i="48"/>
  <c r="F45" i="48"/>
  <c r="E45" i="48"/>
  <c r="H45" i="48"/>
  <c r="I45" i="48"/>
  <c r="I20" i="48"/>
  <c r="H20" i="48"/>
  <c r="E20" i="48"/>
  <c r="B20" i="48"/>
  <c r="F20" i="48"/>
  <c r="C20" i="48"/>
  <c r="E37" i="48"/>
  <c r="I37" i="48"/>
  <c r="H37" i="48"/>
  <c r="C37" i="48"/>
  <c r="B37" i="48"/>
  <c r="F37" i="48"/>
  <c r="E44" i="48"/>
  <c r="F44" i="48"/>
  <c r="I44" i="48"/>
  <c r="B44" i="48"/>
  <c r="H44" i="48"/>
  <c r="C44" i="48"/>
  <c r="B12" i="48"/>
  <c r="E12" i="48"/>
  <c r="C12" i="48"/>
  <c r="F12" i="48"/>
  <c r="I12" i="48"/>
  <c r="H12" i="48"/>
  <c r="H42" i="48"/>
  <c r="B42" i="48"/>
  <c r="I42" i="48"/>
  <c r="F42" i="48"/>
  <c r="E42" i="48"/>
  <c r="C42" i="48"/>
  <c r="I33" i="48"/>
  <c r="C33" i="48"/>
  <c r="F33" i="48"/>
  <c r="B33" i="48"/>
  <c r="E33" i="48"/>
  <c r="H33" i="48"/>
  <c r="I23" i="48"/>
  <c r="F23" i="48"/>
  <c r="B23" i="48"/>
  <c r="C23" i="48"/>
  <c r="E23" i="48"/>
  <c r="H23" i="48"/>
  <c r="F15" i="48"/>
  <c r="B15" i="48"/>
  <c r="E15" i="48"/>
  <c r="H15" i="48"/>
  <c r="C15" i="48"/>
  <c r="I15" i="48"/>
  <c r="F9" i="48"/>
  <c r="C9" i="48"/>
  <c r="B9" i="48"/>
  <c r="I9" i="48"/>
  <c r="H9" i="48"/>
  <c r="E9" i="48"/>
  <c r="B17" i="48"/>
  <c r="I17" i="48"/>
  <c r="H17" i="48"/>
  <c r="C17" i="48"/>
  <c r="E17" i="48"/>
  <c r="F17" i="48"/>
  <c r="H48" i="48"/>
  <c r="C48" i="48"/>
  <c r="I48" i="48"/>
  <c r="F48" i="48"/>
  <c r="B48" i="48"/>
  <c r="E48" i="48"/>
  <c r="B13" i="48"/>
  <c r="E13" i="48"/>
  <c r="F13" i="48"/>
  <c r="I13" i="48"/>
  <c r="H13" i="48"/>
  <c r="C13" i="48"/>
  <c r="I50" i="48"/>
  <c r="E50" i="48"/>
  <c r="H50" i="48"/>
  <c r="C50" i="48"/>
  <c r="B50" i="48"/>
  <c r="F50" i="48"/>
  <c r="E49" i="48"/>
  <c r="F49" i="48"/>
  <c r="I49" i="48"/>
  <c r="B49" i="48"/>
  <c r="C49" i="48"/>
  <c r="H49" i="48"/>
  <c r="B46" i="48"/>
  <c r="C46" i="48"/>
  <c r="H46" i="48"/>
  <c r="I46" i="48"/>
  <c r="E46" i="48"/>
  <c r="F46" i="48"/>
  <c r="I53" i="48"/>
  <c r="B53" i="48"/>
  <c r="E53" i="48"/>
  <c r="H53" i="48"/>
  <c r="C53" i="48"/>
  <c r="F53" i="48"/>
  <c r="I35" i="48"/>
  <c r="C35" i="48"/>
  <c r="F35" i="48"/>
  <c r="B35" i="48"/>
  <c r="E35" i="48"/>
  <c r="H35" i="48"/>
  <c r="F6" i="48"/>
  <c r="E6" i="48"/>
  <c r="I6" i="48"/>
  <c r="B6" i="48"/>
  <c r="H6" i="48"/>
  <c r="C6" i="48"/>
  <c r="C10" i="48"/>
  <c r="I10" i="48"/>
  <c r="F10" i="48"/>
  <c r="B10" i="48"/>
  <c r="H10" i="48"/>
  <c r="E10" i="48"/>
  <c r="B54" i="48"/>
  <c r="F54" i="48"/>
  <c r="C54" i="48"/>
  <c r="H54" i="48"/>
  <c r="I54" i="48"/>
  <c r="E54" i="48"/>
  <c r="H30" i="48"/>
  <c r="E30" i="48"/>
  <c r="B30" i="48"/>
  <c r="F30" i="48"/>
  <c r="C30" i="48"/>
  <c r="I30" i="48"/>
  <c r="H51" i="48"/>
  <c r="B51" i="48"/>
  <c r="E51" i="48"/>
  <c r="I51" i="48"/>
  <c r="F51" i="48"/>
  <c r="C51" i="48"/>
  <c r="E27" i="48"/>
  <c r="F27" i="48"/>
  <c r="B27" i="48"/>
  <c r="C27" i="48"/>
  <c r="I27" i="48"/>
  <c r="H27" i="48"/>
  <c r="F40" i="48"/>
  <c r="B40" i="48"/>
  <c r="E40" i="48"/>
  <c r="H40" i="48"/>
  <c r="I40" i="48"/>
  <c r="C40" i="48"/>
  <c r="E11" i="48"/>
  <c r="B11" i="48"/>
  <c r="H11" i="48"/>
  <c r="I11" i="48"/>
  <c r="F11" i="48"/>
  <c r="C11" i="48"/>
  <c r="E36" i="48"/>
  <c r="C36" i="48"/>
  <c r="B36" i="48"/>
  <c r="H36" i="48"/>
  <c r="F36" i="48"/>
  <c r="I36" i="48"/>
  <c r="B18" i="48"/>
  <c r="H18" i="48"/>
  <c r="C18" i="48"/>
  <c r="F18" i="48"/>
  <c r="E18" i="48"/>
  <c r="I18" i="48"/>
  <c r="C55" i="48"/>
  <c r="I55" i="48"/>
  <c r="B55" i="48"/>
  <c r="E55" i="48"/>
  <c r="H55" i="48"/>
  <c r="F55" i="48"/>
  <c r="B14" i="48"/>
  <c r="I14" i="48"/>
  <c r="E14" i="48"/>
  <c r="H14" i="48"/>
  <c r="C14" i="48"/>
  <c r="F14" i="48"/>
  <c r="B34" i="48"/>
  <c r="H34" i="48"/>
  <c r="F34" i="48"/>
  <c r="I34" i="48"/>
  <c r="C34" i="48"/>
  <c r="E34" i="48"/>
  <c r="F26" i="48"/>
  <c r="I26" i="48"/>
  <c r="B26" i="48"/>
  <c r="E26" i="48"/>
  <c r="H26" i="48"/>
  <c r="C26" i="48"/>
  <c r="C31" i="48"/>
  <c r="B31" i="48"/>
  <c r="H31" i="48"/>
  <c r="I31" i="48"/>
  <c r="F31" i="48"/>
  <c r="E31" i="48"/>
  <c r="C43" i="48"/>
  <c r="I43" i="48"/>
  <c r="B43" i="48"/>
  <c r="E43" i="48"/>
  <c r="F43" i="48"/>
  <c r="H43" i="48"/>
  <c r="B28" i="48"/>
  <c r="E28" i="48"/>
  <c r="H28" i="48"/>
  <c r="I28" i="48"/>
  <c r="F28" i="48"/>
  <c r="C28" i="48"/>
  <c r="C21" i="48"/>
  <c r="B21" i="48"/>
  <c r="F21" i="48"/>
  <c r="E21" i="48"/>
  <c r="H21" i="48"/>
  <c r="I21" i="48"/>
  <c r="F47" i="48"/>
  <c r="I47" i="48"/>
  <c r="B47" i="48"/>
  <c r="C47" i="48"/>
  <c r="E47" i="48"/>
  <c r="H47" i="48"/>
  <c r="H16" i="48"/>
  <c r="C16" i="48"/>
  <c r="F16" i="48"/>
  <c r="I16" i="48"/>
  <c r="B16" i="48"/>
  <c r="E16" i="48"/>
  <c r="C56" i="48"/>
  <c r="F56" i="48"/>
  <c r="I56" i="48"/>
  <c r="E56" i="48"/>
  <c r="H56" i="48"/>
  <c r="B56" i="48"/>
  <c r="E25" i="48"/>
  <c r="I25" i="48"/>
  <c r="C25" i="48"/>
  <c r="B25" i="48"/>
  <c r="H25" i="48"/>
  <c r="F25" i="48"/>
  <c r="B7" i="48"/>
  <c r="F7" i="48"/>
  <c r="C7" i="48"/>
  <c r="I7" i="48"/>
  <c r="E7" i="48"/>
  <c r="H7" i="48"/>
  <c r="B52" i="48"/>
  <c r="F52" i="48"/>
  <c r="E52" i="48"/>
  <c r="H52" i="48"/>
  <c r="C52" i="48"/>
  <c r="I52" i="48"/>
  <c r="C38" i="48"/>
  <c r="I38" i="48"/>
  <c r="E38" i="48"/>
  <c r="H38" i="48"/>
  <c r="F38" i="48"/>
  <c r="B38" i="48"/>
  <c r="H8" i="48"/>
  <c r="E8" i="48"/>
  <c r="F8" i="48"/>
  <c r="B8" i="48"/>
  <c r="I8" i="48"/>
  <c r="C8" i="48"/>
  <c r="F24" i="48"/>
  <c r="E24" i="48"/>
  <c r="I24" i="48"/>
  <c r="C24" i="48"/>
  <c r="B24" i="48"/>
  <c r="H24" i="48"/>
  <c r="I32" i="48"/>
  <c r="C32" i="48"/>
  <c r="H32" i="48"/>
  <c r="E32" i="48"/>
  <c r="B32" i="48"/>
  <c r="F32" i="48"/>
  <c r="E22" i="48"/>
  <c r="F22" i="48"/>
  <c r="B22" i="48"/>
  <c r="H22" i="48"/>
  <c r="C22" i="48"/>
  <c r="I22" i="48"/>
  <c r="I19" i="48"/>
  <c r="C19" i="48"/>
  <c r="B19" i="48"/>
  <c r="F19" i="48"/>
  <c r="E19" i="48"/>
  <c r="H19" i="48"/>
  <c r="H39" i="48"/>
  <c r="F39" i="48"/>
  <c r="C39" i="48"/>
  <c r="B39" i="48"/>
  <c r="I39" i="48"/>
  <c r="E39" i="48"/>
  <c r="K29" i="48"/>
  <c r="Q57" i="28"/>
  <c r="K31" i="48" l="1"/>
  <c r="K40" i="48"/>
  <c r="K51" i="48"/>
  <c r="E57" i="48"/>
  <c r="K53" i="48"/>
  <c r="K15" i="48"/>
  <c r="K45" i="48"/>
  <c r="K36" i="48"/>
  <c r="K34" i="48"/>
  <c r="K54" i="48"/>
  <c r="F57" i="48"/>
  <c r="K13" i="48"/>
  <c r="K17" i="48"/>
  <c r="K12" i="48"/>
  <c r="K39" i="48"/>
  <c r="K7" i="48"/>
  <c r="C57" i="48"/>
  <c r="H57" i="48"/>
  <c r="K49" i="48"/>
  <c r="K32" i="48"/>
  <c r="K16" i="48"/>
  <c r="K50" i="48"/>
  <c r="K48" i="48"/>
  <c r="K47" i="48"/>
  <c r="K8" i="48"/>
  <c r="K25" i="48"/>
  <c r="K10" i="48"/>
  <c r="K35" i="48"/>
  <c r="K44" i="48"/>
  <c r="K20" i="48"/>
  <c r="B57" i="48"/>
  <c r="K6" i="48"/>
  <c r="K55" i="48"/>
  <c r="K28" i="48"/>
  <c r="K19" i="48"/>
  <c r="K43" i="48"/>
  <c r="K26" i="48"/>
  <c r="K27" i="48"/>
  <c r="K30" i="48"/>
  <c r="K9" i="48"/>
  <c r="K23" i="48"/>
  <c r="K38" i="48"/>
  <c r="K56" i="48"/>
  <c r="K24" i="48"/>
  <c r="K37" i="48"/>
  <c r="I57" i="48"/>
  <c r="K21" i="48"/>
  <c r="K11" i="48"/>
  <c r="K42" i="48"/>
  <c r="K33" i="48"/>
  <c r="K22" i="48"/>
  <c r="K52" i="48"/>
  <c r="K14" i="48"/>
  <c r="K18" i="48"/>
  <c r="K46" i="48"/>
  <c r="K41" i="48"/>
  <c r="K57" i="48" l="1"/>
</calcChain>
</file>

<file path=xl/comments1.xml><?xml version="1.0" encoding="utf-8"?>
<comments xmlns="http://schemas.openxmlformats.org/spreadsheetml/2006/main">
  <authors>
    <author>cesar.rivera</author>
  </authors>
  <commentList>
    <comment ref="L57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<sst xmlns="http://schemas.openxmlformats.org/spreadsheetml/2006/main" count="645" uniqueCount="243">
  <si>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</si>
  <si>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</si>
  <si>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</si>
  <si>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</si>
  <si>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</si>
  <si>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</si>
  <si>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</si>
  <si>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</si>
  <si>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</si>
  <si>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</si>
  <si>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</si>
  <si>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</si>
  <si>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</si>
  <si>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</si>
  <si>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</si>
  <si>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</si>
  <si>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</si>
  <si>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</si>
  <si>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</si>
  <si>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</si>
  <si>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</si>
  <si>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</si>
  <si>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</si>
  <si>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</si>
  <si>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</si>
  <si>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</si>
  <si>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</si>
  <si>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</si>
  <si>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</si>
  <si>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</si>
  <si>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</si>
  <si>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</si>
  <si>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</si>
  <si>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</si>
  <si>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</si>
  <si>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</si>
  <si>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</si>
  <si>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</si>
  <si>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</si>
  <si>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</si>
  <si>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</si>
  <si>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</si>
  <si>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</si>
  <si>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</si>
  <si>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</si>
  <si>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</si>
  <si>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</si>
  <si>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</si>
  <si>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</si>
  <si>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</si>
  <si>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</si>
  <si>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</si>
  <si>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</si>
  <si>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</si>
  <si>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</si>
  <si>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</si>
  <si>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</si>
  <si>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</si>
  <si>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</si>
  <si>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</si>
  <si>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MS</t>
  </si>
  <si>
    <t>COEF  CARENCIA SOCIAL
2010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</si>
  <si>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</si>
  <si>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</si>
  <si>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</si>
  <si>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</si>
  <si>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</si>
  <si>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</si>
  <si>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</si>
  <si>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</si>
  <si>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</si>
  <si>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</si>
  <si>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</si>
  <si>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</si>
  <si>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</si>
  <si>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</si>
  <si>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</si>
  <si>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</si>
  <si>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</si>
  <si>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</si>
  <si>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</si>
  <si>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</si>
  <si>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</si>
  <si>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</si>
  <si>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R1</t>
  </si>
  <si>
    <t>R2</t>
  </si>
  <si>
    <t>R3</t>
  </si>
  <si>
    <t>R4</t>
  </si>
  <si>
    <t>POB ING &lt; A 2 SALARIOS MIN
2010</t>
  </si>
  <si>
    <t>POB 15 MAS AÑOS NO SABE LEER NI ESCRIBIR
2010</t>
  </si>
  <si>
    <t xml:space="preserve">FUENTE: 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</si>
  <si>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</si>
  <si>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</si>
  <si>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</si>
  <si>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</si>
  <si>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</si>
  <si>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</si>
  <si>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MEJORA SOCIAL 2010 vs 2000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</si>
  <si>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</si>
  <si>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</si>
  <si>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</si>
  <si>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</si>
  <si>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</si>
  <si>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</si>
  <si>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</si>
  <si>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</si>
  <si>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</si>
  <si>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</si>
  <si>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</si>
  <si>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</si>
  <si>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</si>
  <si>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</si>
  <si>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</si>
  <si>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</si>
  <si>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</si>
  <si>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</si>
  <si>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</si>
  <si>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MAE2=(PI*35%)+(PC*35%)+(CD*30%)</t>
  </si>
  <si>
    <t>FGP</t>
  </si>
  <si>
    <t>FFM</t>
  </si>
  <si>
    <t>IEPS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</si>
  <si>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</si>
  <si>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</si>
  <si>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</si>
  <si>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</si>
  <si>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</si>
  <si>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</si>
  <si>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</si>
  <si>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</si>
  <si>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</si>
  <si>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Impuesto Especial sobre Producción y Servicios (IEPS)</t>
  </si>
  <si>
    <t>Los montos no incluyen descuentos ni compensación alguna.</t>
  </si>
  <si>
    <t>SECRETARÍA DE FINANZAS Y TESORERÍA GENERAL DEL ESTADO</t>
  </si>
  <si>
    <t>FEXHI</t>
  </si>
  <si>
    <t>Art 19 - I</t>
  </si>
  <si>
    <t>Art 19 - III y IV</t>
  </si>
  <si>
    <t>Art 19 - VI</t>
  </si>
  <si>
    <t>Art 19 - VII</t>
  </si>
  <si>
    <t>Art 20</t>
  </si>
  <si>
    <t>FOFIR</t>
  </si>
  <si>
    <t>PROPORCION DE RECAUDACIÓN</t>
  </si>
  <si>
    <t>RECAUDACIÓN PONDERADO POR EFICIENCIA</t>
  </si>
  <si>
    <t>COEFICIENTE DE DISTRIBUCIÓN ANTES DE GARANTÍA</t>
  </si>
  <si>
    <t>Impuesto sobre la Venta Final de Gasolinas y Diesel (IEPSGD)</t>
  </si>
  <si>
    <t>POBLACIÓN  2015</t>
  </si>
  <si>
    <t xml:space="preserve">  Población 2015, Encuesta Intercensal, INEGI</t>
  </si>
  <si>
    <t>Fondo sobre Extracción de Hidrocarburos (FEXHI)</t>
  </si>
  <si>
    <t>Fondo de Fiscalización y Recaudación (FOFIR)</t>
  </si>
  <si>
    <t>Monto a distribuir</t>
  </si>
  <si>
    <t>DETERMINACIÓN PRELIMINAR DE LOS COEFICIENTES DE PARTICIPACIÓN DE RECURSOS A MUNICIPIOS POR VARIABLE (ARTÍCULO14 FRACC II LCH)</t>
  </si>
  <si>
    <t>MONTO OBS + ESTIM DE GASOLINAS</t>
  </si>
  <si>
    <t>MONTO OBS. + ESTIM. DE PARTICIPACIONES</t>
  </si>
  <si>
    <t>Fondo de Compensacion ISAN</t>
  </si>
  <si>
    <t xml:space="preserve">Impuesto sobre Adquisición de Vehículos Nuevos (ISAN) </t>
  </si>
  <si>
    <t>DETERMINACIÓN  DEL  COEFICIENTE DE PARTICIPACIÓN DE RECURSOS A MUNICIPIOS</t>
  </si>
  <si>
    <t>ISAN</t>
  </si>
  <si>
    <t>COMP ISAN</t>
  </si>
  <si>
    <t>COORDINACIÓN DE PLANEACIÓN HACENDARIA</t>
  </si>
  <si>
    <t>POBLACIÓN 2015</t>
  </si>
  <si>
    <t>FUENTE:
Facturación de Predial.- Instituto Registral y Catastral
Recaudación de Predial.- Municipios del Estado
Población.- Encuesta Intercensal 2015
Territorio.- INEGI
Vairables de Carencia Social 2000 y 2010.- Censo de población y vivienda, INEGI</t>
  </si>
  <si>
    <t>30% FFM</t>
  </si>
  <si>
    <t>70% FFM</t>
  </si>
  <si>
    <t>Fondo de Fomento Municipal (FFM) 30%</t>
  </si>
  <si>
    <t>Fondo de Fomento Municipal (FFM) 70%</t>
  </si>
  <si>
    <t>Las cifras de Recaudación y Facturación del Impuesto Predial fueron actualizadas para el Cálculo de Distribución. La población por Municipio para la entidad</t>
  </si>
  <si>
    <t>50%*CERi,t+20%*REi,t+30%*CCRi,t</t>
  </si>
  <si>
    <t>REi,t = Ri,t-1 /∑Ri,t-1</t>
  </si>
  <si>
    <t>CCRi,t=CRi,t /∑CRi,t</t>
  </si>
  <si>
    <t>CRi,t=(Ri,t-1/Ri,t-2)- 1</t>
  </si>
  <si>
    <t>Ri,t-2</t>
  </si>
  <si>
    <t>CERi,t = ERi,t-1 /∑ERi,t-1</t>
  </si>
  <si>
    <t>ERt-1 = Ri,t-1 / BGi,t-1</t>
  </si>
  <si>
    <t>Ri,t-1</t>
  </si>
  <si>
    <t>BGt-1</t>
  </si>
  <si>
    <t xml:space="preserve"> ESTIMACIÓN 30% FFM ANUAL</t>
  </si>
  <si>
    <t>DISTRIBUCIÓN POR RECAUDACION</t>
  </si>
  <si>
    <t>DISTRIBUCIÓN CRECIMIENTO RECAUDACION</t>
  </si>
  <si>
    <t xml:space="preserve">DISTRIBUCIÓN POR EFICIENCIA EN LA RECAUDACIÓN  </t>
  </si>
  <si>
    <t>COEFICIENTE  POR MONTO DE RECAUDACIÓN EN EL IMPUESTO PREDIAL</t>
  </si>
  <si>
    <t>COHEFICIENTE CRECIMIENTO RECAUDACION</t>
  </si>
  <si>
    <t>Tasa&gt;0</t>
  </si>
  <si>
    <t xml:space="preserve">TASA DE CRECIMIENTO EN LA RECAUDACIÓN EFECTIVA </t>
  </si>
  <si>
    <t>COEFICIENTE  DE EFICIENCIA RECAUDATORIA</t>
  </si>
  <si>
    <t>Eficiencia Recaudatoria</t>
  </si>
  <si>
    <t>RECAUDACIÓN 2018</t>
  </si>
  <si>
    <t>COEFICIENTE DE DISTRIBUCIÓN  30% FFM Art 14 Frac III</t>
  </si>
  <si>
    <t>RECAUDACIÓN EN EL IMPUESTO PREDIAL</t>
  </si>
  <si>
    <t>CRECIMIENTO RECAUDACION</t>
  </si>
  <si>
    <t xml:space="preserve"> EFICIENCIA RECAUDATORIA</t>
  </si>
  <si>
    <t>BGt-2</t>
  </si>
  <si>
    <t>RPt-1</t>
  </si>
  <si>
    <t>PROYECCIÓN DE POBLACIÓN 2019</t>
  </si>
  <si>
    <t>COEF CARENCIA SOCIAL
200</t>
  </si>
  <si>
    <t>INFLACIÓN 2019</t>
  </si>
  <si>
    <t>Mes</t>
  </si>
  <si>
    <t>PARTICIPACIONES DISTRIBUIDAS AÑO ANTERIOR
FGP, FFM 70%, FOFIR, IEPS, ISAN, FEXHI</t>
  </si>
  <si>
    <r>
      <rPr>
        <b/>
        <sz val="8"/>
        <rFont val="Arial"/>
        <family val="2"/>
      </rPr>
      <t xml:space="preserve">PARTICIPACIONES </t>
    </r>
    <r>
      <rPr>
        <b/>
        <sz val="9"/>
        <rFont val="Arial"/>
        <family val="2"/>
      </rPr>
      <t>DISTRIBUIDAS AÑO ANT. MÁS INFLACIÓN O CRECIMIENTO</t>
    </r>
  </si>
  <si>
    <t>MONTO NECESARIO PARA ALCANZAR EL AÑO ANTERIOR</t>
  </si>
  <si>
    <t>CRECIMIENTO Vs AÑO ANTERIOR</t>
  </si>
  <si>
    <t>Participaciones federales según acuerdo publicado el 3 de enero de 2020</t>
  </si>
  <si>
    <t>RECAUDACIÓN 2019</t>
  </si>
  <si>
    <t>IEPSGYD</t>
  </si>
  <si>
    <t>FACTURACIÓN  2018
(2014-2018)</t>
  </si>
  <si>
    <t>CADEREYTA JIMÉNEZ</t>
  </si>
  <si>
    <t>EL CARMEN</t>
  </si>
  <si>
    <t>CERRALVO</t>
  </si>
  <si>
    <t>CIÉNEGA DE FLORES</t>
  </si>
  <si>
    <t>DOCTOR GONZÁLEZ</t>
  </si>
  <si>
    <t>GARCÍA</t>
  </si>
  <si>
    <t>GENERAL TERÁN</t>
  </si>
  <si>
    <t>LOS HERRERAS</t>
  </si>
  <si>
    <t>JUÁREZ</t>
  </si>
  <si>
    <t>MARÍN</t>
  </si>
  <si>
    <t>PARÁS</t>
  </si>
  <si>
    <t>PESQUERÍA</t>
  </si>
  <si>
    <t>LOS RAMONES</t>
  </si>
  <si>
    <t>SAN NICOLÁS DE LOS GARZA</t>
  </si>
  <si>
    <t>SAN PEDRO GARZA GARCÍA</t>
  </si>
  <si>
    <t>LOS ALDAMAS</t>
  </si>
  <si>
    <t>ANÁHUAC</t>
  </si>
  <si>
    <t>FACTURACIÓN  2019
(2015-2019)</t>
  </si>
  <si>
    <t>PARTICIPACIONES ESTIMADAS PTE AÑO</t>
  </si>
  <si>
    <t>MONTO PTE AÑO POR ENCIMA DE AÑO ANT MÁS INFLACIÓN O CRECIMIENTO</t>
  </si>
  <si>
    <t>MONTO A DISMINUIR EN MUNICIPIOS CON INCREMENTO SUPERIOR A AÑO ANT MÁS INFLACIÓN O CREC</t>
  </si>
  <si>
    <t>MONTO A DISTRIBUIR EN PTE AÑO PARA GARANTIZAR AL MENOS EL PAGO DE AÑO ANT MÁS INFLACIÓN O CREC</t>
  </si>
  <si>
    <t>DETERMINACIÓN INCREMENTO PTRE AÑO vs PAGO AÑO ANT MÁS INFLACIÓN O CREC</t>
  </si>
  <si>
    <t xml:space="preserve">CÁLCULO DE DISTRIBUCIÓN DE PARTICIPACIONES  2020 </t>
  </si>
  <si>
    <t>Participaciones 2020</t>
  </si>
  <si>
    <t>Participaciones observadas 2020</t>
  </si>
  <si>
    <t>COEFICIENTE DEFINITIVO</t>
  </si>
  <si>
    <t>Nombre del Municipio</t>
  </si>
  <si>
    <t>Fondo General de Participaciones</t>
  </si>
  <si>
    <t>Fondo de Fomento Municipal
70%</t>
  </si>
  <si>
    <t>Fondo de Fomento Municipal
30%</t>
  </si>
  <si>
    <t>Impuesto Especial Sobre Producción y Servicios</t>
  </si>
  <si>
    <t>Fondo de Fiscalización y Recaudación</t>
  </si>
  <si>
    <t>Fondo de Extracción de Hidrocarburos</t>
  </si>
  <si>
    <t>Impuesto Sobre Adquisición de Vehículos Nuevos</t>
  </si>
  <si>
    <t>Fondo Compensación ISAN</t>
  </si>
  <si>
    <t>Impuesto Sobre la Venta Final de Gasolinas y Diesel</t>
  </si>
  <si>
    <t>Total</t>
  </si>
  <si>
    <r>
      <t xml:space="preserve">PARTICIPACIONES FEDERALES CALCULADAS PARA LOS MUNICIPIOS </t>
    </r>
    <r>
      <rPr>
        <b/>
        <sz val="11"/>
        <color rgb="FFFF0000"/>
        <rFont val="Cambria"/>
        <family val="1"/>
        <scheme val="major"/>
      </rPr>
      <t>ACUMULADO</t>
    </r>
    <r>
      <rPr>
        <b/>
        <sz val="11"/>
        <color theme="1"/>
        <rFont val="Cambria"/>
        <family val="1"/>
        <scheme val="major"/>
      </rPr>
      <t xml:space="preserve"> DEL EJERCICIO FISCAL 2020</t>
    </r>
  </si>
  <si>
    <t>AJUSTE ANUAL DE PARTICIPACIONES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</si>
</sst>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_(* #,##0.000000_);_(* \(#,##0.000000\);_(* &quot;-&quot;??_);_(@_)"/>
    <numFmt numFmtId="173" formatCode="0.00000000%"/>
    <numFmt numFmtId="174" formatCode="_(* #,##0.00000000_);_(* \(#,##0.00000000\);_(* &quot;-&quot;??_);_(@_)"/>
    <numFmt numFmtId="175" formatCode="0.000000"/>
    <numFmt numFmtId="176" formatCode="0.00000000"/>
    <numFmt numFmtId="177" formatCode="0.0000000000"/>
    <numFmt numFmtId="178" formatCode="0.000000000"/>
    <numFmt numFmtId="179" formatCode="0.0000"/>
    <numFmt numFmtId="180" formatCode="#,##0.0000;\-#,##0.0000"/>
    <numFmt numFmtId="181" formatCode="#,##0.00000000000;\-#,##0.00000000000"/>
    <numFmt numFmtId="182" formatCode="0.0000%"/>
    <numFmt numFmtId="183" formatCode="General_)"/>
    <numFmt numFmtId="184" formatCode="_-[$€-2]* #,##0.00_-;\-[$€-2]* #,##0.00_-;_-[$€-2]* &quot;-&quot;??_-"/>
    <numFmt numFmtId="185" formatCode="_-* #,##0_-;\-* #,##0_-;_-* &quot;-&quot;??_-;_-@_-"/>
    <numFmt numFmtId="186" formatCode="_-* #,##0.0000_-;\-* #,##0.0000_-;_-* &quot;-&quot;????_-;_-@_-"/>
    <numFmt numFmtId="187" formatCode="_-* #,##0.0000_-;\-* #,##0.0000_-;_-* &quot;-&quot;_-;_-@_-"/>
    <numFmt numFmtId="188" formatCode="_-* #,##0.0000_-;\-* #,##0.0000_-;_-* &quot;-&quot;??_-;_-@_-"/>
    <numFmt numFmtId="189" formatCode="#,##0.0000_ ;[Red]\-#,##0.0000\ "/>
    <numFmt numFmtId="190" formatCode="#,##0_ ;[Red]\-#,##0\ 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1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69" fontId="4" fillId="0" borderId="0" applyFont="0" applyFill="0" applyBorder="0" applyAlignment="0" applyProtection="0"/>
    <xf numFmtId="0" fontId="18" fillId="3" borderId="0" applyNumberFormat="0" applyBorder="0" applyAlignment="0" applyProtection="0"/>
    <xf numFmtId="164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29" fillId="0" borderId="0"/>
    <xf numFmtId="0" fontId="6" fillId="0" borderId="0"/>
    <xf numFmtId="37" fontId="5" fillId="0" borderId="0"/>
    <xf numFmtId="0" fontId="10" fillId="23" borderId="4" applyNumberFormat="0" applyFont="0" applyAlignment="0" applyProtection="0"/>
    <xf numFmtId="170" fontId="6" fillId="0" borderId="0" applyFont="0" applyFill="0" applyBorder="0" applyAlignment="0" applyProtection="0">
      <alignment horizontal="right"/>
    </xf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171" fontId="7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3" fontId="4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84" fontId="4" fillId="0" borderId="0" applyFont="0" applyFill="0" applyBorder="0" applyAlignment="0" applyProtection="0"/>
    <xf numFmtId="0" fontId="18" fillId="3" borderId="0" applyNumberFormat="0" applyBorder="0" applyAlignment="0" applyProtection="0"/>
    <xf numFmtId="41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4" fillId="23" borderId="4" applyNumberFormat="0" applyFon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" fillId="0" borderId="0"/>
    <xf numFmtId="43" fontId="4" fillId="0" borderId="0" applyFont="0" applyFill="0" applyBorder="0" applyAlignment="0" applyProtection="0"/>
    <xf numFmtId="0" fontId="48" fillId="0" borderId="0"/>
    <xf numFmtId="0" fontId="2" fillId="0" borderId="0"/>
    <xf numFmtId="43" fontId="49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0" fontId="53" fillId="0" borderId="0"/>
    <xf numFmtId="43" fontId="5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82">
    <xf numFmtId="0" fontId="0" fillId="0" borderId="0" xfId="0"/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4" fillId="0" borderId="11" xfId="37" applyFont="1" applyFill="1" applyBorder="1" applyAlignment="1" applyProtection="1">
      <alignment horizontal="left"/>
      <protection hidden="1"/>
    </xf>
    <xf numFmtId="37" fontId="4" fillId="0" borderId="20" xfId="37" applyFont="1" applyFill="1" applyBorder="1" applyAlignment="1" applyProtection="1">
      <alignment horizontal="right"/>
      <protection hidden="1"/>
    </xf>
    <xf numFmtId="37" fontId="4" fillId="0" borderId="12" xfId="37" applyFont="1" applyFill="1" applyBorder="1" applyAlignment="1" applyProtection="1">
      <alignment horizontal="left"/>
      <protection hidden="1"/>
    </xf>
    <xf numFmtId="37" fontId="4" fillId="0" borderId="22" xfId="37" applyFont="1" applyFill="1" applyBorder="1" applyAlignment="1" applyProtection="1">
      <alignment horizontal="right"/>
      <protection hidden="1"/>
    </xf>
    <xf numFmtId="37" fontId="8" fillId="0" borderId="13" xfId="37" applyFont="1" applyFill="1" applyBorder="1" applyAlignment="1" applyProtection="1">
      <alignment horizontal="left"/>
      <protection hidden="1"/>
    </xf>
    <xf numFmtId="37" fontId="8" fillId="0" borderId="14" xfId="37" applyFont="1" applyFill="1" applyBorder="1" applyAlignment="1" applyProtection="1">
      <alignment horizontal="right"/>
      <protection hidden="1"/>
    </xf>
    <xf numFmtId="37" fontId="8" fillId="0" borderId="10" xfId="37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9" fontId="8" fillId="0" borderId="10" xfId="40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Fill="1" applyProtection="1">
      <protection hidden="1"/>
    </xf>
    <xf numFmtId="9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75" fontId="8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Protection="1">
      <protection hidden="1"/>
    </xf>
    <xf numFmtId="37" fontId="31" fillId="0" borderId="0" xfId="37" applyFont="1" applyAlignment="1" applyProtection="1">
      <alignment horizontal="center" vertical="center"/>
      <protection hidden="1"/>
    </xf>
    <xf numFmtId="37" fontId="31" fillId="0" borderId="0" xfId="37" applyFont="1" applyFill="1" applyProtection="1">
      <protection hidden="1"/>
    </xf>
    <xf numFmtId="37" fontId="31" fillId="0" borderId="0" xfId="37" applyFont="1" applyProtection="1">
      <protection hidden="1"/>
    </xf>
    <xf numFmtId="37" fontId="36" fillId="0" borderId="0" xfId="37" applyFont="1" applyFill="1" applyBorder="1" applyAlignment="1" applyProtection="1">
      <alignment horizontal="center" vertical="center" wrapText="1"/>
      <protection hidden="1"/>
    </xf>
    <xf numFmtId="37" fontId="36" fillId="0" borderId="0" xfId="37" applyFont="1" applyFill="1" applyProtection="1">
      <protection hidden="1"/>
    </xf>
    <xf numFmtId="175" fontId="36" fillId="0" borderId="0" xfId="37" applyNumberFormat="1" applyFont="1" applyFill="1" applyProtection="1">
      <protection hidden="1"/>
    </xf>
    <xf numFmtId="176" fontId="37" fillId="0" borderId="0" xfId="0" applyNumberFormat="1" applyFont="1" applyFill="1" applyAlignment="1" applyProtection="1">
      <alignment horizontal="center" vertical="center" wrapText="1"/>
      <protection hidden="1"/>
    </xf>
    <xf numFmtId="175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Alignment="1" applyProtection="1">
      <alignment horizontal="center" vertical="center" wrapText="1"/>
      <protection hidden="1"/>
    </xf>
    <xf numFmtId="37" fontId="31" fillId="0" borderId="0" xfId="37" applyFont="1" applyAlignment="1" applyProtection="1">
      <alignment horizontal="center" vertical="center" wrapText="1"/>
      <protection hidden="1"/>
    </xf>
    <xf numFmtId="37" fontId="36" fillId="0" borderId="0" xfId="37" applyFont="1" applyProtection="1">
      <protection hidden="1"/>
    </xf>
    <xf numFmtId="3" fontId="30" fillId="0" borderId="20" xfId="0" applyNumberFormat="1" applyFont="1" applyBorder="1" applyProtection="1">
      <protection hidden="1"/>
    </xf>
    <xf numFmtId="173" fontId="4" fillId="0" borderId="20" xfId="40" applyNumberFormat="1" applyFont="1" applyFill="1" applyBorder="1" applyProtection="1">
      <protection hidden="1"/>
    </xf>
    <xf numFmtId="175" fontId="4" fillId="0" borderId="20" xfId="40" applyNumberFormat="1" applyFont="1" applyFill="1" applyBorder="1" applyProtection="1">
      <protection hidden="1"/>
    </xf>
    <xf numFmtId="165" fontId="4" fillId="0" borderId="20" xfId="33" applyNumberFormat="1" applyFont="1" applyFill="1" applyBorder="1" applyProtection="1">
      <protection hidden="1"/>
    </xf>
    <xf numFmtId="175" fontId="4" fillId="0" borderId="25" xfId="40" applyNumberFormat="1" applyFont="1" applyFill="1" applyBorder="1" applyProtection="1">
      <protection hidden="1"/>
    </xf>
    <xf numFmtId="37" fontId="4" fillId="0" borderId="11" xfId="37" applyFont="1" applyFill="1" applyBorder="1" applyAlignment="1" applyProtection="1">
      <protection hidden="1"/>
    </xf>
    <xf numFmtId="37" fontId="4" fillId="0" borderId="20" xfId="37" applyFont="1" applyFill="1" applyBorder="1" applyAlignment="1" applyProtection="1">
      <protection hidden="1"/>
    </xf>
    <xf numFmtId="173" fontId="30" fillId="0" borderId="20" xfId="40" applyNumberFormat="1" applyFont="1" applyBorder="1" applyProtection="1">
      <protection hidden="1"/>
    </xf>
    <xf numFmtId="1" fontId="39" fillId="0" borderId="20" xfId="40" applyNumberFormat="1" applyFont="1" applyBorder="1" applyProtection="1">
      <protection hidden="1"/>
    </xf>
    <xf numFmtId="175" fontId="30" fillId="0" borderId="20" xfId="40" applyNumberFormat="1" applyFont="1" applyBorder="1" applyProtection="1">
      <protection hidden="1"/>
    </xf>
    <xf numFmtId="172" fontId="4" fillId="0" borderId="20" xfId="33" applyNumberFormat="1" applyFont="1" applyFill="1" applyBorder="1" applyProtection="1">
      <protection hidden="1"/>
    </xf>
    <xf numFmtId="165" fontId="4" fillId="0" borderId="25" xfId="33" applyNumberFormat="1" applyFont="1" applyFill="1" applyBorder="1" applyProtection="1">
      <protection hidden="1"/>
    </xf>
    <xf numFmtId="37" fontId="4" fillId="0" borderId="11" xfId="37" applyFont="1" applyBorder="1" applyProtection="1">
      <protection hidden="1"/>
    </xf>
    <xf numFmtId="37" fontId="4" fillId="0" borderId="20" xfId="37" applyFont="1" applyBorder="1" applyProtection="1">
      <protection hidden="1"/>
    </xf>
    <xf numFmtId="176" fontId="4" fillId="0" borderId="21" xfId="40" applyNumberFormat="1" applyFont="1" applyBorder="1" applyProtection="1">
      <protection hidden="1"/>
    </xf>
    <xf numFmtId="3" fontId="30" fillId="0" borderId="22" xfId="0" applyNumberFormat="1" applyFont="1" applyBorder="1" applyProtection="1">
      <protection hidden="1"/>
    </xf>
    <xf numFmtId="173" fontId="4" fillId="0" borderId="22" xfId="40" applyNumberFormat="1" applyFont="1" applyFill="1" applyBorder="1" applyProtection="1">
      <protection hidden="1"/>
    </xf>
    <xf numFmtId="175" fontId="4" fillId="0" borderId="22" xfId="40" applyNumberFormat="1" applyFont="1" applyFill="1" applyBorder="1" applyProtection="1">
      <protection hidden="1"/>
    </xf>
    <xf numFmtId="165" fontId="4" fillId="0" borderId="22" xfId="33" applyNumberFormat="1" applyFont="1" applyFill="1" applyBorder="1" applyProtection="1">
      <protection hidden="1"/>
    </xf>
    <xf numFmtId="175" fontId="4" fillId="0" borderId="26" xfId="40" applyNumberFormat="1" applyFont="1" applyFill="1" applyBorder="1" applyProtection="1">
      <protection hidden="1"/>
    </xf>
    <xf numFmtId="37" fontId="4" fillId="0" borderId="12" xfId="37" applyFont="1" applyFill="1" applyBorder="1" applyAlignment="1" applyProtection="1">
      <protection hidden="1"/>
    </xf>
    <xf numFmtId="37" fontId="4" fillId="0" borderId="22" xfId="37" applyFont="1" applyFill="1" applyBorder="1" applyAlignment="1" applyProtection="1">
      <protection hidden="1"/>
    </xf>
    <xf numFmtId="173" fontId="30" fillId="0" borderId="22" xfId="40" applyNumberFormat="1" applyFont="1" applyBorder="1" applyProtection="1">
      <protection hidden="1"/>
    </xf>
    <xf numFmtId="1" fontId="39" fillId="0" borderId="22" xfId="40" applyNumberFormat="1" applyFont="1" applyBorder="1" applyProtection="1">
      <protection hidden="1"/>
    </xf>
    <xf numFmtId="175" fontId="30" fillId="0" borderId="22" xfId="40" applyNumberFormat="1" applyFont="1" applyBorder="1" applyProtection="1">
      <protection hidden="1"/>
    </xf>
    <xf numFmtId="172" fontId="4" fillId="0" borderId="22" xfId="33" applyNumberFormat="1" applyFont="1" applyFill="1" applyBorder="1" applyProtection="1">
      <protection hidden="1"/>
    </xf>
    <xf numFmtId="165" fontId="4" fillId="0" borderId="26" xfId="33" applyNumberFormat="1" applyFont="1" applyFill="1" applyBorder="1" applyProtection="1">
      <protection hidden="1"/>
    </xf>
    <xf numFmtId="37" fontId="4" fillId="0" borderId="12" xfId="37" applyFont="1" applyBorder="1" applyProtection="1">
      <protection hidden="1"/>
    </xf>
    <xf numFmtId="37" fontId="4" fillId="0" borderId="22" xfId="37" applyFont="1" applyBorder="1" applyProtection="1">
      <protection hidden="1"/>
    </xf>
    <xf numFmtId="176" fontId="4" fillId="0" borderId="19" xfId="40" applyNumberFormat="1" applyFont="1" applyBorder="1" applyProtection="1">
      <protection hidden="1"/>
    </xf>
    <xf numFmtId="3" fontId="32" fillId="0" borderId="14" xfId="0" applyNumberFormat="1" applyFont="1" applyBorder="1" applyProtection="1">
      <protection hidden="1"/>
    </xf>
    <xf numFmtId="173" fontId="8" fillId="0" borderId="14" xfId="40" applyNumberFormat="1" applyFont="1" applyFill="1" applyBorder="1" applyProtection="1">
      <protection hidden="1"/>
    </xf>
    <xf numFmtId="175" fontId="8" fillId="0" borderId="14" xfId="40" applyNumberFormat="1" applyFont="1" applyFill="1" applyBorder="1" applyProtection="1">
      <protection hidden="1"/>
    </xf>
    <xf numFmtId="165" fontId="8" fillId="0" borderId="14" xfId="33" applyNumberFormat="1" applyFont="1" applyFill="1" applyBorder="1" applyProtection="1">
      <protection hidden="1"/>
    </xf>
    <xf numFmtId="175" fontId="8" fillId="0" borderId="24" xfId="40" applyNumberFormat="1" applyFont="1" applyFill="1" applyBorder="1" applyProtection="1">
      <protection hidden="1"/>
    </xf>
    <xf numFmtId="37" fontId="38" fillId="0" borderId="13" xfId="37" applyFont="1" applyFill="1" applyBorder="1" applyAlignment="1" applyProtection="1">
      <protection hidden="1"/>
    </xf>
    <xf numFmtId="37" fontId="38" fillId="0" borderId="14" xfId="37" applyFont="1" applyFill="1" applyBorder="1" applyAlignment="1" applyProtection="1">
      <protection hidden="1"/>
    </xf>
    <xf numFmtId="173" fontId="32" fillId="0" borderId="14" xfId="40" applyNumberFormat="1" applyFont="1" applyBorder="1" applyProtection="1">
      <protection hidden="1"/>
    </xf>
    <xf numFmtId="1" fontId="40" fillId="0" borderId="14" xfId="40" applyNumberFormat="1" applyFont="1" applyBorder="1" applyProtection="1">
      <protection hidden="1"/>
    </xf>
    <xf numFmtId="175" fontId="32" fillId="0" borderId="14" xfId="40" applyNumberFormat="1" applyFont="1" applyBorder="1" applyProtection="1">
      <protection hidden="1"/>
    </xf>
    <xf numFmtId="168" fontId="8" fillId="0" borderId="14" xfId="40" applyNumberFormat="1" applyFont="1" applyFill="1" applyBorder="1" applyProtection="1">
      <protection hidden="1"/>
    </xf>
    <xf numFmtId="175" fontId="8" fillId="0" borderId="14" xfId="33" applyNumberFormat="1" applyFont="1" applyFill="1" applyBorder="1" applyProtection="1">
      <protection hidden="1"/>
    </xf>
    <xf numFmtId="172" fontId="8" fillId="0" borderId="14" xfId="33" applyNumberFormat="1" applyFont="1" applyFill="1" applyBorder="1" applyProtection="1">
      <protection hidden="1"/>
    </xf>
    <xf numFmtId="165" fontId="8" fillId="0" borderId="24" xfId="40" applyNumberFormat="1" applyFont="1" applyFill="1" applyBorder="1" applyProtection="1">
      <protection hidden="1"/>
    </xf>
    <xf numFmtId="37" fontId="8" fillId="0" borderId="13" xfId="37" applyFont="1" applyBorder="1" applyProtection="1">
      <protection hidden="1"/>
    </xf>
    <xf numFmtId="37" fontId="8" fillId="0" borderId="14" xfId="37" applyFont="1" applyBorder="1" applyProtection="1">
      <protection hidden="1"/>
    </xf>
    <xf numFmtId="176" fontId="8" fillId="0" borderId="15" xfId="40" applyNumberFormat="1" applyFont="1" applyBorder="1" applyProtection="1">
      <protection hidden="1"/>
    </xf>
    <xf numFmtId="175" fontId="4" fillId="0" borderId="0" xfId="37" applyNumberFormat="1" applyFont="1" applyProtection="1">
      <protection hidden="1"/>
    </xf>
    <xf numFmtId="39" fontId="4" fillId="0" borderId="0" xfId="37" applyNumberFormat="1" applyFont="1" applyProtection="1">
      <protection hidden="1"/>
    </xf>
    <xf numFmtId="176" fontId="4" fillId="0" borderId="0" xfId="37" applyNumberFormat="1" applyFont="1" applyProtection="1">
      <protection hidden="1"/>
    </xf>
    <xf numFmtId="166" fontId="4" fillId="0" borderId="0" xfId="40" applyNumberFormat="1" applyFont="1" applyProtection="1">
      <protection hidden="1"/>
    </xf>
    <xf numFmtId="175" fontId="4" fillId="0" borderId="0" xfId="37" applyNumberFormat="1" applyFont="1" applyFill="1" applyProtection="1">
      <protection hidden="1"/>
    </xf>
    <xf numFmtId="176" fontId="4" fillId="0" borderId="0" xfId="37" applyNumberFormat="1" applyFont="1" applyFill="1" applyProtection="1">
      <protection hidden="1"/>
    </xf>
    <xf numFmtId="166" fontId="4" fillId="0" borderId="0" xfId="40" applyNumberFormat="1" applyFont="1" applyFill="1" applyProtection="1">
      <protection hidden="1"/>
    </xf>
    <xf numFmtId="39" fontId="8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3" fillId="0" borderId="0" xfId="37" applyFont="1" applyFill="1" applyBorder="1" applyAlignment="1" applyProtection="1">
      <alignment horizontal="center" vertical="center" wrapText="1"/>
      <protection hidden="1"/>
    </xf>
    <xf numFmtId="39" fontId="31" fillId="0" borderId="0" xfId="37" applyNumberFormat="1" applyFont="1" applyFill="1" applyBorder="1" applyAlignment="1" applyProtection="1">
      <alignment horizontal="center" vertical="center" wrapText="1"/>
      <protection hidden="1"/>
    </xf>
    <xf numFmtId="176" fontId="36" fillId="0" borderId="0" xfId="37" applyNumberFormat="1" applyFont="1" applyFill="1" applyProtection="1">
      <protection hidden="1"/>
    </xf>
    <xf numFmtId="39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176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4" fillId="0" borderId="11" xfId="37" applyNumberFormat="1" applyFont="1" applyFill="1" applyBorder="1" applyProtection="1">
      <protection hidden="1"/>
    </xf>
    <xf numFmtId="37" fontId="4" fillId="0" borderId="12" xfId="37" applyNumberFormat="1" applyFont="1" applyFill="1" applyBorder="1" applyProtection="1"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37" fontId="43" fillId="0" borderId="0" xfId="37" applyFont="1" applyAlignment="1" applyProtection="1">
      <alignment horizontal="center"/>
      <protection hidden="1"/>
    </xf>
    <xf numFmtId="37" fontId="4" fillId="0" borderId="0" xfId="37" applyFont="1" applyAlignment="1" applyProtection="1">
      <alignment wrapText="1"/>
      <protection hidden="1"/>
    </xf>
    <xf numFmtId="37" fontId="4" fillId="0" borderId="28" xfId="37" applyFont="1" applyBorder="1" applyAlignment="1" applyProtection="1">
      <alignment wrapText="1"/>
      <protection hidden="1"/>
    </xf>
    <xf numFmtId="37" fontId="47" fillId="0" borderId="0" xfId="37" applyFont="1" applyProtection="1">
      <protection hidden="1"/>
    </xf>
    <xf numFmtId="37" fontId="31" fillId="0" borderId="0" xfId="37" applyFont="1" applyFill="1" applyBorder="1" applyAlignment="1" applyProtection="1">
      <alignment horizontal="center" vertical="center" wrapText="1"/>
      <protection hidden="1"/>
    </xf>
    <xf numFmtId="175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33" fillId="0" borderId="0" xfId="39" applyNumberFormat="1" applyFont="1" applyFill="1" applyBorder="1" applyAlignment="1" applyProtection="1">
      <alignment horizontal="center" vertical="center" wrapText="1"/>
      <protection hidden="1"/>
    </xf>
    <xf numFmtId="176" fontId="31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1" fillId="0" borderId="0" xfId="39" applyFont="1" applyFill="1" applyBorder="1" applyAlignment="1" applyProtection="1">
      <alignment horizontal="center" vertical="center" wrapText="1"/>
      <protection hidden="1"/>
    </xf>
    <xf numFmtId="177" fontId="4" fillId="0" borderId="20" xfId="40" applyNumberFormat="1" applyFont="1" applyFill="1" applyBorder="1" applyProtection="1">
      <protection hidden="1"/>
    </xf>
    <xf numFmtId="177" fontId="4" fillId="0" borderId="22" xfId="40" applyNumberFormat="1" applyFont="1" applyFill="1" applyBorder="1" applyProtection="1">
      <protection hidden="1"/>
    </xf>
    <xf numFmtId="177" fontId="8" fillId="0" borderId="14" xfId="40" applyNumberFormat="1" applyFont="1" applyFill="1" applyBorder="1" applyProtection="1">
      <protection hidden="1"/>
    </xf>
    <xf numFmtId="178" fontId="4" fillId="0" borderId="20" xfId="40" applyNumberFormat="1" applyFont="1" applyFill="1" applyBorder="1" applyProtection="1">
      <protection hidden="1"/>
    </xf>
    <xf numFmtId="178" fontId="4" fillId="0" borderId="22" xfId="40" applyNumberFormat="1" applyFont="1" applyFill="1" applyBorder="1" applyProtection="1">
      <protection hidden="1"/>
    </xf>
    <xf numFmtId="178" fontId="8" fillId="0" borderId="14" xfId="40" applyNumberFormat="1" applyFont="1" applyFill="1" applyBorder="1" applyProtection="1">
      <protection hidden="1"/>
    </xf>
    <xf numFmtId="176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42" fillId="0" borderId="0" xfId="37" applyNumberFormat="1" applyFont="1" applyAlignment="1" applyProtection="1">
      <alignment horizontal="center" vertical="center"/>
      <protection hidden="1"/>
    </xf>
    <xf numFmtId="176" fontId="41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21" xfId="40" applyNumberFormat="1" applyFont="1" applyFill="1" applyBorder="1" applyProtection="1">
      <protection hidden="1"/>
    </xf>
    <xf numFmtId="176" fontId="4" fillId="0" borderId="19" xfId="40" applyNumberFormat="1" applyFont="1" applyFill="1" applyBorder="1" applyProtection="1">
      <protection hidden="1"/>
    </xf>
    <xf numFmtId="176" fontId="8" fillId="0" borderId="15" xfId="40" applyNumberFormat="1" applyFont="1" applyFill="1" applyBorder="1" applyProtection="1">
      <protection hidden="1"/>
    </xf>
    <xf numFmtId="37" fontId="43" fillId="0" borderId="0" xfId="37" applyFont="1" applyAlignment="1" applyProtection="1">
      <protection hidden="1"/>
    </xf>
    <xf numFmtId="0" fontId="41" fillId="0" borderId="10" xfId="0" applyFont="1" applyFill="1" applyBorder="1" applyAlignment="1" applyProtection="1">
      <alignment horizontal="center" vertical="center" wrapText="1"/>
      <protection hidden="1"/>
    </xf>
    <xf numFmtId="165" fontId="32" fillId="0" borderId="14" xfId="33" applyNumberFormat="1" applyFont="1" applyFill="1" applyBorder="1" applyProtection="1"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/>
    <xf numFmtId="176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37" fontId="31" fillId="0" borderId="0" xfId="37" applyFont="1" applyFill="1" applyAlignment="1" applyProtection="1">
      <alignment horizontal="center" vertical="center"/>
      <protection hidden="1"/>
    </xf>
    <xf numFmtId="176" fontId="31" fillId="0" borderId="0" xfId="37" applyNumberFormat="1" applyFont="1" applyFill="1" applyProtection="1">
      <protection hidden="1"/>
    </xf>
    <xf numFmtId="37" fontId="31" fillId="0" borderId="0" xfId="37" applyFont="1" applyFill="1" applyAlignment="1" applyProtection="1">
      <alignment horizontal="center" vertical="center" wrapText="1"/>
      <protection hidden="1"/>
    </xf>
    <xf numFmtId="176" fontId="31" fillId="0" borderId="0" xfId="37" applyNumberFormat="1" applyFont="1" applyFill="1" applyAlignment="1" applyProtection="1">
      <alignment horizontal="center" vertical="center" wrapText="1"/>
      <protection hidden="1"/>
    </xf>
    <xf numFmtId="3" fontId="30" fillId="0" borderId="20" xfId="0" applyNumberFormat="1" applyFont="1" applyFill="1" applyBorder="1" applyProtection="1">
      <protection hidden="1"/>
    </xf>
    <xf numFmtId="176" fontId="4" fillId="0" borderId="16" xfId="33" applyNumberFormat="1" applyFont="1" applyFill="1" applyBorder="1" applyProtection="1">
      <protection hidden="1"/>
    </xf>
    <xf numFmtId="37" fontId="4" fillId="0" borderId="11" xfId="37" applyFont="1" applyFill="1" applyBorder="1" applyProtection="1">
      <protection hidden="1"/>
    </xf>
    <xf numFmtId="37" fontId="4" fillId="0" borderId="20" xfId="37" applyFont="1" applyFill="1" applyBorder="1" applyProtection="1">
      <protection hidden="1"/>
    </xf>
    <xf numFmtId="176" fontId="4" fillId="0" borderId="21" xfId="37" applyNumberFormat="1" applyFont="1" applyFill="1" applyBorder="1" applyProtection="1">
      <protection hidden="1"/>
    </xf>
    <xf numFmtId="3" fontId="30" fillId="0" borderId="22" xfId="0" applyNumberFormat="1" applyFont="1" applyFill="1" applyBorder="1" applyProtection="1">
      <protection hidden="1"/>
    </xf>
    <xf numFmtId="176" fontId="4" fillId="0" borderId="17" xfId="33" applyNumberFormat="1" applyFont="1" applyFill="1" applyBorder="1" applyProtection="1">
      <protection hidden="1"/>
    </xf>
    <xf numFmtId="37" fontId="4" fillId="0" borderId="12" xfId="37" applyFont="1" applyFill="1" applyBorder="1" applyProtection="1">
      <protection hidden="1"/>
    </xf>
    <xf numFmtId="37" fontId="4" fillId="0" borderId="22" xfId="37" applyFont="1" applyFill="1" applyBorder="1" applyProtection="1">
      <protection hidden="1"/>
    </xf>
    <xf numFmtId="176" fontId="4" fillId="0" borderId="19" xfId="37" applyNumberFormat="1" applyFont="1" applyFill="1" applyBorder="1" applyProtection="1">
      <protection hidden="1"/>
    </xf>
    <xf numFmtId="3" fontId="32" fillId="0" borderId="14" xfId="0" applyNumberFormat="1" applyFont="1" applyFill="1" applyBorder="1" applyProtection="1">
      <protection hidden="1"/>
    </xf>
    <xf numFmtId="37" fontId="8" fillId="0" borderId="13" xfId="37" applyNumberFormat="1" applyFont="1" applyFill="1" applyBorder="1" applyProtection="1">
      <protection hidden="1"/>
    </xf>
    <xf numFmtId="176" fontId="8" fillId="0" borderId="18" xfId="40" applyNumberFormat="1" applyFont="1" applyFill="1" applyBorder="1" applyProtection="1">
      <protection hidden="1"/>
    </xf>
    <xf numFmtId="37" fontId="8" fillId="0" borderId="13" xfId="37" applyFont="1" applyFill="1" applyBorder="1" applyProtection="1">
      <protection hidden="1"/>
    </xf>
    <xf numFmtId="37" fontId="8" fillId="0" borderId="14" xfId="37" applyFont="1" applyFill="1" applyBorder="1" applyProtection="1">
      <protection hidden="1"/>
    </xf>
    <xf numFmtId="176" fontId="8" fillId="0" borderId="15" xfId="37" applyNumberFormat="1" applyFont="1" applyFill="1" applyBorder="1" applyProtection="1">
      <protection hidden="1"/>
    </xf>
    <xf numFmtId="10" fontId="44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/>
    <xf numFmtId="0" fontId="8" fillId="0" borderId="34" xfId="53" applyFont="1" applyBorder="1" applyAlignment="1">
      <alignment horizontal="center" vertical="center" wrapText="1"/>
    </xf>
    <xf numFmtId="0" fontId="4" fillId="0" borderId="34" xfId="53" applyFont="1" applyBorder="1" applyAlignment="1">
      <alignment vertical="center" wrapText="1"/>
    </xf>
    <xf numFmtId="0" fontId="4" fillId="0" borderId="34" xfId="53" applyFont="1" applyBorder="1" applyAlignment="1">
      <alignment horizontal="center" vertical="center" wrapText="1"/>
    </xf>
    <xf numFmtId="0" fontId="4" fillId="0" borderId="0" xfId="53" applyFont="1" applyBorder="1" applyAlignment="1">
      <alignment vertical="center"/>
    </xf>
    <xf numFmtId="3" fontId="4" fillId="0" borderId="0" xfId="53" applyNumberFormat="1" applyBorder="1" applyAlignment="1">
      <alignment horizontal="center" vertical="center"/>
    </xf>
    <xf numFmtId="0" fontId="4" fillId="0" borderId="0" xfId="53" applyBorder="1" applyAlignment="1">
      <alignment horizontal="center" vertical="center"/>
    </xf>
    <xf numFmtId="0" fontId="4" fillId="0" borderId="0" xfId="53" applyFont="1"/>
    <xf numFmtId="185" fontId="0" fillId="0" borderId="0" xfId="51" applyNumberFormat="1" applyFont="1"/>
    <xf numFmtId="185" fontId="4" fillId="0" borderId="0" xfId="51" applyNumberFormat="1" applyFont="1"/>
    <xf numFmtId="185" fontId="8" fillId="0" borderId="35" xfId="51" applyNumberFormat="1" applyFont="1" applyFill="1" applyBorder="1" applyAlignment="1">
      <alignment horizontal="center" vertical="center" wrapText="1"/>
    </xf>
    <xf numFmtId="185" fontId="8" fillId="0" borderId="38" xfId="51" applyNumberFormat="1" applyFont="1" applyFill="1" applyBorder="1"/>
    <xf numFmtId="185" fontId="8" fillId="0" borderId="35" xfId="51" applyNumberFormat="1" applyFont="1" applyFill="1" applyBorder="1"/>
    <xf numFmtId="185" fontId="8" fillId="0" borderId="0" xfId="51" applyNumberFormat="1" applyFont="1" applyFill="1" applyBorder="1"/>
    <xf numFmtId="0" fontId="8" fillId="0" borderId="34" xfId="53" applyFont="1" applyBorder="1" applyAlignment="1">
      <alignment horizontal="center" vertical="center"/>
    </xf>
    <xf numFmtId="10" fontId="44" fillId="0" borderId="31" xfId="56" applyNumberFormat="1" applyFont="1" applyFill="1" applyBorder="1" applyAlignment="1" applyProtection="1">
      <alignment horizontal="center" vertical="center" wrapText="1"/>
      <protection hidden="1"/>
    </xf>
    <xf numFmtId="179" fontId="4" fillId="0" borderId="20" xfId="40" applyNumberFormat="1" applyFont="1" applyFill="1" applyBorder="1" applyProtection="1">
      <protection hidden="1"/>
    </xf>
    <xf numFmtId="179" fontId="4" fillId="0" borderId="22" xfId="40" applyNumberFormat="1" applyFont="1" applyFill="1" applyBorder="1" applyProtection="1">
      <protection hidden="1"/>
    </xf>
    <xf numFmtId="179" fontId="8" fillId="0" borderId="14" xfId="40" applyNumberFormat="1" applyFont="1" applyFill="1" applyBorder="1" applyProtection="1">
      <protection hidden="1"/>
    </xf>
    <xf numFmtId="174" fontId="4" fillId="0" borderId="21" xfId="33" applyNumberFormat="1" applyFont="1" applyFill="1" applyBorder="1" applyProtection="1">
      <protection hidden="1"/>
    </xf>
    <xf numFmtId="174" fontId="4" fillId="0" borderId="19" xfId="33" applyNumberFormat="1" applyFont="1" applyFill="1" applyBorder="1" applyProtection="1">
      <protection hidden="1"/>
    </xf>
    <xf numFmtId="174" fontId="8" fillId="0" borderId="15" xfId="33" applyNumberFormat="1" applyFont="1" applyFill="1" applyBorder="1" applyProtection="1">
      <protection hidden="1"/>
    </xf>
    <xf numFmtId="167" fontId="50" fillId="0" borderId="0" xfId="40" applyNumberFormat="1" applyFont="1" applyProtection="1">
      <protection hidden="1"/>
    </xf>
    <xf numFmtId="37" fontId="51" fillId="0" borderId="0" xfId="37" applyFont="1" applyBorder="1" applyAlignment="1" applyProtection="1">
      <alignment horizontal="center" vertical="center" wrapText="1"/>
      <protection hidden="1"/>
    </xf>
    <xf numFmtId="37" fontId="8" fillId="0" borderId="0" xfId="37" applyFont="1" applyProtection="1">
      <protection hidden="1"/>
    </xf>
    <xf numFmtId="173" fontId="4" fillId="0" borderId="0" xfId="40" applyNumberFormat="1" applyFont="1" applyProtection="1">
      <protection hidden="1"/>
    </xf>
    <xf numFmtId="37" fontId="4" fillId="0" borderId="0" xfId="37" applyFont="1" applyBorder="1" applyProtection="1">
      <protection hidden="1"/>
    </xf>
    <xf numFmtId="164" fontId="4" fillId="0" borderId="0" xfId="33" applyFont="1" applyBorder="1" applyProtection="1">
      <protection hidden="1"/>
    </xf>
    <xf numFmtId="167" fontId="50" fillId="0" borderId="0" xfId="40" applyNumberFormat="1" applyFont="1" applyBorder="1" applyProtection="1">
      <protection hidden="1"/>
    </xf>
    <xf numFmtId="182" fontId="4" fillId="0" borderId="0" xfId="40" applyNumberFormat="1" applyFont="1" applyProtection="1">
      <protection hidden="1"/>
    </xf>
    <xf numFmtId="181" fontId="4" fillId="0" borderId="0" xfId="37" applyNumberFormat="1" applyFont="1" applyProtection="1">
      <protection hidden="1"/>
    </xf>
    <xf numFmtId="180" fontId="4" fillId="0" borderId="0" xfId="37" applyNumberFormat="1" applyFont="1" applyProtection="1">
      <protection hidden="1"/>
    </xf>
    <xf numFmtId="37" fontId="4" fillId="0" borderId="23" xfId="37" applyFont="1" applyFill="1" applyBorder="1" applyAlignment="1" applyProtection="1">
      <protection hidden="1"/>
    </xf>
    <xf numFmtId="3" fontId="4" fillId="0" borderId="0" xfId="53" applyNumberFormat="1"/>
    <xf numFmtId="165" fontId="4" fillId="0" borderId="34" xfId="33" applyNumberFormat="1" applyFont="1" applyFill="1" applyBorder="1" applyAlignment="1">
      <alignment vertical="center" wrapText="1"/>
    </xf>
    <xf numFmtId="165" fontId="8" fillId="0" borderId="34" xfId="33" applyNumberFormat="1" applyFont="1" applyBorder="1" applyAlignment="1">
      <alignment horizontal="center" vertical="center"/>
    </xf>
    <xf numFmtId="0" fontId="4" fillId="25" borderId="0" xfId="106" applyFill="1"/>
    <xf numFmtId="185" fontId="0" fillId="25" borderId="0" xfId="51" applyNumberFormat="1" applyFont="1" applyFill="1"/>
    <xf numFmtId="186" fontId="8" fillId="25" borderId="42" xfId="106" applyNumberFormat="1" applyFont="1" applyFill="1" applyBorder="1"/>
    <xf numFmtId="185" fontId="8" fillId="25" borderId="43" xfId="51" applyNumberFormat="1" applyFont="1" applyFill="1" applyBorder="1"/>
    <xf numFmtId="185" fontId="8" fillId="25" borderId="44" xfId="106" applyNumberFormat="1" applyFont="1" applyFill="1" applyBorder="1"/>
    <xf numFmtId="185" fontId="8" fillId="25" borderId="45" xfId="106" applyNumberFormat="1" applyFont="1" applyFill="1" applyBorder="1"/>
    <xf numFmtId="185" fontId="8" fillId="25" borderId="46" xfId="106" applyNumberFormat="1" applyFont="1" applyFill="1" applyBorder="1"/>
    <xf numFmtId="0" fontId="8" fillId="25" borderId="47" xfId="106" applyFont="1" applyFill="1" applyBorder="1"/>
    <xf numFmtId="187" fontId="8" fillId="25" borderId="43" xfId="106" applyNumberFormat="1" applyFont="1" applyFill="1" applyBorder="1"/>
    <xf numFmtId="188" fontId="8" fillId="25" borderId="45" xfId="51" applyNumberFormat="1" applyFont="1" applyFill="1" applyBorder="1"/>
    <xf numFmtId="188" fontId="8" fillId="25" borderId="45" xfId="106" applyNumberFormat="1" applyFont="1" applyFill="1" applyBorder="1"/>
    <xf numFmtId="188" fontId="8" fillId="25" borderId="44" xfId="51" applyNumberFormat="1" applyFont="1" applyFill="1" applyBorder="1"/>
    <xf numFmtId="188" fontId="8" fillId="25" borderId="45" xfId="107" applyNumberFormat="1" applyFont="1" applyFill="1" applyBorder="1"/>
    <xf numFmtId="185" fontId="8" fillId="25" borderId="45" xfId="51" applyNumberFormat="1" applyFont="1" applyFill="1" applyBorder="1"/>
    <xf numFmtId="185" fontId="8" fillId="25" borderId="46" xfId="51" applyNumberFormat="1" applyFont="1" applyFill="1" applyBorder="1"/>
    <xf numFmtId="186" fontId="4" fillId="25" borderId="39" xfId="106" applyNumberFormat="1" applyFill="1" applyBorder="1"/>
    <xf numFmtId="41" fontId="4" fillId="25" borderId="48" xfId="106" applyNumberFormat="1" applyFill="1" applyBorder="1"/>
    <xf numFmtId="185" fontId="0" fillId="25" borderId="49" xfId="51" applyNumberFormat="1" applyFont="1" applyFill="1" applyBorder="1"/>
    <xf numFmtId="185" fontId="0" fillId="25" borderId="0" xfId="51" applyNumberFormat="1" applyFont="1" applyFill="1" applyBorder="1"/>
    <xf numFmtId="185" fontId="0" fillId="25" borderId="50" xfId="51" applyNumberFormat="1" applyFont="1" applyFill="1" applyBorder="1"/>
    <xf numFmtId="0" fontId="8" fillId="25" borderId="38" xfId="106" applyFont="1" applyFill="1" applyBorder="1"/>
    <xf numFmtId="187" fontId="4" fillId="25" borderId="48" xfId="106" applyNumberFormat="1" applyFill="1" applyBorder="1"/>
    <xf numFmtId="188" fontId="0" fillId="25" borderId="0" xfId="51" applyNumberFormat="1" applyFont="1" applyFill="1" applyBorder="1"/>
    <xf numFmtId="188" fontId="0" fillId="25" borderId="49" xfId="51" applyNumberFormat="1" applyFont="1" applyFill="1" applyBorder="1"/>
    <xf numFmtId="188" fontId="0" fillId="25" borderId="0" xfId="107" applyNumberFormat="1" applyFont="1" applyFill="1" applyBorder="1"/>
    <xf numFmtId="186" fontId="4" fillId="25" borderId="51" xfId="106" applyNumberFormat="1" applyFill="1" applyBorder="1"/>
    <xf numFmtId="41" fontId="0" fillId="25" borderId="52" xfId="51" applyNumberFormat="1" applyFont="1" applyFill="1" applyBorder="1"/>
    <xf numFmtId="185" fontId="0" fillId="25" borderId="53" xfId="51" applyNumberFormat="1" applyFont="1" applyFill="1" applyBorder="1"/>
    <xf numFmtId="185" fontId="0" fillId="25" borderId="54" xfId="51" applyNumberFormat="1" applyFont="1" applyFill="1" applyBorder="1"/>
    <xf numFmtId="185" fontId="0" fillId="25" borderId="55" xfId="51" applyNumberFormat="1" applyFont="1" applyFill="1" applyBorder="1"/>
    <xf numFmtId="0" fontId="8" fillId="25" borderId="56" xfId="106" applyFont="1" applyFill="1" applyBorder="1"/>
    <xf numFmtId="187" fontId="4" fillId="25" borderId="52" xfId="106" applyNumberFormat="1" applyFill="1" applyBorder="1"/>
    <xf numFmtId="188" fontId="0" fillId="25" borderId="54" xfId="51" applyNumberFormat="1" applyFont="1" applyFill="1" applyBorder="1"/>
    <xf numFmtId="188" fontId="0" fillId="25" borderId="53" xfId="51" applyNumberFormat="1" applyFont="1" applyFill="1" applyBorder="1"/>
    <xf numFmtId="188" fontId="0" fillId="25" borderId="54" xfId="107" applyNumberFormat="1" applyFont="1" applyFill="1" applyBorder="1"/>
    <xf numFmtId="0" fontId="52" fillId="25" borderId="0" xfId="106" applyFont="1" applyFill="1"/>
    <xf numFmtId="9" fontId="52" fillId="25" borderId="0" xfId="107" applyFont="1" applyFill="1" applyAlignment="1">
      <alignment horizontal="center" vertical="center"/>
    </xf>
    <xf numFmtId="0" fontId="8" fillId="25" borderId="0" xfId="106" applyFont="1" applyFill="1"/>
    <xf numFmtId="0" fontId="8" fillId="0" borderId="0" xfId="106" applyFont="1"/>
    <xf numFmtId="185" fontId="52" fillId="25" borderId="0" xfId="51" applyNumberFormat="1" applyFont="1" applyFill="1" applyAlignment="1">
      <alignment horizontal="center" vertical="center"/>
    </xf>
    <xf numFmtId="0" fontId="31" fillId="25" borderId="0" xfId="106" applyFont="1" applyFill="1" applyAlignment="1">
      <alignment horizontal="center" vertical="center" wrapText="1"/>
    </xf>
    <xf numFmtId="0" fontId="8" fillId="25" borderId="37" xfId="106" applyFont="1" applyFill="1" applyBorder="1" applyAlignment="1">
      <alignment horizontal="center" vertical="center" wrapText="1"/>
    </xf>
    <xf numFmtId="0" fontId="8" fillId="25" borderId="57" xfId="106" applyFont="1" applyFill="1" applyBorder="1" applyAlignment="1">
      <alignment horizontal="center" vertical="center" wrapText="1"/>
    </xf>
    <xf numFmtId="0" fontId="8" fillId="25" borderId="58" xfId="106" applyFont="1" applyFill="1" applyBorder="1" applyAlignment="1">
      <alignment horizontal="center" vertical="center" wrapText="1"/>
    </xf>
    <xf numFmtId="0" fontId="8" fillId="25" borderId="36" xfId="106" applyFont="1" applyFill="1" applyBorder="1" applyAlignment="1">
      <alignment horizontal="center" vertical="center" wrapText="1"/>
    </xf>
    <xf numFmtId="0" fontId="8" fillId="25" borderId="59" xfId="106" applyFont="1" applyFill="1" applyBorder="1" applyAlignment="1">
      <alignment horizontal="center" vertical="center" wrapText="1"/>
    </xf>
    <xf numFmtId="0" fontId="8" fillId="25" borderId="35" xfId="106" applyFont="1" applyFill="1" applyBorder="1" applyAlignment="1">
      <alignment horizontal="center" vertical="center"/>
    </xf>
    <xf numFmtId="0" fontId="8" fillId="25" borderId="0" xfId="106" applyFont="1" applyFill="1" applyAlignment="1"/>
    <xf numFmtId="0" fontId="8" fillId="25" borderId="0" xfId="106" applyFont="1" applyFill="1" applyAlignment="1">
      <alignment horizontal="center" vertical="center" wrapText="1"/>
    </xf>
    <xf numFmtId="0" fontId="4" fillId="0" borderId="61" xfId="53" applyFont="1" applyBorder="1" applyAlignment="1">
      <alignment vertical="center" wrapText="1"/>
    </xf>
    <xf numFmtId="43" fontId="8" fillId="0" borderId="36" xfId="51" applyNumberFormat="1" applyFont="1" applyFill="1" applyBorder="1" applyAlignment="1">
      <alignment horizontal="center" vertical="center" wrapText="1"/>
    </xf>
    <xf numFmtId="43" fontId="8" fillId="24" borderId="36" xfId="51" applyNumberFormat="1" applyFont="1" applyFill="1" applyBorder="1" applyAlignment="1">
      <alignment horizontal="center" vertical="center" wrapText="1"/>
    </xf>
    <xf numFmtId="43" fontId="8" fillId="0" borderId="37" xfId="51" applyNumberFormat="1" applyFont="1" applyFill="1" applyBorder="1" applyAlignment="1">
      <alignment horizontal="center" vertical="center"/>
    </xf>
    <xf numFmtId="43" fontId="8" fillId="0" borderId="39" xfId="51" applyNumberFormat="1" applyFont="1" applyFill="1" applyBorder="1"/>
    <xf numFmtId="43" fontId="8" fillId="0" borderId="37" xfId="51" applyNumberFormat="1" applyFont="1" applyFill="1" applyBorder="1"/>
    <xf numFmtId="43" fontId="8" fillId="0" borderId="0" xfId="51" applyNumberFormat="1" applyFont="1" applyFill="1" applyBorder="1"/>
    <xf numFmtId="43" fontId="4" fillId="0" borderId="0" xfId="53" applyNumberFormat="1" applyFont="1"/>
    <xf numFmtId="43" fontId="0" fillId="0" borderId="0" xfId="51" applyNumberFormat="1" applyFont="1"/>
    <xf numFmtId="49" fontId="44" fillId="0" borderId="30" xfId="54" applyNumberFormat="1" applyFont="1" applyFill="1" applyBorder="1" applyAlignment="1" applyProtection="1">
      <alignment horizontal="center" vertical="center" wrapText="1"/>
      <protection hidden="1"/>
    </xf>
    <xf numFmtId="165" fontId="4" fillId="0" borderId="0" xfId="53" applyNumberFormat="1"/>
    <xf numFmtId="0" fontId="8" fillId="0" borderId="61" xfId="53" applyFont="1" applyBorder="1" applyAlignment="1">
      <alignment horizontal="center" vertical="center" wrapText="1"/>
    </xf>
    <xf numFmtId="10" fontId="4" fillId="0" borderId="0" xfId="40" applyNumberFormat="1" applyFont="1" applyProtection="1">
      <protection hidden="1"/>
    </xf>
    <xf numFmtId="165" fontId="4" fillId="0" borderId="61" xfId="33" applyNumberFormat="1" applyFont="1" applyFill="1" applyBorder="1" applyAlignment="1">
      <alignment vertical="center" wrapText="1"/>
    </xf>
    <xf numFmtId="0" fontId="4" fillId="0" borderId="61" xfId="53" applyFont="1" applyBorder="1" applyAlignment="1">
      <alignment horizontal="center" vertical="center" wrapText="1"/>
    </xf>
    <xf numFmtId="3" fontId="4" fillId="0" borderId="61" xfId="53" applyNumberFormat="1" applyFont="1" applyBorder="1" applyAlignment="1">
      <alignment horizontal="center" vertical="center" wrapText="1"/>
    </xf>
    <xf numFmtId="0" fontId="8" fillId="0" borderId="61" xfId="53" applyFont="1" applyBorder="1" applyAlignment="1">
      <alignment horizontal="center" vertical="center"/>
    </xf>
    <xf numFmtId="165" fontId="8" fillId="0" borderId="61" xfId="53" applyNumberFormat="1" applyFont="1" applyBorder="1" applyAlignment="1">
      <alignment horizontal="center" vertical="center"/>
    </xf>
    <xf numFmtId="3" fontId="8" fillId="0" borderId="61" xfId="53" applyNumberFormat="1" applyFont="1" applyBorder="1" applyAlignment="1">
      <alignment horizontal="center" vertical="center"/>
    </xf>
    <xf numFmtId="189" fontId="4" fillId="25" borderId="54" xfId="106" applyNumberFormat="1" applyFill="1" applyBorder="1"/>
    <xf numFmtId="189" fontId="4" fillId="25" borderId="0" xfId="106" applyNumberFormat="1" applyFill="1" applyBorder="1"/>
    <xf numFmtId="190" fontId="4" fillId="0" borderId="34" xfId="33" applyNumberFormat="1" applyFont="1" applyFill="1" applyBorder="1" applyAlignment="1">
      <alignment vertical="center" wrapText="1"/>
    </xf>
    <xf numFmtId="190" fontId="0" fillId="0" borderId="0" xfId="51" applyNumberFormat="1" applyFont="1" applyFill="1" applyBorder="1"/>
    <xf numFmtId="185" fontId="8" fillId="0" borderId="36" xfId="51" applyNumberFormat="1" applyFont="1" applyFill="1" applyBorder="1"/>
    <xf numFmtId="176" fontId="41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62" xfId="33" applyNumberFormat="1" applyFont="1" applyFill="1" applyBorder="1" applyProtection="1">
      <protection hidden="1"/>
    </xf>
    <xf numFmtId="176" fontId="8" fillId="0" borderId="62" xfId="40" applyNumberFormat="1" applyFont="1" applyFill="1" applyBorder="1" applyProtection="1">
      <protection hidden="1"/>
    </xf>
    <xf numFmtId="190" fontId="8" fillId="0" borderId="34" xfId="53" applyNumberFormat="1" applyFont="1" applyBorder="1" applyAlignment="1">
      <alignment vertical="center"/>
    </xf>
    <xf numFmtId="190" fontId="4" fillId="0" borderId="0" xfId="53" applyNumberFormat="1"/>
    <xf numFmtId="185" fontId="8" fillId="0" borderId="39" xfId="51" applyNumberFormat="1" applyFont="1" applyFill="1" applyBorder="1"/>
    <xf numFmtId="185" fontId="8" fillId="0" borderId="37" xfId="51" applyNumberFormat="1" applyFont="1" applyFill="1" applyBorder="1"/>
    <xf numFmtId="0" fontId="8" fillId="0" borderId="0" xfId="53" applyFont="1" applyAlignment="1">
      <alignment horizontal="center" vertical="center"/>
    </xf>
    <xf numFmtId="185" fontId="8" fillId="0" borderId="0" xfId="51" applyNumberFormat="1" applyFont="1" applyAlignment="1">
      <alignment horizontal="center"/>
    </xf>
    <xf numFmtId="190" fontId="54" fillId="0" borderId="0" xfId="0" applyNumberFormat="1" applyFont="1" applyBorder="1" applyAlignment="1">
      <alignment horizontal="center" wrapText="1"/>
    </xf>
    <xf numFmtId="185" fontId="4" fillId="0" borderId="60" xfId="51" applyNumberFormat="1" applyFont="1" applyBorder="1" applyAlignment="1">
      <alignment horizontal="center"/>
    </xf>
    <xf numFmtId="37" fontId="4" fillId="0" borderId="0" xfId="37" applyFont="1" applyAlignment="1" applyProtection="1">
      <alignment horizontal="left" vertical="top" wrapText="1"/>
      <protection hidden="1"/>
    </xf>
    <xf numFmtId="0" fontId="42" fillId="0" borderId="28" xfId="0" applyFont="1" applyBorder="1" applyAlignment="1">
      <alignment horizontal="center"/>
    </xf>
    <xf numFmtId="37" fontId="42" fillId="0" borderId="28" xfId="37" applyFont="1" applyBorder="1" applyAlignment="1" applyProtection="1">
      <alignment horizontal="center"/>
      <protection hidden="1"/>
    </xf>
    <xf numFmtId="37" fontId="8" fillId="0" borderId="27" xfId="37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37" fontId="8" fillId="0" borderId="33" xfId="37" applyFont="1" applyFill="1" applyBorder="1" applyAlignment="1" applyProtection="1">
      <alignment horizontal="center" vertical="center" wrapText="1"/>
      <protection hidden="1"/>
    </xf>
    <xf numFmtId="37" fontId="8" fillId="0" borderId="41" xfId="37" applyFont="1" applyFill="1" applyBorder="1" applyAlignment="1" applyProtection="1">
      <alignment horizontal="center" vertical="center" wrapText="1"/>
      <protection hidden="1"/>
    </xf>
    <xf numFmtId="37" fontId="46" fillId="0" borderId="0" xfId="37" applyFont="1" applyAlignment="1" applyProtection="1">
      <alignment horizontal="center" vertical="center" wrapText="1"/>
      <protection hidden="1"/>
    </xf>
    <xf numFmtId="37" fontId="4" fillId="0" borderId="0" xfId="37" applyFont="1" applyAlignment="1" applyProtection="1">
      <alignment horizontal="center" vertical="center" wrapText="1"/>
      <protection hidden="1"/>
    </xf>
    <xf numFmtId="49" fontId="44" fillId="0" borderId="30" xfId="54" applyNumberFormat="1" applyFont="1" applyFill="1" applyBorder="1" applyAlignment="1" applyProtection="1">
      <alignment horizontal="center" vertical="center" wrapText="1"/>
      <protection hidden="1"/>
    </xf>
    <xf numFmtId="49" fontId="8" fillId="0" borderId="31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0" xfId="37" applyFont="1" applyFill="1" applyBorder="1" applyAlignment="1" applyProtection="1">
      <alignment horizontal="center" vertical="center" wrapText="1"/>
      <protection hidden="1"/>
    </xf>
    <xf numFmtId="37" fontId="8" fillId="0" borderId="31" xfId="37" applyFont="1" applyFill="1" applyBorder="1" applyAlignment="1" applyProtection="1">
      <alignment horizontal="center" vertical="center" wrapText="1"/>
      <protection hidden="1"/>
    </xf>
    <xf numFmtId="49" fontId="44" fillId="0" borderId="31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2" xfId="37" applyFont="1" applyFill="1" applyBorder="1" applyAlignment="1" applyProtection="1">
      <alignment horizontal="center" vertical="center" wrapText="1"/>
      <protection hidden="1"/>
    </xf>
    <xf numFmtId="37" fontId="8" fillId="0" borderId="40" xfId="37" applyFont="1" applyFill="1" applyBorder="1" applyAlignment="1" applyProtection="1">
      <alignment horizontal="center" vertical="center" wrapText="1"/>
      <protection hidden="1"/>
    </xf>
    <xf numFmtId="37" fontId="43" fillId="0" borderId="0" xfId="37" applyFont="1" applyAlignment="1" applyProtection="1">
      <alignment horizontal="center" wrapText="1"/>
      <protection hidden="1"/>
    </xf>
    <xf numFmtId="37" fontId="45" fillId="0" borderId="0" xfId="37" applyFont="1" applyAlignment="1" applyProtection="1">
      <alignment horizontal="center" wrapText="1"/>
      <protection hidden="1"/>
    </xf>
    <xf numFmtId="37" fontId="42" fillId="0" borderId="28" xfId="37" applyFont="1" applyBorder="1" applyAlignment="1" applyProtection="1">
      <alignment horizontal="center" vertical="center"/>
      <protection hidden="1"/>
    </xf>
    <xf numFmtId="37" fontId="4" fillId="0" borderId="28" xfId="37" applyFont="1" applyBorder="1" applyAlignment="1" applyProtection="1">
      <alignment horizontal="center" vertical="center"/>
      <protection hidden="1"/>
    </xf>
    <xf numFmtId="37" fontId="42" fillId="0" borderId="28" xfId="37" applyFont="1" applyBorder="1" applyAlignment="1" applyProtection="1">
      <alignment horizontal="center" vertical="center" wrapText="1"/>
      <protection hidden="1"/>
    </xf>
    <xf numFmtId="0" fontId="8" fillId="25" borderId="60" xfId="106" applyFont="1" applyFill="1" applyBorder="1" applyAlignment="1">
      <alignment horizontal="center" vertical="center"/>
    </xf>
    <xf numFmtId="0" fontId="8" fillId="25" borderId="60" xfId="106" applyFont="1" applyFill="1" applyBorder="1" applyAlignment="1">
      <alignment horizontal="center"/>
    </xf>
    <xf numFmtId="0" fontId="4" fillId="25" borderId="0" xfId="106" applyFill="1" applyAlignment="1">
      <alignment horizontal="center" vertical="center"/>
    </xf>
  </cellXfs>
  <cellStyles count="112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Millares 4" xfId="110"/>
    <cellStyle name="Moneda 2" xfId="111"/>
    <cellStyle name="Neutral" xfId="34" builtinId="28" customBuiltin="1"/>
    <cellStyle name="Neutral 2" xfId="91"/>
    <cellStyle name="Normal" xfId="0" builtinId="0"/>
    <cellStyle name="Normal 2" xfId="35"/>
    <cellStyle name="Normal 2 2" xfId="103"/>
    <cellStyle name="Normal 2 3" xfId="106"/>
    <cellStyle name="Normal 2 4" xfId="108"/>
    <cellStyle name="Normal 3" xfId="36"/>
    <cellStyle name="Normal 4" xfId="53"/>
    <cellStyle name="Normal 5" xfId="101"/>
    <cellStyle name="Normal 6" xfId="104"/>
    <cellStyle name="Normal 7" xfId="109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aje 2" xfId="107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PREDIAL2018INFORMACIONCOMPLETARORDEN%20NL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rivera/Desktop/Participaciones%202019/Participaciones/acumulado%20X%20mp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p"/>
      <sheetName val="ffm 70%"/>
      <sheetName val="ffm 30%"/>
      <sheetName val="ieps"/>
      <sheetName val="fofir"/>
      <sheetName val="fexhi"/>
      <sheetName val="isan"/>
      <sheetName val="Comp isan"/>
      <sheetName val="gasolinas"/>
      <sheetName val="Part Fed"/>
      <sheetName val="Part Fed (2)"/>
      <sheetName val="Part X Fondo"/>
      <sheetName val="Part X Fond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H7">
            <v>9782556.6947492361</v>
          </cell>
        </row>
        <row r="8">
          <cell r="BH8">
            <v>19377066.95181853</v>
          </cell>
        </row>
        <row r="9">
          <cell r="BH9">
            <v>20157867.418715145</v>
          </cell>
        </row>
        <row r="10">
          <cell r="BH10">
            <v>55755338.175156303</v>
          </cell>
        </row>
        <row r="11">
          <cell r="BH11">
            <v>70417662.945920616</v>
          </cell>
        </row>
        <row r="12">
          <cell r="BH12">
            <v>480420096.49022204</v>
          </cell>
        </row>
        <row r="13">
          <cell r="BH13">
            <v>80382217.062349468</v>
          </cell>
        </row>
        <row r="14">
          <cell r="BH14">
            <v>12781198.511711607</v>
          </cell>
        </row>
        <row r="15">
          <cell r="BH15">
            <v>127047614.19104084</v>
          </cell>
        </row>
        <row r="16">
          <cell r="BH16">
            <v>21108810.62306257</v>
          </cell>
        </row>
        <row r="17">
          <cell r="BH17">
            <v>30667968.334768124</v>
          </cell>
        </row>
        <row r="18">
          <cell r="BH18">
            <v>64499224.619159676</v>
          </cell>
        </row>
        <row r="19">
          <cell r="BH19">
            <v>32817821.591273677</v>
          </cell>
        </row>
        <row r="20">
          <cell r="BH20">
            <v>179755444.69518831</v>
          </cell>
        </row>
        <row r="21">
          <cell r="BH21">
            <v>22947725.690392174</v>
          </cell>
        </row>
        <row r="22">
          <cell r="BH22">
            <v>15980181.134158269</v>
          </cell>
        </row>
        <row r="23">
          <cell r="BH23">
            <v>140148332.18663472</v>
          </cell>
        </row>
        <row r="24">
          <cell r="BH24">
            <v>171896741.95973486</v>
          </cell>
        </row>
        <row r="25">
          <cell r="BH25">
            <v>26936558.103905931</v>
          </cell>
        </row>
        <row r="26">
          <cell r="BH26">
            <v>368206806.7652095</v>
          </cell>
        </row>
        <row r="27">
          <cell r="BH27">
            <v>54364343.391733974</v>
          </cell>
        </row>
        <row r="28">
          <cell r="BH28">
            <v>8720063.8180307318</v>
          </cell>
        </row>
        <row r="29">
          <cell r="BH29">
            <v>40382541.007767558</v>
          </cell>
        </row>
        <row r="30">
          <cell r="BH30">
            <v>39347712.552407421</v>
          </cell>
        </row>
        <row r="31">
          <cell r="BH31">
            <v>629749485.85144389</v>
          </cell>
        </row>
        <row r="32">
          <cell r="BH32">
            <v>16215790.708277004</v>
          </cell>
        </row>
        <row r="33">
          <cell r="BH33">
            <v>27912976.155256927</v>
          </cell>
        </row>
        <row r="34">
          <cell r="BH34">
            <v>16019923.254867921</v>
          </cell>
        </row>
        <row r="35">
          <cell r="BH35">
            <v>22346024.259364486</v>
          </cell>
        </row>
        <row r="36">
          <cell r="BH36">
            <v>21032897.106208049</v>
          </cell>
        </row>
        <row r="37">
          <cell r="BH37">
            <v>195383320.77446538</v>
          </cell>
        </row>
        <row r="38">
          <cell r="BH38">
            <v>38075776.550930724</v>
          </cell>
        </row>
        <row r="39">
          <cell r="BH39">
            <v>139601306.44641688</v>
          </cell>
        </row>
        <row r="40">
          <cell r="BH40">
            <v>29786207.421576548</v>
          </cell>
        </row>
        <row r="41">
          <cell r="BH41">
            <v>28630601.556963243</v>
          </cell>
        </row>
        <row r="42">
          <cell r="BH42">
            <v>30061784.117804673</v>
          </cell>
        </row>
        <row r="43">
          <cell r="BH43">
            <v>42343326.012331598</v>
          </cell>
        </row>
        <row r="44">
          <cell r="BH44">
            <v>99341353.012467459</v>
          </cell>
        </row>
        <row r="45">
          <cell r="BH45">
            <v>2055890228.4986162</v>
          </cell>
        </row>
        <row r="46">
          <cell r="BH46">
            <v>10617855.328383615</v>
          </cell>
        </row>
        <row r="47">
          <cell r="BH47">
            <v>44703605.111531183</v>
          </cell>
        </row>
        <row r="48">
          <cell r="BH48">
            <v>22520148.41963267</v>
          </cell>
        </row>
        <row r="49">
          <cell r="BH49">
            <v>25235500.347407877</v>
          </cell>
        </row>
        <row r="50">
          <cell r="BH50">
            <v>72606491.669817179</v>
          </cell>
        </row>
        <row r="51">
          <cell r="BH51">
            <v>62481692.591996215</v>
          </cell>
        </row>
        <row r="52">
          <cell r="BH52">
            <v>565368732.9588201</v>
          </cell>
        </row>
        <row r="53">
          <cell r="BH53">
            <v>1092436477.444715</v>
          </cell>
        </row>
        <row r="54">
          <cell r="BH54">
            <v>294373200.59419709</v>
          </cell>
        </row>
        <row r="55">
          <cell r="BH55">
            <v>93830529.113984913</v>
          </cell>
        </row>
        <row r="56">
          <cell r="BH56">
            <v>18852989.105197065</v>
          </cell>
        </row>
        <row r="57">
          <cell r="BH57">
            <v>25973971.989921138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zoomScale="98" zoomScaleNormal="98" zoomScaleSheetLayoutView="100" workbookViewId="0">
      <selection activeCell="A9" sqref="A9:XFD9"/>
    </sheetView>
  </sheetViews>
  <sheetFormatPr baseColWidth="10" defaultColWidth="11.42578125" defaultRowHeight="12.75"/>
  <cols>
    <col min="1" max="1" width="50.5703125" style="138" customWidth="1"/>
    <col min="2" max="2" width="15.140625" style="138" bestFit="1" customWidth="1"/>
    <col min="3" max="3" width="15.140625" style="138" customWidth="1"/>
    <col min="4" max="5" width="17.28515625" style="138" customWidth="1"/>
    <col min="6" max="6" width="11.42578125" style="138"/>
    <col min="7" max="7" width="13.5703125" style="138" bestFit="1" customWidth="1"/>
    <col min="8" max="16384" width="11.42578125" style="138"/>
  </cols>
  <sheetData>
    <row r="1" spans="1:7" ht="27.75" customHeight="1">
      <c r="A1" s="254" t="s">
        <v>227</v>
      </c>
      <c r="B1" s="254"/>
      <c r="C1" s="254"/>
      <c r="D1" s="254"/>
      <c r="E1" s="254"/>
    </row>
    <row r="3" spans="1:7" ht="25.5">
      <c r="A3" s="139" t="s">
        <v>126</v>
      </c>
      <c r="B3" s="234" t="s">
        <v>194</v>
      </c>
      <c r="C3" s="139" t="s">
        <v>127</v>
      </c>
      <c r="D3" s="139" t="s">
        <v>128</v>
      </c>
      <c r="E3" s="139" t="s">
        <v>148</v>
      </c>
    </row>
    <row r="4" spans="1:7" ht="25.5" customHeight="1">
      <c r="A4" s="140" t="s">
        <v>129</v>
      </c>
      <c r="B4" s="172">
        <v>31800622006.235031</v>
      </c>
      <c r="C4" s="172">
        <f t="shared" ref="C4:C12" si="0">SUM(B4:B4)</f>
        <v>31800622006.235031</v>
      </c>
      <c r="D4" s="141">
        <v>20</v>
      </c>
      <c r="E4" s="244">
        <f>+D4/100*C4</f>
        <v>6360124401.2470064</v>
      </c>
    </row>
    <row r="5" spans="1:7" ht="25.5" customHeight="1">
      <c r="A5" s="140" t="s">
        <v>163</v>
      </c>
      <c r="B5" s="172">
        <v>939599707.76547754</v>
      </c>
      <c r="C5" s="172">
        <f t="shared" si="0"/>
        <v>939599707.76547754</v>
      </c>
      <c r="D5" s="141">
        <v>100</v>
      </c>
      <c r="E5" s="244">
        <f t="shared" ref="E5:E11" si="1">+D5/100*C5</f>
        <v>939599707.76547754</v>
      </c>
    </row>
    <row r="6" spans="1:7" ht="25.5" customHeight="1">
      <c r="A6" s="140" t="s">
        <v>162</v>
      </c>
      <c r="B6" s="172">
        <v>165833256.96490592</v>
      </c>
      <c r="C6" s="172">
        <f t="shared" si="0"/>
        <v>165833256.96490592</v>
      </c>
      <c r="D6" s="141">
        <v>100</v>
      </c>
      <c r="E6" s="244">
        <f t="shared" ref="E6" si="2">+D6/100*C6</f>
        <v>165833256.96490592</v>
      </c>
      <c r="G6" s="233"/>
    </row>
    <row r="7" spans="1:7" ht="25.5" customHeight="1">
      <c r="A7" s="140" t="s">
        <v>130</v>
      </c>
      <c r="B7" s="172">
        <v>972381359.86930346</v>
      </c>
      <c r="C7" s="172">
        <f t="shared" si="0"/>
        <v>972381359.86930346</v>
      </c>
      <c r="D7" s="141">
        <v>20</v>
      </c>
      <c r="E7" s="244">
        <f t="shared" si="1"/>
        <v>194476271.97386071</v>
      </c>
    </row>
    <row r="8" spans="1:7" ht="25.5" customHeight="1">
      <c r="A8" s="140" t="s">
        <v>147</v>
      </c>
      <c r="B8" s="172">
        <v>1656809007.0312295</v>
      </c>
      <c r="C8" s="172">
        <f t="shared" si="0"/>
        <v>1656809007.0312295</v>
      </c>
      <c r="D8" s="141">
        <v>20</v>
      </c>
      <c r="E8" s="244">
        <f t="shared" si="1"/>
        <v>331361801.40624595</v>
      </c>
    </row>
    <row r="9" spans="1:7" ht="25.5" customHeight="1">
      <c r="A9" s="223" t="s">
        <v>146</v>
      </c>
      <c r="B9" s="236">
        <v>41147154.374992393</v>
      </c>
      <c r="C9" s="172">
        <f t="shared" ref="C9" si="3">SUM(B9:B9)</f>
        <v>41147154.374992393</v>
      </c>
      <c r="D9" s="141">
        <v>20</v>
      </c>
      <c r="E9" s="244">
        <f t="shared" ref="E9" si="4">+D9/100*C9</f>
        <v>8229430.8749984792</v>
      </c>
    </row>
    <row r="10" spans="1:7" ht="25.5" customHeight="1">
      <c r="A10" s="140" t="s">
        <v>153</v>
      </c>
      <c r="B10" s="172">
        <v>698675516</v>
      </c>
      <c r="C10" s="172">
        <f t="shared" si="0"/>
        <v>698675516</v>
      </c>
      <c r="D10" s="141">
        <v>20</v>
      </c>
      <c r="E10" s="244">
        <f t="shared" si="1"/>
        <v>139735103.20000002</v>
      </c>
    </row>
    <row r="11" spans="1:7" ht="25.5" customHeight="1">
      <c r="A11" s="140" t="s">
        <v>152</v>
      </c>
      <c r="B11" s="172">
        <v>189823368</v>
      </c>
      <c r="C11" s="172">
        <f t="shared" si="0"/>
        <v>189823368</v>
      </c>
      <c r="D11" s="141">
        <v>20</v>
      </c>
      <c r="E11" s="244">
        <f t="shared" si="1"/>
        <v>37964673.600000001</v>
      </c>
      <c r="G11" s="251">
        <f>+E4+E5+E7+E8+E9+E10+E11</f>
        <v>8011491390.0675888</v>
      </c>
    </row>
    <row r="12" spans="1:7" ht="25.5" customHeight="1">
      <c r="A12" s="223" t="s">
        <v>143</v>
      </c>
      <c r="B12" s="172">
        <v>775283681.5454545</v>
      </c>
      <c r="C12" s="172">
        <f t="shared" si="0"/>
        <v>775283681.5454545</v>
      </c>
      <c r="D12" s="141">
        <v>20</v>
      </c>
      <c r="E12" s="244">
        <f t="shared" ref="E12" si="5">+D12/100*C12</f>
        <v>155056736.30909091</v>
      </c>
    </row>
    <row r="13" spans="1:7" ht="25.5" customHeight="1">
      <c r="A13" s="152" t="s">
        <v>53</v>
      </c>
      <c r="B13" s="173">
        <f t="shared" ref="B13" si="6">SUM(B4:B12)</f>
        <v>37240175057.786392</v>
      </c>
      <c r="C13" s="173">
        <f>SUM(C4:C12)</f>
        <v>37240175057.786392</v>
      </c>
      <c r="D13" s="152"/>
      <c r="E13" s="250">
        <f>SUM(E4:E12)</f>
        <v>8332381383.3415852</v>
      </c>
    </row>
    <row r="14" spans="1:7">
      <c r="A14" s="142"/>
      <c r="B14" s="142"/>
      <c r="C14" s="143"/>
      <c r="D14" s="144"/>
      <c r="E14" s="143"/>
    </row>
    <row r="15" spans="1:7">
      <c r="A15" s="145" t="s">
        <v>131</v>
      </c>
      <c r="B15" s="14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2"/>
  <sheetViews>
    <sheetView showGridLines="0" tabSelected="1" topLeftCell="Q1" zoomScaleNormal="100" zoomScaleSheetLayoutView="100" workbookViewId="0">
      <selection activeCell="P6" sqref="P6"/>
    </sheetView>
  </sheetViews>
  <sheetFormatPr baseColWidth="10" defaultColWidth="11.42578125" defaultRowHeight="12.75"/>
  <cols>
    <col min="1" max="1" width="28" style="146" customWidth="1"/>
    <col min="2" max="2" width="17.85546875" style="231" customWidth="1"/>
    <col min="3" max="4" width="14.140625" style="231" bestFit="1" customWidth="1"/>
    <col min="5" max="5" width="15.42578125" style="231" customWidth="1"/>
    <col min="6" max="6" width="14.140625" style="231" bestFit="1" customWidth="1"/>
    <col min="7" max="7" width="14.140625" style="231" customWidth="1"/>
    <col min="8" max="8" width="14.140625" style="231" bestFit="1" customWidth="1"/>
    <col min="9" max="9" width="13.42578125" style="231" customWidth="1"/>
    <col min="10" max="10" width="14.140625" style="231" bestFit="1" customWidth="1"/>
    <col min="11" max="11" width="16.85546875" style="231" bestFit="1" customWidth="1"/>
    <col min="12" max="13" width="11.42578125" style="146"/>
    <col min="14" max="14" width="29.5703125" style="146" bestFit="1" customWidth="1"/>
    <col min="15" max="15" width="13.85546875" style="146" bestFit="1" customWidth="1"/>
    <col min="16" max="19" width="12.28515625" style="146" bestFit="1" customWidth="1"/>
    <col min="20" max="20" width="11" style="146" bestFit="1" customWidth="1"/>
    <col min="21" max="21" width="12.28515625" style="146" bestFit="1" customWidth="1"/>
    <col min="22" max="22" width="11.28515625" style="146" bestFit="1" customWidth="1"/>
    <col min="23" max="23" width="12.28515625" style="146" bestFit="1" customWidth="1"/>
    <col min="24" max="24" width="13.85546875" style="146" bestFit="1" customWidth="1"/>
    <col min="25" max="26" width="11.42578125" style="146"/>
    <col min="27" max="27" width="29.5703125" style="146" bestFit="1" customWidth="1"/>
    <col min="28" max="16384" width="11.42578125" style="146"/>
  </cols>
  <sheetData>
    <row r="1" spans="1:37">
      <c r="A1" s="255" t="s">
        <v>132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N1" s="255" t="s">
        <v>132</v>
      </c>
      <c r="O1" s="255"/>
      <c r="P1" s="255"/>
      <c r="Q1" s="255"/>
      <c r="R1" s="255"/>
      <c r="S1" s="255"/>
      <c r="T1" s="255"/>
      <c r="U1" s="255"/>
      <c r="V1" s="255"/>
      <c r="W1" s="255"/>
      <c r="X1" s="255"/>
      <c r="AA1" s="255" t="s">
        <v>132</v>
      </c>
      <c r="AB1" s="255"/>
      <c r="AC1" s="255"/>
      <c r="AD1" s="255"/>
      <c r="AE1" s="255"/>
      <c r="AF1" s="255"/>
      <c r="AG1" s="255"/>
      <c r="AH1" s="255"/>
      <c r="AI1" s="255"/>
      <c r="AJ1" s="255"/>
      <c r="AK1" s="255"/>
    </row>
    <row r="2" spans="1:37">
      <c r="A2" s="255" t="s">
        <v>157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N2" s="255" t="s">
        <v>157</v>
      </c>
      <c r="O2" s="255"/>
      <c r="P2" s="255"/>
      <c r="Q2" s="255"/>
      <c r="R2" s="255"/>
      <c r="S2" s="255"/>
      <c r="T2" s="255"/>
      <c r="U2" s="255"/>
      <c r="V2" s="255"/>
      <c r="W2" s="255"/>
      <c r="X2" s="255"/>
      <c r="AA2" s="255" t="s">
        <v>157</v>
      </c>
      <c r="AB2" s="255"/>
      <c r="AC2" s="255"/>
      <c r="AD2" s="255"/>
      <c r="AE2" s="255"/>
      <c r="AF2" s="255"/>
      <c r="AG2" s="255"/>
      <c r="AH2" s="255"/>
      <c r="AI2" s="255"/>
      <c r="AJ2" s="255"/>
      <c r="AK2" s="255"/>
    </row>
    <row r="3" spans="1:37">
      <c r="A3" s="255" t="s">
        <v>226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N3" s="255" t="s">
        <v>226</v>
      </c>
      <c r="O3" s="255"/>
      <c r="P3" s="255"/>
      <c r="Q3" s="255"/>
      <c r="R3" s="255"/>
      <c r="S3" s="255"/>
      <c r="T3" s="255"/>
      <c r="U3" s="255"/>
      <c r="V3" s="255"/>
      <c r="W3" s="255"/>
      <c r="X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</row>
    <row r="4" spans="1:37" ht="13.5" customHeight="1" thickBot="1">
      <c r="A4" s="257" t="s">
        <v>229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N4" s="256" t="s">
        <v>241</v>
      </c>
      <c r="O4" s="256"/>
      <c r="P4" s="256"/>
      <c r="Q4" s="256"/>
      <c r="R4" s="256"/>
      <c r="S4" s="256"/>
      <c r="T4" s="256"/>
      <c r="U4" s="256"/>
      <c r="V4" s="256"/>
      <c r="W4" s="256"/>
      <c r="X4" s="256"/>
      <c r="AA4" s="256" t="s">
        <v>242</v>
      </c>
      <c r="AB4" s="256"/>
      <c r="AC4" s="256"/>
      <c r="AD4" s="256"/>
      <c r="AE4" s="256"/>
      <c r="AF4" s="256"/>
      <c r="AG4" s="256"/>
      <c r="AH4" s="256"/>
      <c r="AI4" s="256"/>
      <c r="AJ4" s="256"/>
      <c r="AK4" s="256"/>
    </row>
    <row r="5" spans="1:37" ht="78" thickTop="1" thickBot="1">
      <c r="A5" s="148" t="s">
        <v>0</v>
      </c>
      <c r="B5" s="224" t="s">
        <v>118</v>
      </c>
      <c r="C5" s="224" t="s">
        <v>161</v>
      </c>
      <c r="D5" s="225" t="s">
        <v>160</v>
      </c>
      <c r="E5" s="224" t="s">
        <v>120</v>
      </c>
      <c r="F5" s="224" t="s">
        <v>139</v>
      </c>
      <c r="G5" s="224" t="s">
        <v>133</v>
      </c>
      <c r="H5" s="224" t="s">
        <v>155</v>
      </c>
      <c r="I5" s="224" t="s">
        <v>156</v>
      </c>
      <c r="J5" s="224" t="s">
        <v>201</v>
      </c>
      <c r="K5" s="226" t="s">
        <v>53</v>
      </c>
      <c r="N5" s="148" t="s">
        <v>230</v>
      </c>
      <c r="O5" s="224" t="s">
        <v>231</v>
      </c>
      <c r="P5" s="224" t="s">
        <v>232</v>
      </c>
      <c r="Q5" s="225" t="s">
        <v>233</v>
      </c>
      <c r="R5" s="224" t="s">
        <v>234</v>
      </c>
      <c r="S5" s="224" t="s">
        <v>235</v>
      </c>
      <c r="T5" s="224" t="s">
        <v>236</v>
      </c>
      <c r="U5" s="224" t="s">
        <v>237</v>
      </c>
      <c r="V5" s="224" t="s">
        <v>238</v>
      </c>
      <c r="W5" s="224" t="s">
        <v>239</v>
      </c>
      <c r="X5" s="226" t="s">
        <v>240</v>
      </c>
      <c r="AA5" s="148" t="s">
        <v>230</v>
      </c>
      <c r="AB5" s="224" t="s">
        <v>231</v>
      </c>
      <c r="AC5" s="224" t="s">
        <v>232</v>
      </c>
      <c r="AD5" s="225" t="s">
        <v>233</v>
      </c>
      <c r="AE5" s="224" t="s">
        <v>234</v>
      </c>
      <c r="AF5" s="224" t="s">
        <v>235</v>
      </c>
      <c r="AG5" s="224" t="s">
        <v>236</v>
      </c>
      <c r="AH5" s="224" t="s">
        <v>237</v>
      </c>
      <c r="AI5" s="224" t="s">
        <v>238</v>
      </c>
      <c r="AJ5" s="224" t="s">
        <v>239</v>
      </c>
      <c r="AK5" s="226" t="s">
        <v>240</v>
      </c>
    </row>
    <row r="6" spans="1:37" ht="13.5" thickTop="1">
      <c r="A6" s="149" t="s">
        <v>1</v>
      </c>
      <c r="B6" s="245">
        <f>ROUND('PART MES'!E$4*'CALCULO GARANTIA'!$Q6,2)</f>
        <v>7961092.29</v>
      </c>
      <c r="C6" s="245">
        <f>ROUND('PART MES'!E$5*'CALCULO GARANTIA'!$Q6,2)</f>
        <v>1176115.3600000001</v>
      </c>
      <c r="D6" s="245">
        <f>ROUND(+'Art.14 Frac.III'!P5,2)</f>
        <v>1104268.71</v>
      </c>
      <c r="E6" s="245">
        <f>ROUND('PART MES'!E$7*'CALCULO GARANTIA'!$Q6,2)</f>
        <v>243429.76000000001</v>
      </c>
      <c r="F6" s="245">
        <f>ROUND('PART MES'!E$8*'CALCULO GARANTIA'!$Q6,2)</f>
        <v>414772.06</v>
      </c>
      <c r="G6" s="245">
        <f>ROUND('PART MES'!E$9*'CALCULO GARANTIA'!$Q6,2)</f>
        <v>10300.94</v>
      </c>
      <c r="H6" s="245">
        <f>ROUND('PART MES'!E$10*'CALCULO GARANTIA'!$Q6,2)</f>
        <v>174909.17</v>
      </c>
      <c r="I6" s="245">
        <f>ROUND('PART MES'!E$11*'CALCULO GARANTIA'!$Q6,2)</f>
        <v>47521.13</v>
      </c>
      <c r="J6" s="245">
        <f>+'PART MES'!E$12*'COEF Art 14 F II'!M7</f>
        <v>77221.524426410819</v>
      </c>
      <c r="K6" s="227">
        <f t="shared" ref="K6:K37" si="0">SUM(B6:J6)</f>
        <v>11209630.94442641</v>
      </c>
      <c r="N6" s="149" t="s">
        <v>1</v>
      </c>
      <c r="O6" s="245">
        <v>7961092.290000001</v>
      </c>
      <c r="P6" s="245">
        <v>1176115.3700000003</v>
      </c>
      <c r="Q6" s="245">
        <v>1104268.7000000002</v>
      </c>
      <c r="R6" s="245">
        <v>243429.76000000001</v>
      </c>
      <c r="S6" s="245">
        <v>414772.02999999991</v>
      </c>
      <c r="T6" s="245">
        <v>10300.939999999999</v>
      </c>
      <c r="U6" s="245">
        <v>174909.15999999997</v>
      </c>
      <c r="V6" s="245">
        <v>47521.079999999987</v>
      </c>
      <c r="W6" s="245">
        <v>77221.511779274835</v>
      </c>
      <c r="X6" s="252">
        <f t="shared" ref="X6:X56" si="1">SUM(O6:W6)</f>
        <v>11209630.841779277</v>
      </c>
      <c r="AA6" s="149" t="s">
        <v>1</v>
      </c>
      <c r="AB6" s="245">
        <f>+O6-B6</f>
        <v>0</v>
      </c>
      <c r="AC6" s="245">
        <f t="shared" ref="AC6:AJ21" si="2">+P6-C6</f>
        <v>1.0000000242143869E-2</v>
      </c>
      <c r="AD6" s="245">
        <f t="shared" si="2"/>
        <v>-9.9999997764825821E-3</v>
      </c>
      <c r="AE6" s="245">
        <f t="shared" si="2"/>
        <v>0</v>
      </c>
      <c r="AF6" s="245">
        <f t="shared" si="2"/>
        <v>-3.0000000086147338E-2</v>
      </c>
      <c r="AG6" s="245">
        <f t="shared" si="2"/>
        <v>0</v>
      </c>
      <c r="AH6" s="245">
        <f t="shared" si="2"/>
        <v>-1.0000000038417056E-2</v>
      </c>
      <c r="AI6" s="245">
        <f t="shared" si="2"/>
        <v>-5.0000000010186341E-2</v>
      </c>
      <c r="AJ6" s="245">
        <f t="shared" si="2"/>
        <v>-1.2647135983570479E-2</v>
      </c>
      <c r="AK6" s="252">
        <f t="shared" ref="AK6:AK56" si="3">SUM(AB6:AJ6)</f>
        <v>-0.10264713565265993</v>
      </c>
    </row>
    <row r="7" spans="1:37">
      <c r="A7" s="149" t="s">
        <v>2</v>
      </c>
      <c r="B7" s="245">
        <f>ROUND('PART MES'!E$4*'CALCULO GARANTIA'!$Q7,2)</f>
        <v>15769151.470000001</v>
      </c>
      <c r="C7" s="245">
        <f>ROUND('PART MES'!E$5*'CALCULO GARANTIA'!$Q7,2)</f>
        <v>2329622.69</v>
      </c>
      <c r="D7" s="245">
        <f>ROUND(+'Art.14 Frac.III'!P6,2)</f>
        <v>2960168.15</v>
      </c>
      <c r="E7" s="245">
        <f>ROUND('PART MES'!E$7*'CALCULO GARANTIA'!$Q7,2)</f>
        <v>482180.16</v>
      </c>
      <c r="F7" s="245">
        <f>ROUND('PART MES'!E$8*'CALCULO GARANTIA'!$Q7,2)</f>
        <v>821571.11</v>
      </c>
      <c r="G7" s="245">
        <f>ROUND('PART MES'!E$9*'CALCULO GARANTIA'!$Q7,2)</f>
        <v>20403.87</v>
      </c>
      <c r="H7" s="245">
        <f>ROUND('PART MES'!E$10*'CALCULO GARANTIA'!$Q7,2)</f>
        <v>346456.12</v>
      </c>
      <c r="I7" s="245">
        <f>ROUND('PART MES'!E$11*'CALCULO GARANTIA'!$Q7,2)</f>
        <v>94128.77</v>
      </c>
      <c r="J7" s="245">
        <f>+'PART MES'!E$12*'COEF Art 14 F II'!M8</f>
        <v>166185.93849024409</v>
      </c>
      <c r="K7" s="227">
        <f t="shared" si="0"/>
        <v>22989868.278490245</v>
      </c>
      <c r="N7" s="149" t="s">
        <v>2</v>
      </c>
      <c r="O7" s="245">
        <v>15769151.479999999</v>
      </c>
      <c r="P7" s="245">
        <v>2329622.7000000002</v>
      </c>
      <c r="Q7" s="245">
        <v>2960168.1699999995</v>
      </c>
      <c r="R7" s="245">
        <v>482180.15000000008</v>
      </c>
      <c r="S7" s="245">
        <v>821571.08</v>
      </c>
      <c r="T7" s="245">
        <v>20403.87</v>
      </c>
      <c r="U7" s="245">
        <v>346456.14</v>
      </c>
      <c r="V7" s="245">
        <v>94128.719999999987</v>
      </c>
      <c r="W7" s="245">
        <v>166185.93241416637</v>
      </c>
      <c r="X7" s="252">
        <f t="shared" si="1"/>
        <v>22989868.242414162</v>
      </c>
      <c r="AA7" s="149" t="s">
        <v>2</v>
      </c>
      <c r="AB7" s="245">
        <f t="shared" ref="AB7:AB56" si="4">+O7-B7</f>
        <v>9.9999979138374329E-3</v>
      </c>
      <c r="AC7" s="245">
        <f t="shared" si="2"/>
        <v>1.0000000242143869E-2</v>
      </c>
      <c r="AD7" s="245">
        <f t="shared" si="2"/>
        <v>1.9999999552965164E-2</v>
      </c>
      <c r="AE7" s="245">
        <f t="shared" si="2"/>
        <v>-9.9999998928979039E-3</v>
      </c>
      <c r="AF7" s="245">
        <f t="shared" si="2"/>
        <v>-3.0000000027939677E-2</v>
      </c>
      <c r="AG7" s="245">
        <f t="shared" si="2"/>
        <v>0</v>
      </c>
      <c r="AH7" s="245">
        <f t="shared" si="2"/>
        <v>2.0000000018626451E-2</v>
      </c>
      <c r="AI7" s="245">
        <f t="shared" si="2"/>
        <v>-5.0000000017462298E-2</v>
      </c>
      <c r="AJ7" s="245">
        <f t="shared" si="2"/>
        <v>-6.0760777269024402E-3</v>
      </c>
      <c r="AK7" s="252">
        <f t="shared" si="3"/>
        <v>-3.6076079937629402E-2</v>
      </c>
    </row>
    <row r="8" spans="1:37">
      <c r="A8" s="149" t="s">
        <v>218</v>
      </c>
      <c r="B8" s="245">
        <f>ROUND('PART MES'!E$4*'CALCULO GARANTIA'!$Q8,2)</f>
        <v>16404570.699999999</v>
      </c>
      <c r="C8" s="245">
        <f>ROUND('PART MES'!E$5*'CALCULO GARANTIA'!$Q8,2)</f>
        <v>2423495.02</v>
      </c>
      <c r="D8" s="245">
        <f>ROUND(+'Art.14 Frac.III'!P7,2)</f>
        <v>2628506.8199999998</v>
      </c>
      <c r="E8" s="245">
        <f>ROUND('PART MES'!E$7*'CALCULO GARANTIA'!$Q8,2)</f>
        <v>501609.65</v>
      </c>
      <c r="F8" s="245">
        <f>ROUND('PART MES'!E$8*'CALCULO GARANTIA'!$Q8,2)</f>
        <v>854676.38</v>
      </c>
      <c r="G8" s="245">
        <f>ROUND('PART MES'!E$9*'CALCULO GARANTIA'!$Q8,2)</f>
        <v>21226.04</v>
      </c>
      <c r="H8" s="245">
        <f>ROUND('PART MES'!E$10*'CALCULO GARANTIA'!$Q8,2)</f>
        <v>360416.59</v>
      </c>
      <c r="I8" s="245">
        <f>ROUND('PART MES'!E$11*'CALCULO GARANTIA'!$Q8,2)</f>
        <v>97921.7</v>
      </c>
      <c r="J8" s="245">
        <f>+'PART MES'!E$12*'COEF Art 14 F II'!M9</f>
        <v>151999.06336822701</v>
      </c>
      <c r="K8" s="227">
        <f t="shared" si="0"/>
        <v>23444421.963368222</v>
      </c>
      <c r="N8" s="149" t="s">
        <v>3</v>
      </c>
      <c r="O8" s="245">
        <v>16404570.699999999</v>
      </c>
      <c r="P8" s="245">
        <v>2423495.0299999998</v>
      </c>
      <c r="Q8" s="245">
        <v>2628506.8099999996</v>
      </c>
      <c r="R8" s="245">
        <v>501609.65</v>
      </c>
      <c r="S8" s="245">
        <v>854676.37000000011</v>
      </c>
      <c r="T8" s="245">
        <v>21226.04</v>
      </c>
      <c r="U8" s="245">
        <v>360416.6</v>
      </c>
      <c r="V8" s="245">
        <v>97921.680000000008</v>
      </c>
      <c r="W8" s="245">
        <v>151999.06894417841</v>
      </c>
      <c r="X8" s="252">
        <f t="shared" si="1"/>
        <v>23444421.948944177</v>
      </c>
      <c r="AA8" s="149" t="s">
        <v>3</v>
      </c>
      <c r="AB8" s="245">
        <f t="shared" si="4"/>
        <v>0</v>
      </c>
      <c r="AC8" s="245">
        <f t="shared" si="2"/>
        <v>9.9999997764825821E-3</v>
      </c>
      <c r="AD8" s="245">
        <f t="shared" si="2"/>
        <v>-1.0000000242143869E-2</v>
      </c>
      <c r="AE8" s="245">
        <f t="shared" si="2"/>
        <v>0</v>
      </c>
      <c r="AF8" s="245">
        <f t="shared" si="2"/>
        <v>-9.9999998928979039E-3</v>
      </c>
      <c r="AG8" s="245">
        <f t="shared" si="2"/>
        <v>0</v>
      </c>
      <c r="AH8" s="245">
        <f t="shared" si="2"/>
        <v>9.9999999511055648E-3</v>
      </c>
      <c r="AI8" s="245">
        <f t="shared" si="2"/>
        <v>-1.9999999989522621E-2</v>
      </c>
      <c r="AJ8" s="245">
        <f t="shared" si="2"/>
        <v>5.5759513925295323E-3</v>
      </c>
      <c r="AK8" s="252">
        <f t="shared" si="3"/>
        <v>-1.4424049004446715E-2</v>
      </c>
    </row>
    <row r="9" spans="1:37">
      <c r="A9" s="149" t="s">
        <v>4</v>
      </c>
      <c r="B9" s="245">
        <f>ROUND('PART MES'!E$4*'CALCULO GARANTIA'!$Q9,2)</f>
        <v>45373965.799999997</v>
      </c>
      <c r="C9" s="245">
        <f>ROUND('PART MES'!E$5*'CALCULO GARANTIA'!$Q9,2)</f>
        <v>6703228.1600000001</v>
      </c>
      <c r="D9" s="245">
        <f>ROUND(+'Art.14 Frac.III'!P8,2)</f>
        <v>4250079.62</v>
      </c>
      <c r="E9" s="245">
        <f>ROUND('PART MES'!E$7*'CALCULO GARANTIA'!$Q9,2)</f>
        <v>1387419.36</v>
      </c>
      <c r="F9" s="245">
        <f>ROUND('PART MES'!E$8*'CALCULO GARANTIA'!$Q9,2)</f>
        <v>2363978.77</v>
      </c>
      <c r="G9" s="245">
        <f>ROUND('PART MES'!E$9*'CALCULO GARANTIA'!$Q9,2)</f>
        <v>58709.84</v>
      </c>
      <c r="H9" s="245">
        <f>ROUND('PART MES'!E$10*'CALCULO GARANTIA'!$Q9,2)</f>
        <v>996888.64</v>
      </c>
      <c r="I9" s="245">
        <f>ROUND('PART MES'!E$11*'CALCULO GARANTIA'!$Q9,2)</f>
        <v>270844.99</v>
      </c>
      <c r="J9" s="245">
        <f>+'PART MES'!E$12*'COEF Art 14 F II'!M10</f>
        <v>1112163.2788364864</v>
      </c>
      <c r="K9" s="227">
        <f t="shared" si="0"/>
        <v>62517278.458836488</v>
      </c>
      <c r="N9" s="149" t="s">
        <v>4</v>
      </c>
      <c r="O9" s="245">
        <v>45373965.81000001</v>
      </c>
      <c r="P9" s="245">
        <v>6703228.169999999</v>
      </c>
      <c r="Q9" s="245">
        <v>4250079.62</v>
      </c>
      <c r="R9" s="245">
        <v>1387419.3800000001</v>
      </c>
      <c r="S9" s="245">
        <v>2363978.77</v>
      </c>
      <c r="T9" s="245">
        <v>58709.840000000004</v>
      </c>
      <c r="U9" s="245">
        <v>996888.63000000012</v>
      </c>
      <c r="V9" s="245">
        <v>270845.03999999992</v>
      </c>
      <c r="W9" s="245">
        <v>1112163.284947393</v>
      </c>
      <c r="X9" s="252">
        <f t="shared" si="1"/>
        <v>62517278.544947416</v>
      </c>
      <c r="AA9" s="149" t="s">
        <v>4</v>
      </c>
      <c r="AB9" s="245">
        <f t="shared" si="4"/>
        <v>1.0000012814998627E-2</v>
      </c>
      <c r="AC9" s="245">
        <f t="shared" si="2"/>
        <v>9.9999988451600075E-3</v>
      </c>
      <c r="AD9" s="245">
        <f t="shared" si="2"/>
        <v>0</v>
      </c>
      <c r="AE9" s="245">
        <f t="shared" si="2"/>
        <v>2.0000000018626451E-2</v>
      </c>
      <c r="AF9" s="245">
        <f t="shared" si="2"/>
        <v>0</v>
      </c>
      <c r="AG9" s="245">
        <f t="shared" si="2"/>
        <v>0</v>
      </c>
      <c r="AH9" s="245">
        <f t="shared" si="2"/>
        <v>-9.9999998928979039E-3</v>
      </c>
      <c r="AI9" s="245">
        <f t="shared" si="2"/>
        <v>4.9999999930150807E-2</v>
      </c>
      <c r="AJ9" s="245">
        <f t="shared" si="2"/>
        <v>6.1109066009521484E-3</v>
      </c>
      <c r="AK9" s="252">
        <f t="shared" si="3"/>
        <v>8.6110918316990137E-2</v>
      </c>
    </row>
    <row r="10" spans="1:37">
      <c r="A10" s="149" t="s">
        <v>219</v>
      </c>
      <c r="B10" s="245">
        <f>ROUND('PART MES'!E$4*'CALCULO GARANTIA'!$Q10,2)</f>
        <v>57306237.119999997</v>
      </c>
      <c r="C10" s="245">
        <f>ROUND('PART MES'!E$5*'CALCULO GARANTIA'!$Q10,2)</f>
        <v>8466017.3699999992</v>
      </c>
      <c r="D10" s="245">
        <f>ROUND(+'Art.14 Frac.III'!P9,2)</f>
        <v>982104.78</v>
      </c>
      <c r="E10" s="245">
        <f>ROUND('PART MES'!E$7*'CALCULO GARANTIA'!$Q10,2)</f>
        <v>1752277.57</v>
      </c>
      <c r="F10" s="245">
        <f>ROUND('PART MES'!E$8*'CALCULO GARANTIA'!$Q10,2)</f>
        <v>2985648.83</v>
      </c>
      <c r="G10" s="245">
        <f>ROUND('PART MES'!E$9*'CALCULO GARANTIA'!$Q10,2)</f>
        <v>74149.13</v>
      </c>
      <c r="H10" s="245">
        <f>ROUND('PART MES'!E$10*'CALCULO GARANTIA'!$Q10,2)</f>
        <v>1259046.5900000001</v>
      </c>
      <c r="I10" s="245">
        <f>ROUND('PART MES'!E$11*'CALCULO GARANTIA'!$Q10,2)</f>
        <v>342070.76</v>
      </c>
      <c r="J10" s="245">
        <f>+'PART MES'!E$12*'COEF Art 14 F II'!M11</f>
        <v>724175.6779023991</v>
      </c>
      <c r="K10" s="227">
        <f t="shared" si="0"/>
        <v>73891727.827902392</v>
      </c>
      <c r="N10" s="149" t="s">
        <v>5</v>
      </c>
      <c r="O10" s="245">
        <v>57306237.120000005</v>
      </c>
      <c r="P10" s="245">
        <v>8466017.379999999</v>
      </c>
      <c r="Q10" s="245">
        <v>982104.75000000023</v>
      </c>
      <c r="R10" s="245">
        <v>1752277.57</v>
      </c>
      <c r="S10" s="245">
        <v>2985648.85</v>
      </c>
      <c r="T10" s="245">
        <v>74149.13</v>
      </c>
      <c r="U10" s="245">
        <v>1259046.6000000001</v>
      </c>
      <c r="V10" s="245">
        <v>342070.80000000005</v>
      </c>
      <c r="W10" s="245">
        <v>724175.68372153852</v>
      </c>
      <c r="X10" s="252">
        <f t="shared" si="1"/>
        <v>73891727.883721516</v>
      </c>
      <c r="AA10" s="149" t="s">
        <v>5</v>
      </c>
      <c r="AB10" s="245">
        <f t="shared" si="4"/>
        <v>0</v>
      </c>
      <c r="AC10" s="245">
        <f t="shared" si="2"/>
        <v>9.9999997764825821E-3</v>
      </c>
      <c r="AD10" s="245">
        <f t="shared" si="2"/>
        <v>-2.9999999795109034E-2</v>
      </c>
      <c r="AE10" s="245">
        <f t="shared" si="2"/>
        <v>0</v>
      </c>
      <c r="AF10" s="245">
        <f t="shared" si="2"/>
        <v>2.0000000018626451E-2</v>
      </c>
      <c r="AG10" s="245">
        <f t="shared" si="2"/>
        <v>0</v>
      </c>
      <c r="AH10" s="245">
        <f t="shared" si="2"/>
        <v>1.0000000009313226E-2</v>
      </c>
      <c r="AI10" s="245">
        <f t="shared" si="2"/>
        <v>4.0000000037252903E-2</v>
      </c>
      <c r="AJ10" s="245">
        <f t="shared" si="2"/>
        <v>5.819139420054853E-3</v>
      </c>
      <c r="AK10" s="252">
        <f t="shared" si="3"/>
        <v>5.5819139466620982E-2</v>
      </c>
    </row>
    <row r="11" spans="1:37">
      <c r="A11" s="149" t="s">
        <v>6</v>
      </c>
      <c r="B11" s="245">
        <f>ROUND('PART MES'!E$4*'CALCULO GARANTIA'!$Q11,2)</f>
        <v>390968214.74000001</v>
      </c>
      <c r="C11" s="245">
        <f>ROUND('PART MES'!E$5*'CALCULO GARANTIA'!$Q11,2)</f>
        <v>57758873.43</v>
      </c>
      <c r="D11" s="245">
        <f>ROUND(+'Art.14 Frac.III'!P10,2)</f>
        <v>7611340.3499999996</v>
      </c>
      <c r="E11" s="245">
        <f>ROUND('PART MES'!E$7*'CALCULO GARANTIA'!$Q11,2)</f>
        <v>11954804.039999999</v>
      </c>
      <c r="F11" s="245">
        <f>ROUND('PART MES'!E$8*'CALCULO GARANTIA'!$Q11,2)</f>
        <v>20369402.190000001</v>
      </c>
      <c r="G11" s="245">
        <f>ROUND('PART MES'!E$9*'CALCULO GARANTIA'!$Q11,2)</f>
        <v>505877.82</v>
      </c>
      <c r="H11" s="245">
        <f>ROUND('PART MES'!E$10*'CALCULO GARANTIA'!$Q11,2)</f>
        <v>8589766.5500000007</v>
      </c>
      <c r="I11" s="245">
        <f>ROUND('PART MES'!E$11*'CALCULO GARANTIA'!$Q11,2)</f>
        <v>2333756.34</v>
      </c>
      <c r="J11" s="245">
        <f>+'PART MES'!E$12*'COEF Art 14 F II'!M12</f>
        <v>16125753.822836047</v>
      </c>
      <c r="K11" s="227">
        <f t="shared" si="0"/>
        <v>516217789.28283608</v>
      </c>
      <c r="N11" s="149" t="s">
        <v>6</v>
      </c>
      <c r="O11" s="245">
        <v>390968214.71999997</v>
      </c>
      <c r="P11" s="245">
        <v>57758873.440000005</v>
      </c>
      <c r="Q11" s="245">
        <v>7611340.290000001</v>
      </c>
      <c r="R11" s="245">
        <v>11954804.030000003</v>
      </c>
      <c r="S11" s="245">
        <v>20369402.180000003</v>
      </c>
      <c r="T11" s="245">
        <v>505877.82000000007</v>
      </c>
      <c r="U11" s="245">
        <v>8589766.5599999987</v>
      </c>
      <c r="V11" s="245">
        <v>2333756.4</v>
      </c>
      <c r="W11" s="245">
        <v>16125753.8288159</v>
      </c>
      <c r="X11" s="252">
        <f t="shared" si="1"/>
        <v>516217789.26881588</v>
      </c>
      <c r="AA11" s="149" t="s">
        <v>6</v>
      </c>
      <c r="AB11" s="245">
        <f t="shared" si="4"/>
        <v>-2.0000040531158447E-2</v>
      </c>
      <c r="AC11" s="245">
        <f t="shared" si="2"/>
        <v>1.000000536441803E-2</v>
      </c>
      <c r="AD11" s="245">
        <f t="shared" si="2"/>
        <v>-5.9999998658895493E-2</v>
      </c>
      <c r="AE11" s="245">
        <f t="shared" si="2"/>
        <v>-9.9999960511922836E-3</v>
      </c>
      <c r="AF11" s="245">
        <f t="shared" si="2"/>
        <v>-9.9999979138374329E-3</v>
      </c>
      <c r="AG11" s="245">
        <f t="shared" si="2"/>
        <v>0</v>
      </c>
      <c r="AH11" s="245">
        <f t="shared" si="2"/>
        <v>9.9999979138374329E-3</v>
      </c>
      <c r="AI11" s="245">
        <f t="shared" si="2"/>
        <v>6.0000000055879354E-2</v>
      </c>
      <c r="AJ11" s="245">
        <f t="shared" si="2"/>
        <v>5.9798527508974075E-3</v>
      </c>
      <c r="AK11" s="252">
        <f t="shared" si="3"/>
        <v>-1.4020177070051432E-2</v>
      </c>
    </row>
    <row r="12" spans="1:37">
      <c r="A12" s="149" t="s">
        <v>7</v>
      </c>
      <c r="B12" s="245">
        <f>ROUND('PART MES'!E$4*'CALCULO GARANTIA'!$Q12,2)</f>
        <v>65415439.799999997</v>
      </c>
      <c r="C12" s="245">
        <f>ROUND('PART MES'!E$5*'CALCULO GARANTIA'!$Q12,2)</f>
        <v>9664013.5099999998</v>
      </c>
      <c r="D12" s="245">
        <f>ROUND(+'Art.14 Frac.III'!P11,2)</f>
        <v>0</v>
      </c>
      <c r="E12" s="245">
        <f>ROUND('PART MES'!E$7*'CALCULO GARANTIA'!$Q12,2)</f>
        <v>2000236.17</v>
      </c>
      <c r="F12" s="245">
        <f>ROUND('PART MES'!E$8*'CALCULO GARANTIA'!$Q12,2)</f>
        <v>3408137.42</v>
      </c>
      <c r="G12" s="245">
        <f>ROUND('PART MES'!E$9*'CALCULO GARANTIA'!$Q12,2)</f>
        <v>84641.72</v>
      </c>
      <c r="H12" s="245">
        <f>ROUND('PART MES'!E$10*'CALCULO GARANTIA'!$Q12,2)</f>
        <v>1437209.82</v>
      </c>
      <c r="I12" s="245">
        <f>ROUND('PART MES'!E$11*'CALCULO GARANTIA'!$Q12,2)</f>
        <v>390475.98</v>
      </c>
      <c r="J12" s="245">
        <f>+'PART MES'!E$12*'COEF Art 14 F II'!M13</f>
        <v>833434.52846992679</v>
      </c>
      <c r="K12" s="227">
        <f t="shared" si="0"/>
        <v>83233588.948469922</v>
      </c>
      <c r="N12" s="149" t="s">
        <v>7</v>
      </c>
      <c r="O12" s="245">
        <v>65415439.799999997</v>
      </c>
      <c r="P12" s="245">
        <v>9664013.5300000012</v>
      </c>
      <c r="Q12" s="245">
        <v>0</v>
      </c>
      <c r="R12" s="245">
        <v>2000236.1900000002</v>
      </c>
      <c r="S12" s="245">
        <v>3408137.44</v>
      </c>
      <c r="T12" s="245">
        <v>84641.71</v>
      </c>
      <c r="U12" s="245">
        <v>1437209.8199999998</v>
      </c>
      <c r="V12" s="245">
        <v>390476.03999999986</v>
      </c>
      <c r="W12" s="245">
        <v>833434.53594872402</v>
      </c>
      <c r="X12" s="252">
        <f t="shared" si="1"/>
        <v>83233589.06594871</v>
      </c>
      <c r="AA12" s="149" t="s">
        <v>7</v>
      </c>
      <c r="AB12" s="245">
        <f t="shared" si="4"/>
        <v>0</v>
      </c>
      <c r="AC12" s="245">
        <f t="shared" si="2"/>
        <v>2.0000001415610313E-2</v>
      </c>
      <c r="AD12" s="245">
        <f t="shared" si="2"/>
        <v>0</v>
      </c>
      <c r="AE12" s="245">
        <f t="shared" si="2"/>
        <v>2.0000000251457095E-2</v>
      </c>
      <c r="AF12" s="245">
        <f t="shared" si="2"/>
        <v>2.0000000018626451E-2</v>
      </c>
      <c r="AG12" s="245">
        <f t="shared" si="2"/>
        <v>-9.9999999947613105E-3</v>
      </c>
      <c r="AH12" s="245">
        <f t="shared" si="2"/>
        <v>0</v>
      </c>
      <c r="AI12" s="245">
        <f t="shared" si="2"/>
        <v>5.9999999881256372E-2</v>
      </c>
      <c r="AJ12" s="245">
        <f t="shared" si="2"/>
        <v>7.4787972262129188E-3</v>
      </c>
      <c r="AK12" s="252">
        <f t="shared" si="3"/>
        <v>0.11747879879840184</v>
      </c>
    </row>
    <row r="13" spans="1:37">
      <c r="A13" s="149" t="s">
        <v>8</v>
      </c>
      <c r="B13" s="245">
        <f>ROUND('PART MES'!E$4*'CALCULO GARANTIA'!$Q13,2)</f>
        <v>10401401.609999999</v>
      </c>
      <c r="C13" s="245">
        <f>ROUND('PART MES'!E$5*'CALCULO GARANTIA'!$Q13,2)</f>
        <v>1536629.36</v>
      </c>
      <c r="D13" s="245">
        <f>ROUND(+'Art.14 Frac.III'!P12,2)</f>
        <v>3962665.36</v>
      </c>
      <c r="E13" s="245">
        <f>ROUND('PART MES'!E$7*'CALCULO GARANTIA'!$Q13,2)</f>
        <v>318048.15000000002</v>
      </c>
      <c r="F13" s="245">
        <f>ROUND('PART MES'!E$8*'CALCULO GARANTIA'!$Q13,2)</f>
        <v>541911.91</v>
      </c>
      <c r="G13" s="245">
        <f>ROUND('PART MES'!E$9*'CALCULO GARANTIA'!$Q13,2)</f>
        <v>13458.48</v>
      </c>
      <c r="H13" s="245">
        <f>ROUND('PART MES'!E$10*'CALCULO GARANTIA'!$Q13,2)</f>
        <v>228523.98</v>
      </c>
      <c r="I13" s="245">
        <f>ROUND('PART MES'!E$11*'CALCULO GARANTIA'!$Q13,2)</f>
        <v>62087.75</v>
      </c>
      <c r="J13" s="245">
        <f>+'PART MES'!E$12*'COEF Art 14 F II'!M14</f>
        <v>150368.10552946519</v>
      </c>
      <c r="K13" s="227">
        <f t="shared" si="0"/>
        <v>17215094.705529463</v>
      </c>
      <c r="N13" s="149" t="s">
        <v>8</v>
      </c>
      <c r="O13" s="245">
        <v>10401401.620000001</v>
      </c>
      <c r="P13" s="245">
        <v>1536629.36</v>
      </c>
      <c r="Q13" s="245">
        <v>3962665.3499999996</v>
      </c>
      <c r="R13" s="245">
        <v>318048.15000000002</v>
      </c>
      <c r="S13" s="245">
        <v>541911.89</v>
      </c>
      <c r="T13" s="245">
        <v>13458.469999999998</v>
      </c>
      <c r="U13" s="245">
        <v>228524.00000000003</v>
      </c>
      <c r="V13" s="245">
        <v>62087.75999999998</v>
      </c>
      <c r="W13" s="245">
        <v>150368.11553468421</v>
      </c>
      <c r="X13" s="252">
        <f t="shared" si="1"/>
        <v>17215094.715534691</v>
      </c>
      <c r="AA13" s="149" t="s">
        <v>8</v>
      </c>
      <c r="AB13" s="245">
        <f t="shared" si="4"/>
        <v>1.0000001639127731E-2</v>
      </c>
      <c r="AC13" s="245">
        <f t="shared" si="2"/>
        <v>0</v>
      </c>
      <c r="AD13" s="245">
        <f t="shared" si="2"/>
        <v>-1.0000000242143869E-2</v>
      </c>
      <c r="AE13" s="245">
        <f t="shared" si="2"/>
        <v>0</v>
      </c>
      <c r="AF13" s="245">
        <f t="shared" si="2"/>
        <v>-2.0000000018626451E-2</v>
      </c>
      <c r="AG13" s="245">
        <f t="shared" si="2"/>
        <v>-1.0000000002037268E-2</v>
      </c>
      <c r="AH13" s="245">
        <f t="shared" si="2"/>
        <v>2.0000000018626451E-2</v>
      </c>
      <c r="AI13" s="245">
        <f t="shared" si="2"/>
        <v>9.9999999802093953E-3</v>
      </c>
      <c r="AJ13" s="245">
        <f t="shared" si="2"/>
        <v>1.0005219024606049E-2</v>
      </c>
      <c r="AK13" s="252">
        <f t="shared" si="3"/>
        <v>1.0005220399762038E-2</v>
      </c>
    </row>
    <row r="14" spans="1:37">
      <c r="A14" s="149" t="s">
        <v>203</v>
      </c>
      <c r="B14" s="245">
        <f>ROUND('PART MES'!E$4*'CALCULO GARANTIA'!$Q14,2)</f>
        <v>103391967.3</v>
      </c>
      <c r="C14" s="245">
        <f>ROUND('PART MES'!E$5*'CALCULO GARANTIA'!$Q14,2)</f>
        <v>15274396.560000001</v>
      </c>
      <c r="D14" s="245">
        <f>ROUND(+'Art.14 Frac.III'!P13,2)</f>
        <v>2138898.0699999998</v>
      </c>
      <c r="E14" s="245">
        <f>ROUND('PART MES'!E$7*'CALCULO GARANTIA'!$Q14,2)</f>
        <v>3161460.86</v>
      </c>
      <c r="F14" s="245">
        <f>ROUND('PART MES'!E$8*'CALCULO GARANTIA'!$Q14,2)</f>
        <v>5386710.4400000004</v>
      </c>
      <c r="G14" s="245">
        <f>ROUND('PART MES'!E$9*'CALCULO GARANTIA'!$Q14,2)</f>
        <v>133779.94</v>
      </c>
      <c r="H14" s="245">
        <f>ROUND('PART MES'!E$10*'CALCULO GARANTIA'!$Q14,2)</f>
        <v>2271573.06</v>
      </c>
      <c r="I14" s="245">
        <f>ROUND('PART MES'!E$11*'CALCULO GARANTIA'!$Q14,2)</f>
        <v>617164.39</v>
      </c>
      <c r="J14" s="245">
        <f>+'PART MES'!E$12*'COEF Art 14 F II'!M15</f>
        <v>2603554.7781961546</v>
      </c>
      <c r="K14" s="227">
        <f t="shared" si="0"/>
        <v>134979505.39819613</v>
      </c>
      <c r="N14" s="149" t="s">
        <v>9</v>
      </c>
      <c r="O14" s="245">
        <v>103391967.3</v>
      </c>
      <c r="P14" s="245">
        <v>15274396.569999997</v>
      </c>
      <c r="Q14" s="245">
        <v>2138898.0400000005</v>
      </c>
      <c r="R14" s="245">
        <v>3161460.84</v>
      </c>
      <c r="S14" s="245">
        <v>5386710.4800000004</v>
      </c>
      <c r="T14" s="245">
        <v>133779.93</v>
      </c>
      <c r="U14" s="245">
        <v>2271573.06</v>
      </c>
      <c r="V14" s="245">
        <v>617164.44000000006</v>
      </c>
      <c r="W14" s="245">
        <v>2603554.7833851455</v>
      </c>
      <c r="X14" s="252">
        <f t="shared" si="1"/>
        <v>134979505.44338515</v>
      </c>
      <c r="AA14" s="149" t="s">
        <v>9</v>
      </c>
      <c r="AB14" s="245">
        <f t="shared" si="4"/>
        <v>0</v>
      </c>
      <c r="AC14" s="245">
        <f t="shared" si="2"/>
        <v>9.9999960511922836E-3</v>
      </c>
      <c r="AD14" s="245">
        <f t="shared" si="2"/>
        <v>-2.9999999329447746E-2</v>
      </c>
      <c r="AE14" s="245">
        <f t="shared" si="2"/>
        <v>-2.0000000018626451E-2</v>
      </c>
      <c r="AF14" s="245">
        <f t="shared" si="2"/>
        <v>4.0000000037252903E-2</v>
      </c>
      <c r="AG14" s="245">
        <f t="shared" si="2"/>
        <v>-1.0000000009313226E-2</v>
      </c>
      <c r="AH14" s="245">
        <f t="shared" si="2"/>
        <v>0</v>
      </c>
      <c r="AI14" s="245">
        <f t="shared" si="2"/>
        <v>5.0000000046566129E-2</v>
      </c>
      <c r="AJ14" s="245">
        <f t="shared" si="2"/>
        <v>5.1889908500015736E-3</v>
      </c>
      <c r="AK14" s="252">
        <f t="shared" si="3"/>
        <v>4.5188987627625465E-2</v>
      </c>
    </row>
    <row r="15" spans="1:37">
      <c r="A15" s="149" t="s">
        <v>204</v>
      </c>
      <c r="B15" s="245">
        <f>ROUND('PART MES'!E$4*'CALCULO GARANTIA'!$Q15,2)</f>
        <v>17178452.91</v>
      </c>
      <c r="C15" s="245">
        <f>ROUND('PART MES'!E$5*'CALCULO GARANTIA'!$Q15,2)</f>
        <v>2537822.9</v>
      </c>
      <c r="D15" s="245">
        <f>ROUND(+'Art.14 Frac.III'!P14,2)</f>
        <v>4299552.07</v>
      </c>
      <c r="E15" s="245">
        <f>ROUND('PART MES'!E$7*'CALCULO GARANTIA'!$Q15,2)</f>
        <v>525272.98</v>
      </c>
      <c r="F15" s="245">
        <f>ROUND('PART MES'!E$8*'CALCULO GARANTIA'!$Q15,2)</f>
        <v>894995.56</v>
      </c>
      <c r="G15" s="245">
        <f>ROUND('PART MES'!E$9*'CALCULO GARANTIA'!$Q15,2)</f>
        <v>22227.38</v>
      </c>
      <c r="H15" s="245">
        <f>ROUND('PART MES'!E$10*'CALCULO GARANTIA'!$Q15,2)</f>
        <v>377419.17</v>
      </c>
      <c r="I15" s="245">
        <f>ROUND('PART MES'!E$11*'CALCULO GARANTIA'!$Q15,2)</f>
        <v>102541.13</v>
      </c>
      <c r="J15" s="245">
        <f>+'PART MES'!E$12*'COEF Art 14 F II'!M16</f>
        <v>1002468.0955410663</v>
      </c>
      <c r="K15" s="227">
        <f t="shared" si="0"/>
        <v>26940752.195541065</v>
      </c>
      <c r="N15" s="149" t="s">
        <v>10</v>
      </c>
      <c r="O15" s="245">
        <v>17178452.890000001</v>
      </c>
      <c r="P15" s="245">
        <v>2537822.9000000004</v>
      </c>
      <c r="Q15" s="245">
        <v>4299552.08</v>
      </c>
      <c r="R15" s="245">
        <v>525272.97</v>
      </c>
      <c r="S15" s="245">
        <v>894995.54</v>
      </c>
      <c r="T15" s="245">
        <v>22227.370000000003</v>
      </c>
      <c r="U15" s="245">
        <v>377419.17</v>
      </c>
      <c r="V15" s="245">
        <v>102541.07999999997</v>
      </c>
      <c r="W15" s="245">
        <v>1002468.0872186329</v>
      </c>
      <c r="X15" s="252">
        <f t="shared" si="1"/>
        <v>26940752.087218627</v>
      </c>
      <c r="AA15" s="149" t="s">
        <v>10</v>
      </c>
      <c r="AB15" s="245">
        <f t="shared" si="4"/>
        <v>-1.9999999552965164E-2</v>
      </c>
      <c r="AC15" s="245">
        <f t="shared" si="2"/>
        <v>0</v>
      </c>
      <c r="AD15" s="245">
        <f t="shared" si="2"/>
        <v>9.9999997764825821E-3</v>
      </c>
      <c r="AE15" s="245">
        <f t="shared" si="2"/>
        <v>-1.0000000009313226E-2</v>
      </c>
      <c r="AF15" s="245">
        <f t="shared" si="2"/>
        <v>-2.0000000018626451E-2</v>
      </c>
      <c r="AG15" s="245">
        <f t="shared" si="2"/>
        <v>-9.9999999983992893E-3</v>
      </c>
      <c r="AH15" s="245">
        <f t="shared" si="2"/>
        <v>0</v>
      </c>
      <c r="AI15" s="245">
        <f t="shared" si="2"/>
        <v>-5.0000000032014214E-2</v>
      </c>
      <c r="AJ15" s="245">
        <f t="shared" si="2"/>
        <v>-8.3224333357065916E-3</v>
      </c>
      <c r="AK15" s="252">
        <f t="shared" si="3"/>
        <v>-0.10832243317054235</v>
      </c>
    </row>
    <row r="16" spans="1:37">
      <c r="A16" s="149" t="s">
        <v>205</v>
      </c>
      <c r="B16" s="245">
        <f>ROUND('PART MES'!E$4*'CALCULO GARANTIA'!$Q16,2)</f>
        <v>24957742.02</v>
      </c>
      <c r="C16" s="245">
        <f>ROUND('PART MES'!E$5*'CALCULO GARANTIA'!$Q16,2)</f>
        <v>3687079.94</v>
      </c>
      <c r="D16" s="245">
        <f>ROUND(+'Art.14 Frac.III'!P15,2)</f>
        <v>2241127.5499999998</v>
      </c>
      <c r="E16" s="245">
        <f>ROUND('PART MES'!E$7*'CALCULO GARANTIA'!$Q16,2)</f>
        <v>763143.66</v>
      </c>
      <c r="F16" s="245">
        <f>ROUND('PART MES'!E$8*'CALCULO GARANTIA'!$Q16,2)</f>
        <v>1300295.69</v>
      </c>
      <c r="G16" s="245">
        <f>ROUND('PART MES'!E$9*'CALCULO GARANTIA'!$Q16,2)</f>
        <v>32293.08</v>
      </c>
      <c r="H16" s="245">
        <f>ROUND('PART MES'!E$10*'CALCULO GARANTIA'!$Q16,2)</f>
        <v>548334.03</v>
      </c>
      <c r="I16" s="245">
        <f>ROUND('PART MES'!E$11*'CALCULO GARANTIA'!$Q16,2)</f>
        <v>148977.04</v>
      </c>
      <c r="J16" s="245">
        <f>+'PART MES'!E$12*'COEF Art 14 F II'!M17</f>
        <v>307617.84981640545</v>
      </c>
      <c r="K16" s="227">
        <f t="shared" si="0"/>
        <v>33986610.85981641</v>
      </c>
      <c r="N16" s="149" t="s">
        <v>11</v>
      </c>
      <c r="O16" s="245">
        <v>24957742.009999994</v>
      </c>
      <c r="P16" s="245">
        <v>3687079.94</v>
      </c>
      <c r="Q16" s="245">
        <v>2241127.5300000003</v>
      </c>
      <c r="R16" s="245">
        <v>763143.66</v>
      </c>
      <c r="S16" s="245">
        <v>1300295.69</v>
      </c>
      <c r="T16" s="245">
        <v>32293.07</v>
      </c>
      <c r="U16" s="245">
        <v>548334.04</v>
      </c>
      <c r="V16" s="245">
        <v>148977</v>
      </c>
      <c r="W16" s="245">
        <v>307617.85106559651</v>
      </c>
      <c r="X16" s="252">
        <f t="shared" si="1"/>
        <v>33986610.791065596</v>
      </c>
      <c r="AA16" s="149" t="s">
        <v>11</v>
      </c>
      <c r="AB16" s="245">
        <f t="shared" si="4"/>
        <v>-1.000000536441803E-2</v>
      </c>
      <c r="AC16" s="245">
        <f t="shared" si="2"/>
        <v>0</v>
      </c>
      <c r="AD16" s="245">
        <f t="shared" si="2"/>
        <v>-1.9999999552965164E-2</v>
      </c>
      <c r="AE16" s="245">
        <f t="shared" si="2"/>
        <v>0</v>
      </c>
      <c r="AF16" s="245">
        <f t="shared" si="2"/>
        <v>0</v>
      </c>
      <c r="AG16" s="245">
        <f t="shared" si="2"/>
        <v>-1.0000000002037268E-2</v>
      </c>
      <c r="AH16" s="245">
        <f t="shared" si="2"/>
        <v>1.0000000009313226E-2</v>
      </c>
      <c r="AI16" s="245">
        <f t="shared" si="2"/>
        <v>-4.0000000008149073E-2</v>
      </c>
      <c r="AJ16" s="245">
        <f t="shared" si="2"/>
        <v>1.2491910601966083E-3</v>
      </c>
      <c r="AK16" s="252">
        <f t="shared" si="3"/>
        <v>-6.8750813858059701E-2</v>
      </c>
    </row>
    <row r="17" spans="1:37">
      <c r="A17" s="149" t="s">
        <v>12</v>
      </c>
      <c r="B17" s="245">
        <f>ROUND('PART MES'!E$4*'CALCULO GARANTIA'!$Q17,2)</f>
        <v>52489783.18</v>
      </c>
      <c r="C17" s="245">
        <f>ROUND('PART MES'!E$5*'CALCULO GARANTIA'!$Q17,2)</f>
        <v>7754468.5999999996</v>
      </c>
      <c r="D17" s="245">
        <f>ROUND(+'Art.14 Frac.III'!P16,2)</f>
        <v>3151709.72</v>
      </c>
      <c r="E17" s="245">
        <f>ROUND('PART MES'!E$7*'CALCULO GARANTIA'!$Q17,2)</f>
        <v>1605002.78</v>
      </c>
      <c r="F17" s="245">
        <f>ROUND('PART MES'!E$8*'CALCULO GARANTIA'!$Q17,2)</f>
        <v>2734712.09</v>
      </c>
      <c r="G17" s="245">
        <f>ROUND('PART MES'!E$9*'CALCULO GARANTIA'!$Q17,2)</f>
        <v>67917.070000000007</v>
      </c>
      <c r="H17" s="245">
        <f>ROUND('PART MES'!E$10*'CALCULO GARANTIA'!$Q17,2)</f>
        <v>1153226.7</v>
      </c>
      <c r="I17" s="245">
        <f>ROUND('PART MES'!E$11*'CALCULO GARANTIA'!$Q17,2)</f>
        <v>313320.52</v>
      </c>
      <c r="J17" s="245">
        <f>+'PART MES'!E$12*'COEF Art 14 F II'!M18</f>
        <v>561655.47887650237</v>
      </c>
      <c r="K17" s="227">
        <f t="shared" si="0"/>
        <v>69831796.138876498</v>
      </c>
      <c r="N17" s="149" t="s">
        <v>12</v>
      </c>
      <c r="O17" s="245">
        <v>52489783.149999991</v>
      </c>
      <c r="P17" s="245">
        <v>7754468.5899999999</v>
      </c>
      <c r="Q17" s="245">
        <v>3151709.7299999995</v>
      </c>
      <c r="R17" s="245">
        <v>1605002.8</v>
      </c>
      <c r="S17" s="245">
        <v>2734712.13</v>
      </c>
      <c r="T17" s="245">
        <v>67917.070000000007</v>
      </c>
      <c r="U17" s="245">
        <v>1153226.7</v>
      </c>
      <c r="V17" s="245">
        <v>313320.48000000004</v>
      </c>
      <c r="W17" s="245">
        <v>561655.45835367125</v>
      </c>
      <c r="X17" s="252">
        <f t="shared" si="1"/>
        <v>69831796.10835366</v>
      </c>
      <c r="AA17" s="149" t="s">
        <v>12</v>
      </c>
      <c r="AB17" s="245">
        <f t="shared" si="4"/>
        <v>-3.0000008642673492E-2</v>
      </c>
      <c r="AC17" s="245">
        <f t="shared" si="2"/>
        <v>-9.9999997764825821E-3</v>
      </c>
      <c r="AD17" s="245">
        <f t="shared" si="2"/>
        <v>9.9999993108212948E-3</v>
      </c>
      <c r="AE17" s="245">
        <f t="shared" si="2"/>
        <v>2.0000000018626451E-2</v>
      </c>
      <c r="AF17" s="245">
        <f t="shared" si="2"/>
        <v>4.0000000037252903E-2</v>
      </c>
      <c r="AG17" s="245">
        <f t="shared" si="2"/>
        <v>0</v>
      </c>
      <c r="AH17" s="245">
        <f t="shared" si="2"/>
        <v>0</v>
      </c>
      <c r="AI17" s="245">
        <f t="shared" si="2"/>
        <v>-3.9999999979045242E-2</v>
      </c>
      <c r="AJ17" s="245">
        <f t="shared" si="2"/>
        <v>-2.0522831124253571E-2</v>
      </c>
      <c r="AK17" s="252">
        <f t="shared" si="3"/>
        <v>-3.0522840155754238E-2</v>
      </c>
    </row>
    <row r="18" spans="1:37">
      <c r="A18" s="149" t="s">
        <v>206</v>
      </c>
      <c r="B18" s="245">
        <f>ROUND('PART MES'!E$4*'CALCULO GARANTIA'!$Q18,2)</f>
        <v>26707303.07</v>
      </c>
      <c r="C18" s="245">
        <f>ROUND('PART MES'!E$5*'CALCULO GARANTIA'!$Q18,2)</f>
        <v>3945547.69</v>
      </c>
      <c r="D18" s="245">
        <f>ROUND(+'Art.14 Frac.III'!P17,2)</f>
        <v>2639444.29</v>
      </c>
      <c r="E18" s="245">
        <f>ROUND('PART MES'!E$7*'CALCULO GARANTIA'!$Q18,2)</f>
        <v>816640.75</v>
      </c>
      <c r="F18" s="245">
        <f>ROUND('PART MES'!E$8*'CALCULO GARANTIA'!$Q18,2)</f>
        <v>1391447.64</v>
      </c>
      <c r="G18" s="245">
        <f>ROUND('PART MES'!E$9*'CALCULO GARANTIA'!$Q18,2)</f>
        <v>34556.86</v>
      </c>
      <c r="H18" s="245">
        <f>ROUND('PART MES'!E$10*'CALCULO GARANTIA'!$Q18,2)</f>
        <v>586772.76</v>
      </c>
      <c r="I18" s="245">
        <f>ROUND('PART MES'!E$11*'CALCULO GARANTIA'!$Q18,2)</f>
        <v>159420.47</v>
      </c>
      <c r="J18" s="245">
        <f>+'PART MES'!E$12*'COEF Art 14 F II'!M19</f>
        <v>1121414.1925764054</v>
      </c>
      <c r="K18" s="227">
        <f t="shared" si="0"/>
        <v>37402547.722576402</v>
      </c>
      <c r="N18" s="149" t="s">
        <v>13</v>
      </c>
      <c r="O18" s="245">
        <v>26707303.090000011</v>
      </c>
      <c r="P18" s="245">
        <v>3945547.709999999</v>
      </c>
      <c r="Q18" s="245">
        <v>2639444.2799999998</v>
      </c>
      <c r="R18" s="245">
        <v>816640.74000000011</v>
      </c>
      <c r="S18" s="245">
        <v>1391447.5900000003</v>
      </c>
      <c r="T18" s="245">
        <v>34556.86</v>
      </c>
      <c r="U18" s="245">
        <v>586772.76</v>
      </c>
      <c r="V18" s="245">
        <v>159420.48000000007</v>
      </c>
      <c r="W18" s="245">
        <v>1121414.1777516652</v>
      </c>
      <c r="X18" s="252">
        <f t="shared" si="1"/>
        <v>37402547.687751681</v>
      </c>
      <c r="AA18" s="149" t="s">
        <v>13</v>
      </c>
      <c r="AB18" s="245">
        <f t="shared" si="4"/>
        <v>2.000001072883606E-2</v>
      </c>
      <c r="AC18" s="245">
        <f t="shared" si="2"/>
        <v>1.9999999087303877E-2</v>
      </c>
      <c r="AD18" s="245">
        <f t="shared" si="2"/>
        <v>-1.0000000242143869E-2</v>
      </c>
      <c r="AE18" s="245">
        <f t="shared" si="2"/>
        <v>-9.9999998928979039E-3</v>
      </c>
      <c r="AF18" s="245">
        <f t="shared" si="2"/>
        <v>-4.9999999580904841E-2</v>
      </c>
      <c r="AG18" s="245">
        <f t="shared" si="2"/>
        <v>0</v>
      </c>
      <c r="AH18" s="245">
        <f t="shared" si="2"/>
        <v>0</v>
      </c>
      <c r="AI18" s="245">
        <f t="shared" si="2"/>
        <v>1.0000000067520887E-2</v>
      </c>
      <c r="AJ18" s="245">
        <f t="shared" si="2"/>
        <v>-1.4824740123003721E-2</v>
      </c>
      <c r="AK18" s="252">
        <f t="shared" si="3"/>
        <v>-3.4824729955289513E-2</v>
      </c>
    </row>
    <row r="19" spans="1:37">
      <c r="A19" s="149" t="s">
        <v>14</v>
      </c>
      <c r="B19" s="245">
        <f>ROUND('PART MES'!E$4*'CALCULO GARANTIA'!$Q19,2)</f>
        <v>146285856.50999999</v>
      </c>
      <c r="C19" s="245">
        <f>ROUND('PART MES'!E$5*'CALCULO GARANTIA'!$Q19,2)</f>
        <v>21611235.780000001</v>
      </c>
      <c r="D19" s="245">
        <f>ROUND(+'Art.14 Frac.III'!P18,2)</f>
        <v>2406668.87</v>
      </c>
      <c r="E19" s="245">
        <f>ROUND('PART MES'!E$7*'CALCULO GARANTIA'!$Q19,2)</f>
        <v>4473045.84</v>
      </c>
      <c r="F19" s="245">
        <f>ROUND('PART MES'!E$8*'CALCULO GARANTIA'!$Q19,2)</f>
        <v>7621477.4900000002</v>
      </c>
      <c r="G19" s="245">
        <f>ROUND('PART MES'!E$9*'CALCULO GARANTIA'!$Q19,2)</f>
        <v>189280.79</v>
      </c>
      <c r="H19" s="245">
        <f>ROUND('PART MES'!E$10*'CALCULO GARANTIA'!$Q19,2)</f>
        <v>3213973.18</v>
      </c>
      <c r="I19" s="245">
        <f>ROUND('PART MES'!E$11*'CALCULO GARANTIA'!$Q19,2)</f>
        <v>873205.37</v>
      </c>
      <c r="J19" s="245">
        <f>+'PART MES'!E$12*'COEF Art 14 F II'!M20</f>
        <v>1826358.035385025</v>
      </c>
      <c r="K19" s="227">
        <f t="shared" si="0"/>
        <v>188501101.86538503</v>
      </c>
      <c r="N19" s="149" t="s">
        <v>14</v>
      </c>
      <c r="O19" s="245">
        <v>146285856.51000002</v>
      </c>
      <c r="P19" s="245">
        <v>21611235.77</v>
      </c>
      <c r="Q19" s="245">
        <v>2406668.83</v>
      </c>
      <c r="R19" s="245">
        <v>4473045.8500000006</v>
      </c>
      <c r="S19" s="245">
        <v>7621477.4600000009</v>
      </c>
      <c r="T19" s="245">
        <v>189280.80000000002</v>
      </c>
      <c r="U19" s="245">
        <v>3213973.1799999997</v>
      </c>
      <c r="V19" s="245">
        <v>873205.32</v>
      </c>
      <c r="W19" s="245">
        <v>1826358.0217690901</v>
      </c>
      <c r="X19" s="252">
        <f t="shared" si="1"/>
        <v>188501101.74176913</v>
      </c>
      <c r="AA19" s="149" t="s">
        <v>14</v>
      </c>
      <c r="AB19" s="245">
        <f t="shared" si="4"/>
        <v>0</v>
      </c>
      <c r="AC19" s="245">
        <f t="shared" si="2"/>
        <v>-1.0000001639127731E-2</v>
      </c>
      <c r="AD19" s="245">
        <f t="shared" si="2"/>
        <v>-4.0000000037252903E-2</v>
      </c>
      <c r="AE19" s="245">
        <f t="shared" si="2"/>
        <v>1.0000000707805157E-2</v>
      </c>
      <c r="AF19" s="245">
        <f t="shared" si="2"/>
        <v>-2.9999999329447746E-2</v>
      </c>
      <c r="AG19" s="245">
        <f t="shared" si="2"/>
        <v>1.0000000009313226E-2</v>
      </c>
      <c r="AH19" s="245">
        <f t="shared" si="2"/>
        <v>0</v>
      </c>
      <c r="AI19" s="245">
        <f t="shared" si="2"/>
        <v>-5.0000000046566129E-2</v>
      </c>
      <c r="AJ19" s="245">
        <f t="shared" si="2"/>
        <v>-1.3615934876725078E-2</v>
      </c>
      <c r="AK19" s="252">
        <f t="shared" si="3"/>
        <v>-0.1236159352120012</v>
      </c>
    </row>
    <row r="20" spans="1:37">
      <c r="A20" s="149" t="s">
        <v>15</v>
      </c>
      <c r="B20" s="245">
        <f>ROUND('PART MES'!E$4*'CALCULO GARANTIA'!$Q20,2)</f>
        <v>18674970.949999999</v>
      </c>
      <c r="C20" s="245">
        <f>ROUND('PART MES'!E$5*'CALCULO GARANTIA'!$Q20,2)</f>
        <v>2758907.87</v>
      </c>
      <c r="D20" s="245">
        <f>ROUND(+'Art.14 Frac.III'!P19,2)</f>
        <v>1229138.47</v>
      </c>
      <c r="E20" s="245">
        <f>ROUND('PART MES'!E$7*'CALCULO GARANTIA'!$Q20,2)</f>
        <v>571032.66</v>
      </c>
      <c r="F20" s="245">
        <f>ROUND('PART MES'!E$8*'CALCULO GARANTIA'!$Q20,2)</f>
        <v>972963.99</v>
      </c>
      <c r="G20" s="245">
        <f>ROUND('PART MES'!E$9*'CALCULO GARANTIA'!$Q20,2)</f>
        <v>24163.74</v>
      </c>
      <c r="H20" s="245">
        <f>ROUND('PART MES'!E$10*'CALCULO GARANTIA'!$Q20,2)</f>
        <v>410298.42</v>
      </c>
      <c r="I20" s="245">
        <f>ROUND('PART MES'!E$11*'CALCULO GARANTIA'!$Q20,2)</f>
        <v>111474.11</v>
      </c>
      <c r="J20" s="245">
        <f>+'PART MES'!E$12*'COEF Art 14 F II'!M21</f>
        <v>175569.19967165863</v>
      </c>
      <c r="K20" s="227">
        <f t="shared" si="0"/>
        <v>24928519.409671657</v>
      </c>
      <c r="N20" s="149" t="s">
        <v>15</v>
      </c>
      <c r="O20" s="245">
        <v>18674970.939999998</v>
      </c>
      <c r="P20" s="245">
        <v>2758907.88</v>
      </c>
      <c r="Q20" s="245">
        <v>1229138.4700000007</v>
      </c>
      <c r="R20" s="245">
        <v>571032.65</v>
      </c>
      <c r="S20" s="245">
        <v>972963.99999999977</v>
      </c>
      <c r="T20" s="245">
        <v>24163.729999999996</v>
      </c>
      <c r="U20" s="245">
        <v>410298.41999999993</v>
      </c>
      <c r="V20" s="245">
        <v>111474.11999999998</v>
      </c>
      <c r="W20" s="245">
        <v>175569.20475443319</v>
      </c>
      <c r="X20" s="252">
        <f t="shared" si="1"/>
        <v>24928519.414754432</v>
      </c>
      <c r="AA20" s="149" t="s">
        <v>15</v>
      </c>
      <c r="AB20" s="245">
        <f t="shared" si="4"/>
        <v>-1.0000001639127731E-2</v>
      </c>
      <c r="AC20" s="245">
        <f t="shared" si="2"/>
        <v>9.9999997764825821E-3</v>
      </c>
      <c r="AD20" s="245">
        <f t="shared" si="2"/>
        <v>0</v>
      </c>
      <c r="AE20" s="245">
        <f t="shared" si="2"/>
        <v>-1.0000000009313226E-2</v>
      </c>
      <c r="AF20" s="245">
        <f t="shared" si="2"/>
        <v>9.9999997764825821E-3</v>
      </c>
      <c r="AG20" s="245">
        <f t="shared" si="2"/>
        <v>-1.0000000005675247E-2</v>
      </c>
      <c r="AH20" s="245">
        <f t="shared" si="2"/>
        <v>0</v>
      </c>
      <c r="AI20" s="245">
        <f t="shared" si="2"/>
        <v>9.9999999802093953E-3</v>
      </c>
      <c r="AJ20" s="245">
        <f t="shared" si="2"/>
        <v>5.0827745581045747E-3</v>
      </c>
      <c r="AK20" s="252">
        <f t="shared" si="3"/>
        <v>5.0827724371629301E-3</v>
      </c>
    </row>
    <row r="21" spans="1:37">
      <c r="A21" s="149" t="s">
        <v>207</v>
      </c>
      <c r="B21" s="245">
        <f>ROUND('PART MES'!E$4*'CALCULO GARANTIA'!$Q21,2)</f>
        <v>13004749.25</v>
      </c>
      <c r="C21" s="245">
        <f>ROUND('PART MES'!E$5*'CALCULO GARANTIA'!$Q21,2)</f>
        <v>1921229.5</v>
      </c>
      <c r="D21" s="245">
        <f>ROUND(+'Art.14 Frac.III'!P20,2)</f>
        <v>3762225.94</v>
      </c>
      <c r="E21" s="245">
        <f>ROUND('PART MES'!E$7*'CALCULO GARANTIA'!$Q21,2)</f>
        <v>397651.84</v>
      </c>
      <c r="F21" s="245">
        <f>ROUND('PART MES'!E$8*'CALCULO GARANTIA'!$Q21,2)</f>
        <v>677546.05</v>
      </c>
      <c r="G21" s="245">
        <f>ROUND('PART MES'!E$9*'CALCULO GARANTIA'!$Q21,2)</f>
        <v>16826.98</v>
      </c>
      <c r="H21" s="245">
        <f>ROUND('PART MES'!E$10*'CALCULO GARANTIA'!$Q21,2)</f>
        <v>285720.82</v>
      </c>
      <c r="I21" s="245">
        <f>ROUND('PART MES'!E$11*'CALCULO GARANTIA'!$Q21,2)</f>
        <v>77627.58</v>
      </c>
      <c r="J21" s="245">
        <f>+'PART MES'!E$12*'COEF Art 14 F II'!M22</f>
        <v>116200.0572307699</v>
      </c>
      <c r="K21" s="227">
        <f t="shared" si="0"/>
        <v>20259778.017230771</v>
      </c>
      <c r="N21" s="149" t="s">
        <v>16</v>
      </c>
      <c r="O21" s="245">
        <v>13004749.23</v>
      </c>
      <c r="P21" s="245">
        <v>1921229.47</v>
      </c>
      <c r="Q21" s="245">
        <v>3762225.9000000004</v>
      </c>
      <c r="R21" s="245">
        <v>397651.83999999997</v>
      </c>
      <c r="S21" s="245">
        <v>677546.05000000016</v>
      </c>
      <c r="T21" s="245">
        <v>16826.969999999998</v>
      </c>
      <c r="U21" s="245">
        <v>285720.82</v>
      </c>
      <c r="V21" s="245">
        <v>77627.520000000004</v>
      </c>
      <c r="W21" s="245">
        <v>116200.05018453892</v>
      </c>
      <c r="X21" s="252">
        <f t="shared" si="1"/>
        <v>20259777.850184541</v>
      </c>
      <c r="AA21" s="149" t="s">
        <v>16</v>
      </c>
      <c r="AB21" s="245">
        <f t="shared" si="4"/>
        <v>-1.9999999552965164E-2</v>
      </c>
      <c r="AC21" s="245">
        <f t="shared" si="2"/>
        <v>-3.0000000027939677E-2</v>
      </c>
      <c r="AD21" s="245">
        <f t="shared" si="2"/>
        <v>-3.9999999571591616E-2</v>
      </c>
      <c r="AE21" s="245">
        <f t="shared" si="2"/>
        <v>0</v>
      </c>
      <c r="AF21" s="245">
        <f t="shared" si="2"/>
        <v>0</v>
      </c>
      <c r="AG21" s="245">
        <f t="shared" si="2"/>
        <v>-1.0000000002037268E-2</v>
      </c>
      <c r="AH21" s="245">
        <f t="shared" si="2"/>
        <v>0</v>
      </c>
      <c r="AI21" s="245">
        <f t="shared" si="2"/>
        <v>-5.9999999997671694E-2</v>
      </c>
      <c r="AJ21" s="245">
        <f t="shared" si="2"/>
        <v>-7.0462309813592583E-3</v>
      </c>
      <c r="AK21" s="252">
        <f t="shared" si="3"/>
        <v>-0.16704623013356468</v>
      </c>
    </row>
    <row r="22" spans="1:37">
      <c r="A22" s="149" t="s">
        <v>17</v>
      </c>
      <c r="B22" s="245">
        <f>ROUND('PART MES'!E$4*'CALCULO GARANTIA'!$Q22,2)</f>
        <v>114053395.42</v>
      </c>
      <c r="C22" s="245">
        <f>ROUND('PART MES'!E$5*'CALCULO GARANTIA'!$Q22,2)</f>
        <v>16849440.399999999</v>
      </c>
      <c r="D22" s="245">
        <f>ROUND(+'Art.14 Frac.III'!P21,2)</f>
        <v>1899177.41</v>
      </c>
      <c r="E22" s="245">
        <f>ROUND('PART MES'!E$7*'CALCULO GARANTIA'!$Q22,2)</f>
        <v>3487459.95</v>
      </c>
      <c r="F22" s="245">
        <f>ROUND('PART MES'!E$8*'CALCULO GARANTIA'!$Q22,2)</f>
        <v>5942169.71</v>
      </c>
      <c r="G22" s="245">
        <f>ROUND('PART MES'!E$9*'CALCULO GARANTIA'!$Q22,2)</f>
        <v>147574.87</v>
      </c>
      <c r="H22" s="245">
        <f>ROUND('PART MES'!E$10*'CALCULO GARANTIA'!$Q22,2)</f>
        <v>2505809.9500000002</v>
      </c>
      <c r="I22" s="245">
        <f>ROUND('PART MES'!E$11*'CALCULO GARANTIA'!$Q22,2)</f>
        <v>680804.28</v>
      </c>
      <c r="J22" s="245">
        <f>+'PART MES'!E$12*'COEF Art 14 F II'!M23</f>
        <v>1688937.8680305299</v>
      </c>
      <c r="K22" s="227">
        <f t="shared" si="0"/>
        <v>147254769.8580305</v>
      </c>
      <c r="N22" s="149" t="s">
        <v>17</v>
      </c>
      <c r="O22" s="245">
        <v>114053395.42999996</v>
      </c>
      <c r="P22" s="245">
        <v>16849440.399999999</v>
      </c>
      <c r="Q22" s="245">
        <v>1899177.4200000002</v>
      </c>
      <c r="R22" s="245">
        <v>3487459.9400000004</v>
      </c>
      <c r="S22" s="245">
        <v>5942169.7300000004</v>
      </c>
      <c r="T22" s="245">
        <v>147574.87</v>
      </c>
      <c r="U22" s="245">
        <v>2505809.9700000002</v>
      </c>
      <c r="V22" s="245">
        <v>680804.28</v>
      </c>
      <c r="W22" s="245">
        <v>1688937.879083235</v>
      </c>
      <c r="X22" s="252">
        <f t="shared" si="1"/>
        <v>147254769.91908321</v>
      </c>
      <c r="AA22" s="149" t="s">
        <v>17</v>
      </c>
      <c r="AB22" s="245">
        <f t="shared" si="4"/>
        <v>9.9999606609344482E-3</v>
      </c>
      <c r="AC22" s="245">
        <f t="shared" ref="AC22:AC56" si="5">+P22-C22</f>
        <v>0</v>
      </c>
      <c r="AD22" s="245">
        <f t="shared" ref="AD22:AD56" si="6">+Q22-D22</f>
        <v>1.0000000242143869E-2</v>
      </c>
      <c r="AE22" s="245">
        <f t="shared" ref="AE22:AE56" si="7">+R22-E22</f>
        <v>-9.9999997764825821E-3</v>
      </c>
      <c r="AF22" s="245">
        <f t="shared" ref="AF22:AF56" si="8">+S22-F22</f>
        <v>2.0000000484287739E-2</v>
      </c>
      <c r="AG22" s="245">
        <f t="shared" ref="AG22:AG56" si="9">+T22-G22</f>
        <v>0</v>
      </c>
      <c r="AH22" s="245">
        <f t="shared" ref="AH22:AH56" si="10">+U22-H22</f>
        <v>2.0000000018626451E-2</v>
      </c>
      <c r="AI22" s="245">
        <f t="shared" ref="AI22:AI56" si="11">+V22-I22</f>
        <v>0</v>
      </c>
      <c r="AJ22" s="245">
        <f t="shared" ref="AJ22:AJ56" si="12">+W22-J22</f>
        <v>1.1052705114707351E-2</v>
      </c>
      <c r="AK22" s="252">
        <f t="shared" si="3"/>
        <v>6.1052666744217277E-2</v>
      </c>
    </row>
    <row r="23" spans="1:37">
      <c r="A23" s="149" t="s">
        <v>208</v>
      </c>
      <c r="B23" s="245">
        <f>ROUND('PART MES'!E$4*'CALCULO GARANTIA'!$Q23,2)</f>
        <v>139890405.94999999</v>
      </c>
      <c r="C23" s="245">
        <f>ROUND('PART MES'!E$5*'CALCULO GARANTIA'!$Q23,2)</f>
        <v>20666417.239999998</v>
      </c>
      <c r="D23" s="245">
        <f>ROUND(+'Art.14 Frac.III'!P22,2)</f>
        <v>3069956.64</v>
      </c>
      <c r="E23" s="245">
        <f>ROUND('PART MES'!E$7*'CALCULO GARANTIA'!$Q23,2)</f>
        <v>4277489.3899999997</v>
      </c>
      <c r="F23" s="245">
        <f>ROUND('PART MES'!E$8*'CALCULO GARANTIA'!$Q23,2)</f>
        <v>7288275.2000000002</v>
      </c>
      <c r="G23" s="245">
        <f>ROUND('PART MES'!E$9*'CALCULO GARANTIA'!$Q23,2)</f>
        <v>181005.65</v>
      </c>
      <c r="H23" s="245">
        <f>ROUND('PART MES'!E$10*'CALCULO GARANTIA'!$Q23,2)</f>
        <v>3073461.94</v>
      </c>
      <c r="I23" s="245">
        <f>ROUND('PART MES'!E$11*'CALCULO GARANTIA'!$Q23,2)</f>
        <v>835029.83</v>
      </c>
      <c r="J23" s="245">
        <f>+'PART MES'!E$12*'COEF Art 14 F II'!M24</f>
        <v>6601650.7156493738</v>
      </c>
      <c r="K23" s="227">
        <f t="shared" si="0"/>
        <v>185883692.55564934</v>
      </c>
      <c r="N23" s="149" t="s">
        <v>18</v>
      </c>
      <c r="O23" s="245">
        <v>139890405.95999998</v>
      </c>
      <c r="P23" s="245">
        <v>20666417.229999997</v>
      </c>
      <c r="Q23" s="245">
        <v>3069956.6599999997</v>
      </c>
      <c r="R23" s="245">
        <v>4277489.3999999994</v>
      </c>
      <c r="S23" s="245">
        <v>7288275.1599999983</v>
      </c>
      <c r="T23" s="245">
        <v>181005.63999999998</v>
      </c>
      <c r="U23" s="245">
        <v>3073461.9500000007</v>
      </c>
      <c r="V23" s="245">
        <v>835029.84000000032</v>
      </c>
      <c r="W23" s="245">
        <v>6601650.7110051904</v>
      </c>
      <c r="X23" s="252">
        <f t="shared" si="1"/>
        <v>185883692.55100513</v>
      </c>
      <c r="AA23" s="149" t="s">
        <v>18</v>
      </c>
      <c r="AB23" s="245">
        <f t="shared" si="4"/>
        <v>9.9999904632568359E-3</v>
      </c>
      <c r="AC23" s="245">
        <f t="shared" si="5"/>
        <v>-1.0000001639127731E-2</v>
      </c>
      <c r="AD23" s="245">
        <f t="shared" si="6"/>
        <v>1.9999999552965164E-2</v>
      </c>
      <c r="AE23" s="245">
        <f t="shared" si="7"/>
        <v>9.9999997764825821E-3</v>
      </c>
      <c r="AF23" s="245">
        <f t="shared" si="8"/>
        <v>-4.0000001899898052E-2</v>
      </c>
      <c r="AG23" s="245">
        <f t="shared" si="9"/>
        <v>-1.0000000009313226E-2</v>
      </c>
      <c r="AH23" s="245">
        <f t="shared" si="10"/>
        <v>1.0000000707805157E-2</v>
      </c>
      <c r="AI23" s="245">
        <f t="shared" si="11"/>
        <v>1.0000000358559191E-2</v>
      </c>
      <c r="AJ23" s="245">
        <f t="shared" si="12"/>
        <v>-4.6441834419965744E-3</v>
      </c>
      <c r="AK23" s="252">
        <f t="shared" si="3"/>
        <v>-4.6441961312666535E-3</v>
      </c>
    </row>
    <row r="24" spans="1:37">
      <c r="A24" s="149" t="s">
        <v>19</v>
      </c>
      <c r="B24" s="245">
        <f>ROUND('PART MES'!E$4*'CALCULO GARANTIA'!$Q24,2)</f>
        <v>21921102.199999999</v>
      </c>
      <c r="C24" s="245">
        <f>ROUND('PART MES'!E$5*'CALCULO GARANTIA'!$Q24,2)</f>
        <v>3238468.29</v>
      </c>
      <c r="D24" s="245">
        <f>ROUND(+'Art.14 Frac.III'!P23,2)</f>
        <v>1256930.6499999999</v>
      </c>
      <c r="E24" s="245">
        <f>ROUND('PART MES'!E$7*'CALCULO GARANTIA'!$Q24,2)</f>
        <v>670291.01</v>
      </c>
      <c r="F24" s="245">
        <f>ROUND('PART MES'!E$8*'CALCULO GARANTIA'!$Q24,2)</f>
        <v>1142087.08</v>
      </c>
      <c r="G24" s="245">
        <f>ROUND('PART MES'!E$9*'CALCULO GARANTIA'!$Q24,2)</f>
        <v>28363.94</v>
      </c>
      <c r="H24" s="245">
        <f>ROUND('PART MES'!E$10*'CALCULO GARANTIA'!$Q24,2)</f>
        <v>481617.54</v>
      </c>
      <c r="I24" s="245">
        <f>ROUND('PART MES'!E$11*'CALCULO GARANTIA'!$Q24,2)</f>
        <v>130850.82</v>
      </c>
      <c r="J24" s="245">
        <f>+'PART MES'!E$12*'COEF Art 14 F II'!M25</f>
        <v>242072.21300392359</v>
      </c>
      <c r="K24" s="227">
        <f t="shared" si="0"/>
        <v>29111783.74300392</v>
      </c>
      <c r="N24" s="149" t="s">
        <v>19</v>
      </c>
      <c r="O24" s="245">
        <v>21921102.199999996</v>
      </c>
      <c r="P24" s="245">
        <v>3238468.27</v>
      </c>
      <c r="Q24" s="245">
        <v>1256930.6400000001</v>
      </c>
      <c r="R24" s="245">
        <v>670291.01</v>
      </c>
      <c r="S24" s="245">
        <v>1142087.0899999999</v>
      </c>
      <c r="T24" s="245">
        <v>28363.940000000002</v>
      </c>
      <c r="U24" s="245">
        <v>481617.55</v>
      </c>
      <c r="V24" s="245">
        <v>130850.75999999997</v>
      </c>
      <c r="W24" s="245">
        <v>242072.20665810857</v>
      </c>
      <c r="X24" s="252">
        <f t="shared" si="1"/>
        <v>29111783.666658111</v>
      </c>
      <c r="AA24" s="149" t="s">
        <v>19</v>
      </c>
      <c r="AB24" s="245">
        <f t="shared" si="4"/>
        <v>0</v>
      </c>
      <c r="AC24" s="245">
        <f t="shared" si="5"/>
        <v>-2.0000000018626451E-2</v>
      </c>
      <c r="AD24" s="245">
        <f t="shared" si="6"/>
        <v>-9.9999997764825821E-3</v>
      </c>
      <c r="AE24" s="245">
        <f t="shared" si="7"/>
        <v>0</v>
      </c>
      <c r="AF24" s="245">
        <f t="shared" si="8"/>
        <v>9.9999997764825821E-3</v>
      </c>
      <c r="AG24" s="245">
        <f t="shared" si="9"/>
        <v>0</v>
      </c>
      <c r="AH24" s="245">
        <f t="shared" si="10"/>
        <v>1.0000000009313226E-2</v>
      </c>
      <c r="AI24" s="245">
        <f t="shared" si="11"/>
        <v>-6.0000000041327439E-2</v>
      </c>
      <c r="AJ24" s="245">
        <f t="shared" si="12"/>
        <v>-6.3458150252699852E-3</v>
      </c>
      <c r="AK24" s="252">
        <f t="shared" si="3"/>
        <v>-7.634581507591065E-2</v>
      </c>
    </row>
    <row r="25" spans="1:37">
      <c r="A25" s="149" t="s">
        <v>20</v>
      </c>
      <c r="B25" s="245">
        <f>ROUND('PART MES'!E$4*'CALCULO GARANTIA'!$Q25,2)</f>
        <v>299648492.94999999</v>
      </c>
      <c r="C25" s="245">
        <f>ROUND('PART MES'!E$5*'CALCULO GARANTIA'!$Q25,2)</f>
        <v>44267944.880000003</v>
      </c>
      <c r="D25" s="245">
        <f>ROUND(+'Art.14 Frac.III'!P24,2)</f>
        <v>4652195.03</v>
      </c>
      <c r="E25" s="245">
        <f>ROUND('PART MES'!E$7*'CALCULO GARANTIA'!$Q25,2)</f>
        <v>9162481.4399999995</v>
      </c>
      <c r="F25" s="245">
        <f>ROUND('PART MES'!E$8*'CALCULO GARANTIA'!$Q25,2)</f>
        <v>15611654.449999999</v>
      </c>
      <c r="G25" s="245">
        <f>ROUND('PART MES'!E$9*'CALCULO GARANTIA'!$Q25,2)</f>
        <v>387718.29</v>
      </c>
      <c r="H25" s="245">
        <f>ROUND('PART MES'!E$10*'CALCULO GARANTIA'!$Q25,2)</f>
        <v>6583426.75</v>
      </c>
      <c r="I25" s="245">
        <f>ROUND('PART MES'!E$11*'CALCULO GARANTIA'!$Q25,2)</f>
        <v>1788653.26</v>
      </c>
      <c r="J25" s="245">
        <f>+'PART MES'!E$12*'COEF Art 14 F II'!M26</f>
        <v>11235408.733277673</v>
      </c>
      <c r="K25" s="227">
        <f t="shared" si="0"/>
        <v>393337975.78327763</v>
      </c>
      <c r="N25" s="149" t="s">
        <v>20</v>
      </c>
      <c r="O25" s="245">
        <v>299648492.95999986</v>
      </c>
      <c r="P25" s="245">
        <v>44267944.899999991</v>
      </c>
      <c r="Q25" s="245">
        <v>4652195.0100000007</v>
      </c>
      <c r="R25" s="245">
        <v>9162481.4399999995</v>
      </c>
      <c r="S25" s="245">
        <v>15611654.469999999</v>
      </c>
      <c r="T25" s="245">
        <v>387718.30000000005</v>
      </c>
      <c r="U25" s="245">
        <v>6583426.7300000004</v>
      </c>
      <c r="V25" s="245">
        <v>1788653.2799999996</v>
      </c>
      <c r="W25" s="245">
        <v>11235408.729880594</v>
      </c>
      <c r="X25" s="252">
        <f t="shared" si="1"/>
        <v>393337975.81988043</v>
      </c>
      <c r="AA25" s="149" t="s">
        <v>20</v>
      </c>
      <c r="AB25" s="245">
        <f t="shared" si="4"/>
        <v>9.9998712539672852E-3</v>
      </c>
      <c r="AC25" s="245">
        <f t="shared" si="5"/>
        <v>1.9999988377094269E-2</v>
      </c>
      <c r="AD25" s="245">
        <f t="shared" si="6"/>
        <v>-1.9999999552965164E-2</v>
      </c>
      <c r="AE25" s="245">
        <f t="shared" si="7"/>
        <v>0</v>
      </c>
      <c r="AF25" s="245">
        <f t="shared" si="8"/>
        <v>1.9999999552965164E-2</v>
      </c>
      <c r="AG25" s="245">
        <f t="shared" si="9"/>
        <v>1.0000000067520887E-2</v>
      </c>
      <c r="AH25" s="245">
        <f t="shared" si="10"/>
        <v>-1.9999999552965164E-2</v>
      </c>
      <c r="AI25" s="245">
        <f t="shared" si="11"/>
        <v>1.9999999552965164E-2</v>
      </c>
      <c r="AJ25" s="245">
        <f t="shared" si="12"/>
        <v>-3.3970791846513748E-3</v>
      </c>
      <c r="AK25" s="252">
        <f t="shared" si="3"/>
        <v>3.6602780513931066E-2</v>
      </c>
    </row>
    <row r="26" spans="1:37">
      <c r="A26" s="149" t="s">
        <v>209</v>
      </c>
      <c r="B26" s="245">
        <f>ROUND('PART MES'!E$4*'CALCULO GARANTIA'!$Q26,2)</f>
        <v>44241967.469999999</v>
      </c>
      <c r="C26" s="245">
        <f>ROUND('PART MES'!E$5*'CALCULO GARANTIA'!$Q26,2)</f>
        <v>6535994.75</v>
      </c>
      <c r="D26" s="245">
        <f>ROUND(+'Art.14 Frac.III'!P25,2)</f>
        <v>3615186.16</v>
      </c>
      <c r="E26" s="245">
        <f>ROUND('PART MES'!E$7*'CALCULO GARANTIA'!$Q26,2)</f>
        <v>1352805.76</v>
      </c>
      <c r="F26" s="245">
        <f>ROUND('PART MES'!E$8*'CALCULO GARANTIA'!$Q26,2)</f>
        <v>2305001.7799999998</v>
      </c>
      <c r="G26" s="245">
        <f>ROUND('PART MES'!E$9*'CALCULO GARANTIA'!$Q26,2)</f>
        <v>57245.14</v>
      </c>
      <c r="H26" s="245">
        <f>ROUND('PART MES'!E$10*'CALCULO GARANTIA'!$Q26,2)</f>
        <v>972018.08</v>
      </c>
      <c r="I26" s="245">
        <f>ROUND('PART MES'!E$11*'CALCULO GARANTIA'!$Q26,2)</f>
        <v>264087.89</v>
      </c>
      <c r="J26" s="245">
        <f>+'PART MES'!E$12*'COEF Art 14 F II'!M27</f>
        <v>616677.23726253491</v>
      </c>
      <c r="K26" s="227">
        <f t="shared" si="0"/>
        <v>59960984.267262526</v>
      </c>
      <c r="N26" s="149" t="s">
        <v>21</v>
      </c>
      <c r="O26" s="245">
        <v>44241967.469999991</v>
      </c>
      <c r="P26" s="245">
        <v>6535994.7699999996</v>
      </c>
      <c r="Q26" s="245">
        <v>3615186.17</v>
      </c>
      <c r="R26" s="245">
        <v>1352805.76</v>
      </c>
      <c r="S26" s="245">
        <v>2305001.75</v>
      </c>
      <c r="T26" s="245">
        <v>57245.14</v>
      </c>
      <c r="U26" s="245">
        <v>972018.05999999994</v>
      </c>
      <c r="V26" s="245">
        <v>264087.84000000003</v>
      </c>
      <c r="W26" s="245">
        <v>616677.23115422949</v>
      </c>
      <c r="X26" s="252">
        <f t="shared" si="1"/>
        <v>59960984.191154227</v>
      </c>
      <c r="AA26" s="149" t="s">
        <v>21</v>
      </c>
      <c r="AB26" s="245">
        <f t="shared" si="4"/>
        <v>0</v>
      </c>
      <c r="AC26" s="245">
        <f t="shared" si="5"/>
        <v>1.9999999552965164E-2</v>
      </c>
      <c r="AD26" s="245">
        <f t="shared" si="6"/>
        <v>9.9999997764825821E-3</v>
      </c>
      <c r="AE26" s="245">
        <f t="shared" si="7"/>
        <v>0</v>
      </c>
      <c r="AF26" s="245">
        <f t="shared" si="8"/>
        <v>-2.9999999795109034E-2</v>
      </c>
      <c r="AG26" s="245">
        <f t="shared" si="9"/>
        <v>0</v>
      </c>
      <c r="AH26" s="245">
        <f t="shared" si="10"/>
        <v>-2.0000000018626451E-2</v>
      </c>
      <c r="AI26" s="245">
        <f t="shared" si="11"/>
        <v>-4.9999999988358468E-2</v>
      </c>
      <c r="AJ26" s="245">
        <f t="shared" si="12"/>
        <v>-6.1083054170012474E-3</v>
      </c>
      <c r="AK26" s="252">
        <f t="shared" si="3"/>
        <v>-7.6108305889647454E-2</v>
      </c>
    </row>
    <row r="27" spans="1:37">
      <c r="A27" s="149" t="s">
        <v>22</v>
      </c>
      <c r="B27" s="245">
        <f>ROUND('PART MES'!E$4*'CALCULO GARANTIA'!$Q27,2)</f>
        <v>7096430.4100000001</v>
      </c>
      <c r="C27" s="245">
        <f>ROUND('PART MES'!E$5*'CALCULO GARANTIA'!$Q27,2)</f>
        <v>1048376.34</v>
      </c>
      <c r="D27" s="245">
        <f>ROUND(+'Art.14 Frac.III'!P26,2)</f>
        <v>4737572.0599999996</v>
      </c>
      <c r="E27" s="245">
        <f>ROUND('PART MES'!E$7*'CALCULO GARANTIA'!$Q27,2)</f>
        <v>216990.62</v>
      </c>
      <c r="F27" s="245">
        <f>ROUND('PART MES'!E$8*'CALCULO GARANTIA'!$Q27,2)</f>
        <v>369723.27</v>
      </c>
      <c r="G27" s="245">
        <f>ROUND('PART MES'!E$9*'CALCULO GARANTIA'!$Q27,2)</f>
        <v>9182.14</v>
      </c>
      <c r="H27" s="245">
        <f>ROUND('PART MES'!E$10*'CALCULO GARANTIA'!$Q27,2)</f>
        <v>155912.10999999999</v>
      </c>
      <c r="I27" s="245">
        <f>ROUND('PART MES'!E$11*'CALCULO GARANTIA'!$Q27,2)</f>
        <v>42359.81</v>
      </c>
      <c r="J27" s="245">
        <f>+'PART MES'!E$12*'COEF Art 14 F II'!M28</f>
        <v>48410.78417589781</v>
      </c>
      <c r="K27" s="227">
        <f t="shared" si="0"/>
        <v>13724957.544175895</v>
      </c>
      <c r="N27" s="149" t="s">
        <v>22</v>
      </c>
      <c r="O27" s="245">
        <v>7096430.4199999999</v>
      </c>
      <c r="P27" s="245">
        <v>1048376.3099999999</v>
      </c>
      <c r="Q27" s="245">
        <v>4737572.08</v>
      </c>
      <c r="R27" s="245">
        <v>216990.62</v>
      </c>
      <c r="S27" s="245">
        <v>369723.23999999987</v>
      </c>
      <c r="T27" s="245">
        <v>9182.14</v>
      </c>
      <c r="U27" s="245">
        <v>155912.12000000002</v>
      </c>
      <c r="V27" s="245">
        <v>42359.760000000009</v>
      </c>
      <c r="W27" s="245">
        <v>48410.78879505377</v>
      </c>
      <c r="X27" s="252">
        <f t="shared" si="1"/>
        <v>13724957.478795052</v>
      </c>
      <c r="AA27" s="149" t="s">
        <v>22</v>
      </c>
      <c r="AB27" s="245">
        <f t="shared" si="4"/>
        <v>9.9999997764825821E-3</v>
      </c>
      <c r="AC27" s="245">
        <f t="shared" si="5"/>
        <v>-3.0000000027939677E-2</v>
      </c>
      <c r="AD27" s="245">
        <f t="shared" si="6"/>
        <v>2.0000000484287739E-2</v>
      </c>
      <c r="AE27" s="245">
        <f t="shared" si="7"/>
        <v>0</v>
      </c>
      <c r="AF27" s="245">
        <f t="shared" si="8"/>
        <v>-3.0000000144354999E-2</v>
      </c>
      <c r="AG27" s="245">
        <f t="shared" si="9"/>
        <v>0</v>
      </c>
      <c r="AH27" s="245">
        <f t="shared" si="10"/>
        <v>1.0000000038417056E-2</v>
      </c>
      <c r="AI27" s="245">
        <f t="shared" si="11"/>
        <v>-4.9999999988358468E-2</v>
      </c>
      <c r="AJ27" s="245">
        <f t="shared" si="12"/>
        <v>4.6191559595172293E-3</v>
      </c>
      <c r="AK27" s="252">
        <f t="shared" si="3"/>
        <v>-6.5380843901948538E-2</v>
      </c>
    </row>
    <row r="28" spans="1:37">
      <c r="A28" s="149" t="s">
        <v>23</v>
      </c>
      <c r="B28" s="245">
        <f>ROUND('PART MES'!E$4*'CALCULO GARANTIA'!$Q28,2)</f>
        <v>32863508.579999998</v>
      </c>
      <c r="C28" s="245">
        <f>ROUND('PART MES'!E$5*'CALCULO GARANTIA'!$Q28,2)</f>
        <v>4855021.87</v>
      </c>
      <c r="D28" s="245">
        <f>ROUND(+'Art.14 Frac.III'!P27,2)</f>
        <v>0</v>
      </c>
      <c r="E28" s="245">
        <f>ROUND('PART MES'!E$7*'CALCULO GARANTIA'!$Q28,2)</f>
        <v>1004881.7</v>
      </c>
      <c r="F28" s="245">
        <f>ROUND('PART MES'!E$8*'CALCULO GARANTIA'!$Q28,2)</f>
        <v>1712185.28</v>
      </c>
      <c r="G28" s="245">
        <f>ROUND('PART MES'!E$9*'CALCULO GARANTIA'!$Q28,2)</f>
        <v>42522.43</v>
      </c>
      <c r="H28" s="245">
        <f>ROUND('PART MES'!E$10*'CALCULO GARANTIA'!$Q28,2)</f>
        <v>722027.66</v>
      </c>
      <c r="I28" s="245">
        <f>ROUND('PART MES'!E$11*'CALCULO GARANTIA'!$Q28,2)</f>
        <v>196167.92</v>
      </c>
      <c r="J28" s="245">
        <f>+'PART MES'!E$12*'COEF Art 14 F II'!M29</f>
        <v>369839.32699829491</v>
      </c>
      <c r="K28" s="227">
        <f t="shared" si="0"/>
        <v>41766154.766998291</v>
      </c>
      <c r="N28" s="149" t="s">
        <v>23</v>
      </c>
      <c r="O28" s="245">
        <v>32863508.580000002</v>
      </c>
      <c r="P28" s="245">
        <v>4855021.8699999992</v>
      </c>
      <c r="Q28" s="245">
        <v>0</v>
      </c>
      <c r="R28" s="245">
        <v>1004881.7299999999</v>
      </c>
      <c r="S28" s="245">
        <v>1712185.2700000003</v>
      </c>
      <c r="T28" s="245">
        <v>42522.45</v>
      </c>
      <c r="U28" s="245">
        <v>722027.67</v>
      </c>
      <c r="V28" s="245">
        <v>196167.95999999996</v>
      </c>
      <c r="W28" s="245">
        <v>369839.32374425622</v>
      </c>
      <c r="X28" s="252">
        <f t="shared" si="1"/>
        <v>41766154.853744268</v>
      </c>
      <c r="AA28" s="149" t="s">
        <v>23</v>
      </c>
      <c r="AB28" s="245">
        <f t="shared" si="4"/>
        <v>0</v>
      </c>
      <c r="AC28" s="245">
        <f t="shared" si="5"/>
        <v>0</v>
      </c>
      <c r="AD28" s="245">
        <f t="shared" si="6"/>
        <v>0</v>
      </c>
      <c r="AE28" s="245">
        <f t="shared" si="7"/>
        <v>2.9999999911524355E-2</v>
      </c>
      <c r="AF28" s="245">
        <f t="shared" si="8"/>
        <v>-9.9999997764825821E-3</v>
      </c>
      <c r="AG28" s="245">
        <f t="shared" si="9"/>
        <v>1.9999999996798579E-2</v>
      </c>
      <c r="AH28" s="245">
        <f t="shared" si="10"/>
        <v>1.0000000009313226E-2</v>
      </c>
      <c r="AI28" s="245">
        <f t="shared" si="11"/>
        <v>3.9999999949941412E-2</v>
      </c>
      <c r="AJ28" s="245">
        <f t="shared" si="12"/>
        <v>-3.2540386891923845E-3</v>
      </c>
      <c r="AK28" s="252">
        <f t="shared" si="3"/>
        <v>8.6745961401902605E-2</v>
      </c>
    </row>
    <row r="29" spans="1:37">
      <c r="A29" s="149" t="s">
        <v>24</v>
      </c>
      <c r="B29" s="245">
        <f>ROUND('PART MES'!E$4*'CALCULO GARANTIA'!$Q29,2)</f>
        <v>32021360.149999999</v>
      </c>
      <c r="C29" s="245">
        <f>ROUND('PART MES'!E$5*'CALCULO GARANTIA'!$Q29,2)</f>
        <v>4730608.83</v>
      </c>
      <c r="D29" s="245">
        <f>ROUND(+'Art.14 Frac.III'!P28,2)</f>
        <v>775990.87</v>
      </c>
      <c r="E29" s="245">
        <f>ROUND('PART MES'!E$7*'CALCULO GARANTIA'!$Q29,2)</f>
        <v>979130.97</v>
      </c>
      <c r="F29" s="245">
        <f>ROUND('PART MES'!E$8*'CALCULO GARANTIA'!$Q29,2)</f>
        <v>1668309.44</v>
      </c>
      <c r="G29" s="245">
        <f>ROUND('PART MES'!E$9*'CALCULO GARANTIA'!$Q29,2)</f>
        <v>41432.769999999997</v>
      </c>
      <c r="H29" s="245">
        <f>ROUND('PART MES'!E$10*'CALCULO GARANTIA'!$Q29,2)</f>
        <v>703525.24</v>
      </c>
      <c r="I29" s="245">
        <f>ROUND('PART MES'!E$11*'CALCULO GARANTIA'!$Q29,2)</f>
        <v>191140.99</v>
      </c>
      <c r="J29" s="245">
        <f>+'PART MES'!E$12*'COEF Art 14 F II'!M30</f>
        <v>1799489.6025915002</v>
      </c>
      <c r="K29" s="227">
        <f t="shared" si="0"/>
        <v>42910988.862591498</v>
      </c>
      <c r="N29" s="149" t="s">
        <v>24</v>
      </c>
      <c r="O29" s="245">
        <v>32021360.150000002</v>
      </c>
      <c r="P29" s="245">
        <v>4730608.8600000003</v>
      </c>
      <c r="Q29" s="245">
        <v>775990.89000000013</v>
      </c>
      <c r="R29" s="245">
        <v>979130.96</v>
      </c>
      <c r="S29" s="245">
        <v>1668309.4500000004</v>
      </c>
      <c r="T29" s="245">
        <v>41432.769999999997</v>
      </c>
      <c r="U29" s="245">
        <v>703525.24999999988</v>
      </c>
      <c r="V29" s="245">
        <v>191141.04000000004</v>
      </c>
      <c r="W29" s="245">
        <v>1799489.5973345656</v>
      </c>
      <c r="X29" s="252">
        <f t="shared" si="1"/>
        <v>42910988.967334576</v>
      </c>
      <c r="AA29" s="149" t="s">
        <v>24</v>
      </c>
      <c r="AB29" s="245">
        <f t="shared" si="4"/>
        <v>0</v>
      </c>
      <c r="AC29" s="245">
        <f t="shared" si="5"/>
        <v>3.0000000260770321E-2</v>
      </c>
      <c r="AD29" s="245">
        <f t="shared" si="6"/>
        <v>2.0000000135041773E-2</v>
      </c>
      <c r="AE29" s="245">
        <f t="shared" si="7"/>
        <v>-1.0000000009313226E-2</v>
      </c>
      <c r="AF29" s="245">
        <f t="shared" si="8"/>
        <v>1.0000000474974513E-2</v>
      </c>
      <c r="AG29" s="245">
        <f t="shared" si="9"/>
        <v>0</v>
      </c>
      <c r="AH29" s="245">
        <f t="shared" si="10"/>
        <v>9.9999998928979039E-3</v>
      </c>
      <c r="AI29" s="245">
        <f t="shared" si="11"/>
        <v>5.0000000046566129E-2</v>
      </c>
      <c r="AJ29" s="245">
        <f t="shared" si="12"/>
        <v>-5.2569345571100712E-3</v>
      </c>
      <c r="AK29" s="252">
        <f t="shared" si="3"/>
        <v>0.10474306624382734</v>
      </c>
    </row>
    <row r="30" spans="1:37">
      <c r="A30" s="149" t="s">
        <v>25</v>
      </c>
      <c r="B30" s="245">
        <f>ROUND('PART MES'!E$4*'CALCULO GARANTIA'!$Q30,2)</f>
        <v>512493199.20999998</v>
      </c>
      <c r="C30" s="245">
        <f>ROUND('PART MES'!E$5*'CALCULO GARANTIA'!$Q30,2)</f>
        <v>75712113.450000003</v>
      </c>
      <c r="D30" s="245">
        <f>ROUND(+'Art.14 Frac.III'!P29,2)</f>
        <v>6840575.9299999997</v>
      </c>
      <c r="E30" s="245">
        <f>ROUND('PART MES'!E$7*'CALCULO GARANTIA'!$Q30,2)</f>
        <v>15670726</v>
      </c>
      <c r="F30" s="245">
        <f>ROUND('PART MES'!E$8*'CALCULO GARANTIA'!$Q30,2)</f>
        <v>26700840.890000001</v>
      </c>
      <c r="G30" s="245">
        <f>ROUND('PART MES'!E$9*'CALCULO GARANTIA'!$Q30,2)</f>
        <v>663120.26</v>
      </c>
      <c r="H30" s="245">
        <f>ROUND('PART MES'!E$10*'CALCULO GARANTIA'!$Q30,2)</f>
        <v>11259731.029999999</v>
      </c>
      <c r="I30" s="245">
        <f>ROUND('PART MES'!E$11*'CALCULO GARANTIA'!$Q30,2)</f>
        <v>3059159.82</v>
      </c>
      <c r="J30" s="245">
        <f>+'PART MES'!E$12*'COEF Art 14 F II'!M31</f>
        <v>17969018.124273125</v>
      </c>
      <c r="K30" s="227">
        <f t="shared" si="0"/>
        <v>670368484.7142731</v>
      </c>
      <c r="N30" s="149" t="s">
        <v>25</v>
      </c>
      <c r="O30" s="245">
        <v>512493199.22000003</v>
      </c>
      <c r="P30" s="245">
        <v>75712113.450000003</v>
      </c>
      <c r="Q30" s="245">
        <v>6840575.9099999992</v>
      </c>
      <c r="R30" s="245">
        <v>15670725.99</v>
      </c>
      <c r="S30" s="245">
        <v>26700840.909999996</v>
      </c>
      <c r="T30" s="245">
        <v>663120.25000000012</v>
      </c>
      <c r="U30" s="245">
        <v>11259731.030000001</v>
      </c>
      <c r="V30" s="245">
        <v>3059159.8800000008</v>
      </c>
      <c r="W30" s="245">
        <v>17969018.126312576</v>
      </c>
      <c r="X30" s="252">
        <f t="shared" si="1"/>
        <v>670368484.7663126</v>
      </c>
      <c r="AA30" s="149" t="s">
        <v>25</v>
      </c>
      <c r="AB30" s="245">
        <f t="shared" si="4"/>
        <v>1.0000050067901611E-2</v>
      </c>
      <c r="AC30" s="245">
        <f t="shared" si="5"/>
        <v>0</v>
      </c>
      <c r="AD30" s="245">
        <f t="shared" si="6"/>
        <v>-2.0000000484287739E-2</v>
      </c>
      <c r="AE30" s="245">
        <f t="shared" si="7"/>
        <v>-9.9999997764825821E-3</v>
      </c>
      <c r="AF30" s="245">
        <f t="shared" si="8"/>
        <v>1.9999995827674866E-2</v>
      </c>
      <c r="AG30" s="245">
        <f t="shared" si="9"/>
        <v>-9.9999998928979039E-3</v>
      </c>
      <c r="AH30" s="245">
        <f t="shared" si="10"/>
        <v>0</v>
      </c>
      <c r="AI30" s="245">
        <f t="shared" si="11"/>
        <v>6.0000000987201929E-2</v>
      </c>
      <c r="AJ30" s="245">
        <f t="shared" si="12"/>
        <v>2.0394511520862579E-3</v>
      </c>
      <c r="AK30" s="252">
        <f t="shared" si="3"/>
        <v>5.2039497881196439E-2</v>
      </c>
    </row>
    <row r="31" spans="1:37">
      <c r="A31" s="149" t="s">
        <v>210</v>
      </c>
      <c r="B31" s="245">
        <f>ROUND('PART MES'!E$4*'CALCULO GARANTIA'!$Q31,2)</f>
        <v>13196489.470000001</v>
      </c>
      <c r="C31" s="245">
        <f>ROUND('PART MES'!E$5*'CALCULO GARANTIA'!$Q31,2)</f>
        <v>1949555.84</v>
      </c>
      <c r="D31" s="245">
        <f>ROUND(+'Art.14 Frac.III'!P30,2)</f>
        <v>3464737.26</v>
      </c>
      <c r="E31" s="245">
        <f>ROUND('PART MES'!E$7*'CALCULO GARANTIA'!$Q31,2)</f>
        <v>403514.76</v>
      </c>
      <c r="F31" s="245">
        <f>ROUND('PART MES'!E$8*'CALCULO GARANTIA'!$Q31,2)</f>
        <v>687535.69</v>
      </c>
      <c r="G31" s="245">
        <f>ROUND('PART MES'!E$9*'CALCULO GARANTIA'!$Q31,2)</f>
        <v>17075.07</v>
      </c>
      <c r="H31" s="245">
        <f>ROUND('PART MES'!E$10*'CALCULO GARANTIA'!$Q31,2)</f>
        <v>289933.45</v>
      </c>
      <c r="I31" s="245">
        <f>ROUND('PART MES'!E$11*'CALCULO GARANTIA'!$Q31,2)</f>
        <v>78772.11</v>
      </c>
      <c r="J31" s="245">
        <f>+'PART MES'!E$12*'COEF Art 14 F II'!M32</f>
        <v>102777.61151831129</v>
      </c>
      <c r="K31" s="227">
        <f t="shared" si="0"/>
        <v>20190391.261518314</v>
      </c>
      <c r="N31" s="149" t="s">
        <v>26</v>
      </c>
      <c r="O31" s="245">
        <v>13196489.440000005</v>
      </c>
      <c r="P31" s="245">
        <v>1949555.8299999996</v>
      </c>
      <c r="Q31" s="245">
        <v>3464737.24</v>
      </c>
      <c r="R31" s="245">
        <v>403514.75000000006</v>
      </c>
      <c r="S31" s="245">
        <v>687535.7200000002</v>
      </c>
      <c r="T31" s="245">
        <v>17075.079999999998</v>
      </c>
      <c r="U31" s="245">
        <v>289933.42</v>
      </c>
      <c r="V31" s="245">
        <v>78772.079999999973</v>
      </c>
      <c r="W31" s="245">
        <v>102777.60181100205</v>
      </c>
      <c r="X31" s="252">
        <f t="shared" si="1"/>
        <v>20190391.161811005</v>
      </c>
      <c r="AA31" s="149" t="s">
        <v>26</v>
      </c>
      <c r="AB31" s="245">
        <f t="shared" si="4"/>
        <v>-2.9999995604157448E-2</v>
      </c>
      <c r="AC31" s="245">
        <f t="shared" si="5"/>
        <v>-1.0000000474974513E-2</v>
      </c>
      <c r="AD31" s="245">
        <f t="shared" si="6"/>
        <v>-1.9999999552965164E-2</v>
      </c>
      <c r="AE31" s="245">
        <f t="shared" si="7"/>
        <v>-9.9999999511055648E-3</v>
      </c>
      <c r="AF31" s="245">
        <f t="shared" si="8"/>
        <v>3.0000000260770321E-2</v>
      </c>
      <c r="AG31" s="245">
        <f t="shared" si="9"/>
        <v>9.9999999983992893E-3</v>
      </c>
      <c r="AH31" s="245">
        <f t="shared" si="10"/>
        <v>-3.0000000027939677E-2</v>
      </c>
      <c r="AI31" s="245">
        <f t="shared" si="11"/>
        <v>-3.0000000027939677E-2</v>
      </c>
      <c r="AJ31" s="245">
        <f t="shared" si="12"/>
        <v>-9.7073092329083011E-3</v>
      </c>
      <c r="AK31" s="252">
        <f t="shared" si="3"/>
        <v>-9.9707304612820735E-2</v>
      </c>
    </row>
    <row r="32" spans="1:37">
      <c r="A32" s="149" t="s">
        <v>27</v>
      </c>
      <c r="B32" s="245">
        <f>ROUND('PART MES'!E$4*'CALCULO GARANTIA'!$Q32,2)</f>
        <v>22715715.960000001</v>
      </c>
      <c r="C32" s="245">
        <f>ROUND('PART MES'!E$5*'CALCULO GARANTIA'!$Q32,2)</f>
        <v>3355858.9</v>
      </c>
      <c r="D32" s="245">
        <f>ROUND(+'Art.14 Frac.III'!P31,2)</f>
        <v>1156957.3999999999</v>
      </c>
      <c r="E32" s="245">
        <f>ROUND('PART MES'!E$7*'CALCULO GARANTIA'!$Q32,2)</f>
        <v>694588.26</v>
      </c>
      <c r="F32" s="245">
        <f>ROUND('PART MES'!E$8*'CALCULO GARANTIA'!$Q32,2)</f>
        <v>1183486.3700000001</v>
      </c>
      <c r="G32" s="245">
        <f>ROUND('PART MES'!E$9*'CALCULO GARANTIA'!$Q32,2)</f>
        <v>29392.1</v>
      </c>
      <c r="H32" s="245">
        <f>ROUND('PART MES'!E$10*'CALCULO GARANTIA'!$Q32,2)</f>
        <v>499075.6</v>
      </c>
      <c r="I32" s="245">
        <f>ROUND('PART MES'!E$11*'CALCULO GARANTIA'!$Q32,2)</f>
        <v>135594.01</v>
      </c>
      <c r="J32" s="245">
        <f>+'PART MES'!E$12*'COEF Art 14 F II'!M33</f>
        <v>451653.57195492979</v>
      </c>
      <c r="K32" s="227">
        <f t="shared" si="0"/>
        <v>30222322.171954934</v>
      </c>
      <c r="N32" s="149" t="s">
        <v>27</v>
      </c>
      <c r="O32" s="245">
        <v>22715715.980000004</v>
      </c>
      <c r="P32" s="245">
        <v>3355858.8999999994</v>
      </c>
      <c r="Q32" s="245">
        <v>1156957.3800000001</v>
      </c>
      <c r="R32" s="245">
        <v>694588.26</v>
      </c>
      <c r="S32" s="245">
        <v>1183486.3899999999</v>
      </c>
      <c r="T32" s="245">
        <v>29392.100000000002</v>
      </c>
      <c r="U32" s="245">
        <v>499075.59</v>
      </c>
      <c r="V32" s="245">
        <v>135594</v>
      </c>
      <c r="W32" s="245">
        <v>451653.57171654538</v>
      </c>
      <c r="X32" s="252">
        <f t="shared" si="1"/>
        <v>30222322.171716552</v>
      </c>
      <c r="AA32" s="149" t="s">
        <v>27</v>
      </c>
      <c r="AB32" s="245">
        <f t="shared" si="4"/>
        <v>2.0000003278255463E-2</v>
      </c>
      <c r="AC32" s="245">
        <f t="shared" si="5"/>
        <v>0</v>
      </c>
      <c r="AD32" s="245">
        <f t="shared" si="6"/>
        <v>-1.9999999785795808E-2</v>
      </c>
      <c r="AE32" s="245">
        <f t="shared" si="7"/>
        <v>0</v>
      </c>
      <c r="AF32" s="245">
        <f t="shared" si="8"/>
        <v>1.9999999785795808E-2</v>
      </c>
      <c r="AG32" s="245">
        <f t="shared" si="9"/>
        <v>0</v>
      </c>
      <c r="AH32" s="245">
        <f t="shared" si="10"/>
        <v>-9.9999999511055648E-3</v>
      </c>
      <c r="AI32" s="245">
        <f t="shared" si="11"/>
        <v>-1.0000000009313226E-2</v>
      </c>
      <c r="AJ32" s="245">
        <f t="shared" si="12"/>
        <v>-2.3838441120460629E-4</v>
      </c>
      <c r="AK32" s="252">
        <f t="shared" si="3"/>
        <v>-2.3838109336793423E-4</v>
      </c>
    </row>
    <row r="33" spans="1:37">
      <c r="A33" s="149" t="s">
        <v>28</v>
      </c>
      <c r="B33" s="245">
        <f>ROUND('PART MES'!E$4*'CALCULO GARANTIA'!$Q33,2)</f>
        <v>13037091.58</v>
      </c>
      <c r="C33" s="245">
        <f>ROUND('PART MES'!E$5*'CALCULO GARANTIA'!$Q33,2)</f>
        <v>1926007.52</v>
      </c>
      <c r="D33" s="245">
        <f>ROUND(+'Art.14 Frac.III'!P32,2)</f>
        <v>3169172.25</v>
      </c>
      <c r="E33" s="245">
        <f>ROUND('PART MES'!E$7*'CALCULO GARANTIA'!$Q33,2)</f>
        <v>398640.78</v>
      </c>
      <c r="F33" s="245">
        <f>ROUND('PART MES'!E$8*'CALCULO GARANTIA'!$Q33,2)</f>
        <v>679231.08</v>
      </c>
      <c r="G33" s="245">
        <f>ROUND('PART MES'!E$9*'CALCULO GARANTIA'!$Q33,2)</f>
        <v>16868.830000000002</v>
      </c>
      <c r="H33" s="245">
        <f>ROUND('PART MES'!E$10*'CALCULO GARANTIA'!$Q33,2)</f>
        <v>286431.40000000002</v>
      </c>
      <c r="I33" s="245">
        <f>ROUND('PART MES'!E$11*'CALCULO GARANTIA'!$Q33,2)</f>
        <v>77820.639999999999</v>
      </c>
      <c r="J33" s="245">
        <f>+'PART MES'!E$12*'COEF Art 14 F II'!M34</f>
        <v>131042.45678149551</v>
      </c>
      <c r="K33" s="227">
        <f t="shared" si="0"/>
        <v>19722306.536781494</v>
      </c>
      <c r="N33" s="149" t="s">
        <v>28</v>
      </c>
      <c r="O33" s="245">
        <v>13037091.569999998</v>
      </c>
      <c r="P33" s="245">
        <v>1926007.5099999998</v>
      </c>
      <c r="Q33" s="245">
        <v>3169172.2800000003</v>
      </c>
      <c r="R33" s="245">
        <v>398640.79</v>
      </c>
      <c r="S33" s="245">
        <v>679231.07999999973</v>
      </c>
      <c r="T33" s="245">
        <v>16868.82</v>
      </c>
      <c r="U33" s="245">
        <v>286431.42</v>
      </c>
      <c r="V33" s="245">
        <v>77820.60000000002</v>
      </c>
      <c r="W33" s="245">
        <v>131042.45347148088</v>
      </c>
      <c r="X33" s="252">
        <f t="shared" si="1"/>
        <v>19722306.523471482</v>
      </c>
      <c r="AA33" s="149" t="s">
        <v>28</v>
      </c>
      <c r="AB33" s="245">
        <f t="shared" si="4"/>
        <v>-1.0000001639127731E-2</v>
      </c>
      <c r="AC33" s="245">
        <f t="shared" si="5"/>
        <v>-1.0000000242143869E-2</v>
      </c>
      <c r="AD33" s="245">
        <f t="shared" si="6"/>
        <v>3.0000000260770321E-2</v>
      </c>
      <c r="AE33" s="245">
        <f t="shared" si="7"/>
        <v>9.9999999511055648E-3</v>
      </c>
      <c r="AF33" s="245">
        <f t="shared" si="8"/>
        <v>0</v>
      </c>
      <c r="AG33" s="245">
        <f t="shared" si="9"/>
        <v>-1.0000000002037268E-2</v>
      </c>
      <c r="AH33" s="245">
        <f t="shared" si="10"/>
        <v>1.9999999960418791E-2</v>
      </c>
      <c r="AI33" s="245">
        <f t="shared" si="11"/>
        <v>-3.9999999979045242E-2</v>
      </c>
      <c r="AJ33" s="245">
        <f t="shared" si="12"/>
        <v>-3.3100146247306839E-3</v>
      </c>
      <c r="AK33" s="252">
        <f t="shared" si="3"/>
        <v>-1.3310016314790118E-2</v>
      </c>
    </row>
    <row r="34" spans="1:37">
      <c r="A34" s="149" t="s">
        <v>29</v>
      </c>
      <c r="B34" s="245">
        <f>ROUND('PART MES'!E$4*'CALCULO GARANTIA'!$Q34,2)</f>
        <v>18185303.390000001</v>
      </c>
      <c r="C34" s="245">
        <f>ROUND('PART MES'!E$5*'CALCULO GARANTIA'!$Q34,2)</f>
        <v>2686567.85</v>
      </c>
      <c r="D34" s="245">
        <f>ROUND(+'Art.14 Frac.III'!P33,2)</f>
        <v>2925859.6</v>
      </c>
      <c r="E34" s="245">
        <f>ROUND('PART MES'!E$7*'CALCULO GARANTIA'!$Q34,2)</f>
        <v>556059.88</v>
      </c>
      <c r="F34" s="245">
        <f>ROUND('PART MES'!E$8*'CALCULO GARANTIA'!$Q34,2)</f>
        <v>947452.36</v>
      </c>
      <c r="G34" s="245">
        <f>ROUND('PART MES'!E$9*'CALCULO GARANTIA'!$Q34,2)</f>
        <v>23530.15</v>
      </c>
      <c r="H34" s="245">
        <f>ROUND('PART MES'!E$10*'CALCULO GARANTIA'!$Q34,2)</f>
        <v>399540.18</v>
      </c>
      <c r="I34" s="245">
        <f>ROUND('PART MES'!E$11*'CALCULO GARANTIA'!$Q34,2)</f>
        <v>108551.2</v>
      </c>
      <c r="J34" s="245">
        <f>+'PART MES'!E$12*'COEF Art 14 F II'!M35</f>
        <v>257653.42499983712</v>
      </c>
      <c r="K34" s="227">
        <f t="shared" si="0"/>
        <v>26090518.034999836</v>
      </c>
      <c r="N34" s="149" t="s">
        <v>29</v>
      </c>
      <c r="O34" s="245">
        <v>18185303.399999999</v>
      </c>
      <c r="P34" s="245">
        <v>2686567.8599999994</v>
      </c>
      <c r="Q34" s="245">
        <v>2925859.5999999996</v>
      </c>
      <c r="R34" s="245">
        <v>556059.87999999989</v>
      </c>
      <c r="S34" s="245">
        <v>947452.34000000008</v>
      </c>
      <c r="T34" s="245">
        <v>23530.159999999996</v>
      </c>
      <c r="U34" s="245">
        <v>399540.18</v>
      </c>
      <c r="V34" s="245">
        <v>108551.15999999997</v>
      </c>
      <c r="W34" s="245">
        <v>257653.41533840387</v>
      </c>
      <c r="X34" s="252">
        <f t="shared" si="1"/>
        <v>26090517.995338403</v>
      </c>
      <c r="AA34" s="149" t="s">
        <v>29</v>
      </c>
      <c r="AB34" s="245">
        <f t="shared" si="4"/>
        <v>9.9999979138374329E-3</v>
      </c>
      <c r="AC34" s="245">
        <f t="shared" si="5"/>
        <v>9.9999993108212948E-3</v>
      </c>
      <c r="AD34" s="245">
        <f t="shared" si="6"/>
        <v>0</v>
      </c>
      <c r="AE34" s="245">
        <f t="shared" si="7"/>
        <v>0</v>
      </c>
      <c r="AF34" s="245">
        <f t="shared" si="8"/>
        <v>-1.999999990221113E-2</v>
      </c>
      <c r="AG34" s="245">
        <f t="shared" si="9"/>
        <v>9.9999999947613105E-3</v>
      </c>
      <c r="AH34" s="245">
        <f t="shared" si="10"/>
        <v>0</v>
      </c>
      <c r="AI34" s="245">
        <f t="shared" si="11"/>
        <v>-4.0000000022700988E-2</v>
      </c>
      <c r="AJ34" s="245">
        <f t="shared" si="12"/>
        <v>-9.6614332578610629E-3</v>
      </c>
      <c r="AK34" s="252">
        <f t="shared" si="3"/>
        <v>-3.9661435963353142E-2</v>
      </c>
    </row>
    <row r="35" spans="1:37">
      <c r="A35" s="149" t="s">
        <v>30</v>
      </c>
      <c r="B35" s="245">
        <f>ROUND('PART MES'!E$4*'CALCULO GARANTIA'!$Q35,2)</f>
        <v>17116674.120000001</v>
      </c>
      <c r="C35" s="245">
        <f>ROUND('PART MES'!E$5*'CALCULO GARANTIA'!$Q35,2)</f>
        <v>2528696.14</v>
      </c>
      <c r="D35" s="245">
        <f>ROUND(+'Art.14 Frac.III'!P34,2)</f>
        <v>1045059.61</v>
      </c>
      <c r="E35" s="245">
        <f>ROUND('PART MES'!E$7*'CALCULO GARANTIA'!$Q35,2)</f>
        <v>523383.94</v>
      </c>
      <c r="F35" s="245">
        <f>ROUND('PART MES'!E$8*'CALCULO GARANTIA'!$Q35,2)</f>
        <v>891776.89</v>
      </c>
      <c r="G35" s="245">
        <f>ROUND('PART MES'!E$9*'CALCULO GARANTIA'!$Q35,2)</f>
        <v>22147.439999999999</v>
      </c>
      <c r="H35" s="245">
        <f>ROUND('PART MES'!E$10*'CALCULO GARANTIA'!$Q35,2)</f>
        <v>376061.86</v>
      </c>
      <c r="I35" s="245">
        <f>ROUND('PART MES'!E$11*'CALCULO GARANTIA'!$Q35,2)</f>
        <v>102172.36</v>
      </c>
      <c r="J35" s="245">
        <f>+'PART MES'!E$12*'COEF Art 14 F II'!M36</f>
        <v>203233.15225116053</v>
      </c>
      <c r="K35" s="227">
        <f t="shared" si="0"/>
        <v>22809205.512251165</v>
      </c>
      <c r="N35" s="149" t="s">
        <v>30</v>
      </c>
      <c r="O35" s="245">
        <v>17116674.110000003</v>
      </c>
      <c r="P35" s="245">
        <v>2528696.1400000006</v>
      </c>
      <c r="Q35" s="245">
        <v>1045059.5699999989</v>
      </c>
      <c r="R35" s="245">
        <v>523383.95</v>
      </c>
      <c r="S35" s="245">
        <v>891776.89000000013</v>
      </c>
      <c r="T35" s="245">
        <v>22147.440000000002</v>
      </c>
      <c r="U35" s="245">
        <v>376061.87</v>
      </c>
      <c r="V35" s="245">
        <v>102172.32</v>
      </c>
      <c r="W35" s="245">
        <v>203233.15381791364</v>
      </c>
      <c r="X35" s="252">
        <f t="shared" si="1"/>
        <v>22809205.443817921</v>
      </c>
      <c r="AA35" s="149" t="s">
        <v>30</v>
      </c>
      <c r="AB35" s="245">
        <f t="shared" si="4"/>
        <v>-9.9999979138374329E-3</v>
      </c>
      <c r="AC35" s="245">
        <f t="shared" si="5"/>
        <v>0</v>
      </c>
      <c r="AD35" s="245">
        <f t="shared" si="6"/>
        <v>-4.0000001084990799E-2</v>
      </c>
      <c r="AE35" s="245">
        <f t="shared" si="7"/>
        <v>1.0000000009313226E-2</v>
      </c>
      <c r="AF35" s="245">
        <f t="shared" si="8"/>
        <v>0</v>
      </c>
      <c r="AG35" s="245">
        <f t="shared" si="9"/>
        <v>0</v>
      </c>
      <c r="AH35" s="245">
        <f t="shared" si="10"/>
        <v>1.0000000009313226E-2</v>
      </c>
      <c r="AI35" s="245">
        <f t="shared" si="11"/>
        <v>-3.9999999993597157E-2</v>
      </c>
      <c r="AJ35" s="245">
        <f t="shared" si="12"/>
        <v>1.5667531115468591E-3</v>
      </c>
      <c r="AK35" s="252">
        <f t="shared" si="3"/>
        <v>-6.8433245862252079E-2</v>
      </c>
    </row>
    <row r="36" spans="1:37">
      <c r="A36" s="149" t="s">
        <v>211</v>
      </c>
      <c r="B36" s="245">
        <f>ROUND('PART MES'!E$4*'CALCULO GARANTIA'!$Q36,2)</f>
        <v>159003898.19</v>
      </c>
      <c r="C36" s="245">
        <f>ROUND('PART MES'!E$5*'CALCULO GARANTIA'!$Q36,2)</f>
        <v>23490109.129999999</v>
      </c>
      <c r="D36" s="245">
        <f>ROUND(+'Art.14 Frac.III'!P35,2)</f>
        <v>0</v>
      </c>
      <c r="E36" s="245">
        <f>ROUND('PART MES'!E$7*'CALCULO GARANTIA'!$Q36,2)</f>
        <v>4861930.9000000004</v>
      </c>
      <c r="F36" s="245">
        <f>ROUND('PART MES'!E$8*'CALCULO GARANTIA'!$Q36,2)</f>
        <v>8284086.0999999996</v>
      </c>
      <c r="G36" s="245">
        <f>ROUND('PART MES'!E$9*'CALCULO GARANTIA'!$Q36,2)</f>
        <v>205736.79</v>
      </c>
      <c r="H36" s="245">
        <f>ROUND('PART MES'!E$10*'CALCULO GARANTIA'!$Q36,2)</f>
        <v>3493394.9</v>
      </c>
      <c r="I36" s="245">
        <f>ROUND('PART MES'!E$11*'CALCULO GARANTIA'!$Q36,2)</f>
        <v>949121.54</v>
      </c>
      <c r="J36" s="245">
        <f>+'PART MES'!E$12*'COEF Art 14 F II'!M37</f>
        <v>8696054.0724696442</v>
      </c>
      <c r="K36" s="227">
        <f t="shared" si="0"/>
        <v>208984331.62246963</v>
      </c>
      <c r="N36" s="149" t="s">
        <v>31</v>
      </c>
      <c r="O36" s="245">
        <v>159003898.21000001</v>
      </c>
      <c r="P36" s="245">
        <v>23490109.129999999</v>
      </c>
      <c r="Q36" s="245">
        <v>0</v>
      </c>
      <c r="R36" s="245">
        <v>4861930.8899999997</v>
      </c>
      <c r="S36" s="245">
        <v>8284086.0999999996</v>
      </c>
      <c r="T36" s="245">
        <v>205736.78</v>
      </c>
      <c r="U36" s="245">
        <v>3493394.91</v>
      </c>
      <c r="V36" s="245">
        <v>949121.5199999999</v>
      </c>
      <c r="W36" s="245">
        <v>8696054.0802834891</v>
      </c>
      <c r="X36" s="252">
        <f t="shared" si="1"/>
        <v>208984331.62028348</v>
      </c>
      <c r="AA36" s="149" t="s">
        <v>31</v>
      </c>
      <c r="AB36" s="245">
        <f t="shared" si="4"/>
        <v>2.000001072883606E-2</v>
      </c>
      <c r="AC36" s="245">
        <f t="shared" si="5"/>
        <v>0</v>
      </c>
      <c r="AD36" s="245">
        <f t="shared" si="6"/>
        <v>0</v>
      </c>
      <c r="AE36" s="245">
        <f t="shared" si="7"/>
        <v>-1.0000000707805157E-2</v>
      </c>
      <c r="AF36" s="245">
        <f t="shared" si="8"/>
        <v>0</v>
      </c>
      <c r="AG36" s="245">
        <f t="shared" si="9"/>
        <v>-1.0000000009313226E-2</v>
      </c>
      <c r="AH36" s="245">
        <f t="shared" si="10"/>
        <v>1.0000000242143869E-2</v>
      </c>
      <c r="AI36" s="245">
        <f t="shared" si="11"/>
        <v>-2.0000000135041773E-2</v>
      </c>
      <c r="AJ36" s="245">
        <f t="shared" si="12"/>
        <v>7.8138448297977448E-3</v>
      </c>
      <c r="AK36" s="252">
        <f t="shared" si="3"/>
        <v>-2.1861450513824821E-3</v>
      </c>
    </row>
    <row r="37" spans="1:37">
      <c r="A37" s="149" t="s">
        <v>32</v>
      </c>
      <c r="B37" s="245">
        <f>ROUND('PART MES'!E$4*'CALCULO GARANTIA'!$Q37,2)</f>
        <v>30986252.43</v>
      </c>
      <c r="C37" s="245">
        <f>ROUND('PART MES'!E$5*'CALCULO GARANTIA'!$Q37,2)</f>
        <v>4577689.3499999996</v>
      </c>
      <c r="D37" s="245">
        <f>ROUND(+'Art.14 Frac.III'!P36,2)</f>
        <v>3382200.84</v>
      </c>
      <c r="E37" s="245">
        <f>ROUND('PART MES'!E$7*'CALCULO GARANTIA'!$Q37,2)</f>
        <v>947480.03</v>
      </c>
      <c r="F37" s="245">
        <f>ROUND('PART MES'!E$8*'CALCULO GARANTIA'!$Q37,2)</f>
        <v>1614380.44</v>
      </c>
      <c r="G37" s="245">
        <f>ROUND('PART MES'!E$9*'CALCULO GARANTIA'!$Q37,2)</f>
        <v>40093.43</v>
      </c>
      <c r="H37" s="245">
        <f>ROUND('PART MES'!E$10*'CALCULO GARANTIA'!$Q37,2)</f>
        <v>680783.41</v>
      </c>
      <c r="I37" s="245">
        <f>ROUND('PART MES'!E$11*'CALCULO GARANTIA'!$Q37,2)</f>
        <v>184962.26</v>
      </c>
      <c r="J37" s="245">
        <f>+'PART MES'!E$12*'COEF Art 14 F II'!M38</f>
        <v>319315.30211450753</v>
      </c>
      <c r="K37" s="227">
        <f t="shared" si="0"/>
        <v>42733157.492114507</v>
      </c>
      <c r="N37" s="149" t="s">
        <v>32</v>
      </c>
      <c r="O37" s="245">
        <v>30986252.440000001</v>
      </c>
      <c r="P37" s="245">
        <v>4577689.37</v>
      </c>
      <c r="Q37" s="245">
        <v>3382200.84</v>
      </c>
      <c r="R37" s="245">
        <v>947480.03999999992</v>
      </c>
      <c r="S37" s="245">
        <v>1614380.4300000004</v>
      </c>
      <c r="T37" s="245">
        <v>40093.439999999995</v>
      </c>
      <c r="U37" s="245">
        <v>680783.39999999991</v>
      </c>
      <c r="V37" s="245">
        <v>184962.24</v>
      </c>
      <c r="W37" s="245">
        <v>319315.29545889108</v>
      </c>
      <c r="X37" s="252">
        <f t="shared" si="1"/>
        <v>42733157.495458893</v>
      </c>
      <c r="AA37" s="149" t="s">
        <v>32</v>
      </c>
      <c r="AB37" s="245">
        <f t="shared" si="4"/>
        <v>1.0000001639127731E-2</v>
      </c>
      <c r="AC37" s="245">
        <f t="shared" si="5"/>
        <v>2.0000000484287739E-2</v>
      </c>
      <c r="AD37" s="245">
        <f t="shared" si="6"/>
        <v>0</v>
      </c>
      <c r="AE37" s="245">
        <f t="shared" si="7"/>
        <v>9.9999998928979039E-3</v>
      </c>
      <c r="AF37" s="245">
        <f t="shared" si="8"/>
        <v>-9.9999995436519384E-3</v>
      </c>
      <c r="AG37" s="245">
        <f t="shared" si="9"/>
        <v>9.9999999947613105E-3</v>
      </c>
      <c r="AH37" s="245">
        <f t="shared" si="10"/>
        <v>-1.0000000125728548E-2</v>
      </c>
      <c r="AI37" s="245">
        <f t="shared" si="11"/>
        <v>-2.0000000018626451E-2</v>
      </c>
      <c r="AJ37" s="245">
        <f t="shared" si="12"/>
        <v>-6.6556164529174566E-3</v>
      </c>
      <c r="AK37" s="252">
        <f t="shared" si="3"/>
        <v>3.3443858701502904E-3</v>
      </c>
    </row>
    <row r="38" spans="1:37">
      <c r="A38" s="149" t="s">
        <v>33</v>
      </c>
      <c r="B38" s="245">
        <f>ROUND('PART MES'!E$4*'CALCULO GARANTIA'!$Q38,2)</f>
        <v>113608223.20999999</v>
      </c>
      <c r="C38" s="245">
        <f>ROUND('PART MES'!E$5*'CALCULO GARANTIA'!$Q38,2)</f>
        <v>16783673.809999999</v>
      </c>
      <c r="D38" s="245">
        <f>ROUND(+'Art.14 Frac.III'!P37,2)</f>
        <v>2253703.91</v>
      </c>
      <c r="E38" s="245">
        <f>ROUND('PART MES'!E$7*'CALCULO GARANTIA'!$Q38,2)</f>
        <v>3473847.73</v>
      </c>
      <c r="F38" s="245">
        <f>ROUND('PART MES'!E$8*'CALCULO GARANTIA'!$Q38,2)</f>
        <v>5918976.2800000003</v>
      </c>
      <c r="G38" s="245">
        <f>ROUND('PART MES'!E$9*'CALCULO GARANTIA'!$Q38,2)</f>
        <v>146998.85999999999</v>
      </c>
      <c r="H38" s="245">
        <f>ROUND('PART MES'!E$10*'CALCULO GARANTIA'!$Q38,2)</f>
        <v>2496029.29</v>
      </c>
      <c r="I38" s="245">
        <f>ROUND('PART MES'!E$11*'CALCULO GARANTIA'!$Q38,2)</f>
        <v>678146.97</v>
      </c>
      <c r="J38" s="245">
        <f>+'PART MES'!E$12*'COEF Art 14 F II'!M39</f>
        <v>2500773.379392297</v>
      </c>
      <c r="K38" s="227">
        <f t="shared" ref="K38:K56" si="13">SUM(B38:J38)</f>
        <v>147860373.4393923</v>
      </c>
      <c r="N38" s="149" t="s">
        <v>33</v>
      </c>
      <c r="O38" s="245">
        <v>113608223.21000001</v>
      </c>
      <c r="P38" s="245">
        <v>16783673.820000004</v>
      </c>
      <c r="Q38" s="245">
        <v>2253703.92</v>
      </c>
      <c r="R38" s="245">
        <v>3473847.7300000004</v>
      </c>
      <c r="S38" s="245">
        <v>5918976.2900000019</v>
      </c>
      <c r="T38" s="245">
        <v>146998.86000000002</v>
      </c>
      <c r="U38" s="245">
        <v>2496029.2800000003</v>
      </c>
      <c r="V38" s="245">
        <v>678147</v>
      </c>
      <c r="W38" s="245">
        <v>2500773.3714308655</v>
      </c>
      <c r="X38" s="252">
        <f t="shared" si="1"/>
        <v>147860373.48143089</v>
      </c>
      <c r="AA38" s="149" t="s">
        <v>33</v>
      </c>
      <c r="AB38" s="245">
        <f t="shared" si="4"/>
        <v>0</v>
      </c>
      <c r="AC38" s="245">
        <f t="shared" si="5"/>
        <v>1.000000536441803E-2</v>
      </c>
      <c r="AD38" s="245">
        <f t="shared" si="6"/>
        <v>9.9999997764825821E-3</v>
      </c>
      <c r="AE38" s="245">
        <f t="shared" si="7"/>
        <v>0</v>
      </c>
      <c r="AF38" s="245">
        <f t="shared" si="8"/>
        <v>1.0000001639127731E-2</v>
      </c>
      <c r="AG38" s="245">
        <f t="shared" si="9"/>
        <v>0</v>
      </c>
      <c r="AH38" s="245">
        <f t="shared" si="10"/>
        <v>-9.9999997764825821E-3</v>
      </c>
      <c r="AI38" s="245">
        <f t="shared" si="11"/>
        <v>3.0000000027939677E-2</v>
      </c>
      <c r="AJ38" s="245">
        <f t="shared" si="12"/>
        <v>-7.9614315181970596E-3</v>
      </c>
      <c r="AK38" s="252">
        <f t="shared" si="3"/>
        <v>4.2038575513288379E-2</v>
      </c>
    </row>
    <row r="39" spans="1:37">
      <c r="A39" s="149" t="s">
        <v>212</v>
      </c>
      <c r="B39" s="245">
        <f>ROUND('PART MES'!E$4*'CALCULO GARANTIA'!$Q39,2)</f>
        <v>24240160.690000001</v>
      </c>
      <c r="C39" s="245">
        <f>ROUND('PART MES'!E$5*'CALCULO GARANTIA'!$Q39,2)</f>
        <v>3581069.56</v>
      </c>
      <c r="D39" s="245">
        <f>ROUND(+'Art.14 Frac.III'!P38,2)</f>
        <v>11195650.4</v>
      </c>
      <c r="E39" s="245">
        <f>ROUND('PART MES'!E$7*'CALCULO GARANTIA'!$Q39,2)</f>
        <v>741201.87</v>
      </c>
      <c r="F39" s="245">
        <f>ROUND('PART MES'!E$8*'CALCULO GARANTIA'!$Q39,2)</f>
        <v>1262909.78</v>
      </c>
      <c r="G39" s="245">
        <f>ROUND('PART MES'!E$9*'CALCULO GARANTIA'!$Q39,2)</f>
        <v>31364.6</v>
      </c>
      <c r="H39" s="245">
        <f>ROUND('PART MES'!E$10*'CALCULO GARANTIA'!$Q39,2)</f>
        <v>532568.41</v>
      </c>
      <c r="I39" s="245">
        <f>ROUND('PART MES'!E$11*'CALCULO GARANTIA'!$Q39,2)</f>
        <v>144693.68</v>
      </c>
      <c r="J39" s="245">
        <f>+'PART MES'!E$12*'COEF Art 14 F II'!M40</f>
        <v>311911.34849532222</v>
      </c>
      <c r="K39" s="227">
        <f t="shared" si="13"/>
        <v>42041530.338495314</v>
      </c>
      <c r="N39" s="149" t="s">
        <v>34</v>
      </c>
      <c r="O39" s="245">
        <v>24240160.689999998</v>
      </c>
      <c r="P39" s="245">
        <v>3581069.57</v>
      </c>
      <c r="Q39" s="245">
        <v>11195651.59</v>
      </c>
      <c r="R39" s="245">
        <v>741201.86</v>
      </c>
      <c r="S39" s="245">
        <v>1262909.7900000003</v>
      </c>
      <c r="T39" s="245">
        <v>31364.6</v>
      </c>
      <c r="U39" s="245">
        <v>532568.40999999992</v>
      </c>
      <c r="V39" s="245">
        <v>144693.72</v>
      </c>
      <c r="W39" s="245">
        <v>311911.35567946656</v>
      </c>
      <c r="X39" s="252">
        <f t="shared" si="1"/>
        <v>42041531.585679457</v>
      </c>
      <c r="AA39" s="149" t="s">
        <v>34</v>
      </c>
      <c r="AB39" s="245">
        <f t="shared" si="4"/>
        <v>0</v>
      </c>
      <c r="AC39" s="245">
        <f t="shared" si="5"/>
        <v>9.9999997764825821E-3</v>
      </c>
      <c r="AD39" s="245">
        <f t="shared" si="6"/>
        <v>1.1899999994784594</v>
      </c>
      <c r="AE39" s="245">
        <f t="shared" si="7"/>
        <v>-1.0000000009313226E-2</v>
      </c>
      <c r="AF39" s="245">
        <f t="shared" si="8"/>
        <v>1.0000000242143869E-2</v>
      </c>
      <c r="AG39" s="245">
        <f t="shared" si="9"/>
        <v>0</v>
      </c>
      <c r="AH39" s="245">
        <f t="shared" si="10"/>
        <v>0</v>
      </c>
      <c r="AI39" s="245">
        <f t="shared" si="11"/>
        <v>4.0000000008149073E-2</v>
      </c>
      <c r="AJ39" s="245">
        <f t="shared" si="12"/>
        <v>7.1841443423181772E-3</v>
      </c>
      <c r="AK39" s="252">
        <f t="shared" si="3"/>
        <v>1.2471841438382398</v>
      </c>
    </row>
    <row r="40" spans="1:37">
      <c r="A40" s="149" t="s">
        <v>35</v>
      </c>
      <c r="B40" s="245">
        <f>ROUND('PART MES'!E$4*'CALCULO GARANTIA'!$Q40,2)</f>
        <v>23299723.010000002</v>
      </c>
      <c r="C40" s="245">
        <f>ROUND('PART MES'!E$5*'CALCULO GARANTIA'!$Q40,2)</f>
        <v>3442135.96</v>
      </c>
      <c r="D40" s="245">
        <f>ROUND(+'Art.14 Frac.III'!P39,2)</f>
        <v>2839393.89</v>
      </c>
      <c r="E40" s="245">
        <f>ROUND('PART MES'!E$7*'CALCULO GARANTIA'!$Q40,2)</f>
        <v>712445.7</v>
      </c>
      <c r="F40" s="245">
        <f>ROUND('PART MES'!E$8*'CALCULO GARANTIA'!$Q40,2)</f>
        <v>1213913.08</v>
      </c>
      <c r="G40" s="245">
        <f>ROUND('PART MES'!E$9*'CALCULO GARANTIA'!$Q40,2)</f>
        <v>30147.75</v>
      </c>
      <c r="H40" s="245">
        <f>ROUND('PART MES'!E$10*'CALCULO GARANTIA'!$Q40,2)</f>
        <v>511906.53</v>
      </c>
      <c r="I40" s="245">
        <f>ROUND('PART MES'!E$11*'CALCULO GARANTIA'!$Q40,2)</f>
        <v>139080.04</v>
      </c>
      <c r="J40" s="245">
        <f>+'PART MES'!E$12*'COEF Art 14 F II'!M41</f>
        <v>197856.6421638008</v>
      </c>
      <c r="K40" s="227">
        <f t="shared" si="13"/>
        <v>32386602.602163803</v>
      </c>
      <c r="N40" s="149" t="s">
        <v>35</v>
      </c>
      <c r="O40" s="245">
        <v>23299723.010000002</v>
      </c>
      <c r="P40" s="245">
        <v>3442135.9600000004</v>
      </c>
      <c r="Q40" s="245">
        <v>2839393.9</v>
      </c>
      <c r="R40" s="245">
        <v>712445.71</v>
      </c>
      <c r="S40" s="245">
        <v>1213913.06</v>
      </c>
      <c r="T40" s="245">
        <v>30147.759999999998</v>
      </c>
      <c r="U40" s="245">
        <v>511906.51999999996</v>
      </c>
      <c r="V40" s="245">
        <v>139080</v>
      </c>
      <c r="W40" s="245">
        <v>197856.65195417759</v>
      </c>
      <c r="X40" s="252">
        <f t="shared" si="1"/>
        <v>32386602.57195418</v>
      </c>
      <c r="AA40" s="149" t="s">
        <v>35</v>
      </c>
      <c r="AB40" s="245">
        <f t="shared" si="4"/>
        <v>0</v>
      </c>
      <c r="AC40" s="245">
        <f t="shared" si="5"/>
        <v>0</v>
      </c>
      <c r="AD40" s="245">
        <f t="shared" si="6"/>
        <v>9.9999997764825821E-3</v>
      </c>
      <c r="AE40" s="245">
        <f t="shared" si="7"/>
        <v>1.0000000009313226E-2</v>
      </c>
      <c r="AF40" s="245">
        <f t="shared" si="8"/>
        <v>-2.0000000018626451E-2</v>
      </c>
      <c r="AG40" s="245">
        <f t="shared" si="9"/>
        <v>9.9999999983992893E-3</v>
      </c>
      <c r="AH40" s="245">
        <f t="shared" si="10"/>
        <v>-1.0000000067520887E-2</v>
      </c>
      <c r="AI40" s="245">
        <f t="shared" si="11"/>
        <v>-4.0000000008149073E-2</v>
      </c>
      <c r="AJ40" s="245">
        <f t="shared" si="12"/>
        <v>9.790376789169386E-3</v>
      </c>
      <c r="AK40" s="252">
        <f t="shared" si="3"/>
        <v>-3.0209623520931927E-2</v>
      </c>
    </row>
    <row r="41" spans="1:37">
      <c r="A41" s="149" t="s">
        <v>36</v>
      </c>
      <c r="B41" s="245">
        <f>ROUND('PART MES'!E$4*'CALCULO GARANTIA'!$Q41,2)</f>
        <v>24464426.350000001</v>
      </c>
      <c r="C41" s="245">
        <f>ROUND('PART MES'!E$5*'CALCULO GARANTIA'!$Q41,2)</f>
        <v>3614200.98</v>
      </c>
      <c r="D41" s="245">
        <f>ROUND(+'Art.14 Frac.III'!P40,2)</f>
        <v>521851.91</v>
      </c>
      <c r="E41" s="245">
        <f>ROUND('PART MES'!E$7*'CALCULO GARANTIA'!$Q41,2)</f>
        <v>748059.34</v>
      </c>
      <c r="F41" s="245">
        <f>ROUND('PART MES'!E$8*'CALCULO GARANTIA'!$Q41,2)</f>
        <v>1274594</v>
      </c>
      <c r="G41" s="245">
        <f>ROUND('PART MES'!E$9*'CALCULO GARANTIA'!$Q41,2)</f>
        <v>31654.77</v>
      </c>
      <c r="H41" s="245">
        <f>ROUND('PART MES'!E$10*'CALCULO GARANTIA'!$Q41,2)</f>
        <v>537495.64</v>
      </c>
      <c r="I41" s="245">
        <f>ROUND('PART MES'!E$11*'CALCULO GARANTIA'!$Q41,2)</f>
        <v>146032.35999999999</v>
      </c>
      <c r="J41" s="245">
        <f>+'PART MES'!E$12*'COEF Art 14 F II'!M42</f>
        <v>326928.23653287732</v>
      </c>
      <c r="K41" s="227">
        <f t="shared" si="13"/>
        <v>31665243.58653288</v>
      </c>
      <c r="N41" s="149" t="s">
        <v>36</v>
      </c>
      <c r="O41" s="245">
        <v>24464426.359999999</v>
      </c>
      <c r="P41" s="245">
        <v>3614200.9799999995</v>
      </c>
      <c r="Q41" s="245">
        <v>521851.92000000039</v>
      </c>
      <c r="R41" s="245">
        <v>748059.33</v>
      </c>
      <c r="S41" s="245">
        <v>1274594.0100000002</v>
      </c>
      <c r="T41" s="245">
        <v>31654.780000000002</v>
      </c>
      <c r="U41" s="245">
        <v>537495.63</v>
      </c>
      <c r="V41" s="245">
        <v>146032.32000000001</v>
      </c>
      <c r="W41" s="245">
        <v>326928.24262487446</v>
      </c>
      <c r="X41" s="252">
        <f t="shared" si="1"/>
        <v>31665243.572624877</v>
      </c>
      <c r="AA41" s="149" t="s">
        <v>36</v>
      </c>
      <c r="AB41" s="245">
        <f t="shared" si="4"/>
        <v>9.9999979138374329E-3</v>
      </c>
      <c r="AC41" s="245">
        <f t="shared" si="5"/>
        <v>0</v>
      </c>
      <c r="AD41" s="245">
        <f t="shared" si="6"/>
        <v>1.0000000416766852E-2</v>
      </c>
      <c r="AE41" s="245">
        <f t="shared" si="7"/>
        <v>-1.0000000009313226E-2</v>
      </c>
      <c r="AF41" s="245">
        <f t="shared" si="8"/>
        <v>1.0000000242143869E-2</v>
      </c>
      <c r="AG41" s="245">
        <f t="shared" si="9"/>
        <v>1.0000000002037268E-2</v>
      </c>
      <c r="AH41" s="245">
        <f t="shared" si="10"/>
        <v>-1.0000000009313226E-2</v>
      </c>
      <c r="AI41" s="245">
        <f t="shared" si="11"/>
        <v>-3.9999999979045242E-2</v>
      </c>
      <c r="AJ41" s="245">
        <f t="shared" si="12"/>
        <v>6.0919971438124776E-3</v>
      </c>
      <c r="AK41" s="252">
        <f t="shared" si="3"/>
        <v>-1.3908004279073793E-2</v>
      </c>
    </row>
    <row r="42" spans="1:37">
      <c r="A42" s="149" t="s">
        <v>37</v>
      </c>
      <c r="B42" s="245">
        <f>ROUND('PART MES'!E$4*'CALCULO GARANTIA'!$Q42,2)</f>
        <v>34459204.969999999</v>
      </c>
      <c r="C42" s="245">
        <f>ROUND('PART MES'!E$5*'CALCULO GARANTIA'!$Q42,2)</f>
        <v>5090758.75</v>
      </c>
      <c r="D42" s="245">
        <f>ROUND(+'Art.14 Frac.III'!P41,2)</f>
        <v>4005318.25</v>
      </c>
      <c r="E42" s="245">
        <f>ROUND('PART MES'!E$7*'CALCULO GARANTIA'!$Q42,2)</f>
        <v>1053674</v>
      </c>
      <c r="F42" s="245">
        <f>ROUND('PART MES'!E$8*'CALCULO GARANTIA'!$Q42,2)</f>
        <v>1795320.9</v>
      </c>
      <c r="G42" s="245">
        <f>ROUND('PART MES'!E$9*'CALCULO GARANTIA'!$Q42,2)</f>
        <v>44587.12</v>
      </c>
      <c r="H42" s="245">
        <f>ROUND('PART MES'!E$10*'CALCULO GARANTIA'!$Q42,2)</f>
        <v>757085.91</v>
      </c>
      <c r="I42" s="245">
        <f>ROUND('PART MES'!E$11*'CALCULO GARANTIA'!$Q42,2)</f>
        <v>205692.91</v>
      </c>
      <c r="J42" s="245">
        <f>+'PART MES'!E$12*'COEF Art 14 F II'!M43</f>
        <v>340855.5600714836</v>
      </c>
      <c r="K42" s="227">
        <f t="shared" si="13"/>
        <v>47752498.370071471</v>
      </c>
      <c r="N42" s="149" t="s">
        <v>37</v>
      </c>
      <c r="O42" s="245">
        <v>34459204.980000004</v>
      </c>
      <c r="P42" s="245">
        <v>5090758.7399999993</v>
      </c>
      <c r="Q42" s="245">
        <v>4005318.2800000007</v>
      </c>
      <c r="R42" s="245">
        <v>1053674</v>
      </c>
      <c r="S42" s="245">
        <v>1795320.8699999996</v>
      </c>
      <c r="T42" s="245">
        <v>44587.119999999995</v>
      </c>
      <c r="U42" s="245">
        <v>757085.92</v>
      </c>
      <c r="V42" s="245">
        <v>205692.96000000008</v>
      </c>
      <c r="W42" s="245">
        <v>340855.56291276892</v>
      </c>
      <c r="X42" s="252">
        <f t="shared" si="1"/>
        <v>47752498.432912774</v>
      </c>
      <c r="AA42" s="149" t="s">
        <v>37</v>
      </c>
      <c r="AB42" s="245">
        <f t="shared" si="4"/>
        <v>1.000000536441803E-2</v>
      </c>
      <c r="AC42" s="245">
        <f t="shared" si="5"/>
        <v>-1.0000000707805157E-2</v>
      </c>
      <c r="AD42" s="245">
        <f t="shared" si="6"/>
        <v>3.0000000726431608E-2</v>
      </c>
      <c r="AE42" s="245">
        <f t="shared" si="7"/>
        <v>0</v>
      </c>
      <c r="AF42" s="245">
        <f t="shared" si="8"/>
        <v>-3.0000000260770321E-2</v>
      </c>
      <c r="AG42" s="245">
        <f t="shared" si="9"/>
        <v>0</v>
      </c>
      <c r="AH42" s="245">
        <f t="shared" si="10"/>
        <v>1.0000000009313226E-2</v>
      </c>
      <c r="AI42" s="245">
        <f t="shared" si="11"/>
        <v>5.0000000075669959E-2</v>
      </c>
      <c r="AJ42" s="245">
        <f t="shared" si="12"/>
        <v>2.8412853134796023E-3</v>
      </c>
      <c r="AK42" s="252">
        <f t="shared" si="3"/>
        <v>6.2841290520736948E-2</v>
      </c>
    </row>
    <row r="43" spans="1:37">
      <c r="A43" s="149" t="s">
        <v>38</v>
      </c>
      <c r="B43" s="245">
        <f>ROUND('PART MES'!E$4*'CALCULO GARANTIA'!$Q43,2)</f>
        <v>80844476.989999995</v>
      </c>
      <c r="C43" s="245">
        <f>ROUND('PART MES'!E$5*'CALCULO GARANTIA'!$Q43,2)</f>
        <v>11943390.119999999</v>
      </c>
      <c r="D43" s="245">
        <f>ROUND(+'Art.14 Frac.III'!P42,2)</f>
        <v>1724685.36</v>
      </c>
      <c r="E43" s="245">
        <f>ROUND('PART MES'!E$7*'CALCULO GARANTIA'!$Q43,2)</f>
        <v>2472016.5099999998</v>
      </c>
      <c r="F43" s="245">
        <f>ROUND('PART MES'!E$8*'CALCULO GARANTIA'!$Q43,2)</f>
        <v>4211988.6100000003</v>
      </c>
      <c r="G43" s="245">
        <f>ROUND('PART MES'!E$9*'CALCULO GARANTIA'!$Q43,2)</f>
        <v>104605.51</v>
      </c>
      <c r="H43" s="245">
        <f>ROUND('PART MES'!E$10*'CALCULO GARANTIA'!$Q43,2)</f>
        <v>1776193.46</v>
      </c>
      <c r="I43" s="245">
        <f>ROUND('PART MES'!E$11*'CALCULO GARANTIA'!$Q43,2)</f>
        <v>482574.55</v>
      </c>
      <c r="J43" s="245">
        <f>+'PART MES'!E$12*'COEF Art 14 F II'!M44</f>
        <v>1857390.5987276642</v>
      </c>
      <c r="K43" s="227">
        <f t="shared" si="13"/>
        <v>105417321.70872766</v>
      </c>
      <c r="N43" s="149" t="s">
        <v>38</v>
      </c>
      <c r="O43" s="245">
        <v>80844476.999999985</v>
      </c>
      <c r="P43" s="245">
        <v>11943390.130000003</v>
      </c>
      <c r="Q43" s="245">
        <v>1724685.3599999996</v>
      </c>
      <c r="R43" s="245">
        <v>2472016.5099999998</v>
      </c>
      <c r="S43" s="245">
        <v>4211988.58</v>
      </c>
      <c r="T43" s="245">
        <v>104605.51999999999</v>
      </c>
      <c r="U43" s="245">
        <v>1776193.46</v>
      </c>
      <c r="V43" s="245">
        <v>482574.59999999992</v>
      </c>
      <c r="W43" s="245">
        <v>1857390.5947775885</v>
      </c>
      <c r="X43" s="252">
        <f t="shared" si="1"/>
        <v>105417321.75477757</v>
      </c>
      <c r="AA43" s="149" t="s">
        <v>38</v>
      </c>
      <c r="AB43" s="245">
        <f t="shared" si="4"/>
        <v>9.9999904632568359E-3</v>
      </c>
      <c r="AC43" s="245">
        <f t="shared" si="5"/>
        <v>1.0000003501772881E-2</v>
      </c>
      <c r="AD43" s="245">
        <f t="shared" si="6"/>
        <v>0</v>
      </c>
      <c r="AE43" s="245">
        <f t="shared" si="7"/>
        <v>0</v>
      </c>
      <c r="AF43" s="245">
        <f t="shared" si="8"/>
        <v>-3.0000000260770321E-2</v>
      </c>
      <c r="AG43" s="245">
        <f t="shared" si="9"/>
        <v>9.9999999947613105E-3</v>
      </c>
      <c r="AH43" s="245">
        <f t="shared" si="10"/>
        <v>0</v>
      </c>
      <c r="AI43" s="245">
        <f t="shared" si="11"/>
        <v>4.9999999930150807E-2</v>
      </c>
      <c r="AJ43" s="245">
        <f t="shared" si="12"/>
        <v>-3.9500757120549679E-3</v>
      </c>
      <c r="AK43" s="252">
        <f t="shared" si="3"/>
        <v>4.6049917917116545E-2</v>
      </c>
    </row>
    <row r="44" spans="1:37">
      <c r="A44" s="149" t="s">
        <v>39</v>
      </c>
      <c r="B44" s="245">
        <f>ROUND('PART MES'!E$4*'CALCULO GARANTIA'!$Q44,2)+0.01</f>
        <v>1673093482.5799999</v>
      </c>
      <c r="C44" s="245">
        <f>ROUND('PART MES'!E$5*'CALCULO GARANTIA'!$Q44,2)-0.05</f>
        <v>247170974.61999997</v>
      </c>
      <c r="D44" s="245">
        <f>ROUND(+'Art.14 Frac.III'!P43,2)</f>
        <v>0</v>
      </c>
      <c r="E44" s="245">
        <f>ROUND('PART MES'!E$7*'CALCULO GARANTIA'!$Q44,2)</f>
        <v>51158902.350000001</v>
      </c>
      <c r="F44" s="245">
        <f>ROUND('PART MES'!E$8*'CALCULO GARANTIA'!$Q44,2)</f>
        <v>87167991.590000004</v>
      </c>
      <c r="G44" s="245">
        <f>ROUND('PART MES'!E$9*'CALCULO GARANTIA'!$Q44,2)</f>
        <v>2164833</v>
      </c>
      <c r="H44" s="245">
        <f>ROUND('PART MES'!E$10*'CALCULO GARANTIA'!$Q44,2)</f>
        <v>36758697.740000002</v>
      </c>
      <c r="I44" s="245">
        <f>ROUND('PART MES'!E$11*'CALCULO GARANTIA'!$Q44,2)</f>
        <v>9986982.0099999998</v>
      </c>
      <c r="J44" s="245">
        <f>+'PART MES'!E$12*'COEF Art 14 F II'!M45</f>
        <v>34938126.590388201</v>
      </c>
      <c r="K44" s="227">
        <f t="shared" si="13"/>
        <v>2142439990.4803879</v>
      </c>
      <c r="N44" s="149" t="s">
        <v>39</v>
      </c>
      <c r="O44" s="245">
        <v>1673093482.5799999</v>
      </c>
      <c r="P44" s="245">
        <v>247170974.37999997</v>
      </c>
      <c r="Q44" s="245">
        <v>0</v>
      </c>
      <c r="R44" s="245">
        <v>51158902.350000001</v>
      </c>
      <c r="S44" s="245">
        <v>87167991.600000009</v>
      </c>
      <c r="T44" s="245">
        <v>2164833.0099999998</v>
      </c>
      <c r="U44" s="245">
        <v>36758697.729999997</v>
      </c>
      <c r="V44" s="245">
        <v>9986982.0399999991</v>
      </c>
      <c r="W44" s="245">
        <v>34938126.570083991</v>
      </c>
      <c r="X44" s="252">
        <f t="shared" si="1"/>
        <v>2142439990.2600837</v>
      </c>
      <c r="AA44" s="149" t="s">
        <v>39</v>
      </c>
      <c r="AB44" s="245">
        <f t="shared" si="4"/>
        <v>0</v>
      </c>
      <c r="AC44" s="245">
        <f t="shared" si="5"/>
        <v>-0.24000000953674316</v>
      </c>
      <c r="AD44" s="245">
        <f t="shared" si="6"/>
        <v>0</v>
      </c>
      <c r="AE44" s="245">
        <f t="shared" si="7"/>
        <v>0</v>
      </c>
      <c r="AF44" s="245">
        <f t="shared" si="8"/>
        <v>1.000000536441803E-2</v>
      </c>
      <c r="AG44" s="245">
        <f t="shared" si="9"/>
        <v>9.9999997764825821E-3</v>
      </c>
      <c r="AH44" s="245">
        <f t="shared" si="10"/>
        <v>-1.000000536441803E-2</v>
      </c>
      <c r="AI44" s="245">
        <f t="shared" si="11"/>
        <v>2.9999999329447746E-2</v>
      </c>
      <c r="AJ44" s="245">
        <f t="shared" si="12"/>
        <v>-2.0304210484027863E-2</v>
      </c>
      <c r="AK44" s="252">
        <f t="shared" si="3"/>
        <v>-0.2203042209148407</v>
      </c>
    </row>
    <row r="45" spans="1:37">
      <c r="A45" s="149" t="s">
        <v>213</v>
      </c>
      <c r="B45" s="245">
        <f>ROUND('PART MES'!E$4*'CALCULO GARANTIA'!$Q45,2)</f>
        <v>8640862.3900000006</v>
      </c>
      <c r="C45" s="245">
        <f>ROUND('PART MES'!E$5*'CALCULO GARANTIA'!$Q45,2)</f>
        <v>1276539.78</v>
      </c>
      <c r="D45" s="245">
        <f>ROUND(+'Art.14 Frac.III'!P44,2)</f>
        <v>1934801.29</v>
      </c>
      <c r="E45" s="245">
        <f>ROUND('PART MES'!E$7*'CALCULO GARANTIA'!$Q45,2)</f>
        <v>264215.38</v>
      </c>
      <c r="F45" s="245">
        <f>ROUND('PART MES'!E$8*'CALCULO GARANTIA'!$Q45,2)</f>
        <v>450188.01</v>
      </c>
      <c r="G45" s="245">
        <f>ROUND('PART MES'!E$9*'CALCULO GARANTIA'!$Q45,2)</f>
        <v>11180.5</v>
      </c>
      <c r="H45" s="245">
        <f>ROUND('PART MES'!E$10*'CALCULO GARANTIA'!$Q45,2)</f>
        <v>189844.05</v>
      </c>
      <c r="I45" s="245">
        <f>ROUND('PART MES'!E$11*'CALCULO GARANTIA'!$Q45,2)</f>
        <v>51578.79</v>
      </c>
      <c r="J45" s="245">
        <f>+'PART MES'!E$12*'COEF Art 14 F II'!M46</f>
        <v>69061.580180675883</v>
      </c>
      <c r="K45" s="227">
        <f t="shared" si="13"/>
        <v>12888271.770180678</v>
      </c>
      <c r="N45" s="149" t="s">
        <v>40</v>
      </c>
      <c r="O45" s="245">
        <v>8640862.4000000004</v>
      </c>
      <c r="P45" s="245">
        <v>1276539.7600000002</v>
      </c>
      <c r="Q45" s="245">
        <v>1934801.3000000003</v>
      </c>
      <c r="R45" s="245">
        <v>264215.39</v>
      </c>
      <c r="S45" s="245">
        <v>450188.04</v>
      </c>
      <c r="T45" s="245">
        <v>11180.5</v>
      </c>
      <c r="U45" s="245">
        <v>189844.06</v>
      </c>
      <c r="V45" s="245">
        <v>51578.75999999998</v>
      </c>
      <c r="W45" s="245">
        <v>69061.588183513508</v>
      </c>
      <c r="X45" s="252">
        <f t="shared" si="1"/>
        <v>12888271.798183514</v>
      </c>
      <c r="AA45" s="149" t="s">
        <v>40</v>
      </c>
      <c r="AB45" s="245">
        <f t="shared" si="4"/>
        <v>9.9999997764825821E-3</v>
      </c>
      <c r="AC45" s="245">
        <f t="shared" si="5"/>
        <v>-1.9999999785795808E-2</v>
      </c>
      <c r="AD45" s="245">
        <f t="shared" si="6"/>
        <v>1.0000000242143869E-2</v>
      </c>
      <c r="AE45" s="245">
        <f t="shared" si="7"/>
        <v>1.0000000009313226E-2</v>
      </c>
      <c r="AF45" s="245">
        <f t="shared" si="8"/>
        <v>2.9999999969732016E-2</v>
      </c>
      <c r="AG45" s="245">
        <f t="shared" si="9"/>
        <v>0</v>
      </c>
      <c r="AH45" s="245">
        <f t="shared" si="10"/>
        <v>1.0000000009313226E-2</v>
      </c>
      <c r="AI45" s="245">
        <f t="shared" si="11"/>
        <v>-3.000000002066372E-2</v>
      </c>
      <c r="AJ45" s="245">
        <f t="shared" si="12"/>
        <v>8.002837625099346E-3</v>
      </c>
      <c r="AK45" s="252">
        <f t="shared" si="3"/>
        <v>2.8002837825624738E-2</v>
      </c>
    </row>
    <row r="46" spans="1:37">
      <c r="A46" s="149" t="s">
        <v>214</v>
      </c>
      <c r="B46" s="245">
        <f>ROUND('PART MES'!E$4*'CALCULO GARANTIA'!$Q46,2)</f>
        <v>36380011.600000001</v>
      </c>
      <c r="C46" s="245">
        <f>ROUND('PART MES'!E$5*'CALCULO GARANTIA'!$Q46,2)</f>
        <v>5374525.1100000003</v>
      </c>
      <c r="D46" s="245">
        <f>ROUND(+'Art.14 Frac.III'!P45,2)</f>
        <v>1325558.3400000001</v>
      </c>
      <c r="E46" s="245">
        <f>ROUND('PART MES'!E$7*'CALCULO GARANTIA'!$Q46,2)</f>
        <v>1112407.33</v>
      </c>
      <c r="F46" s="245">
        <f>ROUND('PART MES'!E$8*'CALCULO GARANTIA'!$Q46,2)</f>
        <v>1895394.72</v>
      </c>
      <c r="G46" s="245">
        <f>ROUND('PART MES'!E$9*'CALCULO GARANTIA'!$Q46,2)</f>
        <v>47072.47</v>
      </c>
      <c r="H46" s="245">
        <f>ROUND('PART MES'!E$10*'CALCULO GARANTIA'!$Q46,2)</f>
        <v>799286.99</v>
      </c>
      <c r="I46" s="245">
        <f>ROUND('PART MES'!E$11*'CALCULO GARANTIA'!$Q46,2)</f>
        <v>217158.53</v>
      </c>
      <c r="J46" s="245">
        <f>+'PART MES'!E$12*'COEF Art 14 F II'!M47</f>
        <v>2298389.3725671582</v>
      </c>
      <c r="K46" s="227">
        <f t="shared" si="13"/>
        <v>49449804.462567165</v>
      </c>
      <c r="N46" s="149" t="s">
        <v>41</v>
      </c>
      <c r="O46" s="245">
        <v>36380011.600000001</v>
      </c>
      <c r="P46" s="245">
        <v>5374525.1199999992</v>
      </c>
      <c r="Q46" s="245">
        <v>1325558.3099999998</v>
      </c>
      <c r="R46" s="245">
        <v>1112407.3199999998</v>
      </c>
      <c r="S46" s="245">
        <v>1895394.74</v>
      </c>
      <c r="T46" s="245">
        <v>47072.480000000003</v>
      </c>
      <c r="U46" s="245">
        <v>799286.98999999987</v>
      </c>
      <c r="V46" s="245">
        <v>217158.48000000007</v>
      </c>
      <c r="W46" s="245">
        <v>2298389.3696950534</v>
      </c>
      <c r="X46" s="252">
        <f t="shared" si="1"/>
        <v>49449804.409695052</v>
      </c>
      <c r="AA46" s="149" t="s">
        <v>41</v>
      </c>
      <c r="AB46" s="245">
        <f t="shared" si="4"/>
        <v>0</v>
      </c>
      <c r="AC46" s="245">
        <f t="shared" si="5"/>
        <v>9.9999988451600075E-3</v>
      </c>
      <c r="AD46" s="245">
        <f t="shared" si="6"/>
        <v>-3.0000000260770321E-2</v>
      </c>
      <c r="AE46" s="245">
        <f t="shared" si="7"/>
        <v>-1.0000000242143869E-2</v>
      </c>
      <c r="AF46" s="245">
        <f t="shared" si="8"/>
        <v>2.0000000018626451E-2</v>
      </c>
      <c r="AG46" s="245">
        <f t="shared" si="9"/>
        <v>1.0000000002037268E-2</v>
      </c>
      <c r="AH46" s="245">
        <f t="shared" si="10"/>
        <v>0</v>
      </c>
      <c r="AI46" s="245">
        <f t="shared" si="11"/>
        <v>-4.9999999930150807E-2</v>
      </c>
      <c r="AJ46" s="245">
        <f t="shared" si="12"/>
        <v>-2.8721047565340996E-3</v>
      </c>
      <c r="AK46" s="252">
        <f t="shared" si="3"/>
        <v>-5.287210632377537E-2</v>
      </c>
    </row>
    <row r="47" spans="1:37">
      <c r="A47" s="149" t="s">
        <v>215</v>
      </c>
      <c r="B47" s="245">
        <f>ROUND('PART MES'!E$4*'CALCULO GARANTIA'!$Q47,2)</f>
        <v>18327006.48</v>
      </c>
      <c r="C47" s="245">
        <f>ROUND('PART MES'!E$5*'CALCULO GARANTIA'!$Q47,2)</f>
        <v>2707502.06</v>
      </c>
      <c r="D47" s="245">
        <f>ROUND(+'Art.14 Frac.III'!P46,2)</f>
        <v>4865638.1900000004</v>
      </c>
      <c r="E47" s="245">
        <f>ROUND('PART MES'!E$7*'CALCULO GARANTIA'!$Q47,2)</f>
        <v>560392.80000000005</v>
      </c>
      <c r="F47" s="245">
        <f>ROUND('PART MES'!E$8*'CALCULO GARANTIA'!$Q47,2)</f>
        <v>954835.08</v>
      </c>
      <c r="G47" s="245">
        <f>ROUND('PART MES'!E$9*'CALCULO GARANTIA'!$Q47,2)</f>
        <v>23713.5</v>
      </c>
      <c r="H47" s="245">
        <f>ROUND('PART MES'!E$10*'CALCULO GARANTIA'!$Q47,2)</f>
        <v>402653.47</v>
      </c>
      <c r="I47" s="245">
        <f>ROUND('PART MES'!E$11*'CALCULO GARANTIA'!$Q47,2)</f>
        <v>109397.05</v>
      </c>
      <c r="J47" s="245">
        <f>+'PART MES'!E$12*'COEF Art 14 F II'!M48</f>
        <v>188125.36046812995</v>
      </c>
      <c r="K47" s="227">
        <f t="shared" si="13"/>
        <v>28139263.99046813</v>
      </c>
      <c r="N47" s="149" t="s">
        <v>42</v>
      </c>
      <c r="O47" s="245">
        <v>18327006.490000002</v>
      </c>
      <c r="P47" s="245">
        <v>2707502.0599999996</v>
      </c>
      <c r="Q47" s="245">
        <v>4865638.1999999993</v>
      </c>
      <c r="R47" s="245">
        <v>560392.80000000005</v>
      </c>
      <c r="S47" s="245">
        <v>954835.08000000007</v>
      </c>
      <c r="T47" s="245">
        <v>23713.5</v>
      </c>
      <c r="U47" s="245">
        <v>402653.45</v>
      </c>
      <c r="V47" s="245">
        <v>109397.04</v>
      </c>
      <c r="W47" s="245">
        <v>188125.35903881915</v>
      </c>
      <c r="X47" s="252">
        <f t="shared" si="1"/>
        <v>28139263.97903882</v>
      </c>
      <c r="AA47" s="149" t="s">
        <v>42</v>
      </c>
      <c r="AB47" s="245">
        <f t="shared" si="4"/>
        <v>1.0000001639127731E-2</v>
      </c>
      <c r="AC47" s="245">
        <f t="shared" si="5"/>
        <v>0</v>
      </c>
      <c r="AD47" s="245">
        <f t="shared" si="6"/>
        <v>9.9999988451600075E-3</v>
      </c>
      <c r="AE47" s="245">
        <f t="shared" si="7"/>
        <v>0</v>
      </c>
      <c r="AF47" s="245">
        <f t="shared" si="8"/>
        <v>0</v>
      </c>
      <c r="AG47" s="245">
        <f t="shared" si="9"/>
        <v>0</v>
      </c>
      <c r="AH47" s="245">
        <f t="shared" si="10"/>
        <v>-1.9999999960418791E-2</v>
      </c>
      <c r="AI47" s="245">
        <f t="shared" si="11"/>
        <v>-1.0000000009313226E-2</v>
      </c>
      <c r="AJ47" s="245">
        <f t="shared" si="12"/>
        <v>-1.4293107960838825E-3</v>
      </c>
      <c r="AK47" s="252">
        <f t="shared" si="3"/>
        <v>-1.142931028152816E-2</v>
      </c>
    </row>
    <row r="48" spans="1:37">
      <c r="A48" s="149" t="s">
        <v>43</v>
      </c>
      <c r="B48" s="245">
        <f>ROUND('PART MES'!E$4*'CALCULO GARANTIA'!$Q48,2)</f>
        <v>20536773.109999999</v>
      </c>
      <c r="C48" s="245">
        <f>ROUND('PART MES'!E$5*'CALCULO GARANTIA'!$Q48,2)</f>
        <v>3033957.32</v>
      </c>
      <c r="D48" s="245">
        <f>ROUND(+'Art.14 Frac.III'!P47,2)</f>
        <v>3698043.98</v>
      </c>
      <c r="E48" s="245">
        <f>ROUND('PART MES'!E$7*'CALCULO GARANTIA'!$Q48,2)</f>
        <v>627961.79</v>
      </c>
      <c r="F48" s="245">
        <f>ROUND('PART MES'!E$8*'CALCULO GARANTIA'!$Q48,2)</f>
        <v>1069963.68</v>
      </c>
      <c r="G48" s="245">
        <f>ROUND('PART MES'!E$9*'CALCULO GARANTIA'!$Q48,2)</f>
        <v>26572.74</v>
      </c>
      <c r="H48" s="245">
        <f>ROUND('PART MES'!E$10*'CALCULO GARANTIA'!$Q48,2)</f>
        <v>451203.14</v>
      </c>
      <c r="I48" s="245">
        <f>ROUND('PART MES'!E$11*'CALCULO GARANTIA'!$Q48,2)</f>
        <v>122587.52</v>
      </c>
      <c r="J48" s="245">
        <f>+'PART MES'!E$12*'COEF Art 14 F II'!M49</f>
        <v>209729.87887570821</v>
      </c>
      <c r="K48" s="227">
        <f t="shared" si="13"/>
        <v>29776793.158875704</v>
      </c>
      <c r="N48" s="149" t="s">
        <v>43</v>
      </c>
      <c r="O48" s="245">
        <v>20536773.130000003</v>
      </c>
      <c r="P48" s="245">
        <v>3033957.3300000005</v>
      </c>
      <c r="Q48" s="245">
        <v>3698043.9700000011</v>
      </c>
      <c r="R48" s="245">
        <v>627961.79000000015</v>
      </c>
      <c r="S48" s="245">
        <v>1069963.7</v>
      </c>
      <c r="T48" s="245">
        <v>26572.749999999996</v>
      </c>
      <c r="U48" s="245">
        <v>451203.14000000007</v>
      </c>
      <c r="V48" s="245">
        <v>122587.56000000001</v>
      </c>
      <c r="W48" s="245">
        <v>209729.872346683</v>
      </c>
      <c r="X48" s="252">
        <f t="shared" si="1"/>
        <v>29776793.242346689</v>
      </c>
      <c r="AA48" s="149" t="s">
        <v>43</v>
      </c>
      <c r="AB48" s="245">
        <f t="shared" si="4"/>
        <v>2.0000003278255463E-2</v>
      </c>
      <c r="AC48" s="245">
        <f t="shared" si="5"/>
        <v>1.0000000707805157E-2</v>
      </c>
      <c r="AD48" s="245">
        <f t="shared" si="6"/>
        <v>-9.9999988451600075E-3</v>
      </c>
      <c r="AE48" s="245">
        <f t="shared" si="7"/>
        <v>0</v>
      </c>
      <c r="AF48" s="245">
        <f t="shared" si="8"/>
        <v>2.0000000018626451E-2</v>
      </c>
      <c r="AG48" s="245">
        <f t="shared" si="9"/>
        <v>9.9999999947613105E-3</v>
      </c>
      <c r="AH48" s="245">
        <f t="shared" si="10"/>
        <v>0</v>
      </c>
      <c r="AI48" s="245">
        <f t="shared" si="11"/>
        <v>4.0000000008149073E-2</v>
      </c>
      <c r="AJ48" s="245">
        <f t="shared" si="12"/>
        <v>-6.5290252096019685E-3</v>
      </c>
      <c r="AK48" s="252">
        <f t="shared" si="3"/>
        <v>8.3470979952835478E-2</v>
      </c>
    </row>
    <row r="49" spans="1:37">
      <c r="A49" s="149" t="s">
        <v>44</v>
      </c>
      <c r="B49" s="245">
        <f>ROUND('PART MES'!E$4*'CALCULO GARANTIA'!$Q49,2)</f>
        <v>59087516.600000001</v>
      </c>
      <c r="C49" s="245">
        <f>ROUND('PART MES'!E$5*'CALCULO GARANTIA'!$Q49,2)</f>
        <v>8729170.9800000004</v>
      </c>
      <c r="D49" s="245">
        <f>ROUND(+'Art.14 Frac.III'!P48,2)</f>
        <v>5998815.9100000001</v>
      </c>
      <c r="E49" s="245">
        <f>ROUND('PART MES'!E$7*'CALCULO GARANTIA'!$Q49,2)</f>
        <v>1806744.53</v>
      </c>
      <c r="F49" s="245">
        <f>ROUND('PART MES'!E$8*'CALCULO GARANTIA'!$Q49,2)</f>
        <v>3078453.3</v>
      </c>
      <c r="G49" s="245">
        <f>ROUND('PART MES'!E$9*'CALCULO GARANTIA'!$Q49,2)</f>
        <v>76453.95</v>
      </c>
      <c r="H49" s="245">
        <f>ROUND('PART MES'!E$10*'CALCULO GARANTIA'!$Q49,2)</f>
        <v>1298182.19</v>
      </c>
      <c r="I49" s="245">
        <f>ROUND('PART MES'!E$11*'CALCULO GARANTIA'!$Q49,2)</f>
        <v>352703.52</v>
      </c>
      <c r="J49" s="245">
        <f>+'PART MES'!E$12*'COEF Art 14 F II'!M50</f>
        <v>1047845.5014029319</v>
      </c>
      <c r="K49" s="227">
        <f t="shared" si="13"/>
        <v>81475886.481402919</v>
      </c>
      <c r="N49" s="149" t="s">
        <v>44</v>
      </c>
      <c r="O49" s="245">
        <v>59087516.599999994</v>
      </c>
      <c r="P49" s="245">
        <v>8729170.9900000002</v>
      </c>
      <c r="Q49" s="245">
        <v>5998815.9399999995</v>
      </c>
      <c r="R49" s="245">
        <v>1806744.53</v>
      </c>
      <c r="S49" s="245">
        <v>3078453.2899999996</v>
      </c>
      <c r="T49" s="245">
        <v>76453.959999999992</v>
      </c>
      <c r="U49" s="245">
        <v>1298182.18</v>
      </c>
      <c r="V49" s="245">
        <v>352703.52</v>
      </c>
      <c r="W49" s="245">
        <v>1047845.4969612591</v>
      </c>
      <c r="X49" s="252">
        <f t="shared" si="1"/>
        <v>81475886.506961256</v>
      </c>
      <c r="AA49" s="149" t="s">
        <v>44</v>
      </c>
      <c r="AB49" s="245">
        <f t="shared" si="4"/>
        <v>0</v>
      </c>
      <c r="AC49" s="245">
        <f t="shared" si="5"/>
        <v>9.9999997764825821E-3</v>
      </c>
      <c r="AD49" s="245">
        <f t="shared" si="6"/>
        <v>2.9999999329447746E-2</v>
      </c>
      <c r="AE49" s="245">
        <f t="shared" si="7"/>
        <v>0</v>
      </c>
      <c r="AF49" s="245">
        <f t="shared" si="8"/>
        <v>-1.0000000242143869E-2</v>
      </c>
      <c r="AG49" s="245">
        <f t="shared" si="9"/>
        <v>9.9999999947613105E-3</v>
      </c>
      <c r="AH49" s="245">
        <f t="shared" si="10"/>
        <v>-1.0000000009313226E-2</v>
      </c>
      <c r="AI49" s="245">
        <f t="shared" si="11"/>
        <v>0</v>
      </c>
      <c r="AJ49" s="245">
        <f t="shared" si="12"/>
        <v>-4.4416728196665645E-3</v>
      </c>
      <c r="AK49" s="252">
        <f t="shared" si="3"/>
        <v>2.5558326029567979E-2</v>
      </c>
    </row>
    <row r="50" spans="1:37">
      <c r="A50" s="149" t="s">
        <v>45</v>
      </c>
      <c r="B50" s="245">
        <f>ROUND('PART MES'!E$4*'CALCULO GARANTIA'!$Q50,2)</f>
        <v>50847905.789999999</v>
      </c>
      <c r="C50" s="245">
        <f>ROUND('PART MES'!E$5*'CALCULO GARANTIA'!$Q50,2)</f>
        <v>7511909.2699999996</v>
      </c>
      <c r="D50" s="245">
        <f>ROUND(+'Art.14 Frac.III'!P49,2)</f>
        <v>1480648.79</v>
      </c>
      <c r="E50" s="245">
        <f>ROUND('PART MES'!E$7*'CALCULO GARANTIA'!$Q50,2)</f>
        <v>1554798.39</v>
      </c>
      <c r="F50" s="245">
        <f>ROUND('PART MES'!E$8*'CALCULO GARANTIA'!$Q50,2)</f>
        <v>2649170.46</v>
      </c>
      <c r="G50" s="245">
        <f>ROUND('PART MES'!E$9*'CALCULO GARANTIA'!$Q50,2)</f>
        <v>65792.63</v>
      </c>
      <c r="H50" s="245">
        <f>ROUND('PART MES'!E$10*'CALCULO GARANTIA'!$Q50,2)</f>
        <v>1117153.83</v>
      </c>
      <c r="I50" s="245">
        <f>ROUND('PART MES'!E$11*'CALCULO GARANTIA'!$Q50,2)</f>
        <v>303519.87</v>
      </c>
      <c r="J50" s="245">
        <f>+'PART MES'!E$12*'COEF Art 14 F II'!M51</f>
        <v>1539731.8269666885</v>
      </c>
      <c r="K50" s="227">
        <f t="shared" si="13"/>
        <v>67070630.856966689</v>
      </c>
      <c r="N50" s="149" t="s">
        <v>45</v>
      </c>
      <c r="O50" s="245">
        <v>50847905.830000006</v>
      </c>
      <c r="P50" s="245">
        <v>7511909.2699999977</v>
      </c>
      <c r="Q50" s="245">
        <v>1480648.78</v>
      </c>
      <c r="R50" s="245">
        <v>1554798.39</v>
      </c>
      <c r="S50" s="245">
        <v>2649170.4499999993</v>
      </c>
      <c r="T50" s="245">
        <v>65792.62</v>
      </c>
      <c r="U50" s="245">
        <v>1117153.83</v>
      </c>
      <c r="V50" s="245">
        <v>303519.84000000003</v>
      </c>
      <c r="W50" s="245">
        <v>1539731.8162804344</v>
      </c>
      <c r="X50" s="252">
        <f t="shared" si="1"/>
        <v>67070630.82628043</v>
      </c>
      <c r="AA50" s="149" t="s">
        <v>45</v>
      </c>
      <c r="AB50" s="245">
        <f t="shared" si="4"/>
        <v>4.0000006556510925E-2</v>
      </c>
      <c r="AC50" s="245">
        <f t="shared" si="5"/>
        <v>0</v>
      </c>
      <c r="AD50" s="245">
        <f t="shared" si="6"/>
        <v>-1.0000000009313226E-2</v>
      </c>
      <c r="AE50" s="245">
        <f t="shared" si="7"/>
        <v>0</v>
      </c>
      <c r="AF50" s="245">
        <f t="shared" si="8"/>
        <v>-1.0000000707805157E-2</v>
      </c>
      <c r="AG50" s="245">
        <f t="shared" si="9"/>
        <v>-1.0000000009313226E-2</v>
      </c>
      <c r="AH50" s="245">
        <f t="shared" si="10"/>
        <v>0</v>
      </c>
      <c r="AI50" s="245">
        <f t="shared" si="11"/>
        <v>-2.9999999969732016E-2</v>
      </c>
      <c r="AJ50" s="245">
        <f t="shared" si="12"/>
        <v>-1.0686254128813744E-2</v>
      </c>
      <c r="AK50" s="252">
        <f t="shared" si="3"/>
        <v>-3.0686248268466443E-2</v>
      </c>
    </row>
    <row r="51" spans="1:37">
      <c r="A51" s="149" t="s">
        <v>216</v>
      </c>
      <c r="B51" s="245">
        <f>ROUND('PART MES'!E$4*'CALCULO GARANTIA'!$Q51,2)</f>
        <v>460099828.89999998</v>
      </c>
      <c r="C51" s="245">
        <f>ROUND('PART MES'!E$5*'CALCULO GARANTIA'!$Q51,2)</f>
        <v>67971888.209999993</v>
      </c>
      <c r="D51" s="245">
        <f>ROUND(+'Art.14 Frac.III'!P50,2)</f>
        <v>7062494.2699999996</v>
      </c>
      <c r="E51" s="245">
        <f>ROUND('PART MES'!E$7*'CALCULO GARANTIA'!$Q51,2)</f>
        <v>14068671.27</v>
      </c>
      <c r="F51" s="245">
        <f>ROUND('PART MES'!E$8*'CALCULO GARANTIA'!$Q51,2)</f>
        <v>23971151.899999999</v>
      </c>
      <c r="G51" s="245">
        <f>ROUND('PART MES'!E$9*'CALCULO GARANTIA'!$Q51,2)</f>
        <v>595327.93999999994</v>
      </c>
      <c r="H51" s="245">
        <f>ROUND('PART MES'!E$10*'CALCULO GARANTIA'!$Q51,2)</f>
        <v>10108622.57</v>
      </c>
      <c r="I51" s="245">
        <f>ROUND('PART MES'!E$11*'CALCULO GARANTIA'!$Q51,2)</f>
        <v>2746414.81</v>
      </c>
      <c r="J51" s="245">
        <f>+'PART MES'!E$12*'COEF Art 14 F II'!M52</f>
        <v>12253198.839469692</v>
      </c>
      <c r="K51" s="227">
        <f t="shared" si="13"/>
        <v>598877598.70946968</v>
      </c>
      <c r="N51" s="149" t="s">
        <v>46</v>
      </c>
      <c r="O51" s="245">
        <v>460099828.91000009</v>
      </c>
      <c r="P51" s="245">
        <v>67971888.239999995</v>
      </c>
      <c r="Q51" s="245">
        <v>7062494.2200000007</v>
      </c>
      <c r="R51" s="245">
        <v>14068671.27</v>
      </c>
      <c r="S51" s="245">
        <v>23971151.900000002</v>
      </c>
      <c r="T51" s="245">
        <v>595327.93999999994</v>
      </c>
      <c r="U51" s="245">
        <v>10108622.569999998</v>
      </c>
      <c r="V51" s="245">
        <v>2746414.7999999993</v>
      </c>
      <c r="W51" s="245">
        <v>12253198.854285283</v>
      </c>
      <c r="X51" s="252">
        <f t="shared" si="1"/>
        <v>598877598.70428538</v>
      </c>
      <c r="AA51" s="149" t="s">
        <v>46</v>
      </c>
      <c r="AB51" s="245">
        <f t="shared" si="4"/>
        <v>1.0000109672546387E-2</v>
      </c>
      <c r="AC51" s="245">
        <f t="shared" si="5"/>
        <v>3.0000001192092896E-2</v>
      </c>
      <c r="AD51" s="245">
        <f t="shared" si="6"/>
        <v>-4.999999888241291E-2</v>
      </c>
      <c r="AE51" s="245">
        <f t="shared" si="7"/>
        <v>0</v>
      </c>
      <c r="AF51" s="245">
        <f t="shared" si="8"/>
        <v>0</v>
      </c>
      <c r="AG51" s="245">
        <f t="shared" si="9"/>
        <v>0</v>
      </c>
      <c r="AH51" s="245">
        <f t="shared" si="10"/>
        <v>0</v>
      </c>
      <c r="AI51" s="245">
        <f t="shared" si="11"/>
        <v>-1.0000000707805157E-2</v>
      </c>
      <c r="AJ51" s="245">
        <f t="shared" si="12"/>
        <v>1.4815591275691986E-2</v>
      </c>
      <c r="AK51" s="252">
        <f t="shared" si="3"/>
        <v>-5.1842974498867989E-3</v>
      </c>
    </row>
    <row r="52" spans="1:37">
      <c r="A52" s="149" t="s">
        <v>217</v>
      </c>
      <c r="B52" s="245">
        <f>ROUND('PART MES'!E$4*'CALCULO GARANTIA'!$Q52,2)</f>
        <v>889030126.79999995</v>
      </c>
      <c r="C52" s="245">
        <f>ROUND('PART MES'!E$5*'CALCULO GARANTIA'!$Q52,2)</f>
        <v>131339010.79000001</v>
      </c>
      <c r="D52" s="245">
        <f>ROUND(+'Art.14 Frac.III'!P51,2)-0.3</f>
        <v>14555345.41</v>
      </c>
      <c r="E52" s="245">
        <f>ROUND('PART MES'!E$7*'CALCULO GARANTIA'!$Q52,2)</f>
        <v>27184258.329999998</v>
      </c>
      <c r="F52" s="245">
        <f>ROUND('PART MES'!E$8*'CALCULO GARANTIA'!$Q52,2)</f>
        <v>46318374.57</v>
      </c>
      <c r="G52" s="245">
        <f>ROUND('PART MES'!E$9*'CALCULO GARANTIA'!$Q52,2)</f>
        <v>1150325.29</v>
      </c>
      <c r="H52" s="245">
        <f>ROUND('PART MES'!E$10*'CALCULO GARANTIA'!$Q52,2)</f>
        <v>19532435.010000002</v>
      </c>
      <c r="I52" s="245">
        <f>ROUND('PART MES'!E$11*'CALCULO GARANTIA'!$Q52,2)</f>
        <v>5306773.34</v>
      </c>
      <c r="J52" s="245">
        <f>+'PART MES'!E$12*'COEF Art 14 F II'!M53</f>
        <v>9326823.0596035011</v>
      </c>
      <c r="K52" s="227">
        <f t="shared" si="13"/>
        <v>1143743472.5996032</v>
      </c>
      <c r="N52" s="149" t="s">
        <v>47</v>
      </c>
      <c r="O52" s="245">
        <v>889030126.80000007</v>
      </c>
      <c r="P52" s="245">
        <v>131339010.85000001</v>
      </c>
      <c r="Q52" s="245">
        <v>14555344.109999999</v>
      </c>
      <c r="R52" s="245">
        <v>27184258.32</v>
      </c>
      <c r="S52" s="245">
        <v>46318374.57</v>
      </c>
      <c r="T52" s="245">
        <v>1150325.31</v>
      </c>
      <c r="U52" s="245">
        <v>19532435</v>
      </c>
      <c r="V52" s="245">
        <v>5306773.32</v>
      </c>
      <c r="W52" s="245">
        <v>9326823.0709721949</v>
      </c>
      <c r="X52" s="252">
        <f t="shared" si="1"/>
        <v>1143743471.3509722</v>
      </c>
      <c r="AA52" s="149" t="s">
        <v>47</v>
      </c>
      <c r="AB52" s="245">
        <f t="shared" si="4"/>
        <v>0</v>
      </c>
      <c r="AC52" s="245">
        <f t="shared" si="5"/>
        <v>6.0000002384185791E-2</v>
      </c>
      <c r="AD52" s="245">
        <f t="shared" si="6"/>
        <v>-1.3000000007450581</v>
      </c>
      <c r="AE52" s="245">
        <f t="shared" si="7"/>
        <v>-9.9999979138374329E-3</v>
      </c>
      <c r="AF52" s="245">
        <f t="shared" si="8"/>
        <v>0</v>
      </c>
      <c r="AG52" s="245">
        <f t="shared" si="9"/>
        <v>2.0000000018626451E-2</v>
      </c>
      <c r="AH52" s="245">
        <f t="shared" si="10"/>
        <v>-1.0000001639127731E-2</v>
      </c>
      <c r="AI52" s="245">
        <f t="shared" si="11"/>
        <v>-1.9999999552965164E-2</v>
      </c>
      <c r="AJ52" s="245">
        <f t="shared" si="12"/>
        <v>1.136869378387928E-2</v>
      </c>
      <c r="AK52" s="252">
        <f t="shared" si="3"/>
        <v>-1.2486313036642969</v>
      </c>
    </row>
    <row r="53" spans="1:37">
      <c r="A53" s="149" t="s">
        <v>48</v>
      </c>
      <c r="B53" s="245">
        <f>ROUND('PART MES'!E$4*'CALCULO GARANTIA'!$Q53,2)</f>
        <v>239562344.59</v>
      </c>
      <c r="C53" s="245">
        <f>ROUND('PART MES'!E$5*'CALCULO GARANTIA'!$Q53,2)</f>
        <v>35391243.119999997</v>
      </c>
      <c r="D53" s="245">
        <f>ROUND(+'Art.14 Frac.III'!P52,2)</f>
        <v>4409972.5999999996</v>
      </c>
      <c r="E53" s="245">
        <f>ROUND('PART MES'!E$7*'CALCULO GARANTIA'!$Q53,2)</f>
        <v>7325201.3200000003</v>
      </c>
      <c r="F53" s="245">
        <f>ROUND('PART MES'!E$8*'CALCULO GARANTIA'!$Q53,2)</f>
        <v>12481172.539999999</v>
      </c>
      <c r="G53" s="245">
        <f>ROUND('PART MES'!E$9*'CALCULO GARANTIA'!$Q53,2)</f>
        <v>309972.2</v>
      </c>
      <c r="H53" s="245">
        <f>ROUND('PART MES'!E$10*'CALCULO GARANTIA'!$Q53,2)</f>
        <v>5263304.12</v>
      </c>
      <c r="I53" s="245">
        <f>ROUND('PART MES'!E$11*'CALCULO GARANTIA'!$Q53,2)</f>
        <v>1429988.73</v>
      </c>
      <c r="J53" s="245">
        <f>+'PART MES'!E$12*'COEF Art 14 F II'!M54</f>
        <v>7970016.2401804272</v>
      </c>
      <c r="K53" s="227">
        <f t="shared" si="13"/>
        <v>314143215.46018046</v>
      </c>
      <c r="N53" s="149" t="s">
        <v>48</v>
      </c>
      <c r="O53" s="245">
        <v>239562344.57999995</v>
      </c>
      <c r="P53" s="245">
        <v>35391243.140000008</v>
      </c>
      <c r="Q53" s="245">
        <v>4409972.5699999994</v>
      </c>
      <c r="R53" s="245">
        <v>7325201.3199999984</v>
      </c>
      <c r="S53" s="245">
        <v>12481172.560000001</v>
      </c>
      <c r="T53" s="245">
        <v>309972.21000000002</v>
      </c>
      <c r="U53" s="245">
        <v>5263304.1199999992</v>
      </c>
      <c r="V53" s="245">
        <v>1429988.76</v>
      </c>
      <c r="W53" s="245">
        <v>7970016.2529549077</v>
      </c>
      <c r="X53" s="252">
        <f t="shared" si="1"/>
        <v>314143215.51295483</v>
      </c>
      <c r="AA53" s="149" t="s">
        <v>48</v>
      </c>
      <c r="AB53" s="245">
        <f t="shared" si="4"/>
        <v>-1.0000050067901611E-2</v>
      </c>
      <c r="AC53" s="245">
        <f t="shared" si="5"/>
        <v>2.000001072883606E-2</v>
      </c>
      <c r="AD53" s="245">
        <f t="shared" si="6"/>
        <v>-3.0000000260770321E-2</v>
      </c>
      <c r="AE53" s="245">
        <f t="shared" si="7"/>
        <v>0</v>
      </c>
      <c r="AF53" s="245">
        <f t="shared" si="8"/>
        <v>2.0000001415610313E-2</v>
      </c>
      <c r="AG53" s="245">
        <f t="shared" si="9"/>
        <v>1.0000000009313226E-2</v>
      </c>
      <c r="AH53" s="245">
        <f t="shared" si="10"/>
        <v>0</v>
      </c>
      <c r="AI53" s="245">
        <f t="shared" si="11"/>
        <v>3.0000000027939677E-2</v>
      </c>
      <c r="AJ53" s="245">
        <f t="shared" si="12"/>
        <v>1.2774480506777763E-2</v>
      </c>
      <c r="AK53" s="252">
        <f t="shared" si="3"/>
        <v>5.2774442359805107E-2</v>
      </c>
    </row>
    <row r="54" spans="1:37">
      <c r="A54" s="149" t="s">
        <v>49</v>
      </c>
      <c r="B54" s="245">
        <f>ROUND('PART MES'!E$4*'CALCULO GARANTIA'!$Q54,2)</f>
        <v>76359741.659999996</v>
      </c>
      <c r="C54" s="245">
        <f>ROUND('PART MES'!E$5*'CALCULO GARANTIA'!$Q54,2)</f>
        <v>11280847.109999999</v>
      </c>
      <c r="D54" s="245">
        <f>ROUND(+'Art.14 Frac.III'!P53,2)</f>
        <v>4894869.0999999996</v>
      </c>
      <c r="E54" s="245">
        <f>ROUND('PART MES'!E$7*'CALCULO GARANTIA'!$Q54,2)</f>
        <v>2334884.8199999998</v>
      </c>
      <c r="F54" s="245">
        <f>ROUND('PART MES'!E$8*'CALCULO GARANTIA'!$Q54,2)</f>
        <v>3978334.38</v>
      </c>
      <c r="G54" s="245">
        <f>ROUND('PART MES'!E$9*'CALCULO GARANTIA'!$Q54,2)</f>
        <v>98802.66</v>
      </c>
      <c r="H54" s="245">
        <f>ROUND('PART MES'!E$10*'CALCULO GARANTIA'!$Q54,2)</f>
        <v>1677661.58</v>
      </c>
      <c r="I54" s="245">
        <f>ROUND('PART MES'!E$11*'CALCULO GARANTIA'!$Q54,2)</f>
        <v>455804.4</v>
      </c>
      <c r="J54" s="245">
        <f>+'PART MES'!E$12*'COEF Art 14 F II'!M55</f>
        <v>1626300.4833875257</v>
      </c>
      <c r="K54" s="227">
        <f t="shared" si="13"/>
        <v>102707246.19338751</v>
      </c>
      <c r="N54" s="149" t="s">
        <v>49</v>
      </c>
      <c r="O54" s="245">
        <v>76359741.650000021</v>
      </c>
      <c r="P54" s="245">
        <v>11280847.090000002</v>
      </c>
      <c r="Q54" s="245">
        <v>4894869.09</v>
      </c>
      <c r="R54" s="245">
        <v>2334884.8199999998</v>
      </c>
      <c r="S54" s="245">
        <v>3978334.3599999989</v>
      </c>
      <c r="T54" s="245">
        <v>98802.669999999984</v>
      </c>
      <c r="U54" s="245">
        <v>1677661.5900000003</v>
      </c>
      <c r="V54" s="245">
        <v>455804.40000000008</v>
      </c>
      <c r="W54" s="245">
        <v>1626300.4731792386</v>
      </c>
      <c r="X54" s="252">
        <f t="shared" si="1"/>
        <v>102707246.14317927</v>
      </c>
      <c r="AA54" s="149" t="s">
        <v>49</v>
      </c>
      <c r="AB54" s="245">
        <f t="shared" si="4"/>
        <v>-9.9999755620956421E-3</v>
      </c>
      <c r="AC54" s="245">
        <f t="shared" si="5"/>
        <v>-1.9999997690320015E-2</v>
      </c>
      <c r="AD54" s="245">
        <f t="shared" si="6"/>
        <v>-9.9999997764825821E-3</v>
      </c>
      <c r="AE54" s="245">
        <f t="shared" si="7"/>
        <v>0</v>
      </c>
      <c r="AF54" s="245">
        <f t="shared" si="8"/>
        <v>-2.0000000949949026E-2</v>
      </c>
      <c r="AG54" s="245">
        <f t="shared" si="9"/>
        <v>9.9999999802093953E-3</v>
      </c>
      <c r="AH54" s="245">
        <f t="shared" si="10"/>
        <v>1.0000000242143869E-2</v>
      </c>
      <c r="AI54" s="245">
        <f t="shared" si="11"/>
        <v>0</v>
      </c>
      <c r="AJ54" s="245">
        <f t="shared" si="12"/>
        <v>-1.0208287043496966E-2</v>
      </c>
      <c r="AK54" s="252">
        <f t="shared" si="3"/>
        <v>-5.0208260799990967E-2</v>
      </c>
    </row>
    <row r="55" spans="1:37">
      <c r="A55" s="149" t="s">
        <v>50</v>
      </c>
      <c r="B55" s="245">
        <f>ROUND('PART MES'!E$4*'CALCULO GARANTIA'!$Q55,2)</f>
        <v>15342654.369999999</v>
      </c>
      <c r="C55" s="245">
        <f>ROUND('PART MES'!E$5*'CALCULO GARANTIA'!$Q55,2)</f>
        <v>2266615.0299999998</v>
      </c>
      <c r="D55" s="245">
        <f>ROUND(+'Art.14 Frac.III'!P54,2)</f>
        <v>2157222.0499999998</v>
      </c>
      <c r="E55" s="245">
        <f>ROUND('PART MES'!E$7*'CALCULO GARANTIA'!$Q55,2)</f>
        <v>469138.97</v>
      </c>
      <c r="F55" s="245">
        <f>ROUND('PART MES'!E$8*'CALCULO GARANTIA'!$Q55,2)</f>
        <v>799350.65</v>
      </c>
      <c r="G55" s="245">
        <f>ROUND('PART MES'!E$9*'CALCULO GARANTIA'!$Q55,2)</f>
        <v>19852.02</v>
      </c>
      <c r="H55" s="245">
        <f>ROUND('PART MES'!E$10*'CALCULO GARANTIA'!$Q55,2)</f>
        <v>337085.76</v>
      </c>
      <c r="I55" s="245">
        <f>ROUND('PART MES'!E$11*'CALCULO GARANTIA'!$Q55,2)</f>
        <v>91582.94</v>
      </c>
      <c r="J55" s="245">
        <f>+'PART MES'!E$12*'COEF Art 14 F II'!M56</f>
        <v>118763.21982644314</v>
      </c>
      <c r="K55" s="227">
        <f t="shared" si="13"/>
        <v>21602265.009826444</v>
      </c>
      <c r="N55" s="149" t="s">
        <v>50</v>
      </c>
      <c r="O55" s="245">
        <v>15342654.370000001</v>
      </c>
      <c r="P55" s="245">
        <v>2266615.0499999998</v>
      </c>
      <c r="Q55" s="245">
        <v>2157222.0299999998</v>
      </c>
      <c r="R55" s="245">
        <v>469138.98000000004</v>
      </c>
      <c r="S55" s="245">
        <v>799350.69000000006</v>
      </c>
      <c r="T55" s="245">
        <v>19852.02</v>
      </c>
      <c r="U55" s="245">
        <v>337085.74999999994</v>
      </c>
      <c r="V55" s="245">
        <v>91582.920000000027</v>
      </c>
      <c r="W55" s="245">
        <v>118763.22659515831</v>
      </c>
      <c r="X55" s="252">
        <f t="shared" si="1"/>
        <v>21602265.036595166</v>
      </c>
      <c r="AA55" s="149" t="s">
        <v>50</v>
      </c>
      <c r="AB55" s="245">
        <f t="shared" si="4"/>
        <v>0</v>
      </c>
      <c r="AC55" s="245">
        <f t="shared" si="5"/>
        <v>2.0000000018626451E-2</v>
      </c>
      <c r="AD55" s="245">
        <f t="shared" si="6"/>
        <v>-2.0000000018626451E-2</v>
      </c>
      <c r="AE55" s="245">
        <f t="shared" si="7"/>
        <v>1.0000000067520887E-2</v>
      </c>
      <c r="AF55" s="245">
        <f t="shared" si="8"/>
        <v>4.0000000037252903E-2</v>
      </c>
      <c r="AG55" s="245">
        <f t="shared" si="9"/>
        <v>0</v>
      </c>
      <c r="AH55" s="245">
        <f t="shared" si="10"/>
        <v>-1.0000000067520887E-2</v>
      </c>
      <c r="AI55" s="245">
        <f t="shared" si="11"/>
        <v>-1.9999999974970706E-2</v>
      </c>
      <c r="AJ55" s="245">
        <f t="shared" si="12"/>
        <v>6.7687151749851182E-3</v>
      </c>
      <c r="AK55" s="252">
        <f t="shared" si="3"/>
        <v>2.6768715237267315E-2</v>
      </c>
    </row>
    <row r="56" spans="1:37" ht="13.5" thickBot="1">
      <c r="A56" s="149" t="s">
        <v>51</v>
      </c>
      <c r="B56" s="245">
        <f>ROUND('PART MES'!E$4*'CALCULO GARANTIA'!$Q56,2)</f>
        <v>21137744.93</v>
      </c>
      <c r="C56" s="245">
        <f>ROUND('PART MES'!E$5*'CALCULO GARANTIA'!$Q56,2)</f>
        <v>3122740.64</v>
      </c>
      <c r="D56" s="245">
        <f>ROUND(+'Art.14 Frac.III'!P55,2)</f>
        <v>3549772.55</v>
      </c>
      <c r="E56" s="245">
        <f>ROUND('PART MES'!E$7*'CALCULO GARANTIA'!$Q56,2)</f>
        <v>646337.96</v>
      </c>
      <c r="F56" s="245">
        <f>ROUND('PART MES'!E$8*'CALCULO GARANTIA'!$Q56,2)</f>
        <v>1101274.25</v>
      </c>
      <c r="G56" s="245">
        <f>ROUND('PART MES'!E$9*'CALCULO GARANTIA'!$Q56,2)</f>
        <v>27350.35</v>
      </c>
      <c r="H56" s="245">
        <f>ROUND('PART MES'!E$10*'CALCULO GARANTIA'!$Q56,2)</f>
        <v>464406.79</v>
      </c>
      <c r="I56" s="245">
        <f>ROUND('PART MES'!E$11*'CALCULO GARANTIA'!$Q56,2)</f>
        <v>126174.83</v>
      </c>
      <c r="J56" s="245">
        <f>+'PART MES'!E$12*'COEF Art 14 F II'!M57</f>
        <v>145534.76588449525</v>
      </c>
      <c r="K56" s="227">
        <f t="shared" si="13"/>
        <v>30321337.065884497</v>
      </c>
      <c r="N56" s="149" t="s">
        <v>51</v>
      </c>
      <c r="O56" s="245">
        <v>21137744.940000005</v>
      </c>
      <c r="P56" s="245">
        <v>3122740.67</v>
      </c>
      <c r="Q56" s="245">
        <v>3549772.5700000003</v>
      </c>
      <c r="R56" s="245">
        <v>646337.98</v>
      </c>
      <c r="S56" s="245">
        <v>1101274.25</v>
      </c>
      <c r="T56" s="245">
        <v>27350.35</v>
      </c>
      <c r="U56" s="245">
        <v>464406.77999999997</v>
      </c>
      <c r="V56" s="245">
        <v>126174.84000000003</v>
      </c>
      <c r="W56" s="245">
        <v>145534.77849865807</v>
      </c>
      <c r="X56" s="252">
        <f t="shared" si="1"/>
        <v>30321337.158498667</v>
      </c>
      <c r="AA56" s="149" t="s">
        <v>51</v>
      </c>
      <c r="AB56" s="245">
        <f t="shared" si="4"/>
        <v>1.000000536441803E-2</v>
      </c>
      <c r="AC56" s="245">
        <f t="shared" si="5"/>
        <v>2.9999999795109034E-2</v>
      </c>
      <c r="AD56" s="245">
        <f t="shared" si="6"/>
        <v>2.0000000484287739E-2</v>
      </c>
      <c r="AE56" s="245">
        <f t="shared" si="7"/>
        <v>2.0000000018626451E-2</v>
      </c>
      <c r="AF56" s="245">
        <f t="shared" si="8"/>
        <v>0</v>
      </c>
      <c r="AG56" s="245">
        <f t="shared" si="9"/>
        <v>0</v>
      </c>
      <c r="AH56" s="245">
        <f t="shared" si="10"/>
        <v>-1.0000000009313226E-2</v>
      </c>
      <c r="AI56" s="245">
        <f t="shared" si="11"/>
        <v>1.0000000023865141E-2</v>
      </c>
      <c r="AJ56" s="245">
        <f t="shared" si="12"/>
        <v>1.2614162813406438E-2</v>
      </c>
      <c r="AK56" s="252">
        <f t="shared" si="3"/>
        <v>9.2614168490399607E-2</v>
      </c>
    </row>
    <row r="57" spans="1:37" ht="14.25" thickTop="1" thickBot="1">
      <c r="A57" s="150" t="s">
        <v>52</v>
      </c>
      <c r="B57" s="246">
        <f t="shared" ref="B57:E57" si="14">SUM(B6:B56)</f>
        <v>6360124401.2199993</v>
      </c>
      <c r="C57" s="246">
        <f t="shared" si="14"/>
        <v>939599707.73999989</v>
      </c>
      <c r="D57" s="246">
        <f t="shared" si="14"/>
        <v>165833256.68000004</v>
      </c>
      <c r="E57" s="246">
        <f t="shared" si="14"/>
        <v>194476272.01000005</v>
      </c>
      <c r="F57" s="246">
        <f>SUM(F6:F56)</f>
        <v>331361801.43000007</v>
      </c>
      <c r="G57" s="246">
        <f>SUM(G6:G56)</f>
        <v>8229430.8399999999</v>
      </c>
      <c r="H57" s="246">
        <f t="shared" ref="H57:K57" si="15">SUM(H6:H56)</f>
        <v>139735103.17999998</v>
      </c>
      <c r="I57" s="246">
        <f t="shared" si="15"/>
        <v>37964673.61999999</v>
      </c>
      <c r="J57" s="246">
        <f t="shared" si="15"/>
        <v>155056736.30909094</v>
      </c>
      <c r="K57" s="228">
        <f t="shared" si="15"/>
        <v>8332381383.0290918</v>
      </c>
      <c r="N57" s="150" t="s">
        <v>53</v>
      </c>
      <c r="O57" s="246">
        <f t="shared" ref="O57:X57" si="16">SUM(O6:O56)</f>
        <v>6360124401.3299999</v>
      </c>
      <c r="P57" s="246">
        <f t="shared" ref="P57:W57" si="17">SUM(P6:P56)</f>
        <v>939599707.75999987</v>
      </c>
      <c r="Q57" s="246">
        <f t="shared" si="17"/>
        <v>165833256.30000001</v>
      </c>
      <c r="R57" s="246">
        <f t="shared" si="17"/>
        <v>194476272.03999993</v>
      </c>
      <c r="S57" s="246">
        <f t="shared" si="17"/>
        <v>331361801.39999998</v>
      </c>
      <c r="T57" s="246">
        <f t="shared" si="17"/>
        <v>8229430.8999999994</v>
      </c>
      <c r="U57" s="246">
        <f t="shared" si="17"/>
        <v>139735103.19000003</v>
      </c>
      <c r="V57" s="246">
        <f t="shared" si="17"/>
        <v>37964673.400000006</v>
      </c>
      <c r="W57" s="246">
        <f t="shared" si="17"/>
        <v>155056736.2709091</v>
      </c>
      <c r="X57" s="253">
        <f t="shared" si="16"/>
        <v>8332381382.590909</v>
      </c>
      <c r="AA57" s="150" t="s">
        <v>53</v>
      </c>
      <c r="AB57" s="246">
        <f t="shared" ref="AB57:AJ57" si="18">SUM(AB6:AB56)</f>
        <v>0.10999995283782482</v>
      </c>
      <c r="AC57" s="246">
        <f t="shared" si="18"/>
        <v>1.9999999087303877E-2</v>
      </c>
      <c r="AD57" s="246">
        <f t="shared" si="18"/>
        <v>-0.37999999831663445</v>
      </c>
      <c r="AE57" s="246">
        <f t="shared" si="18"/>
        <v>3.0000006372574717E-2</v>
      </c>
      <c r="AF57" s="246">
        <f t="shared" si="18"/>
        <v>-2.9999995371326804E-2</v>
      </c>
      <c r="AG57" s="246">
        <f t="shared" si="18"/>
        <v>5.9999999895808287E-2</v>
      </c>
      <c r="AH57" s="246">
        <f t="shared" si="18"/>
        <v>9.9999925587326288E-3</v>
      </c>
      <c r="AI57" s="246">
        <f t="shared" si="18"/>
        <v>-0.22000000013213139</v>
      </c>
      <c r="AJ57" s="246">
        <f t="shared" si="18"/>
        <v>-3.818185309501132E-2</v>
      </c>
      <c r="AK57" s="253">
        <f t="shared" ref="AK57" si="19">SUM(AK6:AK56)</f>
        <v>-0.43818189616285963</v>
      </c>
    </row>
    <row r="58" spans="1:37" ht="13.5" thickTop="1">
      <c r="A58" s="151"/>
      <c r="B58" s="229"/>
      <c r="C58" s="229"/>
      <c r="D58" s="229"/>
      <c r="E58" s="229"/>
      <c r="F58" s="229"/>
      <c r="G58" s="229"/>
      <c r="H58" s="229"/>
      <c r="I58" s="229"/>
      <c r="J58" s="229"/>
      <c r="K58" s="229"/>
    </row>
    <row r="59" spans="1:37" ht="16.5" customHeight="1">
      <c r="A59" s="145" t="s">
        <v>131</v>
      </c>
      <c r="B59" s="230"/>
      <c r="C59" s="230"/>
      <c r="D59" s="230"/>
      <c r="E59" s="230"/>
    </row>
    <row r="60" spans="1:37">
      <c r="A60" s="147"/>
    </row>
    <row r="61" spans="1:37">
      <c r="A61" s="147"/>
    </row>
    <row r="62" spans="1:37" ht="16.5" customHeight="1"/>
  </sheetData>
  <mergeCells count="12">
    <mergeCell ref="AA1:AK1"/>
    <mergeCell ref="AA2:AK2"/>
    <mergeCell ref="AA3:AK3"/>
    <mergeCell ref="AA4:AK4"/>
    <mergeCell ref="A1:K1"/>
    <mergeCell ref="A2:K2"/>
    <mergeCell ref="A3:K3"/>
    <mergeCell ref="A4:K4"/>
    <mergeCell ref="N1:X1"/>
    <mergeCell ref="N2:X2"/>
    <mergeCell ref="N3:X3"/>
    <mergeCell ref="N4:X4"/>
  </mergeCells>
  <printOptions horizontalCentered="1"/>
  <pageMargins left="0.19685039370078741" right="0.19685039370078741" top="0.15748031496062992" bottom="0.15748031496062992" header="0.15748031496062992" footer="0.15748031496062992"/>
  <pageSetup scale="75" orientation="landscape" r:id="rId1"/>
  <headerFooter alignWithMargins="0">
    <oddHeader>&amp;LAnexo 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7"/>
  <sheetViews>
    <sheetView showGridLines="0" topLeftCell="A4" zoomScale="106" zoomScaleNormal="106" workbookViewId="0">
      <pane xSplit="1" ySplit="1" topLeftCell="B5" activePane="bottomRight" state="frozen"/>
      <selection activeCell="A4" sqref="A4"/>
      <selection pane="topRight" activeCell="B4" sqref="B4"/>
      <selection pane="bottomLeft" activeCell="A6" sqref="A6"/>
      <selection pane="bottomRight" activeCell="F15" sqref="F15"/>
    </sheetView>
  </sheetViews>
  <sheetFormatPr baseColWidth="10" defaultColWidth="9.7109375" defaultRowHeight="12.75"/>
  <cols>
    <col min="1" max="1" width="28.85546875" style="14" customWidth="1"/>
    <col min="2" max="6" width="15.7109375" style="14" customWidth="1"/>
    <col min="7" max="7" width="12.42578125" style="14" customWidth="1"/>
    <col min="8" max="8" width="15.42578125" style="14" customWidth="1"/>
    <col min="9" max="9" width="12.5703125" style="73" customWidth="1"/>
    <col min="10" max="10" width="12.28515625" style="14" customWidth="1"/>
    <col min="11" max="11" width="15.5703125" style="14" customWidth="1"/>
    <col min="12" max="12" width="12" style="73" customWidth="1"/>
    <col min="13" max="13" width="17.7109375" style="75" customWidth="1"/>
    <col min="14" max="14" width="18" style="14" customWidth="1"/>
    <col min="15" max="15" width="16.140625" style="14" customWidth="1"/>
    <col min="16" max="16" width="14.140625" style="14" customWidth="1"/>
    <col min="17" max="17" width="15.5703125" style="14" customWidth="1"/>
    <col min="18" max="18" width="16.140625" style="14" customWidth="1"/>
    <col min="19" max="19" width="13.140625" style="14" customWidth="1"/>
    <col min="20" max="20" width="14" style="14" customWidth="1"/>
    <col min="21" max="21" width="12.85546875" style="14" customWidth="1"/>
    <col min="22" max="22" width="14.42578125" style="14" customWidth="1"/>
    <col min="23" max="23" width="16.85546875" style="14" customWidth="1"/>
    <col min="24" max="24" width="14.140625" style="73" customWidth="1"/>
    <col min="25" max="25" width="18.42578125" style="14" bestFit="1" customWidth="1"/>
    <col min="26" max="26" width="16.85546875" style="14" bestFit="1" customWidth="1"/>
    <col min="27" max="27" width="13.85546875" style="73" customWidth="1"/>
    <col min="28" max="28" width="15.140625" style="73" customWidth="1"/>
    <col min="29" max="29" width="17.5703125" style="75" customWidth="1"/>
    <col min="30" max="30" width="3.7109375" style="11" customWidth="1"/>
    <col min="31" max="33" width="18.42578125" style="14" customWidth="1"/>
    <col min="34" max="34" width="20.140625" style="14" customWidth="1"/>
    <col min="35" max="35" width="16.140625" style="14" bestFit="1" customWidth="1"/>
    <col min="36" max="16384" width="9.7109375" style="14"/>
  </cols>
  <sheetData>
    <row r="1" spans="1:35" ht="33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</row>
    <row r="2" spans="1:35" ht="26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</row>
    <row r="3" spans="1:35" ht="18.75" thickBot="1">
      <c r="B3" s="259" t="s">
        <v>122</v>
      </c>
      <c r="C3" s="259"/>
      <c r="D3" s="259"/>
      <c r="E3" s="259"/>
      <c r="F3" s="259"/>
      <c r="G3" s="260" t="s">
        <v>67</v>
      </c>
      <c r="H3" s="260"/>
      <c r="I3" s="260"/>
      <c r="J3" s="260"/>
      <c r="K3" s="260"/>
      <c r="L3" s="260"/>
      <c r="M3" s="260"/>
      <c r="N3" s="260" t="s">
        <v>110</v>
      </c>
      <c r="O3" s="260"/>
      <c r="P3" s="260"/>
      <c r="Q3" s="260"/>
      <c r="R3" s="260"/>
      <c r="S3" s="260"/>
      <c r="T3" s="260"/>
      <c r="U3" s="260"/>
      <c r="V3" s="115"/>
      <c r="W3" s="260"/>
      <c r="X3" s="260"/>
      <c r="Y3" s="259" t="s">
        <v>110</v>
      </c>
      <c r="Z3" s="259"/>
      <c r="AA3" s="259"/>
      <c r="AB3" s="259"/>
      <c r="AC3" s="259"/>
      <c r="AE3" s="259" t="s">
        <v>142</v>
      </c>
      <c r="AF3" s="259"/>
      <c r="AG3" s="259"/>
      <c r="AH3" s="259"/>
      <c r="AI3" s="259"/>
    </row>
    <row r="4" spans="1:35" ht="64.5" thickBot="1">
      <c r="A4" s="8" t="s">
        <v>0</v>
      </c>
      <c r="B4" s="9" t="s">
        <v>202</v>
      </c>
      <c r="C4" s="8" t="s">
        <v>200</v>
      </c>
      <c r="D4" s="9" t="s">
        <v>140</v>
      </c>
      <c r="E4" s="12" t="s">
        <v>141</v>
      </c>
      <c r="F4" s="112" t="s">
        <v>100</v>
      </c>
      <c r="G4" s="8" t="s">
        <v>158</v>
      </c>
      <c r="H4" s="9" t="s">
        <v>91</v>
      </c>
      <c r="I4" s="10">
        <v>0.85</v>
      </c>
      <c r="J4" s="8" t="s">
        <v>58</v>
      </c>
      <c r="K4" s="9" t="s">
        <v>92</v>
      </c>
      <c r="L4" s="10">
        <v>0.15</v>
      </c>
      <c r="M4" s="107" t="s">
        <v>93</v>
      </c>
      <c r="N4" s="8" t="s">
        <v>82</v>
      </c>
      <c r="O4" s="8" t="s">
        <v>83</v>
      </c>
      <c r="P4" s="8" t="s">
        <v>94</v>
      </c>
      <c r="Q4" s="8" t="s">
        <v>95</v>
      </c>
      <c r="R4" s="8" t="s">
        <v>192</v>
      </c>
      <c r="S4" s="8" t="s">
        <v>88</v>
      </c>
      <c r="T4" s="8" t="s">
        <v>89</v>
      </c>
      <c r="U4" s="8" t="s">
        <v>99</v>
      </c>
      <c r="V4" s="8" t="s">
        <v>98</v>
      </c>
      <c r="W4" s="8" t="s">
        <v>61</v>
      </c>
      <c r="X4" s="10">
        <v>0.85</v>
      </c>
      <c r="Y4" s="8" t="s">
        <v>97</v>
      </c>
      <c r="Z4" s="12" t="s">
        <v>62</v>
      </c>
      <c r="AA4" s="13" t="s">
        <v>64</v>
      </c>
      <c r="AB4" s="10">
        <v>0.15</v>
      </c>
      <c r="AC4" s="107" t="s">
        <v>96</v>
      </c>
      <c r="AE4" s="114" t="s">
        <v>113</v>
      </c>
      <c r="AF4" s="114" t="s">
        <v>111</v>
      </c>
      <c r="AG4" s="114" t="s">
        <v>112</v>
      </c>
      <c r="AH4" s="114" t="s">
        <v>151</v>
      </c>
      <c r="AI4" s="114" t="s">
        <v>101</v>
      </c>
    </row>
    <row r="5" spans="1:35" s="17" customFormat="1" ht="22.5">
      <c r="A5" s="93"/>
      <c r="B5" s="97" t="s">
        <v>189</v>
      </c>
      <c r="C5" s="88" t="s">
        <v>190</v>
      </c>
      <c r="D5" s="88" t="s">
        <v>54</v>
      </c>
      <c r="E5" s="88" t="s">
        <v>55</v>
      </c>
      <c r="F5" s="98" t="s">
        <v>75</v>
      </c>
      <c r="G5" s="93" t="s">
        <v>57</v>
      </c>
      <c r="H5" s="88" t="s">
        <v>73</v>
      </c>
      <c r="I5" s="94" t="s">
        <v>76</v>
      </c>
      <c r="J5" s="15" t="s">
        <v>66</v>
      </c>
      <c r="K5" s="88" t="s">
        <v>77</v>
      </c>
      <c r="L5" s="94" t="s">
        <v>78</v>
      </c>
      <c r="M5" s="95" t="s">
        <v>68</v>
      </c>
      <c r="N5" s="15" t="s">
        <v>84</v>
      </c>
      <c r="O5" s="15" t="s">
        <v>85</v>
      </c>
      <c r="P5" s="15" t="s">
        <v>86</v>
      </c>
      <c r="Q5" s="15" t="s">
        <v>87</v>
      </c>
      <c r="R5" s="93"/>
      <c r="S5" s="15" t="s">
        <v>84</v>
      </c>
      <c r="T5" s="15" t="s">
        <v>85</v>
      </c>
      <c r="U5" s="15" t="s">
        <v>86</v>
      </c>
      <c r="V5" s="15" t="s">
        <v>87</v>
      </c>
      <c r="W5" s="88" t="s">
        <v>59</v>
      </c>
      <c r="X5" s="94" t="s">
        <v>79</v>
      </c>
      <c r="Y5" s="88" t="s">
        <v>63</v>
      </c>
      <c r="Z5" s="88" t="s">
        <v>60</v>
      </c>
      <c r="AA5" s="94" t="s">
        <v>80</v>
      </c>
      <c r="AB5" s="94" t="s">
        <v>81</v>
      </c>
      <c r="AC5" s="96" t="s">
        <v>65</v>
      </c>
      <c r="AD5" s="16"/>
      <c r="AE5" s="15">
        <f>+AH5*0.5</f>
        <v>4005745695.0337944</v>
      </c>
      <c r="AF5" s="15">
        <f>+AH5*0.25</f>
        <v>2002872847.5168972</v>
      </c>
      <c r="AG5" s="15">
        <f>+AH5*0.25</f>
        <v>2002872847.5168972</v>
      </c>
      <c r="AH5" s="15">
        <f>+'PART PEF2020'!D4+'PART PEF2020'!D5+'PART PEF2020'!D7+'PART PEF2020'!D8+'PART PEF2020'!D9+'PART PEF2020'!D10+'PART PEF2020'!D11</f>
        <v>8011491390.0675888</v>
      </c>
    </row>
    <row r="6" spans="1:35" s="25" customFormat="1" ht="23.25" customHeight="1" thickBot="1">
      <c r="A6" s="18"/>
      <c r="B6" s="19"/>
      <c r="C6" s="19"/>
      <c r="D6" s="19"/>
      <c r="E6" s="19"/>
      <c r="F6" s="23"/>
      <c r="G6" s="18"/>
      <c r="H6" s="19"/>
      <c r="I6" s="20"/>
      <c r="J6" s="19"/>
      <c r="K6" s="19"/>
      <c r="L6" s="20"/>
      <c r="M6" s="21"/>
      <c r="N6" s="15"/>
      <c r="O6" s="15"/>
      <c r="P6" s="15"/>
      <c r="Q6" s="15"/>
      <c r="R6" s="18"/>
      <c r="S6" s="15"/>
      <c r="T6" s="15"/>
      <c r="U6" s="15"/>
      <c r="V6" s="15"/>
      <c r="W6" s="19"/>
      <c r="X6" s="22"/>
      <c r="Y6" s="19"/>
      <c r="Z6" s="19"/>
      <c r="AA6" s="20"/>
      <c r="AB6" s="20"/>
      <c r="AC6" s="21"/>
      <c r="AD6" s="19"/>
      <c r="AE6" s="15" t="s">
        <v>123</v>
      </c>
      <c r="AF6" s="15" t="s">
        <v>124</v>
      </c>
      <c r="AG6" s="15" t="s">
        <v>72</v>
      </c>
      <c r="AH6" s="24" t="s">
        <v>125</v>
      </c>
      <c r="AI6" s="24" t="s">
        <v>70</v>
      </c>
    </row>
    <row r="7" spans="1:35" ht="15" thickTop="1">
      <c r="A7" s="2" t="s">
        <v>1</v>
      </c>
      <c r="B7" s="29">
        <v>501046</v>
      </c>
      <c r="C7" s="29">
        <v>110684</v>
      </c>
      <c r="D7" s="36">
        <f t="shared" ref="D7:D38" si="0">+C7/B7</f>
        <v>0.22090586493056527</v>
      </c>
      <c r="E7" s="37">
        <f>+D7*C7</f>
        <v>24450.744753974686</v>
      </c>
      <c r="F7" s="108">
        <f t="shared" ref="F7:F38" si="1">+E7/E$58</f>
        <v>1.4058873788201117E-5</v>
      </c>
      <c r="G7" s="26">
        <v>2639</v>
      </c>
      <c r="H7" s="102">
        <f t="shared" ref="H7:H38" si="2">+G7/$G$58</f>
        <v>5.1547962458863201E-4</v>
      </c>
      <c r="I7" s="28">
        <f>+H7*I$4</f>
        <v>4.381576809003372E-4</v>
      </c>
      <c r="J7" s="29">
        <v>47.45</v>
      </c>
      <c r="K7" s="99">
        <f t="shared" ref="K7:K38" si="3">+J7/$J$58</f>
        <v>7.3886478603129777E-4</v>
      </c>
      <c r="L7" s="30">
        <f>+K7*L$4</f>
        <v>1.1082971790469465E-4</v>
      </c>
      <c r="M7" s="108">
        <f>+L7+I7</f>
        <v>5.4898739880503188E-4</v>
      </c>
      <c r="N7" s="31">
        <v>334</v>
      </c>
      <c r="O7" s="32">
        <v>78</v>
      </c>
      <c r="P7" s="32">
        <v>539</v>
      </c>
      <c r="Q7" s="32">
        <v>28</v>
      </c>
      <c r="R7" s="33">
        <f t="shared" ref="R7:R38" si="4">(0.25*(N7/N$58))+(0.25*(O7/O$58))+(0.25*(P7/P$58))+(0.25*(Q7/Q$58))</f>
        <v>9.9915696601149016E-4</v>
      </c>
      <c r="S7" s="34">
        <v>194.999999997044</v>
      </c>
      <c r="T7" s="34">
        <v>51</v>
      </c>
      <c r="U7" s="34">
        <v>69</v>
      </c>
      <c r="V7" s="34">
        <v>52</v>
      </c>
      <c r="W7" s="33">
        <f t="shared" ref="W7:W38" si="5">(0.25*(S7/S$58))+(0.25*(T7/T$58))+(0.25*(U7/U$58))+(0.25*(V7/V$58))</f>
        <v>1.4146606123147524E-3</v>
      </c>
      <c r="X7" s="35">
        <f t="shared" ref="X7:X38" si="6">+W7*X$4</f>
        <v>1.2024615204675394E-3</v>
      </c>
      <c r="Y7" s="27">
        <f t="shared" ref="Y7:Y38" si="7">+(W7-R7)/R7</f>
        <v>0.415854225549666</v>
      </c>
      <c r="Z7" s="27">
        <f t="shared" ref="Z7:Z57" si="8">IF(Y7&gt;0,0,Y7)</f>
        <v>0</v>
      </c>
      <c r="AA7" s="28">
        <f>+Z7/Z$58</f>
        <v>0</v>
      </c>
      <c r="AB7" s="28">
        <f t="shared" ref="AB7:AB38" si="9">+AA7*AB$4</f>
        <v>0</v>
      </c>
      <c r="AC7" s="108">
        <f t="shared" ref="AC7:AC57" si="10">+AB7+X7</f>
        <v>1.2024615204675394E-3</v>
      </c>
      <c r="AE7" s="38">
        <f t="shared" ref="AE7:AE38" si="11">+F7*AE$5</f>
        <v>56316.273154110073</v>
      </c>
      <c r="AF7" s="39">
        <f t="shared" ref="AF7:AF38" si="12">+M7*AF$5</f>
        <v>1099551.9546955286</v>
      </c>
      <c r="AG7" s="39">
        <f t="shared" ref="AG7:AG38" si="13">+AC7*AG$5</f>
        <v>2408377.5295283184</v>
      </c>
      <c r="AH7" s="39">
        <f>SUM(AE7:AG7)</f>
        <v>3564245.757377957</v>
      </c>
      <c r="AI7" s="40">
        <f>+AH7/AH$58</f>
        <v>4.448916667122433E-4</v>
      </c>
    </row>
    <row r="8" spans="1:35" ht="14.25">
      <c r="A8" s="4" t="s">
        <v>2</v>
      </c>
      <c r="B8" s="44">
        <v>2275034</v>
      </c>
      <c r="C8" s="44">
        <v>953414</v>
      </c>
      <c r="D8" s="51">
        <f t="shared" si="0"/>
        <v>0.41907681379706851</v>
      </c>
      <c r="E8" s="52">
        <f t="shared" ref="E8:E57" si="14">+D8*C8</f>
        <v>399553.70134951826</v>
      </c>
      <c r="F8" s="109">
        <f t="shared" si="1"/>
        <v>2.2973840328394666E-4</v>
      </c>
      <c r="G8" s="41">
        <v>2439</v>
      </c>
      <c r="H8" s="103">
        <f t="shared" si="2"/>
        <v>4.7641334004231659E-4</v>
      </c>
      <c r="I8" s="43">
        <f t="shared" ref="I8:I57" si="15">+H8*I$4</f>
        <v>4.0495133903596908E-4</v>
      </c>
      <c r="J8" s="44">
        <v>978.99</v>
      </c>
      <c r="K8" s="100">
        <f t="shared" si="3"/>
        <v>1.524428317970032E-2</v>
      </c>
      <c r="L8" s="45">
        <f t="shared" ref="L8:L57" si="16">+K8*L$4</f>
        <v>2.2866424769550477E-3</v>
      </c>
      <c r="M8" s="109">
        <f t="shared" ref="M8:M57" si="17">+L8+I8</f>
        <v>2.6915938159910169E-3</v>
      </c>
      <c r="N8" s="46">
        <v>768</v>
      </c>
      <c r="O8" s="47">
        <v>191</v>
      </c>
      <c r="P8" s="47">
        <v>961</v>
      </c>
      <c r="Q8" s="47">
        <v>102</v>
      </c>
      <c r="R8" s="48">
        <f t="shared" si="4"/>
        <v>2.3625109877890441E-3</v>
      </c>
      <c r="S8" s="49">
        <v>468.99999999269994</v>
      </c>
      <c r="T8" s="49">
        <v>120</v>
      </c>
      <c r="U8" s="49">
        <v>175</v>
      </c>
      <c r="V8" s="49">
        <v>44</v>
      </c>
      <c r="W8" s="48">
        <f t="shared" si="5"/>
        <v>1.9352079794187835E-3</v>
      </c>
      <c r="X8" s="50">
        <f t="shared" si="6"/>
        <v>1.644926782505966E-3</v>
      </c>
      <c r="Y8" s="42">
        <f t="shared" si="7"/>
        <v>-0.1808681570493571</v>
      </c>
      <c r="Z8" s="42">
        <f t="shared" si="8"/>
        <v>-0.1808681570493571</v>
      </c>
      <c r="AA8" s="43">
        <f t="shared" ref="AA8:AA57" si="18">+Z8/Z$58</f>
        <v>3.3703048799913031E-2</v>
      </c>
      <c r="AB8" s="43">
        <f t="shared" si="9"/>
        <v>5.0554573199869546E-3</v>
      </c>
      <c r="AC8" s="109">
        <f t="shared" si="10"/>
        <v>6.7003841024929206E-3</v>
      </c>
      <c r="AE8" s="53">
        <f t="shared" si="11"/>
        <v>920273.61993860709</v>
      </c>
      <c r="AF8" s="54">
        <f t="shared" si="12"/>
        <v>5390920.1705927998</v>
      </c>
      <c r="AG8" s="54">
        <f t="shared" si="13"/>
        <v>13420017.386816945</v>
      </c>
      <c r="AH8" s="54">
        <f t="shared" ref="AH8:AH57" si="19">SUM(AE8:AG8)</f>
        <v>19731211.177348353</v>
      </c>
      <c r="AI8" s="55">
        <f t="shared" ref="AI8:AI57" si="20">+AH8/AH$58</f>
        <v>2.4628636812629575E-3</v>
      </c>
    </row>
    <row r="9" spans="1:35" ht="14.25">
      <c r="A9" s="4" t="s">
        <v>218</v>
      </c>
      <c r="B9" s="44">
        <v>1068579</v>
      </c>
      <c r="C9" s="44">
        <v>293401</v>
      </c>
      <c r="D9" s="51">
        <f t="shared" si="0"/>
        <v>0.27457118285124449</v>
      </c>
      <c r="E9" s="52">
        <f t="shared" si="14"/>
        <v>80559.459619737987</v>
      </c>
      <c r="F9" s="109">
        <f t="shared" si="1"/>
        <v>4.6320686205497708E-5</v>
      </c>
      <c r="G9" s="41">
        <v>1292</v>
      </c>
      <c r="H9" s="103">
        <f t="shared" si="2"/>
        <v>2.5236819816919762E-4</v>
      </c>
      <c r="I9" s="43">
        <f t="shared" si="15"/>
        <v>2.1451296844381799E-4</v>
      </c>
      <c r="J9" s="44">
        <v>696.75</v>
      </c>
      <c r="K9" s="100">
        <f t="shared" si="3"/>
        <v>1.0849400203736705E-2</v>
      </c>
      <c r="L9" s="45">
        <f t="shared" si="16"/>
        <v>1.6274100305605057E-3</v>
      </c>
      <c r="M9" s="109">
        <f t="shared" si="17"/>
        <v>1.8419229990043237E-3</v>
      </c>
      <c r="N9" s="46">
        <v>363</v>
      </c>
      <c r="O9" s="47">
        <v>91</v>
      </c>
      <c r="P9" s="47">
        <v>728</v>
      </c>
      <c r="Q9" s="47">
        <v>81</v>
      </c>
      <c r="R9" s="48">
        <f t="shared" si="4"/>
        <v>1.5329909308086662E-3</v>
      </c>
      <c r="S9" s="49">
        <v>209.00000000199</v>
      </c>
      <c r="T9" s="49">
        <v>60</v>
      </c>
      <c r="U9" s="49">
        <v>193</v>
      </c>
      <c r="V9" s="49">
        <v>19</v>
      </c>
      <c r="W9" s="48">
        <f t="shared" si="5"/>
        <v>1.107137155609233E-3</v>
      </c>
      <c r="X9" s="50">
        <f t="shared" si="6"/>
        <v>9.4106658226784804E-4</v>
      </c>
      <c r="Y9" s="42">
        <f t="shared" si="7"/>
        <v>-0.27779275574369616</v>
      </c>
      <c r="Z9" s="42">
        <f t="shared" si="8"/>
        <v>-0.27779275574369616</v>
      </c>
      <c r="AA9" s="43">
        <f t="shared" si="18"/>
        <v>5.1764019470476444E-2</v>
      </c>
      <c r="AB9" s="43">
        <f t="shared" si="9"/>
        <v>7.7646029205714661E-3</v>
      </c>
      <c r="AC9" s="109">
        <f t="shared" si="10"/>
        <v>8.7056695028393145E-3</v>
      </c>
      <c r="AE9" s="53">
        <f t="shared" si="11"/>
        <v>185548.88935868372</v>
      </c>
      <c r="AF9" s="54">
        <f t="shared" si="12"/>
        <v>3689137.5619226526</v>
      </c>
      <c r="AG9" s="54">
        <f t="shared" si="13"/>
        <v>17436349.066692788</v>
      </c>
      <c r="AH9" s="54">
        <f t="shared" si="19"/>
        <v>21311035.517974123</v>
      </c>
      <c r="AI9" s="55">
        <f t="shared" si="20"/>
        <v>2.6600584685636578E-3</v>
      </c>
    </row>
    <row r="10" spans="1:35" ht="13.5" customHeight="1">
      <c r="A10" s="4" t="s">
        <v>4</v>
      </c>
      <c r="B10" s="44">
        <v>34304269</v>
      </c>
      <c r="C10" s="44">
        <v>18200124</v>
      </c>
      <c r="D10" s="51">
        <f t="shared" si="0"/>
        <v>0.53054982748648571</v>
      </c>
      <c r="E10" s="52">
        <f t="shared" si="14"/>
        <v>9656072.6484326478</v>
      </c>
      <c r="F10" s="109">
        <f t="shared" si="1"/>
        <v>5.5521215414899598E-3</v>
      </c>
      <c r="G10" s="41">
        <v>34353</v>
      </c>
      <c r="H10" s="103">
        <f t="shared" si="2"/>
        <v>6.7102203650978689E-3</v>
      </c>
      <c r="I10" s="43">
        <f t="shared" si="15"/>
        <v>5.7036873103331887E-3</v>
      </c>
      <c r="J10" s="44">
        <v>190.52</v>
      </c>
      <c r="K10" s="100">
        <f t="shared" si="3"/>
        <v>2.9666705802883636E-3</v>
      </c>
      <c r="L10" s="45">
        <f t="shared" si="16"/>
        <v>4.4500058704325453E-4</v>
      </c>
      <c r="M10" s="109">
        <f t="shared" si="17"/>
        <v>6.148687897376443E-3</v>
      </c>
      <c r="N10" s="46">
        <v>3420</v>
      </c>
      <c r="O10" s="47">
        <v>773</v>
      </c>
      <c r="P10" s="47">
        <v>6993</v>
      </c>
      <c r="Q10" s="47">
        <v>216</v>
      </c>
      <c r="R10" s="48">
        <f t="shared" si="4"/>
        <v>1.080919807213418E-2</v>
      </c>
      <c r="S10" s="49">
        <v>2055.0000000045479</v>
      </c>
      <c r="T10" s="49">
        <v>629</v>
      </c>
      <c r="U10" s="49">
        <v>1238</v>
      </c>
      <c r="V10" s="49">
        <v>59</v>
      </c>
      <c r="W10" s="48">
        <f t="shared" si="5"/>
        <v>7.3516705304182165E-3</v>
      </c>
      <c r="X10" s="50">
        <f t="shared" si="6"/>
        <v>6.2489199508554841E-3</v>
      </c>
      <c r="Y10" s="42">
        <f t="shared" si="7"/>
        <v>-0.31986901513345156</v>
      </c>
      <c r="Z10" s="42">
        <f t="shared" si="8"/>
        <v>-0.31986901513345156</v>
      </c>
      <c r="AA10" s="43">
        <f t="shared" si="18"/>
        <v>5.9604527422043294E-2</v>
      </c>
      <c r="AB10" s="43">
        <f t="shared" si="9"/>
        <v>8.9406791133064944E-3</v>
      </c>
      <c r="AC10" s="109">
        <f t="shared" si="10"/>
        <v>1.5189599064161979E-2</v>
      </c>
      <c r="AE10" s="53">
        <f t="shared" si="11"/>
        <v>22240386.963127799</v>
      </c>
      <c r="AF10" s="54">
        <f t="shared" si="12"/>
        <v>12315040.03751104</v>
      </c>
      <c r="AG10" s="54">
        <f t="shared" si="13"/>
        <v>30422835.530278102</v>
      </c>
      <c r="AH10" s="54">
        <f t="shared" si="19"/>
        <v>64978262.530916944</v>
      </c>
      <c r="AI10" s="55">
        <f t="shared" si="20"/>
        <v>8.1106325111295844E-3</v>
      </c>
    </row>
    <row r="11" spans="1:35" ht="14.25">
      <c r="A11" s="4" t="s">
        <v>219</v>
      </c>
      <c r="B11" s="44">
        <v>10108332</v>
      </c>
      <c r="C11" s="44">
        <v>1756976</v>
      </c>
      <c r="D11" s="51">
        <f t="shared" si="0"/>
        <v>0.17381463133581287</v>
      </c>
      <c r="E11" s="52">
        <f t="shared" si="14"/>
        <v>305388.13570587116</v>
      </c>
      <c r="F11" s="109">
        <f t="shared" si="1"/>
        <v>1.7559437552939751E-4</v>
      </c>
      <c r="G11" s="41">
        <v>18194</v>
      </c>
      <c r="H11" s="103">
        <f t="shared" si="2"/>
        <v>3.5538599051783142E-3</v>
      </c>
      <c r="I11" s="43">
        <f t="shared" si="15"/>
        <v>3.0207809194015669E-3</v>
      </c>
      <c r="J11" s="44">
        <v>4572.87</v>
      </c>
      <c r="K11" s="100">
        <f t="shared" si="3"/>
        <v>7.1206166788175776E-2</v>
      </c>
      <c r="L11" s="45">
        <f t="shared" si="16"/>
        <v>1.0680925018226366E-2</v>
      </c>
      <c r="M11" s="109">
        <f t="shared" si="17"/>
        <v>1.3701705937627932E-2</v>
      </c>
      <c r="N11" s="46">
        <v>3207</v>
      </c>
      <c r="O11" s="47">
        <v>706</v>
      </c>
      <c r="P11" s="47">
        <v>5696</v>
      </c>
      <c r="Q11" s="47">
        <v>1464</v>
      </c>
      <c r="R11" s="48">
        <f t="shared" si="4"/>
        <v>1.749446911165152E-2</v>
      </c>
      <c r="S11" s="49">
        <v>2802.0000000077798</v>
      </c>
      <c r="T11" s="49">
        <v>510</v>
      </c>
      <c r="U11" s="49">
        <v>1865</v>
      </c>
      <c r="V11" s="49">
        <v>534</v>
      </c>
      <c r="W11" s="48">
        <f t="shared" si="5"/>
        <v>1.7457626250445064E-2</v>
      </c>
      <c r="X11" s="50">
        <f t="shared" si="6"/>
        <v>1.4838982312878304E-2</v>
      </c>
      <c r="Y11" s="42">
        <f t="shared" si="7"/>
        <v>-2.1059719486953626E-3</v>
      </c>
      <c r="Z11" s="42">
        <f t="shared" si="8"/>
        <v>-2.1059719486953626E-3</v>
      </c>
      <c r="AA11" s="43">
        <f t="shared" si="18"/>
        <v>3.9242770267603632E-4</v>
      </c>
      <c r="AB11" s="43">
        <f t="shared" si="9"/>
        <v>5.8864155401405446E-5</v>
      </c>
      <c r="AC11" s="109">
        <f t="shared" si="10"/>
        <v>1.4897846468279709E-2</v>
      </c>
      <c r="AE11" s="53">
        <f t="shared" si="11"/>
        <v>703386.41384903155</v>
      </c>
      <c r="AF11" s="54">
        <f t="shared" si="12"/>
        <v>27442774.787136033</v>
      </c>
      <c r="AG11" s="54">
        <f t="shared" si="13"/>
        <v>29838492.177792933</v>
      </c>
      <c r="AH11" s="54">
        <f t="shared" si="19"/>
        <v>57984653.378777996</v>
      </c>
      <c r="AI11" s="55">
        <f t="shared" si="20"/>
        <v>7.2376852892416079E-3</v>
      </c>
    </row>
    <row r="12" spans="1:35" ht="14.25">
      <c r="A12" s="4" t="s">
        <v>6</v>
      </c>
      <c r="B12" s="44">
        <v>653982108</v>
      </c>
      <c r="C12" s="44">
        <v>292840828.44</v>
      </c>
      <c r="D12" s="51">
        <f t="shared" si="0"/>
        <v>0.44778110113067499</v>
      </c>
      <c r="E12" s="52">
        <f t="shared" si="14"/>
        <v>131128588.61488228</v>
      </c>
      <c r="F12" s="109">
        <f t="shared" si="1"/>
        <v>7.5397305722636324E-2</v>
      </c>
      <c r="G12" s="41">
        <v>597207</v>
      </c>
      <c r="H12" s="103">
        <f t="shared" si="2"/>
        <v>0.11665329297525698</v>
      </c>
      <c r="I12" s="43">
        <f t="shared" si="15"/>
        <v>9.9155299028968427E-2</v>
      </c>
      <c r="J12" s="44">
        <v>238.03</v>
      </c>
      <c r="K12" s="100">
        <f t="shared" si="3"/>
        <v>3.7064696526665922E-3</v>
      </c>
      <c r="L12" s="45">
        <f t="shared" si="16"/>
        <v>5.5597044789998883E-4</v>
      </c>
      <c r="M12" s="109">
        <f t="shared" si="17"/>
        <v>9.9711269476868411E-2</v>
      </c>
      <c r="N12" s="46">
        <v>27572</v>
      </c>
      <c r="O12" s="47">
        <v>4134</v>
      </c>
      <c r="P12" s="47">
        <v>4960</v>
      </c>
      <c r="Q12" s="47">
        <v>1244</v>
      </c>
      <c r="R12" s="48">
        <f t="shared" si="4"/>
        <v>3.9529532272485512E-2</v>
      </c>
      <c r="S12" s="49">
        <v>34239.000000084088</v>
      </c>
      <c r="T12" s="49">
        <v>3826</v>
      </c>
      <c r="U12" s="49">
        <v>1071</v>
      </c>
      <c r="V12" s="49">
        <v>267</v>
      </c>
      <c r="W12" s="48">
        <f t="shared" si="5"/>
        <v>4.7025042297749592E-2</v>
      </c>
      <c r="X12" s="50">
        <f t="shared" si="6"/>
        <v>3.9971285953087153E-2</v>
      </c>
      <c r="Y12" s="42">
        <f t="shared" si="7"/>
        <v>0.18961797912497236</v>
      </c>
      <c r="Z12" s="42">
        <f t="shared" si="8"/>
        <v>0</v>
      </c>
      <c r="AA12" s="43">
        <f t="shared" si="18"/>
        <v>0</v>
      </c>
      <c r="AB12" s="43">
        <f t="shared" si="9"/>
        <v>0</v>
      </c>
      <c r="AC12" s="109">
        <f t="shared" si="10"/>
        <v>3.9971285953087153E-2</v>
      </c>
      <c r="AE12" s="53">
        <f t="shared" si="11"/>
        <v>302022432.8155973</v>
      </c>
      <c r="AF12" s="54">
        <f t="shared" si="12"/>
        <v>199708994.2266601</v>
      </c>
      <c r="AG12" s="54">
        <f t="shared" si="13"/>
        <v>80057403.315771818</v>
      </c>
      <c r="AH12" s="54">
        <f t="shared" si="19"/>
        <v>581788830.35802925</v>
      </c>
      <c r="AI12" s="55">
        <f t="shared" si="20"/>
        <v>7.2619291718807044E-2</v>
      </c>
    </row>
    <row r="13" spans="1:35" ht="14.25">
      <c r="A13" s="4" t="s">
        <v>7</v>
      </c>
      <c r="B13" s="44">
        <v>1436942</v>
      </c>
      <c r="C13" s="44">
        <v>785811.45</v>
      </c>
      <c r="D13" s="51">
        <f t="shared" si="0"/>
        <v>0.54686372170901809</v>
      </c>
      <c r="E13" s="52">
        <f t="shared" si="14"/>
        <v>429731.77410855994</v>
      </c>
      <c r="F13" s="109">
        <f t="shared" si="1"/>
        <v>2.4709041936196605E-4</v>
      </c>
      <c r="G13" s="41">
        <v>16152</v>
      </c>
      <c r="H13" s="103">
        <f t="shared" si="2"/>
        <v>3.1549931399604335E-3</v>
      </c>
      <c r="I13" s="43">
        <f t="shared" si="15"/>
        <v>2.6817441689663685E-3</v>
      </c>
      <c r="J13" s="44">
        <v>2664.8</v>
      </c>
      <c r="K13" s="100">
        <f t="shared" si="3"/>
        <v>4.149477095503061E-2</v>
      </c>
      <c r="L13" s="45">
        <f t="shared" si="16"/>
        <v>6.224215643254591E-3</v>
      </c>
      <c r="M13" s="109">
        <f t="shared" si="17"/>
        <v>8.9059598122209586E-3</v>
      </c>
      <c r="N13" s="46">
        <v>3888</v>
      </c>
      <c r="O13" s="47">
        <v>1372</v>
      </c>
      <c r="P13" s="47">
        <v>11340</v>
      </c>
      <c r="Q13" s="47">
        <v>3122</v>
      </c>
      <c r="R13" s="48">
        <f t="shared" si="4"/>
        <v>3.4598234920911047E-2</v>
      </c>
      <c r="S13" s="49">
        <v>3560.0000000065597</v>
      </c>
      <c r="T13" s="49">
        <v>1140</v>
      </c>
      <c r="U13" s="49">
        <v>7405</v>
      </c>
      <c r="V13" s="49">
        <v>920</v>
      </c>
      <c r="W13" s="48">
        <f t="shared" si="5"/>
        <v>3.8484178834662916E-2</v>
      </c>
      <c r="X13" s="50">
        <f t="shared" si="6"/>
        <v>3.2711552009463477E-2</v>
      </c>
      <c r="Y13" s="42">
        <f t="shared" si="7"/>
        <v>0.11231624742229894</v>
      </c>
      <c r="Z13" s="42">
        <f t="shared" si="8"/>
        <v>0</v>
      </c>
      <c r="AA13" s="43">
        <f t="shared" si="18"/>
        <v>0</v>
      </c>
      <c r="AB13" s="43">
        <f t="shared" si="9"/>
        <v>0</v>
      </c>
      <c r="AC13" s="109">
        <f t="shared" si="10"/>
        <v>3.2711552009463477E-2</v>
      </c>
      <c r="AE13" s="53">
        <f t="shared" si="11"/>
        <v>989781.38364329038</v>
      </c>
      <c r="AF13" s="54">
        <f t="shared" si="12"/>
        <v>17837505.088974044</v>
      </c>
      <c r="AG13" s="54">
        <f t="shared" si="13"/>
        <v>65517079.319891192</v>
      </c>
      <c r="AH13" s="54">
        <f t="shared" si="19"/>
        <v>84344365.792508528</v>
      </c>
      <c r="AI13" s="55">
        <f t="shared" si="20"/>
        <v>1.0527923165102092E-2</v>
      </c>
    </row>
    <row r="14" spans="1:35" ht="14.25">
      <c r="A14" s="4" t="s">
        <v>8</v>
      </c>
      <c r="B14" s="44">
        <v>2146802</v>
      </c>
      <c r="C14" s="44">
        <v>927656</v>
      </c>
      <c r="D14" s="51">
        <f t="shared" si="0"/>
        <v>0.43211064644061259</v>
      </c>
      <c r="E14" s="52">
        <f t="shared" si="14"/>
        <v>400850.03383451293</v>
      </c>
      <c r="F14" s="109">
        <f t="shared" si="1"/>
        <v>2.3048377832169973E-4</v>
      </c>
      <c r="G14" s="41">
        <v>3977</v>
      </c>
      <c r="H14" s="103">
        <f t="shared" si="2"/>
        <v>7.7683306820348224E-4</v>
      </c>
      <c r="I14" s="43">
        <f t="shared" si="15"/>
        <v>6.6030810797295986E-4</v>
      </c>
      <c r="J14" s="44">
        <v>465.62</v>
      </c>
      <c r="K14" s="100">
        <f t="shared" si="3"/>
        <v>7.2503734809671837E-3</v>
      </c>
      <c r="L14" s="45">
        <f t="shared" si="16"/>
        <v>1.0875560221450776E-3</v>
      </c>
      <c r="M14" s="109">
        <f t="shared" si="17"/>
        <v>1.7478641301180375E-3</v>
      </c>
      <c r="N14" s="46">
        <v>739</v>
      </c>
      <c r="O14" s="47">
        <v>153</v>
      </c>
      <c r="P14" s="47">
        <v>789</v>
      </c>
      <c r="Q14" s="47">
        <v>57</v>
      </c>
      <c r="R14" s="48">
        <f t="shared" si="4"/>
        <v>1.8214399438062257E-3</v>
      </c>
      <c r="S14" s="49">
        <v>518.99999999744</v>
      </c>
      <c r="T14" s="49">
        <v>104</v>
      </c>
      <c r="U14" s="49">
        <v>89</v>
      </c>
      <c r="V14" s="49">
        <v>41</v>
      </c>
      <c r="W14" s="48">
        <f t="shared" si="5"/>
        <v>1.6906448867138209E-3</v>
      </c>
      <c r="X14" s="50">
        <f t="shared" si="6"/>
        <v>1.4370481537067476E-3</v>
      </c>
      <c r="Y14" s="42">
        <f t="shared" si="7"/>
        <v>-7.1808602604313709E-2</v>
      </c>
      <c r="Z14" s="42">
        <f t="shared" si="8"/>
        <v>-7.1808602604313709E-2</v>
      </c>
      <c r="AA14" s="43">
        <f t="shared" si="18"/>
        <v>1.3380845347842557E-2</v>
      </c>
      <c r="AB14" s="43">
        <f t="shared" si="9"/>
        <v>2.0071268021763836E-3</v>
      </c>
      <c r="AC14" s="109">
        <f t="shared" si="10"/>
        <v>3.4441749558831313E-3</v>
      </c>
      <c r="AE14" s="53">
        <f t="shared" si="11"/>
        <v>923259.40278727212</v>
      </c>
      <c r="AF14" s="54">
        <f t="shared" si="12"/>
        <v>3500749.6073621581</v>
      </c>
      <c r="AG14" s="54">
        <f t="shared" si="13"/>
        <v>6898244.5012360308</v>
      </c>
      <c r="AH14" s="54">
        <f t="shared" si="19"/>
        <v>11322253.511385461</v>
      </c>
      <c r="AI14" s="55">
        <f t="shared" si="20"/>
        <v>1.4132516606611418E-3</v>
      </c>
    </row>
    <row r="15" spans="1:35" ht="14.25">
      <c r="A15" s="4" t="s">
        <v>203</v>
      </c>
      <c r="B15" s="44">
        <v>98384121</v>
      </c>
      <c r="C15" s="44">
        <v>28519495.5</v>
      </c>
      <c r="D15" s="51">
        <f t="shared" si="0"/>
        <v>0.28987904968932943</v>
      </c>
      <c r="E15" s="52">
        <f t="shared" si="14"/>
        <v>8267204.2531591067</v>
      </c>
      <c r="F15" s="109">
        <f t="shared" si="1"/>
        <v>4.7535395075256155E-3</v>
      </c>
      <c r="G15" s="41">
        <v>95534</v>
      </c>
      <c r="H15" s="103">
        <f t="shared" si="2"/>
        <v>1.8660792139238488E-2</v>
      </c>
      <c r="I15" s="43">
        <f t="shared" si="15"/>
        <v>1.5861673318352715E-2</v>
      </c>
      <c r="J15" s="44">
        <v>1140.97</v>
      </c>
      <c r="K15" s="100">
        <f t="shared" si="3"/>
        <v>1.7766544887631817E-2</v>
      </c>
      <c r="L15" s="45">
        <f t="shared" si="16"/>
        <v>2.6649817331447726E-3</v>
      </c>
      <c r="M15" s="109">
        <f t="shared" si="17"/>
        <v>1.852665505149749E-2</v>
      </c>
      <c r="N15" s="46">
        <v>6662</v>
      </c>
      <c r="O15" s="47">
        <v>2055</v>
      </c>
      <c r="P15" s="47">
        <v>14558</v>
      </c>
      <c r="Q15" s="47">
        <v>683</v>
      </c>
      <c r="R15" s="48">
        <f t="shared" si="4"/>
        <v>2.4992050690700995E-2</v>
      </c>
      <c r="S15" s="49">
        <v>5056.9999999440479</v>
      </c>
      <c r="T15" s="49">
        <v>1587</v>
      </c>
      <c r="U15" s="49">
        <v>3489</v>
      </c>
      <c r="V15" s="49">
        <v>461</v>
      </c>
      <c r="W15" s="48">
        <f t="shared" si="5"/>
        <v>2.4875384301981683E-2</v>
      </c>
      <c r="X15" s="50">
        <f t="shared" si="6"/>
        <v>2.114407665668443E-2</v>
      </c>
      <c r="Y15" s="42">
        <f t="shared" si="7"/>
        <v>-4.6681398882853836E-3</v>
      </c>
      <c r="Z15" s="42">
        <f t="shared" si="8"/>
        <v>-4.6681398882853836E-3</v>
      </c>
      <c r="AA15" s="43">
        <f t="shared" si="18"/>
        <v>8.6986315903450563E-4</v>
      </c>
      <c r="AB15" s="43">
        <f t="shared" si="9"/>
        <v>1.3047947385517585E-4</v>
      </c>
      <c r="AC15" s="109">
        <f t="shared" si="10"/>
        <v>2.1274556130539607E-2</v>
      </c>
      <c r="AE15" s="53">
        <f t="shared" si="11"/>
        <v>19041470.418443799</v>
      </c>
      <c r="AF15" s="54">
        <f t="shared" si="12"/>
        <v>37106534.357956082</v>
      </c>
      <c r="AG15" s="54">
        <f t="shared" si="13"/>
        <v>42610230.816831924</v>
      </c>
      <c r="AH15" s="54">
        <f t="shared" si="19"/>
        <v>98758235.593231797</v>
      </c>
      <c r="AI15" s="55">
        <f t="shared" si="20"/>
        <v>1.2327072549272079E-2</v>
      </c>
    </row>
    <row r="16" spans="1:35" ht="14.25">
      <c r="A16" s="4" t="s">
        <v>204</v>
      </c>
      <c r="B16" s="44">
        <v>21304607</v>
      </c>
      <c r="C16" s="44">
        <v>6103961.7199999997</v>
      </c>
      <c r="D16" s="51">
        <f t="shared" si="0"/>
        <v>0.28650900342822561</v>
      </c>
      <c r="E16" s="52">
        <f t="shared" si="14"/>
        <v>1748839.9893612377</v>
      </c>
      <c r="F16" s="109">
        <f t="shared" si="1"/>
        <v>1.0055612184243113E-3</v>
      </c>
      <c r="G16" s="41">
        <v>38306</v>
      </c>
      <c r="H16" s="103">
        <f t="shared" si="2"/>
        <v>7.4823654791557935E-3</v>
      </c>
      <c r="I16" s="43">
        <f t="shared" si="15"/>
        <v>6.3600106572824239E-3</v>
      </c>
      <c r="J16" s="44">
        <v>102.38</v>
      </c>
      <c r="K16" s="100">
        <f t="shared" si="3"/>
        <v>1.5942039366466652E-3</v>
      </c>
      <c r="L16" s="45">
        <f t="shared" si="16"/>
        <v>2.3913059049699976E-4</v>
      </c>
      <c r="M16" s="109">
        <f t="shared" si="17"/>
        <v>6.5991412477794239E-3</v>
      </c>
      <c r="N16" s="46">
        <v>981</v>
      </c>
      <c r="O16" s="47">
        <v>219</v>
      </c>
      <c r="P16" s="47">
        <v>1075</v>
      </c>
      <c r="Q16" s="47">
        <v>108</v>
      </c>
      <c r="R16" s="48">
        <f t="shared" si="4"/>
        <v>2.6902734400869759E-3</v>
      </c>
      <c r="S16" s="49">
        <v>716.99999998365001</v>
      </c>
      <c r="T16" s="49">
        <v>253</v>
      </c>
      <c r="U16" s="49">
        <v>273</v>
      </c>
      <c r="V16" s="49">
        <v>153</v>
      </c>
      <c r="W16" s="48">
        <f t="shared" si="5"/>
        <v>4.7685085778216962E-3</v>
      </c>
      <c r="X16" s="50">
        <f t="shared" si="6"/>
        <v>4.0532322911484417E-3</v>
      </c>
      <c r="Y16" s="42">
        <f t="shared" si="7"/>
        <v>0.77249959307762084</v>
      </c>
      <c r="Z16" s="42">
        <f t="shared" si="8"/>
        <v>0</v>
      </c>
      <c r="AA16" s="43">
        <f t="shared" si="18"/>
        <v>0</v>
      </c>
      <c r="AB16" s="43">
        <f t="shared" si="9"/>
        <v>0</v>
      </c>
      <c r="AC16" s="109">
        <f t="shared" si="10"/>
        <v>4.0532322911484417E-3</v>
      </c>
      <c r="AE16" s="53">
        <f t="shared" si="11"/>
        <v>4028022.5217961217</v>
      </c>
      <c r="AF16" s="54">
        <f t="shared" si="12"/>
        <v>13217240.822106184</v>
      </c>
      <c r="AG16" s="54">
        <f t="shared" si="13"/>
        <v>8118108.9006199166</v>
      </c>
      <c r="AH16" s="54">
        <f t="shared" si="19"/>
        <v>25363372.244522221</v>
      </c>
      <c r="AI16" s="55">
        <f t="shared" si="20"/>
        <v>3.1658739939441215E-3</v>
      </c>
    </row>
    <row r="17" spans="1:35" ht="14.25">
      <c r="A17" s="4" t="s">
        <v>205</v>
      </c>
      <c r="B17" s="44">
        <v>2970608</v>
      </c>
      <c r="C17" s="44">
        <v>826855</v>
      </c>
      <c r="D17" s="51">
        <f t="shared" si="0"/>
        <v>0.27834537576146029</v>
      </c>
      <c r="E17" s="52">
        <f t="shared" si="14"/>
        <v>230151.26567524223</v>
      </c>
      <c r="F17" s="109">
        <f t="shared" si="1"/>
        <v>1.3233411206409112E-4</v>
      </c>
      <c r="G17" s="41">
        <v>7757</v>
      </c>
      <c r="H17" s="103">
        <f t="shared" si="2"/>
        <v>1.5151858461288437E-3</v>
      </c>
      <c r="I17" s="43">
        <f t="shared" si="15"/>
        <v>1.2879079692095171E-3</v>
      </c>
      <c r="J17" s="44">
        <v>1006.89</v>
      </c>
      <c r="K17" s="100">
        <f t="shared" si="3"/>
        <v>1.5678726331023254E-2</v>
      </c>
      <c r="L17" s="45">
        <f t="shared" si="16"/>
        <v>2.3518089496534882E-3</v>
      </c>
      <c r="M17" s="109">
        <f t="shared" si="17"/>
        <v>3.6397169188630051E-3</v>
      </c>
      <c r="N17" s="46">
        <v>1343</v>
      </c>
      <c r="O17" s="47">
        <v>344</v>
      </c>
      <c r="P17" s="47">
        <v>1532</v>
      </c>
      <c r="Q17" s="47">
        <v>359</v>
      </c>
      <c r="R17" s="48">
        <f t="shared" si="4"/>
        <v>5.2022887779602407E-3</v>
      </c>
      <c r="S17" s="49">
        <v>655.00000000354908</v>
      </c>
      <c r="T17" s="49">
        <v>319</v>
      </c>
      <c r="U17" s="49">
        <v>345</v>
      </c>
      <c r="V17" s="49">
        <v>110</v>
      </c>
      <c r="W17" s="48">
        <f t="shared" si="5"/>
        <v>4.3080466935839033E-3</v>
      </c>
      <c r="X17" s="50">
        <f t="shared" si="6"/>
        <v>3.6618396895463177E-3</v>
      </c>
      <c r="Y17" s="42">
        <f t="shared" si="7"/>
        <v>-0.17189397254624528</v>
      </c>
      <c r="Z17" s="42">
        <f t="shared" si="8"/>
        <v>-0.17189397254624528</v>
      </c>
      <c r="AA17" s="43">
        <f t="shared" si="18"/>
        <v>3.2030795468082691E-2</v>
      </c>
      <c r="AB17" s="43">
        <f t="shared" si="9"/>
        <v>4.8046193202124039E-3</v>
      </c>
      <c r="AC17" s="109">
        <f t="shared" si="10"/>
        <v>8.4664590097587207E-3</v>
      </c>
      <c r="AE17" s="53">
        <f t="shared" si="11"/>
        <v>530096.79970685276</v>
      </c>
      <c r="AF17" s="54">
        <f t="shared" si="12"/>
        <v>7289890.1894385749</v>
      </c>
      <c r="AG17" s="54">
        <f t="shared" si="13"/>
        <v>16957240.865260538</v>
      </c>
      <c r="AH17" s="54">
        <f t="shared" si="19"/>
        <v>24777227.854405966</v>
      </c>
      <c r="AI17" s="55">
        <f t="shared" si="20"/>
        <v>3.0927110381874768E-3</v>
      </c>
    </row>
    <row r="18" spans="1:35" ht="14.25">
      <c r="A18" s="4" t="s">
        <v>12</v>
      </c>
      <c r="B18" s="44">
        <v>4274726</v>
      </c>
      <c r="C18" s="44">
        <v>1648610</v>
      </c>
      <c r="D18" s="51">
        <f t="shared" si="0"/>
        <v>0.38566448469445763</v>
      </c>
      <c r="E18" s="52">
        <f t="shared" si="14"/>
        <v>635810.32611212984</v>
      </c>
      <c r="F18" s="109">
        <f t="shared" si="1"/>
        <v>3.6558302080317402E-4</v>
      </c>
      <c r="G18" s="41">
        <v>10835</v>
      </c>
      <c r="H18" s="103">
        <f t="shared" si="2"/>
        <v>2.1164159652966382E-3</v>
      </c>
      <c r="I18" s="43">
        <f t="shared" si="15"/>
        <v>1.7989535705021423E-3</v>
      </c>
      <c r="J18" s="44">
        <v>4292.05</v>
      </c>
      <c r="K18" s="100">
        <f t="shared" si="3"/>
        <v>6.6833395255756198E-2</v>
      </c>
      <c r="L18" s="45">
        <f t="shared" si="16"/>
        <v>1.002500928836343E-2</v>
      </c>
      <c r="M18" s="109">
        <f t="shared" si="17"/>
        <v>1.1823962858865573E-2</v>
      </c>
      <c r="N18" s="46">
        <v>2046</v>
      </c>
      <c r="O18" s="47">
        <v>494</v>
      </c>
      <c r="P18" s="47">
        <v>4758</v>
      </c>
      <c r="Q18" s="47">
        <v>898</v>
      </c>
      <c r="R18" s="48">
        <f t="shared" si="4"/>
        <v>1.1896172975626618E-2</v>
      </c>
      <c r="S18" s="49">
        <v>787.99999998764804</v>
      </c>
      <c r="T18" s="49">
        <v>378</v>
      </c>
      <c r="U18" s="49">
        <v>1925</v>
      </c>
      <c r="V18" s="49">
        <v>123</v>
      </c>
      <c r="W18" s="48">
        <f t="shared" si="5"/>
        <v>8.0591670203057422E-3</v>
      </c>
      <c r="X18" s="50">
        <f t="shared" si="6"/>
        <v>6.8502919672598804E-3</v>
      </c>
      <c r="Y18" s="42">
        <f t="shared" si="7"/>
        <v>-0.32254120406472697</v>
      </c>
      <c r="Z18" s="42">
        <f t="shared" si="8"/>
        <v>-0.32254120406472697</v>
      </c>
      <c r="AA18" s="43">
        <f t="shared" si="18"/>
        <v>6.0102464236475396E-2</v>
      </c>
      <c r="AB18" s="43">
        <f t="shared" si="9"/>
        <v>9.0153696354713098E-3</v>
      </c>
      <c r="AC18" s="109">
        <f t="shared" si="10"/>
        <v>1.5865661602731191E-2</v>
      </c>
      <c r="AE18" s="53">
        <f t="shared" si="11"/>
        <v>1464432.6117597644</v>
      </c>
      <c r="AF18" s="54">
        <f t="shared" si="12"/>
        <v>23681894.160070121</v>
      </c>
      <c r="AG18" s="54">
        <f t="shared" si="13"/>
        <v>31776902.83200172</v>
      </c>
      <c r="AH18" s="54">
        <f t="shared" si="19"/>
        <v>56923229.603831604</v>
      </c>
      <c r="AI18" s="55">
        <f t="shared" si="20"/>
        <v>7.1051976258007772E-3</v>
      </c>
    </row>
    <row r="19" spans="1:35" ht="14.25">
      <c r="A19" s="4" t="s">
        <v>206</v>
      </c>
      <c r="B19" s="44">
        <v>41956827</v>
      </c>
      <c r="C19" s="44">
        <v>14225141</v>
      </c>
      <c r="D19" s="51">
        <f t="shared" si="0"/>
        <v>0.33904234464631944</v>
      </c>
      <c r="E19" s="52">
        <f t="shared" si="14"/>
        <v>4822925.1575644892</v>
      </c>
      <c r="F19" s="109">
        <f t="shared" si="1"/>
        <v>2.7731219135612157E-3</v>
      </c>
      <c r="G19" s="41">
        <v>42715</v>
      </c>
      <c r="H19" s="103">
        <f t="shared" si="2"/>
        <v>8.3435817219793176E-3</v>
      </c>
      <c r="I19" s="43">
        <f t="shared" si="15"/>
        <v>7.0920444636824193E-3</v>
      </c>
      <c r="J19" s="44">
        <v>146.56</v>
      </c>
      <c r="K19" s="100">
        <f t="shared" si="3"/>
        <v>2.2821501167702212E-3</v>
      </c>
      <c r="L19" s="45">
        <f t="shared" si="16"/>
        <v>3.4232251751553319E-4</v>
      </c>
      <c r="M19" s="109">
        <f t="shared" si="17"/>
        <v>7.4343669811979523E-3</v>
      </c>
      <c r="N19" s="46">
        <v>1162</v>
      </c>
      <c r="O19" s="47">
        <v>349</v>
      </c>
      <c r="P19" s="47">
        <v>489</v>
      </c>
      <c r="Q19" s="47">
        <v>43</v>
      </c>
      <c r="R19" s="48">
        <f t="shared" si="4"/>
        <v>2.3119536336203231E-3</v>
      </c>
      <c r="S19" s="49">
        <v>2032.9999999577099</v>
      </c>
      <c r="T19" s="49">
        <v>358</v>
      </c>
      <c r="U19" s="49">
        <v>131</v>
      </c>
      <c r="V19" s="49">
        <v>31</v>
      </c>
      <c r="W19" s="48">
        <f t="shared" si="5"/>
        <v>3.6514914876276086E-3</v>
      </c>
      <c r="X19" s="50">
        <f t="shared" si="6"/>
        <v>3.1037677644834673E-3</v>
      </c>
      <c r="Y19" s="42">
        <f t="shared" si="7"/>
        <v>0.57939650455259473</v>
      </c>
      <c r="Z19" s="42">
        <f t="shared" si="8"/>
        <v>0</v>
      </c>
      <c r="AA19" s="43">
        <f t="shared" si="18"/>
        <v>0</v>
      </c>
      <c r="AB19" s="43">
        <f t="shared" si="9"/>
        <v>0</v>
      </c>
      <c r="AC19" s="109">
        <f t="shared" si="10"/>
        <v>3.1037677644834673E-3</v>
      </c>
      <c r="AE19" s="53">
        <f t="shared" si="11"/>
        <v>11108421.167051718</v>
      </c>
      <c r="AF19" s="54">
        <f t="shared" si="12"/>
        <v>14890091.765117541</v>
      </c>
      <c r="AG19" s="54">
        <f t="shared" si="13"/>
        <v>6216452.1804821566</v>
      </c>
      <c r="AH19" s="54">
        <f t="shared" si="19"/>
        <v>32214965.112651415</v>
      </c>
      <c r="AI19" s="55">
        <f t="shared" si="20"/>
        <v>4.0210946432009623E-3</v>
      </c>
    </row>
    <row r="20" spans="1:35" ht="14.25">
      <c r="A20" s="4" t="s">
        <v>14</v>
      </c>
      <c r="B20" s="44">
        <v>6139487</v>
      </c>
      <c r="C20" s="44">
        <v>766514</v>
      </c>
      <c r="D20" s="51">
        <f t="shared" si="0"/>
        <v>0.12484984494632857</v>
      </c>
      <c r="E20" s="52">
        <f t="shared" si="14"/>
        <v>95699.154049190096</v>
      </c>
      <c r="F20" s="109">
        <f t="shared" si="1"/>
        <v>5.5025821992455631E-5</v>
      </c>
      <c r="G20" s="41">
        <v>34110</v>
      </c>
      <c r="H20" s="103">
        <f t="shared" si="2"/>
        <v>6.6627548293740953E-3</v>
      </c>
      <c r="I20" s="43">
        <f t="shared" si="15"/>
        <v>5.6633416049679808E-3</v>
      </c>
      <c r="J20" s="44">
        <v>5091.18</v>
      </c>
      <c r="K20" s="100">
        <f t="shared" si="3"/>
        <v>7.9276999396139566E-2</v>
      </c>
      <c r="L20" s="45">
        <f t="shared" si="16"/>
        <v>1.1891549909420934E-2</v>
      </c>
      <c r="M20" s="109">
        <f t="shared" si="17"/>
        <v>1.7554891514388916E-2</v>
      </c>
      <c r="N20" s="46">
        <v>7369</v>
      </c>
      <c r="O20" s="47">
        <v>3474</v>
      </c>
      <c r="P20" s="47">
        <v>27910</v>
      </c>
      <c r="Q20" s="47">
        <v>2988</v>
      </c>
      <c r="R20" s="48">
        <f t="shared" si="4"/>
        <v>5.4151178076420683E-2</v>
      </c>
      <c r="S20" s="49">
        <v>7387.0000000238397</v>
      </c>
      <c r="T20" s="49">
        <v>3170</v>
      </c>
      <c r="U20" s="49">
        <v>23798</v>
      </c>
      <c r="V20" s="49">
        <v>1385</v>
      </c>
      <c r="W20" s="48">
        <f t="shared" si="5"/>
        <v>9.0180106426097695E-2</v>
      </c>
      <c r="X20" s="50">
        <f t="shared" si="6"/>
        <v>7.6653090462183035E-2</v>
      </c>
      <c r="Y20" s="42">
        <f t="shared" si="7"/>
        <v>0.66533969582030694</v>
      </c>
      <c r="Z20" s="42">
        <f t="shared" si="8"/>
        <v>0</v>
      </c>
      <c r="AA20" s="43">
        <f t="shared" si="18"/>
        <v>0</v>
      </c>
      <c r="AB20" s="43">
        <f t="shared" si="9"/>
        <v>0</v>
      </c>
      <c r="AC20" s="109">
        <f t="shared" si="10"/>
        <v>7.6653090462183035E-2</v>
      </c>
      <c r="AE20" s="53">
        <f t="shared" si="11"/>
        <v>220419.44956197502</v>
      </c>
      <c r="AF20" s="54">
        <f t="shared" si="12"/>
        <v>35160215.555274345</v>
      </c>
      <c r="AG20" s="54">
        <f t="shared" si="13"/>
        <v>153526393.56496286</v>
      </c>
      <c r="AH20" s="54">
        <f t="shared" si="19"/>
        <v>188907028.56979918</v>
      </c>
      <c r="AI20" s="55">
        <f t="shared" si="20"/>
        <v>2.3579508405139216E-2</v>
      </c>
    </row>
    <row r="21" spans="1:35" ht="14.25">
      <c r="A21" s="4" t="s">
        <v>15</v>
      </c>
      <c r="B21" s="44">
        <v>1456249</v>
      </c>
      <c r="C21" s="44">
        <v>328496</v>
      </c>
      <c r="D21" s="51">
        <f t="shared" si="0"/>
        <v>0.2255768072630436</v>
      </c>
      <c r="E21" s="52">
        <f t="shared" si="14"/>
        <v>74101.078878680768</v>
      </c>
      <c r="F21" s="109">
        <f t="shared" si="1"/>
        <v>4.2607197695095084E-5</v>
      </c>
      <c r="G21" s="41">
        <v>1632</v>
      </c>
      <c r="H21" s="103">
        <f t="shared" si="2"/>
        <v>3.1878088189793386E-4</v>
      </c>
      <c r="I21" s="43">
        <f t="shared" si="15"/>
        <v>2.7096374961324375E-4</v>
      </c>
      <c r="J21" s="44">
        <v>720.74</v>
      </c>
      <c r="K21" s="100">
        <f t="shared" si="3"/>
        <v>1.1222959028117967E-2</v>
      </c>
      <c r="L21" s="45">
        <f t="shared" si="16"/>
        <v>1.683443854217695E-3</v>
      </c>
      <c r="M21" s="109">
        <f t="shared" si="17"/>
        <v>1.9544076038309388E-3</v>
      </c>
      <c r="N21" s="46">
        <v>381</v>
      </c>
      <c r="O21" s="47">
        <v>111</v>
      </c>
      <c r="P21" s="47">
        <v>881</v>
      </c>
      <c r="Q21" s="47">
        <v>100</v>
      </c>
      <c r="R21" s="48">
        <f t="shared" si="4"/>
        <v>1.8361963451452015E-3</v>
      </c>
      <c r="S21" s="49">
        <v>157.99999999728001</v>
      </c>
      <c r="T21" s="49">
        <v>83</v>
      </c>
      <c r="U21" s="49">
        <v>189</v>
      </c>
      <c r="V21" s="49">
        <v>25</v>
      </c>
      <c r="W21" s="48">
        <f t="shared" si="5"/>
        <v>1.2466935297393157E-3</v>
      </c>
      <c r="X21" s="50">
        <f t="shared" si="6"/>
        <v>1.0596895002784182E-3</v>
      </c>
      <c r="Y21" s="42">
        <f t="shared" si="7"/>
        <v>-0.32104563162022282</v>
      </c>
      <c r="Z21" s="42">
        <f t="shared" si="8"/>
        <v>-0.32104563162022282</v>
      </c>
      <c r="AA21" s="43">
        <f t="shared" si="18"/>
        <v>5.982377863529921E-2</v>
      </c>
      <c r="AB21" s="43">
        <f t="shared" si="9"/>
        <v>8.9735667952948808E-3</v>
      </c>
      <c r="AC21" s="109">
        <f t="shared" si="10"/>
        <v>1.0033256295573299E-2</v>
      </c>
      <c r="AE21" s="53">
        <f t="shared" si="11"/>
        <v>170673.59874458093</v>
      </c>
      <c r="AF21" s="54">
        <f t="shared" si="12"/>
        <v>3914429.9226935483</v>
      </c>
      <c r="AG21" s="54">
        <f t="shared" si="13"/>
        <v>20095336.606581729</v>
      </c>
      <c r="AH21" s="54">
        <f t="shared" si="19"/>
        <v>24180440.128019858</v>
      </c>
      <c r="AI21" s="55">
        <f t="shared" si="20"/>
        <v>3.0182195736986068E-3</v>
      </c>
    </row>
    <row r="22" spans="1:35" ht="14.25">
      <c r="A22" s="4" t="s">
        <v>207</v>
      </c>
      <c r="B22" s="44">
        <v>2045528</v>
      </c>
      <c r="C22" s="44">
        <v>704192</v>
      </c>
      <c r="D22" s="51">
        <f t="shared" si="0"/>
        <v>0.34425928171112791</v>
      </c>
      <c r="E22" s="52">
        <f t="shared" si="14"/>
        <v>242424.63210672259</v>
      </c>
      <c r="F22" s="109">
        <f t="shared" si="1"/>
        <v>1.3939114494193331E-4</v>
      </c>
      <c r="G22" s="41">
        <v>2861</v>
      </c>
      <c r="H22" s="103">
        <f t="shared" si="2"/>
        <v>5.588432004350421E-4</v>
      </c>
      <c r="I22" s="43">
        <f t="shared" si="15"/>
        <v>4.7501672036978578E-4</v>
      </c>
      <c r="J22" s="44">
        <v>615.78</v>
      </c>
      <c r="K22" s="100">
        <f t="shared" si="3"/>
        <v>9.5885807785532663E-3</v>
      </c>
      <c r="L22" s="45">
        <f t="shared" si="16"/>
        <v>1.4382871167829899E-3</v>
      </c>
      <c r="M22" s="109">
        <f t="shared" si="17"/>
        <v>1.9133038371527756E-3</v>
      </c>
      <c r="N22" s="46">
        <v>519</v>
      </c>
      <c r="O22" s="47">
        <v>176</v>
      </c>
      <c r="P22" s="47">
        <v>1034</v>
      </c>
      <c r="Q22" s="47">
        <v>145</v>
      </c>
      <c r="R22" s="48">
        <f t="shared" si="4"/>
        <v>2.5035278635428637E-3</v>
      </c>
      <c r="S22" s="49">
        <v>277.00000000287605</v>
      </c>
      <c r="T22" s="49">
        <v>136</v>
      </c>
      <c r="U22" s="49">
        <v>317</v>
      </c>
      <c r="V22" s="49">
        <v>84</v>
      </c>
      <c r="W22" s="48">
        <f t="shared" si="5"/>
        <v>2.8557104435277978E-3</v>
      </c>
      <c r="X22" s="50">
        <f t="shared" si="6"/>
        <v>2.4273538769986279E-3</v>
      </c>
      <c r="Y22" s="42">
        <f t="shared" si="7"/>
        <v>0.14067451979006276</v>
      </c>
      <c r="Z22" s="42">
        <f t="shared" si="8"/>
        <v>0</v>
      </c>
      <c r="AA22" s="43">
        <f t="shared" si="18"/>
        <v>0</v>
      </c>
      <c r="AB22" s="43">
        <f t="shared" si="9"/>
        <v>0</v>
      </c>
      <c r="AC22" s="109">
        <f t="shared" si="10"/>
        <v>2.4273538769986279E-3</v>
      </c>
      <c r="AE22" s="53">
        <f t="shared" si="11"/>
        <v>558365.47877698101</v>
      </c>
      <c r="AF22" s="54">
        <f t="shared" si="12"/>
        <v>3832104.3044831855</v>
      </c>
      <c r="AG22" s="54">
        <f t="shared" si="13"/>
        <v>4861681.1715554222</v>
      </c>
      <c r="AH22" s="54">
        <f t="shared" si="19"/>
        <v>9252150.9548155889</v>
      </c>
      <c r="AI22" s="55">
        <f t="shared" si="20"/>
        <v>1.1548600010088173E-3</v>
      </c>
    </row>
    <row r="23" spans="1:35" ht="14.25">
      <c r="A23" s="4" t="s">
        <v>17</v>
      </c>
      <c r="B23" s="44">
        <v>9607239</v>
      </c>
      <c r="C23" s="44">
        <v>1253081</v>
      </c>
      <c r="D23" s="51">
        <f t="shared" si="0"/>
        <v>0.13043091776940285</v>
      </c>
      <c r="E23" s="52">
        <f t="shared" si="14"/>
        <v>163440.50486940111</v>
      </c>
      <c r="F23" s="109">
        <f t="shared" si="1"/>
        <v>9.3976255241274564E-5</v>
      </c>
      <c r="G23" s="41">
        <v>41130</v>
      </c>
      <c r="H23" s="103">
        <f t="shared" si="2"/>
        <v>8.0339814169497672E-3</v>
      </c>
      <c r="I23" s="43">
        <f t="shared" si="15"/>
        <v>6.8288842044073022E-3</v>
      </c>
      <c r="J23" s="44">
        <v>7010.79</v>
      </c>
      <c r="K23" s="100">
        <f t="shared" si="3"/>
        <v>0.1091680896366778</v>
      </c>
      <c r="L23" s="45">
        <f t="shared" si="16"/>
        <v>1.637521344550167E-2</v>
      </c>
      <c r="M23" s="109">
        <f t="shared" si="17"/>
        <v>2.3204097649908974E-2</v>
      </c>
      <c r="N23" s="46">
        <v>6824</v>
      </c>
      <c r="O23" s="47">
        <v>2866</v>
      </c>
      <c r="P23" s="47">
        <v>26645</v>
      </c>
      <c r="Q23" s="47">
        <v>2369</v>
      </c>
      <c r="R23" s="48">
        <f t="shared" si="4"/>
        <v>4.7204442280875711E-2</v>
      </c>
      <c r="S23" s="49">
        <v>7532.9999999958</v>
      </c>
      <c r="T23" s="49">
        <v>2466</v>
      </c>
      <c r="U23" s="49">
        <v>13627</v>
      </c>
      <c r="V23" s="49">
        <v>715</v>
      </c>
      <c r="W23" s="48">
        <f t="shared" si="5"/>
        <v>5.5035533032423221E-2</v>
      </c>
      <c r="X23" s="50">
        <f t="shared" si="6"/>
        <v>4.6780203077559736E-2</v>
      </c>
      <c r="Y23" s="42">
        <f t="shared" si="7"/>
        <v>0.16589732603874402</v>
      </c>
      <c r="Z23" s="42">
        <f t="shared" si="8"/>
        <v>0</v>
      </c>
      <c r="AA23" s="43">
        <f t="shared" si="18"/>
        <v>0</v>
      </c>
      <c r="AB23" s="43">
        <f t="shared" si="9"/>
        <v>0</v>
      </c>
      <c r="AC23" s="109">
        <f t="shared" si="10"/>
        <v>4.6780203077559736E-2</v>
      </c>
      <c r="AE23" s="53">
        <f t="shared" si="11"/>
        <v>376444.97986813262</v>
      </c>
      <c r="AF23" s="54">
        <f t="shared" si="12"/>
        <v>46474857.134133331</v>
      </c>
      <c r="AG23" s="54">
        <f t="shared" si="13"/>
        <v>93694798.545370787</v>
      </c>
      <c r="AH23" s="54">
        <f t="shared" si="19"/>
        <v>140546100.65937227</v>
      </c>
      <c r="AI23" s="55">
        <f t="shared" si="20"/>
        <v>1.7543063309487815E-2</v>
      </c>
    </row>
    <row r="24" spans="1:35" ht="14.25">
      <c r="A24" s="4" t="s">
        <v>208</v>
      </c>
      <c r="B24" s="44">
        <v>354652384</v>
      </c>
      <c r="C24" s="44">
        <v>89654721.319999993</v>
      </c>
      <c r="D24" s="51">
        <f t="shared" si="0"/>
        <v>0.25279604865140282</v>
      </c>
      <c r="E24" s="52">
        <f t="shared" si="14"/>
        <v>22664359.292638678</v>
      </c>
      <c r="F24" s="109">
        <f t="shared" si="1"/>
        <v>1.3031724390883974E-2</v>
      </c>
      <c r="G24" s="41">
        <v>247370</v>
      </c>
      <c r="H24" s="103">
        <f t="shared" si="2"/>
        <v>4.8319134041110233E-2</v>
      </c>
      <c r="I24" s="43">
        <f t="shared" si="15"/>
        <v>4.1071263934943696E-2</v>
      </c>
      <c r="J24" s="44">
        <v>1040.01</v>
      </c>
      <c r="K24" s="100">
        <f t="shared" si="3"/>
        <v>1.6194452394529189E-2</v>
      </c>
      <c r="L24" s="45">
        <f t="shared" si="16"/>
        <v>2.4291678591793781E-3</v>
      </c>
      <c r="M24" s="109">
        <f t="shared" si="17"/>
        <v>4.3500431794123072E-2</v>
      </c>
      <c r="N24" s="46">
        <v>3671</v>
      </c>
      <c r="O24" s="47">
        <v>1263</v>
      </c>
      <c r="P24" s="47">
        <v>9334</v>
      </c>
      <c r="Q24" s="47">
        <v>932</v>
      </c>
      <c r="R24" s="48">
        <f t="shared" si="4"/>
        <v>1.8673316452561674E-2</v>
      </c>
      <c r="S24" s="49">
        <v>8688.9999999445354</v>
      </c>
      <c r="T24" s="49">
        <v>1809</v>
      </c>
      <c r="U24" s="49">
        <v>2369</v>
      </c>
      <c r="V24" s="49">
        <v>783</v>
      </c>
      <c r="W24" s="48">
        <f t="shared" si="5"/>
        <v>3.2080092269919827E-2</v>
      </c>
      <c r="X24" s="50">
        <f t="shared" si="6"/>
        <v>2.7268078429431852E-2</v>
      </c>
      <c r="Y24" s="42">
        <f t="shared" si="7"/>
        <v>0.71796436650217865</v>
      </c>
      <c r="Z24" s="42">
        <f t="shared" si="8"/>
        <v>0</v>
      </c>
      <c r="AA24" s="43">
        <f t="shared" si="18"/>
        <v>0</v>
      </c>
      <c r="AB24" s="43">
        <f t="shared" si="9"/>
        <v>0</v>
      </c>
      <c r="AC24" s="109">
        <f t="shared" si="10"/>
        <v>2.7268078429431852E-2</v>
      </c>
      <c r="AE24" s="53">
        <f t="shared" si="11"/>
        <v>52201773.877650373</v>
      </c>
      <c r="AF24" s="54">
        <f t="shared" si="12"/>
        <v>87125833.695709839</v>
      </c>
      <c r="AG24" s="54">
        <f t="shared" si="13"/>
        <v>54614493.890270256</v>
      </c>
      <c r="AH24" s="54">
        <f t="shared" si="19"/>
        <v>193942101.46363047</v>
      </c>
      <c r="AI24" s="55">
        <f t="shared" si="20"/>
        <v>2.4207989751330716E-2</v>
      </c>
    </row>
    <row r="25" spans="1:35" ht="14.25">
      <c r="A25" s="4" t="s">
        <v>19</v>
      </c>
      <c r="B25" s="44">
        <v>4705374</v>
      </c>
      <c r="C25" s="44">
        <v>1101010</v>
      </c>
      <c r="D25" s="51">
        <f t="shared" si="0"/>
        <v>0.23398990175913753</v>
      </c>
      <c r="E25" s="52">
        <f t="shared" si="14"/>
        <v>257625.221735828</v>
      </c>
      <c r="F25" s="109">
        <f t="shared" si="1"/>
        <v>1.4813129471046306E-4</v>
      </c>
      <c r="G25" s="41">
        <v>5479</v>
      </c>
      <c r="H25" s="103">
        <f t="shared" si="2"/>
        <v>1.0702208651463111E-3</v>
      </c>
      <c r="I25" s="43">
        <f t="shared" si="15"/>
        <v>9.0968773537436444E-4</v>
      </c>
      <c r="J25" s="44">
        <v>1894.8</v>
      </c>
      <c r="K25" s="100">
        <f t="shared" si="3"/>
        <v>2.9504762836082252E-2</v>
      </c>
      <c r="L25" s="45">
        <f t="shared" si="16"/>
        <v>4.425714425412338E-3</v>
      </c>
      <c r="M25" s="109">
        <f t="shared" si="17"/>
        <v>5.3354021607867029E-3</v>
      </c>
      <c r="N25" s="46">
        <v>814</v>
      </c>
      <c r="O25" s="47">
        <v>270</v>
      </c>
      <c r="P25" s="47">
        <v>1738</v>
      </c>
      <c r="Q25" s="47">
        <v>531</v>
      </c>
      <c r="R25" s="48">
        <f t="shared" si="4"/>
        <v>5.9353068366605382E-3</v>
      </c>
      <c r="S25" s="49">
        <v>320.00000000721394</v>
      </c>
      <c r="T25" s="49">
        <v>216</v>
      </c>
      <c r="U25" s="49">
        <v>671</v>
      </c>
      <c r="V25" s="49">
        <v>199</v>
      </c>
      <c r="W25" s="48">
        <f t="shared" si="5"/>
        <v>5.9759951440321521E-3</v>
      </c>
      <c r="X25" s="50">
        <f t="shared" si="6"/>
        <v>5.0795958724273293E-3</v>
      </c>
      <c r="Y25" s="42">
        <f t="shared" si="7"/>
        <v>6.8552997328284624E-3</v>
      </c>
      <c r="Z25" s="42">
        <f t="shared" si="8"/>
        <v>0</v>
      </c>
      <c r="AA25" s="43">
        <f t="shared" si="18"/>
        <v>0</v>
      </c>
      <c r="AB25" s="43">
        <f t="shared" si="9"/>
        <v>0</v>
      </c>
      <c r="AC25" s="109">
        <f t="shared" si="10"/>
        <v>5.0795958724273293E-3</v>
      </c>
      <c r="AE25" s="53">
        <f t="shared" si="11"/>
        <v>593376.29608621972</v>
      </c>
      <c r="AF25" s="54">
        <f t="shared" si="12"/>
        <v>10686132.11842267</v>
      </c>
      <c r="AG25" s="54">
        <f t="shared" si="13"/>
        <v>10173784.649243603</v>
      </c>
      <c r="AH25" s="54">
        <f t="shared" si="19"/>
        <v>21453293.063752495</v>
      </c>
      <c r="AI25" s="55">
        <f t="shared" si="20"/>
        <v>2.6778151556587394E-3</v>
      </c>
    </row>
    <row r="26" spans="1:35" ht="14.25">
      <c r="A26" s="4" t="s">
        <v>20</v>
      </c>
      <c r="B26" s="44">
        <v>422301629</v>
      </c>
      <c r="C26" s="44">
        <v>149244141.31999999</v>
      </c>
      <c r="D26" s="51">
        <f t="shared" si="0"/>
        <v>0.35340650158846532</v>
      </c>
      <c r="E26" s="52">
        <f t="shared" si="14"/>
        <v>52743849.866475716</v>
      </c>
      <c r="F26" s="109">
        <f t="shared" si="1"/>
        <v>3.0327056939894226E-2</v>
      </c>
      <c r="G26" s="41">
        <v>425148</v>
      </c>
      <c r="H26" s="103">
        <f t="shared" si="2"/>
        <v>8.3044763711484545E-2</v>
      </c>
      <c r="I26" s="43">
        <f t="shared" si="15"/>
        <v>7.0588049154761856E-2</v>
      </c>
      <c r="J26" s="44">
        <v>151.27000000000001</v>
      </c>
      <c r="K26" s="100">
        <f t="shared" si="3"/>
        <v>2.3554915950043079E-3</v>
      </c>
      <c r="L26" s="45">
        <f t="shared" si="16"/>
        <v>3.5332373925064616E-4</v>
      </c>
      <c r="M26" s="109">
        <f t="shared" si="17"/>
        <v>7.0941372894012505E-2</v>
      </c>
      <c r="N26" s="46">
        <v>25525</v>
      </c>
      <c r="O26" s="47">
        <v>4815</v>
      </c>
      <c r="P26" s="47">
        <v>33044</v>
      </c>
      <c r="Q26" s="47">
        <v>5258</v>
      </c>
      <c r="R26" s="48">
        <f t="shared" si="4"/>
        <v>8.6919519735553008E-2</v>
      </c>
      <c r="S26" s="49">
        <v>20136.00000070727</v>
      </c>
      <c r="T26" s="49">
        <v>4791</v>
      </c>
      <c r="U26" s="49">
        <v>5994</v>
      </c>
      <c r="V26" s="49">
        <v>875</v>
      </c>
      <c r="W26" s="48">
        <f t="shared" si="5"/>
        <v>6.0297942215401121E-2</v>
      </c>
      <c r="X26" s="50">
        <f t="shared" si="6"/>
        <v>5.1253250883090955E-2</v>
      </c>
      <c r="Y26" s="42">
        <f t="shared" si="7"/>
        <v>-0.30627847002774872</v>
      </c>
      <c r="Z26" s="42">
        <f t="shared" si="8"/>
        <v>-0.30627847002774872</v>
      </c>
      <c r="AA26" s="43">
        <f t="shared" si="18"/>
        <v>5.7072059505151061E-2</v>
      </c>
      <c r="AB26" s="43">
        <f t="shared" si="9"/>
        <v>8.5608089257726595E-3</v>
      </c>
      <c r="AC26" s="109">
        <f t="shared" si="10"/>
        <v>5.9814059808863618E-2</v>
      </c>
      <c r="AE26" s="53">
        <f t="shared" si="11"/>
        <v>121482477.78002606</v>
      </c>
      <c r="AF26" s="54">
        <f t="shared" si="12"/>
        <v>142086549.53498885</v>
      </c>
      <c r="AG26" s="54">
        <f t="shared" si="13"/>
        <v>119799956.29092467</v>
      </c>
      <c r="AH26" s="54">
        <f t="shared" si="19"/>
        <v>383368983.60593957</v>
      </c>
      <c r="AI26" s="55">
        <f t="shared" si="20"/>
        <v>4.7852386645666135E-2</v>
      </c>
    </row>
    <row r="27" spans="1:35" ht="14.25">
      <c r="A27" s="4" t="s">
        <v>209</v>
      </c>
      <c r="B27" s="44">
        <v>12413879</v>
      </c>
      <c r="C27" s="44">
        <v>4417747</v>
      </c>
      <c r="D27" s="51">
        <f t="shared" si="0"/>
        <v>0.35587160145511326</v>
      </c>
      <c r="E27" s="52">
        <f t="shared" si="14"/>
        <v>1572150.6997135223</v>
      </c>
      <c r="F27" s="109">
        <f t="shared" si="1"/>
        <v>9.0396707690106244E-4</v>
      </c>
      <c r="G27" s="41">
        <v>14795</v>
      </c>
      <c r="H27" s="103">
        <f t="shared" si="2"/>
        <v>2.8899283993136836E-3</v>
      </c>
      <c r="I27" s="43">
        <f t="shared" si="15"/>
        <v>2.4564391394166309E-3</v>
      </c>
      <c r="J27" s="44">
        <v>2479.16</v>
      </c>
      <c r="K27" s="100">
        <f t="shared" si="3"/>
        <v>3.8604088997625963E-2</v>
      </c>
      <c r="L27" s="45">
        <f t="shared" si="16"/>
        <v>5.7906133496438946E-3</v>
      </c>
      <c r="M27" s="109">
        <f t="shared" si="17"/>
        <v>8.247052489060526E-3</v>
      </c>
      <c r="N27" s="46">
        <v>3166</v>
      </c>
      <c r="O27" s="47">
        <v>724</v>
      </c>
      <c r="P27" s="47">
        <v>6502</v>
      </c>
      <c r="Q27" s="47">
        <v>971</v>
      </c>
      <c r="R27" s="48">
        <f t="shared" si="4"/>
        <v>1.4976056308358143E-2</v>
      </c>
      <c r="S27" s="49">
        <v>1684.0000000044001</v>
      </c>
      <c r="T27" s="49">
        <v>572</v>
      </c>
      <c r="U27" s="49">
        <v>3480</v>
      </c>
      <c r="V27" s="49">
        <v>459</v>
      </c>
      <c r="W27" s="48">
        <f t="shared" si="5"/>
        <v>1.8703392153060629E-2</v>
      </c>
      <c r="X27" s="50">
        <f t="shared" si="6"/>
        <v>1.5897883330101534E-2</v>
      </c>
      <c r="Y27" s="42">
        <f t="shared" si="7"/>
        <v>0.24888634016568562</v>
      </c>
      <c r="Z27" s="42">
        <f t="shared" si="8"/>
        <v>0</v>
      </c>
      <c r="AA27" s="43">
        <f t="shared" si="18"/>
        <v>0</v>
      </c>
      <c r="AB27" s="43">
        <f t="shared" si="9"/>
        <v>0</v>
      </c>
      <c r="AC27" s="109">
        <f t="shared" si="10"/>
        <v>1.5897883330101534E-2</v>
      </c>
      <c r="AE27" s="53">
        <f t="shared" si="11"/>
        <v>3621062.2267487138</v>
      </c>
      <c r="AF27" s="54">
        <f t="shared" si="12"/>
        <v>16517797.50238597</v>
      </c>
      <c r="AG27" s="54">
        <f t="shared" si="13"/>
        <v>31841438.854851872</v>
      </c>
      <c r="AH27" s="54">
        <f t="shared" si="19"/>
        <v>51980298.583986551</v>
      </c>
      <c r="AI27" s="55">
        <f t="shared" si="20"/>
        <v>6.4882174932410445E-3</v>
      </c>
    </row>
    <row r="28" spans="1:35" ht="14.25">
      <c r="A28" s="4" t="s">
        <v>22</v>
      </c>
      <c r="B28" s="44">
        <v>784275</v>
      </c>
      <c r="C28" s="44">
        <v>320606.25</v>
      </c>
      <c r="D28" s="51">
        <f t="shared" si="0"/>
        <v>0.40879315291192503</v>
      </c>
      <c r="E28" s="52">
        <f t="shared" si="14"/>
        <v>131061.63978076886</v>
      </c>
      <c r="F28" s="109">
        <f t="shared" si="1"/>
        <v>7.5358810976626001E-5</v>
      </c>
      <c r="G28" s="41">
        <v>1044</v>
      </c>
      <c r="H28" s="103">
        <f t="shared" si="2"/>
        <v>2.0392600533176652E-4</v>
      </c>
      <c r="I28" s="43">
        <f t="shared" si="15"/>
        <v>1.7333710453200154E-4</v>
      </c>
      <c r="J28" s="44">
        <v>388.05</v>
      </c>
      <c r="K28" s="100">
        <f t="shared" si="3"/>
        <v>6.0424969487765032E-3</v>
      </c>
      <c r="L28" s="45">
        <f t="shared" si="16"/>
        <v>9.0637454231647541E-4</v>
      </c>
      <c r="M28" s="109">
        <f t="shared" si="17"/>
        <v>1.079711646848477E-3</v>
      </c>
      <c r="N28" s="46">
        <v>248</v>
      </c>
      <c r="O28" s="47">
        <v>63</v>
      </c>
      <c r="P28" s="47">
        <v>357</v>
      </c>
      <c r="Q28" s="47">
        <v>74</v>
      </c>
      <c r="R28" s="48">
        <f t="shared" si="4"/>
        <v>1.0638412639101531E-3</v>
      </c>
      <c r="S28" s="49">
        <v>138</v>
      </c>
      <c r="T28" s="49">
        <v>45</v>
      </c>
      <c r="U28" s="49">
        <v>165</v>
      </c>
      <c r="V28" s="49">
        <v>30</v>
      </c>
      <c r="W28" s="48">
        <f t="shared" si="5"/>
        <v>1.1435907453274151E-3</v>
      </c>
      <c r="X28" s="50">
        <f t="shared" si="6"/>
        <v>9.7205213352830283E-4</v>
      </c>
      <c r="Y28" s="42">
        <f t="shared" si="7"/>
        <v>7.4963703818126448E-2</v>
      </c>
      <c r="Z28" s="42">
        <f t="shared" si="8"/>
        <v>0</v>
      </c>
      <c r="AA28" s="43">
        <f t="shared" si="18"/>
        <v>0</v>
      </c>
      <c r="AB28" s="43">
        <f t="shared" si="9"/>
        <v>0</v>
      </c>
      <c r="AC28" s="109">
        <f t="shared" si="10"/>
        <v>9.7205213352830283E-4</v>
      </c>
      <c r="AE28" s="53">
        <f t="shared" si="11"/>
        <v>301868.23265248508</v>
      </c>
      <c r="AF28" s="54">
        <f t="shared" si="12"/>
        <v>2162525.1406205678</v>
      </c>
      <c r="AG28" s="54">
        <f t="shared" si="13"/>
        <v>1946896.8246147071</v>
      </c>
      <c r="AH28" s="54">
        <f t="shared" si="19"/>
        <v>4411290.1978877597</v>
      </c>
      <c r="AI28" s="55">
        <f t="shared" si="20"/>
        <v>5.5062035058250783E-4</v>
      </c>
    </row>
    <row r="29" spans="1:35" ht="14.25">
      <c r="A29" s="4" t="s">
        <v>23</v>
      </c>
      <c r="B29" s="44">
        <v>1405117</v>
      </c>
      <c r="C29" s="44">
        <v>194672</v>
      </c>
      <c r="D29" s="51">
        <f t="shared" si="0"/>
        <v>0.13854504642673884</v>
      </c>
      <c r="E29" s="52">
        <f t="shared" si="14"/>
        <v>26970.841277986103</v>
      </c>
      <c r="F29" s="109">
        <f t="shared" si="1"/>
        <v>1.5507897910846766E-5</v>
      </c>
      <c r="G29" s="41">
        <v>6011</v>
      </c>
      <c r="H29" s="103">
        <f t="shared" si="2"/>
        <v>1.17413718203951E-3</v>
      </c>
      <c r="I29" s="43">
        <f t="shared" si="15"/>
        <v>9.9801660473358353E-4</v>
      </c>
      <c r="J29" s="44">
        <v>1314.52</v>
      </c>
      <c r="K29" s="100">
        <f t="shared" si="3"/>
        <v>2.0468968146129852E-2</v>
      </c>
      <c r="L29" s="45">
        <f t="shared" si="16"/>
        <v>3.0703452219194775E-3</v>
      </c>
      <c r="M29" s="109">
        <f t="shared" si="17"/>
        <v>4.0683618266530615E-3</v>
      </c>
      <c r="N29" s="46">
        <v>1391</v>
      </c>
      <c r="O29" s="47">
        <v>407</v>
      </c>
      <c r="P29" s="47">
        <v>3581</v>
      </c>
      <c r="Q29" s="47">
        <v>1264</v>
      </c>
      <c r="R29" s="48">
        <f t="shared" si="4"/>
        <v>1.2722731945209571E-2</v>
      </c>
      <c r="S29" s="49">
        <v>1108.99999999377</v>
      </c>
      <c r="T29" s="49">
        <v>288</v>
      </c>
      <c r="U29" s="49">
        <v>3319</v>
      </c>
      <c r="V29" s="49">
        <v>607</v>
      </c>
      <c r="W29" s="48">
        <f t="shared" si="5"/>
        <v>1.9650472199698121E-2</v>
      </c>
      <c r="X29" s="50">
        <f t="shared" si="6"/>
        <v>1.6702901369743402E-2</v>
      </c>
      <c r="Y29" s="42">
        <f t="shared" si="7"/>
        <v>0.54451671891877107</v>
      </c>
      <c r="Z29" s="42">
        <f t="shared" si="8"/>
        <v>0</v>
      </c>
      <c r="AA29" s="43">
        <f t="shared" si="18"/>
        <v>0</v>
      </c>
      <c r="AB29" s="43">
        <f t="shared" si="9"/>
        <v>0</v>
      </c>
      <c r="AC29" s="109">
        <f t="shared" si="10"/>
        <v>1.6702901369743402E-2</v>
      </c>
      <c r="AE29" s="53">
        <f t="shared" si="11"/>
        <v>62120.695295398007</v>
      </c>
      <c r="AF29" s="54">
        <f t="shared" si="12"/>
        <v>8148411.436477663</v>
      </c>
      <c r="AG29" s="54">
        <f t="shared" si="13"/>
        <v>33453787.628211848</v>
      </c>
      <c r="AH29" s="54">
        <f t="shared" si="19"/>
        <v>41664319.75998491</v>
      </c>
      <c r="AI29" s="55">
        <f t="shared" si="20"/>
        <v>5.2005697480545388E-3</v>
      </c>
    </row>
    <row r="30" spans="1:35" ht="14.25">
      <c r="A30" s="4" t="s">
        <v>24</v>
      </c>
      <c r="B30" s="44">
        <v>58791281</v>
      </c>
      <c r="C30" s="44">
        <v>7133102</v>
      </c>
      <c r="D30" s="51">
        <f t="shared" si="0"/>
        <v>0.1213292494851405</v>
      </c>
      <c r="E30" s="52">
        <f t="shared" si="14"/>
        <v>865453.91216095467</v>
      </c>
      <c r="F30" s="109">
        <f t="shared" si="1"/>
        <v>4.9762522340338338E-4</v>
      </c>
      <c r="G30" s="41">
        <v>67294</v>
      </c>
      <c r="H30" s="103">
        <f t="shared" si="2"/>
        <v>1.3144632761298751E-2</v>
      </c>
      <c r="I30" s="43">
        <f t="shared" si="15"/>
        <v>1.1172937847103938E-2</v>
      </c>
      <c r="J30" s="44">
        <v>184.87</v>
      </c>
      <c r="K30" s="100">
        <f t="shared" si="3"/>
        <v>2.8786919492856905E-3</v>
      </c>
      <c r="L30" s="45">
        <f t="shared" si="16"/>
        <v>4.3180379239285356E-4</v>
      </c>
      <c r="M30" s="109">
        <f t="shared" si="17"/>
        <v>1.1604741639496792E-2</v>
      </c>
      <c r="N30" s="46">
        <v>870</v>
      </c>
      <c r="O30" s="47">
        <v>295</v>
      </c>
      <c r="P30" s="47">
        <v>1873</v>
      </c>
      <c r="Q30" s="47">
        <v>57</v>
      </c>
      <c r="R30" s="48">
        <f t="shared" si="4"/>
        <v>3.1127641837955201E-3</v>
      </c>
      <c r="S30" s="49">
        <v>2629.9999999954803</v>
      </c>
      <c r="T30" s="49">
        <v>513</v>
      </c>
      <c r="U30" s="49">
        <v>350</v>
      </c>
      <c r="V30" s="49">
        <v>123</v>
      </c>
      <c r="W30" s="48">
        <f t="shared" si="5"/>
        <v>6.770433865754372E-3</v>
      </c>
      <c r="X30" s="50">
        <f t="shared" si="6"/>
        <v>5.7548687858912165E-3</v>
      </c>
      <c r="Y30" s="42">
        <f t="shared" si="7"/>
        <v>1.1750551811794834</v>
      </c>
      <c r="Z30" s="42">
        <f t="shared" si="8"/>
        <v>0</v>
      </c>
      <c r="AA30" s="43">
        <f t="shared" si="18"/>
        <v>0</v>
      </c>
      <c r="AB30" s="43">
        <f t="shared" si="9"/>
        <v>0</v>
      </c>
      <c r="AC30" s="109">
        <f t="shared" si="10"/>
        <v>5.7548687858912165E-3</v>
      </c>
      <c r="AE30" s="53">
        <f t="shared" si="11"/>
        <v>1993360.0963883332</v>
      </c>
      <c r="AF30" s="54">
        <f t="shared" si="12"/>
        <v>23242821.932196848</v>
      </c>
      <c r="AG30" s="54">
        <f t="shared" si="13"/>
        <v>11526270.43228405</v>
      </c>
      <c r="AH30" s="54">
        <f t="shared" si="19"/>
        <v>36762452.46086923</v>
      </c>
      <c r="AI30" s="55">
        <f t="shared" si="20"/>
        <v>4.5887152180486938E-3</v>
      </c>
    </row>
    <row r="31" spans="1:35" ht="14.25">
      <c r="A31" s="4" t="s">
        <v>25</v>
      </c>
      <c r="B31" s="44">
        <v>531696647</v>
      </c>
      <c r="C31" s="44">
        <v>259353547.03</v>
      </c>
      <c r="D31" s="51">
        <f t="shared" si="0"/>
        <v>0.48778480829878168</v>
      </c>
      <c r="E31" s="52">
        <f t="shared" si="14"/>
        <v>126508720.2196376</v>
      </c>
      <c r="F31" s="109">
        <f t="shared" si="1"/>
        <v>7.2740938919073586E-2</v>
      </c>
      <c r="G31" s="41">
        <v>682880</v>
      </c>
      <c r="H31" s="103">
        <f t="shared" si="2"/>
        <v>0.1333879219549394</v>
      </c>
      <c r="I31" s="43">
        <f t="shared" si="15"/>
        <v>0.11337973366169848</v>
      </c>
      <c r="J31" s="44">
        <v>117.79</v>
      </c>
      <c r="K31" s="100">
        <f t="shared" si="3"/>
        <v>1.8341598134167874E-3</v>
      </c>
      <c r="L31" s="45">
        <f t="shared" si="16"/>
        <v>2.7512397201251811E-4</v>
      </c>
      <c r="M31" s="109">
        <f t="shared" si="17"/>
        <v>0.113654857633711</v>
      </c>
      <c r="N31" s="46">
        <v>69698</v>
      </c>
      <c r="O31" s="47">
        <v>12447</v>
      </c>
      <c r="P31" s="47">
        <v>14729</v>
      </c>
      <c r="Q31" s="47">
        <v>1417</v>
      </c>
      <c r="R31" s="48">
        <f t="shared" si="4"/>
        <v>9.6205301106005142E-2</v>
      </c>
      <c r="S31" s="49">
        <v>32769.999999791457</v>
      </c>
      <c r="T31" s="49">
        <v>9468</v>
      </c>
      <c r="U31" s="49">
        <v>3881</v>
      </c>
      <c r="V31" s="49">
        <v>299</v>
      </c>
      <c r="W31" s="48">
        <f t="shared" si="5"/>
        <v>7.1416637155423596E-2</v>
      </c>
      <c r="X31" s="50">
        <f t="shared" si="6"/>
        <v>6.0704141582110058E-2</v>
      </c>
      <c r="Y31" s="42">
        <f t="shared" si="7"/>
        <v>-0.25766422084441909</v>
      </c>
      <c r="Z31" s="42">
        <f t="shared" si="8"/>
        <v>-0.25766422084441909</v>
      </c>
      <c r="AA31" s="43">
        <f t="shared" si="18"/>
        <v>4.80132597732017E-2</v>
      </c>
      <c r="AB31" s="43">
        <f t="shared" si="9"/>
        <v>7.2019889659802544E-3</v>
      </c>
      <c r="AC31" s="109">
        <f t="shared" si="10"/>
        <v>6.7906130548090318E-2</v>
      </c>
      <c r="AE31" s="53">
        <f t="shared" si="11"/>
        <v>291381702.92779523</v>
      </c>
      <c r="AF31" s="54">
        <f t="shared" si="12"/>
        <v>227636228.3429583</v>
      </c>
      <c r="AG31" s="54">
        <f t="shared" si="13"/>
        <v>136007345.05470783</v>
      </c>
      <c r="AH31" s="54">
        <f t="shared" si="19"/>
        <v>655025276.32546139</v>
      </c>
      <c r="AI31" s="55">
        <f t="shared" si="20"/>
        <v>8.1760716504987119E-2</v>
      </c>
    </row>
    <row r="32" spans="1:35" ht="14.25">
      <c r="A32" s="4" t="s">
        <v>210</v>
      </c>
      <c r="B32" s="44">
        <v>818878</v>
      </c>
      <c r="C32" s="44">
        <v>294751</v>
      </c>
      <c r="D32" s="51">
        <f t="shared" si="0"/>
        <v>0.35994494906445162</v>
      </c>
      <c r="E32" s="52">
        <f t="shared" si="14"/>
        <v>106094.13368169618</v>
      </c>
      <c r="F32" s="109">
        <f t="shared" si="1"/>
        <v>6.1002805849381612E-5</v>
      </c>
      <c r="G32" s="41">
        <v>1764</v>
      </c>
      <c r="H32" s="103">
        <f t="shared" si="2"/>
        <v>3.4456462969850206E-4</v>
      </c>
      <c r="I32" s="43">
        <f t="shared" si="15"/>
        <v>2.9287993524372677E-4</v>
      </c>
      <c r="J32" s="44">
        <v>497.27</v>
      </c>
      <c r="K32" s="100">
        <f t="shared" si="3"/>
        <v>7.743209528973307E-3</v>
      </c>
      <c r="L32" s="45">
        <f t="shared" si="16"/>
        <v>1.1614814293459961E-3</v>
      </c>
      <c r="M32" s="109">
        <f t="shared" si="17"/>
        <v>1.4543613645897229E-3</v>
      </c>
      <c r="N32" s="46">
        <v>525</v>
      </c>
      <c r="O32" s="47">
        <v>111</v>
      </c>
      <c r="P32" s="47">
        <v>654</v>
      </c>
      <c r="Q32" s="47">
        <v>69</v>
      </c>
      <c r="R32" s="48">
        <f t="shared" si="4"/>
        <v>1.5525523861855471E-3</v>
      </c>
      <c r="S32" s="49">
        <v>374.99999999594002</v>
      </c>
      <c r="T32" s="49">
        <v>98</v>
      </c>
      <c r="U32" s="49">
        <v>163</v>
      </c>
      <c r="V32" s="49">
        <v>24</v>
      </c>
      <c r="W32" s="48">
        <f t="shared" si="5"/>
        <v>1.397547272996221E-3</v>
      </c>
      <c r="X32" s="50">
        <f t="shared" si="6"/>
        <v>1.1879151820467877E-3</v>
      </c>
      <c r="Y32" s="42">
        <f t="shared" si="7"/>
        <v>-9.983889404862975E-2</v>
      </c>
      <c r="Z32" s="42">
        <f t="shared" si="8"/>
        <v>-9.983889404862975E-2</v>
      </c>
      <c r="AA32" s="43">
        <f t="shared" si="18"/>
        <v>1.8604021698148197E-2</v>
      </c>
      <c r="AB32" s="43">
        <f t="shared" si="9"/>
        <v>2.7906032547222294E-3</v>
      </c>
      <c r="AC32" s="109">
        <f t="shared" si="10"/>
        <v>3.9785184367690171E-3</v>
      </c>
      <c r="AE32" s="53">
        <f t="shared" si="11"/>
        <v>244361.72691614277</v>
      </c>
      <c r="AF32" s="54">
        <f t="shared" si="12"/>
        <v>2912900.8876143787</v>
      </c>
      <c r="AG32" s="54">
        <f t="shared" si="13"/>
        <v>7968466.5503500355</v>
      </c>
      <c r="AH32" s="54">
        <f t="shared" si="19"/>
        <v>11125729.164880557</v>
      </c>
      <c r="AI32" s="55">
        <f t="shared" si="20"/>
        <v>1.3887213532643755E-3</v>
      </c>
    </row>
    <row r="33" spans="1:35" ht="14.25">
      <c r="A33" s="4" t="s">
        <v>27</v>
      </c>
      <c r="B33" s="44">
        <v>2180533</v>
      </c>
      <c r="C33" s="44">
        <v>501704</v>
      </c>
      <c r="D33" s="51">
        <f t="shared" si="0"/>
        <v>0.23008319525547194</v>
      </c>
      <c r="E33" s="52">
        <f t="shared" si="14"/>
        <v>115433.6593924513</v>
      </c>
      <c r="F33" s="109">
        <f t="shared" si="1"/>
        <v>6.6372916843150873E-5</v>
      </c>
      <c r="G33" s="41">
        <v>13836</v>
      </c>
      <c r="H33" s="103">
        <f t="shared" si="2"/>
        <v>2.702605564914101E-3</v>
      </c>
      <c r="I33" s="43">
        <f t="shared" si="15"/>
        <v>2.2972147301769858E-3</v>
      </c>
      <c r="J33" s="44">
        <v>170.12</v>
      </c>
      <c r="K33" s="100">
        <f t="shared" si="3"/>
        <v>2.6490132223318096E-3</v>
      </c>
      <c r="L33" s="45">
        <f t="shared" si="16"/>
        <v>3.9735198334977145E-4</v>
      </c>
      <c r="M33" s="109">
        <f t="shared" si="17"/>
        <v>2.6945667135267574E-3</v>
      </c>
      <c r="N33" s="46">
        <v>1777</v>
      </c>
      <c r="O33" s="47">
        <v>482</v>
      </c>
      <c r="P33" s="47">
        <v>1571</v>
      </c>
      <c r="Q33" s="47">
        <v>193</v>
      </c>
      <c r="R33" s="48">
        <f t="shared" si="4"/>
        <v>4.8172617237070628E-3</v>
      </c>
      <c r="S33" s="49">
        <v>887.9999999826681</v>
      </c>
      <c r="T33" s="49">
        <v>349</v>
      </c>
      <c r="U33" s="49">
        <v>145</v>
      </c>
      <c r="V33" s="49">
        <v>79</v>
      </c>
      <c r="W33" s="48">
        <f t="shared" si="5"/>
        <v>3.6229504163855729E-3</v>
      </c>
      <c r="X33" s="50">
        <f t="shared" si="6"/>
        <v>3.0795078539277371E-3</v>
      </c>
      <c r="Y33" s="42">
        <f t="shared" si="7"/>
        <v>-0.24792327588180588</v>
      </c>
      <c r="Z33" s="42">
        <f t="shared" si="8"/>
        <v>-0.24792327588180588</v>
      </c>
      <c r="AA33" s="43">
        <f t="shared" si="18"/>
        <v>4.6198127973397771E-2</v>
      </c>
      <c r="AB33" s="43">
        <f t="shared" si="9"/>
        <v>6.9297191960096651E-3</v>
      </c>
      <c r="AC33" s="109">
        <f t="shared" si="10"/>
        <v>1.0009227049937402E-2</v>
      </c>
      <c r="AE33" s="53">
        <f t="shared" si="11"/>
        <v>265873.02591128764</v>
      </c>
      <c r="AF33" s="54">
        <f t="shared" si="12"/>
        <v>5396874.5063455841</v>
      </c>
      <c r="AG33" s="54">
        <f t="shared" si="13"/>
        <v>20047209.082951277</v>
      </c>
      <c r="AH33" s="54">
        <f t="shared" si="19"/>
        <v>25709956.615208149</v>
      </c>
      <c r="AI33" s="55">
        <f t="shared" si="20"/>
        <v>3.2091348992876151E-3</v>
      </c>
    </row>
    <row r="34" spans="1:35" ht="14.25">
      <c r="A34" s="4" t="s">
        <v>28</v>
      </c>
      <c r="B34" s="44">
        <v>678268</v>
      </c>
      <c r="C34" s="44">
        <v>314751</v>
      </c>
      <c r="D34" s="51">
        <f t="shared" si="0"/>
        <v>0.46405108305271664</v>
      </c>
      <c r="E34" s="52">
        <f t="shared" si="14"/>
        <v>146060.54244192562</v>
      </c>
      <c r="F34" s="109">
        <f t="shared" si="1"/>
        <v>8.3982993249864866E-5</v>
      </c>
      <c r="G34" s="41">
        <v>1511</v>
      </c>
      <c r="H34" s="103">
        <f t="shared" si="2"/>
        <v>2.9514577974741303E-4</v>
      </c>
      <c r="I34" s="43">
        <f t="shared" si="15"/>
        <v>2.5087391278530105E-4</v>
      </c>
      <c r="J34" s="44">
        <v>444.11</v>
      </c>
      <c r="K34" s="100">
        <f t="shared" si="3"/>
        <v>6.9154318255924057E-3</v>
      </c>
      <c r="L34" s="45">
        <f t="shared" si="16"/>
        <v>1.0373147738388607E-3</v>
      </c>
      <c r="M34" s="109">
        <f t="shared" si="17"/>
        <v>1.2881886866241618E-3</v>
      </c>
      <c r="N34" s="46">
        <v>236</v>
      </c>
      <c r="O34" s="47">
        <v>70</v>
      </c>
      <c r="P34" s="47">
        <v>392</v>
      </c>
      <c r="Q34" s="47">
        <v>106</v>
      </c>
      <c r="R34" s="48">
        <f t="shared" si="4"/>
        <v>1.3072873655381025E-3</v>
      </c>
      <c r="S34" s="49">
        <v>156.00000000186</v>
      </c>
      <c r="T34" s="49">
        <v>60</v>
      </c>
      <c r="U34" s="49">
        <v>117</v>
      </c>
      <c r="V34" s="49">
        <v>25</v>
      </c>
      <c r="W34" s="48">
        <f t="shared" si="5"/>
        <v>1.0204101512400637E-3</v>
      </c>
      <c r="X34" s="50">
        <f t="shared" si="6"/>
        <v>8.6734862855405406E-4</v>
      </c>
      <c r="Y34" s="42">
        <f t="shared" si="7"/>
        <v>-0.21944464687758616</v>
      </c>
      <c r="Z34" s="42">
        <f t="shared" si="8"/>
        <v>-0.21944464687758616</v>
      </c>
      <c r="AA34" s="43">
        <f t="shared" si="18"/>
        <v>4.0891408212760681E-2</v>
      </c>
      <c r="AB34" s="43">
        <f t="shared" si="9"/>
        <v>6.1337112319141017E-3</v>
      </c>
      <c r="AC34" s="109">
        <f t="shared" si="10"/>
        <v>7.0010598604681555E-3</v>
      </c>
      <c r="AE34" s="53">
        <f t="shared" si="11"/>
        <v>336414.51366669842</v>
      </c>
      <c r="AF34" s="54">
        <f t="shared" si="12"/>
        <v>2580078.142917987</v>
      </c>
      <c r="AG34" s="54">
        <f t="shared" si="13"/>
        <v>14022232.698372105</v>
      </c>
      <c r="AH34" s="54">
        <f t="shared" si="19"/>
        <v>16938725.354956791</v>
      </c>
      <c r="AI34" s="55">
        <f t="shared" si="20"/>
        <v>2.1143036333980117E-3</v>
      </c>
    </row>
    <row r="35" spans="1:35" ht="14.25">
      <c r="A35" s="4" t="s">
        <v>29</v>
      </c>
      <c r="B35" s="44">
        <v>1784944</v>
      </c>
      <c r="C35" s="44">
        <v>586273</v>
      </c>
      <c r="D35" s="51">
        <f t="shared" si="0"/>
        <v>0.32845456215993329</v>
      </c>
      <c r="E35" s="52">
        <f t="shared" si="14"/>
        <v>192564.04152119058</v>
      </c>
      <c r="F35" s="109">
        <f t="shared" si="1"/>
        <v>1.1072192618804598E-4</v>
      </c>
      <c r="G35" s="41">
        <v>6921</v>
      </c>
      <c r="H35" s="103">
        <f t="shared" si="2"/>
        <v>1.3518887767252452E-3</v>
      </c>
      <c r="I35" s="43">
        <f t="shared" si="15"/>
        <v>1.1491054602164583E-3</v>
      </c>
      <c r="J35" s="44">
        <v>127.8</v>
      </c>
      <c r="K35" s="100">
        <f t="shared" si="3"/>
        <v>1.990029918963116E-3</v>
      </c>
      <c r="L35" s="45">
        <f t="shared" si="16"/>
        <v>2.9850448784446741E-4</v>
      </c>
      <c r="M35" s="109">
        <f t="shared" si="17"/>
        <v>1.4476099480609256E-3</v>
      </c>
      <c r="N35" s="46">
        <v>1201</v>
      </c>
      <c r="O35" s="47">
        <v>234</v>
      </c>
      <c r="P35" s="47">
        <v>2745</v>
      </c>
      <c r="Q35" s="47">
        <v>176</v>
      </c>
      <c r="R35" s="48">
        <f t="shared" si="4"/>
        <v>4.5454949869131846E-3</v>
      </c>
      <c r="S35" s="49">
        <v>649.99999999475995</v>
      </c>
      <c r="T35" s="49">
        <v>185</v>
      </c>
      <c r="U35" s="49">
        <v>941</v>
      </c>
      <c r="V35" s="49">
        <v>42</v>
      </c>
      <c r="W35" s="48">
        <f t="shared" si="5"/>
        <v>3.8184418521229071E-3</v>
      </c>
      <c r="X35" s="50">
        <f t="shared" si="6"/>
        <v>3.2456755743044711E-3</v>
      </c>
      <c r="Y35" s="42">
        <f t="shared" si="7"/>
        <v>-0.15995026655700142</v>
      </c>
      <c r="Z35" s="42">
        <f t="shared" si="8"/>
        <v>-0.15995026655700142</v>
      </c>
      <c r="AA35" s="43">
        <f t="shared" si="18"/>
        <v>2.9805200247927655E-2</v>
      </c>
      <c r="AB35" s="43">
        <f t="shared" si="9"/>
        <v>4.4707800371891482E-3</v>
      </c>
      <c r="AC35" s="109">
        <f t="shared" si="10"/>
        <v>7.7164556114936193E-3</v>
      </c>
      <c r="AE35" s="53">
        <f t="shared" si="11"/>
        <v>443523.87917361473</v>
      </c>
      <c r="AF35" s="54">
        <f t="shared" si="12"/>
        <v>2899378.6587665738</v>
      </c>
      <c r="AG35" s="54">
        <f t="shared" si="13"/>
        <v>15455079.423329966</v>
      </c>
      <c r="AH35" s="54">
        <f t="shared" si="19"/>
        <v>18797981.961270154</v>
      </c>
      <c r="AI35" s="55">
        <f t="shared" si="20"/>
        <v>2.3463773529826589E-3</v>
      </c>
    </row>
    <row r="36" spans="1:35" ht="14.25">
      <c r="A36" s="4" t="s">
        <v>30</v>
      </c>
      <c r="B36" s="44">
        <v>550784</v>
      </c>
      <c r="C36" s="44">
        <v>107675</v>
      </c>
      <c r="D36" s="51">
        <f t="shared" si="0"/>
        <v>0.1954940593771787</v>
      </c>
      <c r="E36" s="52">
        <f t="shared" si="14"/>
        <v>21049.822843437716</v>
      </c>
      <c r="F36" s="109">
        <f t="shared" si="1"/>
        <v>1.2103386035788396E-5</v>
      </c>
      <c r="G36" s="41">
        <v>3571</v>
      </c>
      <c r="H36" s="103">
        <f t="shared" si="2"/>
        <v>6.9752851057446193E-4</v>
      </c>
      <c r="I36" s="43">
        <f t="shared" si="15"/>
        <v>5.9289923398829264E-4</v>
      </c>
      <c r="J36" s="44">
        <v>561.88</v>
      </c>
      <c r="K36" s="100">
        <f t="shared" si="3"/>
        <v>8.7492802102268827E-3</v>
      </c>
      <c r="L36" s="45">
        <f t="shared" si="16"/>
        <v>1.3123920315340324E-3</v>
      </c>
      <c r="M36" s="109">
        <f t="shared" si="17"/>
        <v>1.905291265522325E-3</v>
      </c>
      <c r="N36" s="46">
        <v>779</v>
      </c>
      <c r="O36" s="47">
        <v>226</v>
      </c>
      <c r="P36" s="47">
        <v>2400</v>
      </c>
      <c r="Q36" s="47">
        <v>462</v>
      </c>
      <c r="R36" s="48">
        <f t="shared" si="4"/>
        <v>5.8444587616490332E-3</v>
      </c>
      <c r="S36" s="49">
        <v>671.99999999645991</v>
      </c>
      <c r="T36" s="49">
        <v>188</v>
      </c>
      <c r="U36" s="49">
        <v>1437</v>
      </c>
      <c r="V36" s="49">
        <v>355</v>
      </c>
      <c r="W36" s="48">
        <f t="shared" si="5"/>
        <v>1.0554024016422515E-2</v>
      </c>
      <c r="X36" s="50">
        <f t="shared" si="6"/>
        <v>8.9709204139591381E-3</v>
      </c>
      <c r="Y36" s="42">
        <f t="shared" si="7"/>
        <v>0.80581717603644487</v>
      </c>
      <c r="Z36" s="42">
        <f t="shared" si="8"/>
        <v>0</v>
      </c>
      <c r="AA36" s="43">
        <f t="shared" si="18"/>
        <v>0</v>
      </c>
      <c r="AB36" s="43">
        <f t="shared" si="9"/>
        <v>0</v>
      </c>
      <c r="AC36" s="109">
        <f t="shared" si="10"/>
        <v>8.9709204139591381E-3</v>
      </c>
      <c r="AE36" s="53">
        <f t="shared" si="11"/>
        <v>48483.086508191511</v>
      </c>
      <c r="AF36" s="54">
        <f t="shared" si="12"/>
        <v>3816056.1423257715</v>
      </c>
      <c r="AG36" s="54">
        <f t="shared" si="13"/>
        <v>17967612.914353803</v>
      </c>
      <c r="AH36" s="54">
        <f t="shared" si="19"/>
        <v>21832152.143187765</v>
      </c>
      <c r="AI36" s="55">
        <f t="shared" si="20"/>
        <v>2.7251046128882596E-3</v>
      </c>
    </row>
    <row r="37" spans="1:35" ht="14.25">
      <c r="A37" s="4" t="s">
        <v>211</v>
      </c>
      <c r="B37" s="44">
        <v>229270347</v>
      </c>
      <c r="C37" s="44">
        <v>81896056.420000002</v>
      </c>
      <c r="D37" s="51">
        <f t="shared" si="0"/>
        <v>0.35720300288113577</v>
      </c>
      <c r="E37" s="52">
        <f t="shared" si="14"/>
        <v>29253517.277346916</v>
      </c>
      <c r="F37" s="109">
        <f t="shared" si="1"/>
        <v>1.682040818802974E-2</v>
      </c>
      <c r="G37" s="41">
        <v>333481</v>
      </c>
      <c r="H37" s="103">
        <f t="shared" si="2"/>
        <v>6.5139318183949066E-2</v>
      </c>
      <c r="I37" s="43">
        <f t="shared" si="15"/>
        <v>5.5368420456356704E-2</v>
      </c>
      <c r="J37" s="44">
        <v>247</v>
      </c>
      <c r="K37" s="100">
        <f t="shared" si="3"/>
        <v>3.8461454615327825E-3</v>
      </c>
      <c r="L37" s="45">
        <f t="shared" si="16"/>
        <v>5.769218192299174E-4</v>
      </c>
      <c r="M37" s="109">
        <f t="shared" si="17"/>
        <v>5.5945342275586618E-2</v>
      </c>
      <c r="N37" s="46">
        <v>7826</v>
      </c>
      <c r="O37" s="47">
        <v>1628</v>
      </c>
      <c r="P37" s="47">
        <v>22499</v>
      </c>
      <c r="Q37" s="47">
        <v>705</v>
      </c>
      <c r="R37" s="48">
        <f t="shared" si="4"/>
        <v>3.0541785709629822E-2</v>
      </c>
      <c r="S37" s="49">
        <v>16068.000000124277</v>
      </c>
      <c r="T37" s="49">
        <v>2619</v>
      </c>
      <c r="U37" s="49">
        <v>3702</v>
      </c>
      <c r="V37" s="49">
        <v>260</v>
      </c>
      <c r="W37" s="48">
        <f t="shared" si="5"/>
        <v>3.3829305636440522E-2</v>
      </c>
      <c r="X37" s="50">
        <f t="shared" si="6"/>
        <v>2.8754909790974444E-2</v>
      </c>
      <c r="Y37" s="42">
        <f t="shared" si="7"/>
        <v>0.10764006918476104</v>
      </c>
      <c r="Z37" s="42">
        <f t="shared" si="8"/>
        <v>0</v>
      </c>
      <c r="AA37" s="43">
        <f t="shared" si="18"/>
        <v>0</v>
      </c>
      <c r="AB37" s="43">
        <f t="shared" si="9"/>
        <v>0</v>
      </c>
      <c r="AC37" s="109">
        <f t="shared" si="10"/>
        <v>2.8754909790974444E-2</v>
      </c>
      <c r="AE37" s="53">
        <f t="shared" si="11"/>
        <v>67378277.687911317</v>
      </c>
      <c r="AF37" s="54">
        <f t="shared" si="12"/>
        <v>112051406.98881161</v>
      </c>
      <c r="AG37" s="54">
        <f t="shared" si="13"/>
        <v>57592428.053140491</v>
      </c>
      <c r="AH37" s="54">
        <f t="shared" si="19"/>
        <v>237022112.72986344</v>
      </c>
      <c r="AI37" s="55">
        <f t="shared" si="20"/>
        <v>2.9585267110655133E-2</v>
      </c>
    </row>
    <row r="38" spans="1:35" ht="14.25">
      <c r="A38" s="4" t="s">
        <v>32</v>
      </c>
      <c r="B38" s="44">
        <v>3683050</v>
      </c>
      <c r="C38" s="44">
        <v>1383880</v>
      </c>
      <c r="D38" s="51">
        <f t="shared" si="0"/>
        <v>0.37574293045166368</v>
      </c>
      <c r="E38" s="52">
        <f t="shared" si="14"/>
        <v>519983.12659344834</v>
      </c>
      <c r="F38" s="109">
        <f t="shared" si="1"/>
        <v>2.9898382328755554E-4</v>
      </c>
      <c r="G38" s="41">
        <v>5238</v>
      </c>
      <c r="H38" s="103">
        <f t="shared" si="2"/>
        <v>1.0231459922680009E-3</v>
      </c>
      <c r="I38" s="43">
        <f t="shared" si="15"/>
        <v>8.6967409342780073E-4</v>
      </c>
      <c r="J38" s="44">
        <v>3428.68</v>
      </c>
      <c r="K38" s="100">
        <f t="shared" si="3"/>
        <v>5.3389481866591988E-2</v>
      </c>
      <c r="L38" s="45">
        <f t="shared" si="16"/>
        <v>8.0084222799887972E-3</v>
      </c>
      <c r="M38" s="109">
        <f t="shared" si="17"/>
        <v>8.8780963734165982E-3</v>
      </c>
      <c r="N38" s="46">
        <v>900</v>
      </c>
      <c r="O38" s="47">
        <v>209</v>
      </c>
      <c r="P38" s="47">
        <v>2198</v>
      </c>
      <c r="Q38" s="47">
        <v>203</v>
      </c>
      <c r="R38" s="48">
        <f t="shared" si="4"/>
        <v>4.0615571082199316E-3</v>
      </c>
      <c r="S38" s="49">
        <v>711.99999999240003</v>
      </c>
      <c r="T38" s="49">
        <v>170</v>
      </c>
      <c r="U38" s="49">
        <v>749</v>
      </c>
      <c r="V38" s="49">
        <v>32</v>
      </c>
      <c r="W38" s="48">
        <f t="shared" si="5"/>
        <v>3.2439902600152671E-3</v>
      </c>
      <c r="X38" s="50">
        <f t="shared" si="6"/>
        <v>2.7573917210129768E-3</v>
      </c>
      <c r="Y38" s="42">
        <f t="shared" si="7"/>
        <v>-0.20129394378083273</v>
      </c>
      <c r="Z38" s="42">
        <f t="shared" si="8"/>
        <v>-0.20129394378083273</v>
      </c>
      <c r="AA38" s="43">
        <f t="shared" si="18"/>
        <v>3.7509198529186154E-2</v>
      </c>
      <c r="AB38" s="43">
        <f t="shared" si="9"/>
        <v>5.6263797793779232E-3</v>
      </c>
      <c r="AC38" s="109">
        <f t="shared" si="10"/>
        <v>8.3837715003909005E-3</v>
      </c>
      <c r="AE38" s="53">
        <f t="shared" si="11"/>
        <v>1197653.1630188704</v>
      </c>
      <c r="AF38" s="54">
        <f t="shared" si="12"/>
        <v>17781698.16395434</v>
      </c>
      <c r="AG38" s="54">
        <f t="shared" si="13"/>
        <v>16791628.297918934</v>
      </c>
      <c r="AH38" s="54">
        <f t="shared" si="19"/>
        <v>35770979.624892145</v>
      </c>
      <c r="AI38" s="55">
        <f t="shared" si="20"/>
        <v>4.4649588800956524E-3</v>
      </c>
    </row>
    <row r="39" spans="1:35" ht="14.25">
      <c r="A39" s="4" t="s">
        <v>33</v>
      </c>
      <c r="B39" s="44">
        <v>38008782</v>
      </c>
      <c r="C39" s="44">
        <v>10865396</v>
      </c>
      <c r="D39" s="51">
        <f t="shared" ref="D39:D58" si="21">+C39/B39</f>
        <v>0.28586540868370897</v>
      </c>
      <c r="E39" s="52">
        <f t="shared" si="14"/>
        <v>3106040.8680503368</v>
      </c>
      <c r="F39" s="109">
        <f t="shared" ref="F39:F57" si="22">+E39/E$58</f>
        <v>1.7859348246566514E-3</v>
      </c>
      <c r="G39" s="41">
        <v>79853</v>
      </c>
      <c r="H39" s="103">
        <f t="shared" ref="H39:H57" si="23">+G39/$G$58</f>
        <v>1.5597800099384627E-2</v>
      </c>
      <c r="I39" s="43">
        <f t="shared" si="15"/>
        <v>1.3258130084476932E-2</v>
      </c>
      <c r="J39" s="44">
        <v>2539.67</v>
      </c>
      <c r="K39" s="100">
        <f t="shared" ref="K39:K58" si="24">+J39/$J$58</f>
        <v>3.9546316778505917E-2</v>
      </c>
      <c r="L39" s="45">
        <f t="shared" si="16"/>
        <v>5.9319475167758876E-3</v>
      </c>
      <c r="M39" s="109">
        <f t="shared" si="17"/>
        <v>1.9190077601252818E-2</v>
      </c>
      <c r="N39" s="46">
        <v>12929</v>
      </c>
      <c r="O39" s="47">
        <v>2053</v>
      </c>
      <c r="P39" s="47">
        <v>23315</v>
      </c>
      <c r="Q39" s="47">
        <v>2592</v>
      </c>
      <c r="R39" s="48">
        <f t="shared" ref="R39:R57" si="25">(0.25*(N39/N$58))+(0.25*(O39/O$58))+(0.25*(P39/P$58))+(0.25*(Q39/Q$58))</f>
        <v>4.7396376278714986E-2</v>
      </c>
      <c r="S39" s="49">
        <v>10671.999999957041</v>
      </c>
      <c r="T39" s="49">
        <v>1702</v>
      </c>
      <c r="U39" s="49">
        <v>11424</v>
      </c>
      <c r="V39" s="49">
        <v>888</v>
      </c>
      <c r="W39" s="48">
        <f t="shared" ref="W39:W57" si="26">(0.25*(S39/S$58))+(0.25*(T39/T$58))+(0.25*(U39/U$58))+(0.25*(V39/V$58))</f>
        <v>5.3573985057324913E-2</v>
      </c>
      <c r="X39" s="50">
        <f t="shared" ref="X39:X57" si="27">+W39*X$4</f>
        <v>4.5537887298726175E-2</v>
      </c>
      <c r="Y39" s="42">
        <f t="shared" ref="Y39:Y57" si="28">+(W39-R39)/R39</f>
        <v>0.13033926353952507</v>
      </c>
      <c r="Z39" s="42">
        <f t="shared" si="8"/>
        <v>0</v>
      </c>
      <c r="AA39" s="43">
        <f t="shared" si="18"/>
        <v>0</v>
      </c>
      <c r="AB39" s="43">
        <f t="shared" ref="AB39:AB57" si="29">+AA39*AB$4</f>
        <v>0</v>
      </c>
      <c r="AC39" s="109">
        <f t="shared" si="10"/>
        <v>4.5537887298726175E-2</v>
      </c>
      <c r="AE39" s="53">
        <f t="shared" ref="AE39:AE57" si="30">+F39*AE$5</f>
        <v>7154000.7354793157</v>
      </c>
      <c r="AF39" s="54">
        <f t="shared" ref="AF39:AF57" si="31">+M39*AF$5</f>
        <v>38435285.369291462</v>
      </c>
      <c r="AG39" s="54">
        <f t="shared" ref="AG39:AG57" si="32">+AC39*AG$5</f>
        <v>91206598.00390324</v>
      </c>
      <c r="AH39" s="54">
        <f t="shared" si="19"/>
        <v>136795884.10867402</v>
      </c>
      <c r="AI39" s="55">
        <f t="shared" si="20"/>
        <v>1.7074958637323074E-2</v>
      </c>
    </row>
    <row r="40" spans="1:35" ht="14.25">
      <c r="A40" s="4" t="s">
        <v>212</v>
      </c>
      <c r="B40" s="44">
        <v>1478492</v>
      </c>
      <c r="C40" s="44">
        <v>1126052</v>
      </c>
      <c r="D40" s="51">
        <f t="shared" si="21"/>
        <v>0.76162197698736278</v>
      </c>
      <c r="E40" s="52">
        <f t="shared" si="14"/>
        <v>857625.95043057378</v>
      </c>
      <c r="F40" s="109">
        <f t="shared" si="22"/>
        <v>4.9312424287728291E-4</v>
      </c>
      <c r="G40" s="41">
        <v>5630</v>
      </c>
      <c r="H40" s="103">
        <f t="shared" si="23"/>
        <v>1.0997159099787792E-3</v>
      </c>
      <c r="I40" s="43">
        <f t="shared" si="15"/>
        <v>9.3475852348196226E-4</v>
      </c>
      <c r="J40" s="44">
        <v>264.23</v>
      </c>
      <c r="K40" s="100">
        <f t="shared" si="24"/>
        <v>4.114441357493147E-3</v>
      </c>
      <c r="L40" s="45">
        <f t="shared" si="16"/>
        <v>6.1716620362397201E-4</v>
      </c>
      <c r="M40" s="109">
        <f t="shared" si="17"/>
        <v>1.5519247271059342E-3</v>
      </c>
      <c r="N40" s="46">
        <v>549</v>
      </c>
      <c r="O40" s="47">
        <v>170</v>
      </c>
      <c r="P40" s="47">
        <v>368</v>
      </c>
      <c r="Q40" s="47">
        <v>141</v>
      </c>
      <c r="R40" s="48">
        <f t="shared" si="25"/>
        <v>1.9801145257961881E-3</v>
      </c>
      <c r="S40" s="49">
        <v>273.99999999933596</v>
      </c>
      <c r="T40" s="49">
        <v>118</v>
      </c>
      <c r="U40" s="49">
        <v>143</v>
      </c>
      <c r="V40" s="49">
        <v>8</v>
      </c>
      <c r="W40" s="48">
        <f t="shared" si="26"/>
        <v>1.0543512714151413E-3</v>
      </c>
      <c r="X40" s="50">
        <f t="shared" si="27"/>
        <v>8.9619858070287008E-4</v>
      </c>
      <c r="Y40" s="42">
        <f t="shared" si="28"/>
        <v>-0.46753015662505931</v>
      </c>
      <c r="Z40" s="42">
        <f t="shared" si="8"/>
        <v>-0.46753015662505931</v>
      </c>
      <c r="AA40" s="43">
        <f t="shared" si="18"/>
        <v>8.7119766913229382E-2</v>
      </c>
      <c r="AB40" s="43">
        <f t="shared" si="29"/>
        <v>1.3067965036984408E-2</v>
      </c>
      <c r="AC40" s="109">
        <f t="shared" si="10"/>
        <v>1.3964163617687278E-2</v>
      </c>
      <c r="AE40" s="53">
        <f t="shared" si="30"/>
        <v>1975330.3130224752</v>
      </c>
      <c r="AF40" s="54">
        <f t="shared" si="31"/>
        <v>3108307.8973105461</v>
      </c>
      <c r="AG40" s="54">
        <f t="shared" si="32"/>
        <v>27968444.148149174</v>
      </c>
      <c r="AH40" s="54">
        <f t="shared" si="19"/>
        <v>33052082.358482197</v>
      </c>
      <c r="AI40" s="55">
        <f t="shared" si="20"/>
        <v>4.1255842076369439E-3</v>
      </c>
    </row>
    <row r="41" spans="1:35" ht="14.25">
      <c r="A41" s="4" t="s">
        <v>35</v>
      </c>
      <c r="B41" s="44">
        <v>737314</v>
      </c>
      <c r="C41" s="44">
        <v>319251</v>
      </c>
      <c r="D41" s="51">
        <f t="shared" si="21"/>
        <v>0.43299191389285974</v>
      </c>
      <c r="E41" s="52">
        <f t="shared" si="14"/>
        <v>138233.10150220938</v>
      </c>
      <c r="F41" s="109">
        <f t="shared" si="22"/>
        <v>7.9482312171912E-5</v>
      </c>
      <c r="G41" s="41">
        <v>955</v>
      </c>
      <c r="H41" s="103">
        <f t="shared" si="23"/>
        <v>1.8654150870865615E-4</v>
      </c>
      <c r="I41" s="43">
        <f t="shared" si="15"/>
        <v>1.5856028240235771E-4</v>
      </c>
      <c r="J41" s="44">
        <v>207.92</v>
      </c>
      <c r="K41" s="100">
        <f t="shared" si="24"/>
        <v>3.2376136208983647E-3</v>
      </c>
      <c r="L41" s="45">
        <f t="shared" si="16"/>
        <v>4.8564204313475466E-4</v>
      </c>
      <c r="M41" s="109">
        <f t="shared" si="17"/>
        <v>6.4420232553711243E-4</v>
      </c>
      <c r="N41" s="46">
        <v>166</v>
      </c>
      <c r="O41" s="47">
        <v>24</v>
      </c>
      <c r="P41" s="47">
        <v>127</v>
      </c>
      <c r="Q41" s="47">
        <v>48</v>
      </c>
      <c r="R41" s="48">
        <f t="shared" si="25"/>
        <v>5.668842439924349E-4</v>
      </c>
      <c r="S41" s="49">
        <v>122.00000000265999</v>
      </c>
      <c r="T41" s="49">
        <v>28</v>
      </c>
      <c r="U41" s="49">
        <v>16</v>
      </c>
      <c r="V41" s="49">
        <v>3</v>
      </c>
      <c r="W41" s="48">
        <f t="shared" si="26"/>
        <v>2.7865285037301604E-4</v>
      </c>
      <c r="X41" s="50">
        <f t="shared" si="27"/>
        <v>2.3685492281706362E-4</v>
      </c>
      <c r="Y41" s="42">
        <f t="shared" si="28"/>
        <v>-0.50844841195350865</v>
      </c>
      <c r="Z41" s="42">
        <f t="shared" si="8"/>
        <v>-0.50844841195350865</v>
      </c>
      <c r="AA41" s="43">
        <f t="shared" si="18"/>
        <v>9.474449189876509E-2</v>
      </c>
      <c r="AB41" s="43">
        <f t="shared" si="29"/>
        <v>1.4211673784814763E-2</v>
      </c>
      <c r="AC41" s="109">
        <f t="shared" si="10"/>
        <v>1.4448528707631827E-2</v>
      </c>
      <c r="AE41" s="53">
        <f t="shared" si="30"/>
        <v>318385.92981396866</v>
      </c>
      <c r="AF41" s="54">
        <f t="shared" si="31"/>
        <v>1290255.3461255236</v>
      </c>
      <c r="AG41" s="54">
        <f t="shared" si="32"/>
        <v>28938565.835084192</v>
      </c>
      <c r="AH41" s="54">
        <f t="shared" si="19"/>
        <v>30547207.111023683</v>
      </c>
      <c r="AI41" s="55">
        <f t="shared" si="20"/>
        <v>3.8129239143781901E-3</v>
      </c>
    </row>
    <row r="42" spans="1:35" ht="14.25">
      <c r="A42" s="4" t="s">
        <v>36</v>
      </c>
      <c r="B42" s="44">
        <v>752319</v>
      </c>
      <c r="C42" s="44">
        <v>69817</v>
      </c>
      <c r="D42" s="51">
        <f t="shared" si="21"/>
        <v>9.2802388348559584E-2</v>
      </c>
      <c r="E42" s="52">
        <f t="shared" si="14"/>
        <v>6479.1843473313847</v>
      </c>
      <c r="F42" s="109">
        <f t="shared" si="22"/>
        <v>3.7254503249768157E-6</v>
      </c>
      <c r="G42" s="41">
        <v>6996</v>
      </c>
      <c r="H42" s="103">
        <f t="shared" si="23"/>
        <v>1.3665386334301135E-3</v>
      </c>
      <c r="I42" s="43">
        <f t="shared" si="15"/>
        <v>1.1615578384155964E-3</v>
      </c>
      <c r="J42" s="44">
        <v>1006.78</v>
      </c>
      <c r="K42" s="100">
        <f t="shared" si="24"/>
        <v>1.5677013472720547E-2</v>
      </c>
      <c r="L42" s="45">
        <f t="shared" si="16"/>
        <v>2.3515520209080819E-3</v>
      </c>
      <c r="M42" s="109">
        <f t="shared" si="17"/>
        <v>3.5131098593236786E-3</v>
      </c>
      <c r="N42" s="46">
        <v>1457</v>
      </c>
      <c r="O42" s="47">
        <v>857</v>
      </c>
      <c r="P42" s="47">
        <v>6591</v>
      </c>
      <c r="Q42" s="47">
        <v>540</v>
      </c>
      <c r="R42" s="48">
        <f t="shared" si="25"/>
        <v>1.1668536705942888E-2</v>
      </c>
      <c r="S42" s="49">
        <v>1103.9999999949041</v>
      </c>
      <c r="T42" s="49">
        <v>656</v>
      </c>
      <c r="U42" s="49">
        <v>3161</v>
      </c>
      <c r="V42" s="49">
        <v>242</v>
      </c>
      <c r="W42" s="48">
        <f t="shared" si="26"/>
        <v>1.3933846759870267E-2</v>
      </c>
      <c r="X42" s="50">
        <f t="shared" si="27"/>
        <v>1.1843769745889727E-2</v>
      </c>
      <c r="Y42" s="42">
        <f t="shared" si="28"/>
        <v>0.19413831494172162</v>
      </c>
      <c r="Z42" s="42">
        <f t="shared" si="8"/>
        <v>0</v>
      </c>
      <c r="AA42" s="43">
        <f t="shared" si="18"/>
        <v>0</v>
      </c>
      <c r="AB42" s="43">
        <f t="shared" si="29"/>
        <v>0</v>
      </c>
      <c r="AC42" s="109">
        <f t="shared" si="10"/>
        <v>1.1843769745889727E-2</v>
      </c>
      <c r="AE42" s="53">
        <f t="shared" si="30"/>
        <v>14923.20660133813</v>
      </c>
      <c r="AF42" s="54">
        <f t="shared" si="31"/>
        <v>7036312.3475833023</v>
      </c>
      <c r="AG42" s="54">
        <f t="shared" si="32"/>
        <v>23721564.836284637</v>
      </c>
      <c r="AH42" s="54">
        <f t="shared" si="19"/>
        <v>30772800.390469279</v>
      </c>
      <c r="AI42" s="55">
        <f t="shared" si="20"/>
        <v>3.8410826264658397E-3</v>
      </c>
    </row>
    <row r="43" spans="1:35" ht="14.25">
      <c r="A43" s="4" t="s">
        <v>37</v>
      </c>
      <c r="B43" s="44">
        <v>4368244</v>
      </c>
      <c r="C43" s="44">
        <v>875732</v>
      </c>
      <c r="D43" s="51">
        <f t="shared" si="21"/>
        <v>0.20047689643710379</v>
      </c>
      <c r="E43" s="52">
        <f t="shared" si="14"/>
        <v>175564.03347065777</v>
      </c>
      <c r="F43" s="109">
        <f t="shared" si="22"/>
        <v>1.0094713323242479E-4</v>
      </c>
      <c r="G43" s="41">
        <v>5326</v>
      </c>
      <c r="H43" s="103">
        <f t="shared" si="23"/>
        <v>1.0403351574683798E-3</v>
      </c>
      <c r="I43" s="43">
        <f t="shared" si="15"/>
        <v>8.8428488384812277E-4</v>
      </c>
      <c r="J43" s="44">
        <v>3872.26</v>
      </c>
      <c r="K43" s="100">
        <f t="shared" si="24"/>
        <v>6.0296660829453175E-2</v>
      </c>
      <c r="L43" s="45">
        <f t="shared" si="16"/>
        <v>9.0444991244179752E-3</v>
      </c>
      <c r="M43" s="109">
        <f t="shared" si="17"/>
        <v>9.9287840082660974E-3</v>
      </c>
      <c r="N43" s="46">
        <v>871</v>
      </c>
      <c r="O43" s="47">
        <v>298</v>
      </c>
      <c r="P43" s="47">
        <v>2364</v>
      </c>
      <c r="Q43" s="47">
        <v>407</v>
      </c>
      <c r="R43" s="48">
        <f t="shared" si="25"/>
        <v>5.7246757457106359E-3</v>
      </c>
      <c r="S43" s="49">
        <v>541.99999999184001</v>
      </c>
      <c r="T43" s="49">
        <v>247</v>
      </c>
      <c r="U43" s="49">
        <v>493</v>
      </c>
      <c r="V43" s="49">
        <v>128</v>
      </c>
      <c r="W43" s="48">
        <f t="shared" si="26"/>
        <v>4.6017900390551651E-3</v>
      </c>
      <c r="X43" s="50">
        <f t="shared" si="27"/>
        <v>3.9115215331968906E-3</v>
      </c>
      <c r="Y43" s="42">
        <f t="shared" si="28"/>
        <v>-0.19614835084708904</v>
      </c>
      <c r="Z43" s="42">
        <f t="shared" si="8"/>
        <v>-0.19614835084708904</v>
      </c>
      <c r="AA43" s="43">
        <f t="shared" si="18"/>
        <v>3.655036656794089E-2</v>
      </c>
      <c r="AB43" s="43">
        <f t="shared" si="29"/>
        <v>5.4825549851911333E-3</v>
      </c>
      <c r="AC43" s="109">
        <f t="shared" si="10"/>
        <v>9.3940765183880247E-3</v>
      </c>
      <c r="AE43" s="53">
        <f t="shared" si="30"/>
        <v>404368.54437178851</v>
      </c>
      <c r="AF43" s="54">
        <f t="shared" si="31"/>
        <v>19886091.899016149</v>
      </c>
      <c r="AG43" s="54">
        <f t="shared" si="32"/>
        <v>18815140.786175441</v>
      </c>
      <c r="AH43" s="54">
        <f t="shared" si="19"/>
        <v>39105601.229563378</v>
      </c>
      <c r="AI43" s="55">
        <f t="shared" si="20"/>
        <v>4.881188698279742E-3</v>
      </c>
    </row>
    <row r="44" spans="1:35" ht="14.25">
      <c r="A44" s="4" t="s">
        <v>38</v>
      </c>
      <c r="B44" s="44">
        <v>54997682</v>
      </c>
      <c r="C44" s="44">
        <v>15135193.17</v>
      </c>
      <c r="D44" s="51">
        <f t="shared" si="21"/>
        <v>0.27519692866328438</v>
      </c>
      <c r="E44" s="52">
        <f t="shared" si="14"/>
        <v>4165158.6751095192</v>
      </c>
      <c r="F44" s="109">
        <f t="shared" si="22"/>
        <v>2.3949143762451927E-3</v>
      </c>
      <c r="G44" s="41">
        <v>60829</v>
      </c>
      <c r="H44" s="103">
        <f t="shared" si="23"/>
        <v>1.1881815113339104E-2</v>
      </c>
      <c r="I44" s="43">
        <f t="shared" si="15"/>
        <v>1.0099542846338239E-2</v>
      </c>
      <c r="J44" s="44">
        <v>1869.3</v>
      </c>
      <c r="K44" s="100">
        <f t="shared" si="24"/>
        <v>2.9107691138636562E-2</v>
      </c>
      <c r="L44" s="45">
        <f t="shared" si="16"/>
        <v>4.3661536707954845E-3</v>
      </c>
      <c r="M44" s="109">
        <f t="shared" si="17"/>
        <v>1.4465696517133723E-2</v>
      </c>
      <c r="N44" s="46">
        <v>9097</v>
      </c>
      <c r="O44" s="47">
        <v>1608</v>
      </c>
      <c r="P44" s="47">
        <v>18077</v>
      </c>
      <c r="Q44" s="47">
        <v>1611</v>
      </c>
      <c r="R44" s="48">
        <f t="shared" si="25"/>
        <v>3.3705765227310995E-2</v>
      </c>
      <c r="S44" s="49">
        <v>5867.9999999965466</v>
      </c>
      <c r="T44" s="49">
        <v>1434</v>
      </c>
      <c r="U44" s="49">
        <v>7372</v>
      </c>
      <c r="V44" s="49">
        <v>494</v>
      </c>
      <c r="W44" s="48">
        <f t="shared" si="26"/>
        <v>3.3476855698049306E-2</v>
      </c>
      <c r="X44" s="50">
        <f t="shared" si="27"/>
        <v>2.8455327343341909E-2</v>
      </c>
      <c r="Y44" s="42">
        <f t="shared" si="28"/>
        <v>-6.7914057941698752E-3</v>
      </c>
      <c r="Z44" s="42">
        <f t="shared" si="8"/>
        <v>-6.7914057941698752E-3</v>
      </c>
      <c r="AA44" s="43">
        <f t="shared" si="18"/>
        <v>1.2655134249997214E-3</v>
      </c>
      <c r="AB44" s="43">
        <f t="shared" si="29"/>
        <v>1.898270137499582E-4</v>
      </c>
      <c r="AC44" s="109">
        <f t="shared" si="10"/>
        <v>2.8645154357091869E-2</v>
      </c>
      <c r="AE44" s="53">
        <f t="shared" si="30"/>
        <v>9593417.9526187256</v>
      </c>
      <c r="AF44" s="54">
        <f t="shared" si="31"/>
        <v>28972950.774586882</v>
      </c>
      <c r="AG44" s="54">
        <f t="shared" si="32"/>
        <v>57372601.874749646</v>
      </c>
      <c r="AH44" s="54">
        <f t="shared" si="19"/>
        <v>95938970.60195525</v>
      </c>
      <c r="AI44" s="55">
        <f t="shared" si="20"/>
        <v>1.1975169906678993E-2</v>
      </c>
    </row>
    <row r="45" spans="1:35" ht="14.25">
      <c r="A45" s="4" t="s">
        <v>39</v>
      </c>
      <c r="B45" s="44">
        <v>2401041388</v>
      </c>
      <c r="C45" s="44">
        <v>1234436745.76</v>
      </c>
      <c r="D45" s="51">
        <f t="shared" si="21"/>
        <v>0.51412555898848999</v>
      </c>
      <c r="E45" s="52">
        <f t="shared" si="14"/>
        <v>634655481.9497925</v>
      </c>
      <c r="F45" s="109">
        <f t="shared" si="22"/>
        <v>0.3649189997892251</v>
      </c>
      <c r="G45" s="41">
        <v>1109171</v>
      </c>
      <c r="H45" s="103">
        <f t="shared" si="23"/>
        <v>0.21665594948260614</v>
      </c>
      <c r="I45" s="43">
        <f t="shared" si="15"/>
        <v>0.18415755706021522</v>
      </c>
      <c r="J45" s="44">
        <v>323.60000000000002</v>
      </c>
      <c r="K45" s="100">
        <f t="shared" si="24"/>
        <v>5.0389176977814112E-3</v>
      </c>
      <c r="L45" s="45">
        <f t="shared" si="16"/>
        <v>7.558376546672117E-4</v>
      </c>
      <c r="M45" s="109">
        <f t="shared" si="17"/>
        <v>0.18491339471488244</v>
      </c>
      <c r="N45" s="46">
        <v>123398</v>
      </c>
      <c r="O45" s="47">
        <v>25536</v>
      </c>
      <c r="P45" s="47">
        <v>28126</v>
      </c>
      <c r="Q45" s="47">
        <v>2378</v>
      </c>
      <c r="R45" s="48">
        <f t="shared" si="25"/>
        <v>0.18097080651961275</v>
      </c>
      <c r="S45" s="49">
        <v>88873.999998769097</v>
      </c>
      <c r="T45" s="49">
        <v>19246</v>
      </c>
      <c r="U45" s="49">
        <v>4982</v>
      </c>
      <c r="V45" s="49">
        <v>694</v>
      </c>
      <c r="W45" s="48">
        <f t="shared" si="26"/>
        <v>0.15834621423966655</v>
      </c>
      <c r="X45" s="50">
        <f t="shared" si="27"/>
        <v>0.13459428210371657</v>
      </c>
      <c r="Y45" s="42">
        <f t="shared" si="28"/>
        <v>-0.12501791153532965</v>
      </c>
      <c r="Z45" s="42">
        <f t="shared" si="8"/>
        <v>-0.12501791153532965</v>
      </c>
      <c r="AA45" s="43">
        <f t="shared" si="18"/>
        <v>2.329589045455142E-2</v>
      </c>
      <c r="AB45" s="43">
        <f t="shared" si="29"/>
        <v>3.4943835681827129E-3</v>
      </c>
      <c r="AC45" s="109">
        <f t="shared" si="10"/>
        <v>0.13808866567189929</v>
      </c>
      <c r="AE45" s="53">
        <f t="shared" si="30"/>
        <v>1461772712.4417264</v>
      </c>
      <c r="AF45" s="54">
        <f t="shared" si="31"/>
        <v>370358017.41661257</v>
      </c>
      <c r="AG45" s="54">
        <f t="shared" si="32"/>
        <v>276574039.02408576</v>
      </c>
      <c r="AH45" s="54">
        <f t="shared" si="19"/>
        <v>2108704768.8824248</v>
      </c>
      <c r="AI45" s="55">
        <f t="shared" si="20"/>
        <v>0.26321001499130797</v>
      </c>
    </row>
    <row r="46" spans="1:35" ht="14.25">
      <c r="A46" s="4" t="s">
        <v>213</v>
      </c>
      <c r="B46" s="44">
        <v>1283549</v>
      </c>
      <c r="C46" s="44">
        <v>468889</v>
      </c>
      <c r="D46" s="51">
        <f t="shared" si="21"/>
        <v>0.36530666145195861</v>
      </c>
      <c r="E46" s="52">
        <f t="shared" si="14"/>
        <v>171288.27518154742</v>
      </c>
      <c r="F46" s="109">
        <f t="shared" si="22"/>
        <v>9.8488625455246117E-5</v>
      </c>
      <c r="G46" s="41">
        <v>971</v>
      </c>
      <c r="H46" s="103">
        <f t="shared" si="23"/>
        <v>1.8966681147236138E-4</v>
      </c>
      <c r="I46" s="43">
        <f t="shared" si="15"/>
        <v>1.6121678975150716E-4</v>
      </c>
      <c r="J46" s="44">
        <v>1172.6600000000001</v>
      </c>
      <c r="K46" s="100">
        <f t="shared" si="24"/>
        <v>1.8260003793202563E-2</v>
      </c>
      <c r="L46" s="45">
        <f t="shared" si="16"/>
        <v>2.7390005689803842E-3</v>
      </c>
      <c r="M46" s="109">
        <f t="shared" si="17"/>
        <v>2.9002173587318915E-3</v>
      </c>
      <c r="N46" s="46">
        <v>244</v>
      </c>
      <c r="O46" s="47">
        <v>60</v>
      </c>
      <c r="P46" s="47">
        <v>375</v>
      </c>
      <c r="Q46" s="47">
        <v>47</v>
      </c>
      <c r="R46" s="48">
        <f t="shared" si="25"/>
        <v>8.9400030637785065E-4</v>
      </c>
      <c r="S46" s="49">
        <v>95.999999999399989</v>
      </c>
      <c r="T46" s="49">
        <v>43</v>
      </c>
      <c r="U46" s="49">
        <v>84</v>
      </c>
      <c r="V46" s="49">
        <v>27</v>
      </c>
      <c r="W46" s="48">
        <f t="shared" si="26"/>
        <v>8.8461266524612078E-4</v>
      </c>
      <c r="X46" s="50">
        <f t="shared" si="27"/>
        <v>7.5192076545920264E-4</v>
      </c>
      <c r="Y46" s="42">
        <f t="shared" si="28"/>
        <v>-1.0500713550943872E-2</v>
      </c>
      <c r="Z46" s="42">
        <f t="shared" si="8"/>
        <v>-1.0500713550943872E-2</v>
      </c>
      <c r="AA46" s="43">
        <f t="shared" si="18"/>
        <v>1.9567073995495625E-3</v>
      </c>
      <c r="AB46" s="43">
        <f t="shared" si="29"/>
        <v>2.9350610993243438E-4</v>
      </c>
      <c r="AC46" s="109">
        <f t="shared" si="10"/>
        <v>1.0454268753916371E-3</v>
      </c>
      <c r="AE46" s="53">
        <f t="shared" si="30"/>
        <v>394520.38742714789</v>
      </c>
      <c r="AF46" s="54">
        <f t="shared" si="31"/>
        <v>5808766.5997012779</v>
      </c>
      <c r="AG46" s="54">
        <f t="shared" si="32"/>
        <v>2093857.1027863408</v>
      </c>
      <c r="AH46" s="54">
        <f t="shared" si="19"/>
        <v>8297144.0899147661</v>
      </c>
      <c r="AI46" s="55">
        <f t="shared" si="20"/>
        <v>1.035655371258505E-3</v>
      </c>
    </row>
    <row r="47" spans="1:35" ht="14.25">
      <c r="A47" s="4" t="s">
        <v>214</v>
      </c>
      <c r="B47" s="44">
        <v>73375379</v>
      </c>
      <c r="C47" s="44">
        <v>15857010</v>
      </c>
      <c r="D47" s="51">
        <f t="shared" si="21"/>
        <v>0.21610804899556293</v>
      </c>
      <c r="E47" s="52">
        <f t="shared" si="14"/>
        <v>3426827.4940031315</v>
      </c>
      <c r="F47" s="109">
        <f t="shared" si="22"/>
        <v>1.97038314034569E-3</v>
      </c>
      <c r="G47" s="41">
        <v>87168</v>
      </c>
      <c r="H47" s="103">
        <f t="shared" si="23"/>
        <v>1.7026649456666116E-2</v>
      </c>
      <c r="I47" s="43">
        <f t="shared" si="15"/>
        <v>1.4472652038166198E-2</v>
      </c>
      <c r="J47" s="44">
        <v>308.89</v>
      </c>
      <c r="K47" s="100">
        <f t="shared" si="24"/>
        <v>4.8098618283921504E-3</v>
      </c>
      <c r="L47" s="45">
        <f t="shared" si="16"/>
        <v>7.2147927425882249E-4</v>
      </c>
      <c r="M47" s="109">
        <f t="shared" si="17"/>
        <v>1.5194131312425021E-2</v>
      </c>
      <c r="N47" s="46">
        <v>1423</v>
      </c>
      <c r="O47" s="47">
        <v>462</v>
      </c>
      <c r="P47" s="47">
        <v>3867</v>
      </c>
      <c r="Q47" s="47">
        <v>358</v>
      </c>
      <c r="R47" s="48">
        <f t="shared" si="25"/>
        <v>7.3252944690219944E-3</v>
      </c>
      <c r="S47" s="49">
        <v>502.9999955589883</v>
      </c>
      <c r="T47" s="49">
        <v>435</v>
      </c>
      <c r="U47" s="49">
        <v>1115</v>
      </c>
      <c r="V47" s="49">
        <v>155</v>
      </c>
      <c r="W47" s="48">
        <f t="shared" si="26"/>
        <v>6.9676301349024189E-3</v>
      </c>
      <c r="X47" s="50">
        <f t="shared" si="27"/>
        <v>5.9224856146670559E-3</v>
      </c>
      <c r="Y47" s="42">
        <f t="shared" si="28"/>
        <v>-4.8825932613645158E-2</v>
      </c>
      <c r="Z47" s="42">
        <f t="shared" si="8"/>
        <v>-4.8825932613645158E-2</v>
      </c>
      <c r="AA47" s="43">
        <f t="shared" si="18"/>
        <v>9.0982449117888945E-3</v>
      </c>
      <c r="AB47" s="43">
        <f t="shared" si="29"/>
        <v>1.3647367367683341E-3</v>
      </c>
      <c r="AC47" s="109">
        <f t="shared" si="10"/>
        <v>7.2872223514353898E-3</v>
      </c>
      <c r="AE47" s="53">
        <f t="shared" si="30"/>
        <v>7892853.7820069166</v>
      </c>
      <c r="AF47" s="54">
        <f t="shared" si="31"/>
        <v>30431913.047262352</v>
      </c>
      <c r="AG47" s="54">
        <f t="shared" si="32"/>
        <v>14595379.781508179</v>
      </c>
      <c r="AH47" s="54">
        <f t="shared" si="19"/>
        <v>52920146.610777445</v>
      </c>
      <c r="AI47" s="55">
        <f t="shared" si="20"/>
        <v>6.6055299861379471E-3</v>
      </c>
    </row>
    <row r="48" spans="1:35" ht="14.25">
      <c r="A48" s="4" t="s">
        <v>215</v>
      </c>
      <c r="B48" s="44">
        <v>5999815</v>
      </c>
      <c r="C48" s="44">
        <v>1139783</v>
      </c>
      <c r="D48" s="51">
        <f t="shared" si="21"/>
        <v>0.18996969073213091</v>
      </c>
      <c r="E48" s="52">
        <f t="shared" si="14"/>
        <v>216524.22401174036</v>
      </c>
      <c r="F48" s="109">
        <f t="shared" si="22"/>
        <v>1.2449873278295133E-4</v>
      </c>
      <c r="G48" s="41">
        <v>4469</v>
      </c>
      <c r="H48" s="103">
        <f t="shared" si="23"/>
        <v>8.7293612818741819E-4</v>
      </c>
      <c r="I48" s="43">
        <f t="shared" si="15"/>
        <v>7.4199570895930539E-4</v>
      </c>
      <c r="J48" s="44">
        <v>1341.58</v>
      </c>
      <c r="K48" s="100">
        <f t="shared" si="24"/>
        <v>2.089033128859575E-2</v>
      </c>
      <c r="L48" s="45">
        <f t="shared" si="16"/>
        <v>3.1335496932893623E-3</v>
      </c>
      <c r="M48" s="109">
        <f t="shared" si="17"/>
        <v>3.8755454022486677E-3</v>
      </c>
      <c r="N48" s="46">
        <v>1104</v>
      </c>
      <c r="O48" s="47">
        <v>274</v>
      </c>
      <c r="P48" s="47">
        <v>2326</v>
      </c>
      <c r="Q48" s="47">
        <v>140</v>
      </c>
      <c r="R48" s="48">
        <f t="shared" si="25"/>
        <v>4.0589985343422721E-3</v>
      </c>
      <c r="S48" s="49">
        <v>511.00000000414997</v>
      </c>
      <c r="T48" s="49">
        <v>264</v>
      </c>
      <c r="U48" s="49">
        <v>999</v>
      </c>
      <c r="V48" s="49">
        <v>49</v>
      </c>
      <c r="W48" s="48">
        <f t="shared" si="26"/>
        <v>4.2240475772149242E-3</v>
      </c>
      <c r="X48" s="50">
        <f t="shared" si="27"/>
        <v>3.5904404406326856E-3</v>
      </c>
      <c r="Y48" s="42">
        <f t="shared" si="28"/>
        <v>4.066250368809185E-2</v>
      </c>
      <c r="Z48" s="42">
        <f t="shared" si="8"/>
        <v>0</v>
      </c>
      <c r="AA48" s="43">
        <f t="shared" si="18"/>
        <v>0</v>
      </c>
      <c r="AB48" s="43">
        <f t="shared" si="29"/>
        <v>0</v>
      </c>
      <c r="AC48" s="109">
        <f t="shared" si="10"/>
        <v>3.5904404406326856E-3</v>
      </c>
      <c r="AE48" s="53">
        <f t="shared" si="30"/>
        <v>498710.26288247004</v>
      </c>
      <c r="AF48" s="54">
        <f t="shared" si="31"/>
        <v>7762224.6554828081</v>
      </c>
      <c r="AG48" s="54">
        <f t="shared" si="32"/>
        <v>7191195.6691698097</v>
      </c>
      <c r="AH48" s="54">
        <f t="shared" si="19"/>
        <v>15452130.587535087</v>
      </c>
      <c r="AI48" s="55">
        <f t="shared" si="20"/>
        <v>1.9287458271118137E-3</v>
      </c>
    </row>
    <row r="49" spans="1:35" ht="14.25">
      <c r="A49" s="4" t="s">
        <v>43</v>
      </c>
      <c r="B49" s="44">
        <v>1019262</v>
      </c>
      <c r="C49" s="44">
        <v>622808</v>
      </c>
      <c r="D49" s="51">
        <f t="shared" si="21"/>
        <v>0.6110381825281429</v>
      </c>
      <c r="E49" s="52">
        <f t="shared" si="14"/>
        <v>380559.46838398761</v>
      </c>
      <c r="F49" s="109">
        <f t="shared" si="22"/>
        <v>2.1881695583303925E-4</v>
      </c>
      <c r="G49" s="41">
        <v>2640</v>
      </c>
      <c r="H49" s="103">
        <f t="shared" si="23"/>
        <v>5.1567495601136364E-4</v>
      </c>
      <c r="I49" s="43">
        <f t="shared" si="15"/>
        <v>4.3832371260965906E-4</v>
      </c>
      <c r="J49" s="44">
        <v>673.76</v>
      </c>
      <c r="K49" s="100">
        <f t="shared" si="24"/>
        <v>1.0491412818470961E-2</v>
      </c>
      <c r="L49" s="45">
        <f t="shared" si="16"/>
        <v>1.5737119227706442E-3</v>
      </c>
      <c r="M49" s="109">
        <f t="shared" si="17"/>
        <v>2.0120356353803032E-3</v>
      </c>
      <c r="N49" s="46">
        <v>671</v>
      </c>
      <c r="O49" s="47">
        <v>247</v>
      </c>
      <c r="P49" s="47">
        <v>1766</v>
      </c>
      <c r="Q49" s="47">
        <v>574</v>
      </c>
      <c r="R49" s="48">
        <f t="shared" si="25"/>
        <v>6.0819008342956988E-3</v>
      </c>
      <c r="S49" s="49">
        <v>600.99999999995009</v>
      </c>
      <c r="T49" s="49">
        <v>212</v>
      </c>
      <c r="U49" s="49">
        <v>872</v>
      </c>
      <c r="V49" s="49">
        <v>90</v>
      </c>
      <c r="W49" s="48">
        <f t="shared" si="26"/>
        <v>4.6062067684282618E-3</v>
      </c>
      <c r="X49" s="50">
        <f t="shared" si="27"/>
        <v>3.9152757531640226E-3</v>
      </c>
      <c r="Y49" s="42">
        <f t="shared" si="28"/>
        <v>-0.24263698242924844</v>
      </c>
      <c r="Z49" s="42">
        <f t="shared" si="8"/>
        <v>-0.24263698242924844</v>
      </c>
      <c r="AA49" s="43">
        <f t="shared" si="18"/>
        <v>4.5213077818031917E-2</v>
      </c>
      <c r="AB49" s="43">
        <f t="shared" si="29"/>
        <v>6.7819616727047873E-3</v>
      </c>
      <c r="AC49" s="109">
        <f t="shared" si="10"/>
        <v>1.0697237425868811E-2</v>
      </c>
      <c r="AE49" s="53">
        <f t="shared" si="30"/>
        <v>876525.07882859686</v>
      </c>
      <c r="AF49" s="54">
        <f t="shared" si="31"/>
        <v>4029851.5423396174</v>
      </c>
      <c r="AG49" s="54">
        <f t="shared" si="32"/>
        <v>21425206.383714188</v>
      </c>
      <c r="AH49" s="54">
        <f t="shared" si="19"/>
        <v>26331583.004882403</v>
      </c>
      <c r="AI49" s="55">
        <f t="shared" si="20"/>
        <v>3.2867267432287977E-3</v>
      </c>
    </row>
    <row r="50" spans="1:35" ht="14.25">
      <c r="A50" s="4" t="s">
        <v>44</v>
      </c>
      <c r="B50" s="44">
        <v>18416508</v>
      </c>
      <c r="C50" s="44">
        <v>9313018</v>
      </c>
      <c r="D50" s="51">
        <f t="shared" si="21"/>
        <v>0.50568859199583327</v>
      </c>
      <c r="E50" s="52">
        <f t="shared" si="14"/>
        <v>4709486.9596518511</v>
      </c>
      <c r="F50" s="109">
        <f t="shared" si="22"/>
        <v>2.7078963622227227E-3</v>
      </c>
      <c r="G50" s="41">
        <v>35456</v>
      </c>
      <c r="H50" s="103">
        <f t="shared" si="23"/>
        <v>6.9256709243707987E-3</v>
      </c>
      <c r="I50" s="43">
        <f t="shared" si="15"/>
        <v>5.886820285715179E-3</v>
      </c>
      <c r="J50" s="44">
        <v>1542.15</v>
      </c>
      <c r="K50" s="100">
        <f t="shared" si="24"/>
        <v>2.4013494831995066E-2</v>
      </c>
      <c r="L50" s="45">
        <f t="shared" si="16"/>
        <v>3.6020242247992596E-3</v>
      </c>
      <c r="M50" s="109">
        <f t="shared" si="17"/>
        <v>9.4888445105144395E-3</v>
      </c>
      <c r="N50" s="46">
        <v>4789</v>
      </c>
      <c r="O50" s="47">
        <v>909</v>
      </c>
      <c r="P50" s="47">
        <v>4749</v>
      </c>
      <c r="Q50" s="47">
        <v>258</v>
      </c>
      <c r="R50" s="48">
        <f t="shared" si="25"/>
        <v>1.0585387582953843E-2</v>
      </c>
      <c r="S50" s="49">
        <v>3480.0000000606401</v>
      </c>
      <c r="T50" s="49">
        <v>841</v>
      </c>
      <c r="U50" s="49">
        <v>1534</v>
      </c>
      <c r="V50" s="49">
        <v>182</v>
      </c>
      <c r="W50" s="48">
        <f t="shared" si="26"/>
        <v>1.2037345123968266E-2</v>
      </c>
      <c r="X50" s="50">
        <f t="shared" si="27"/>
        <v>1.0231743355373026E-2</v>
      </c>
      <c r="Y50" s="42">
        <f t="shared" si="28"/>
        <v>0.1371662142397676</v>
      </c>
      <c r="Z50" s="42">
        <f t="shared" si="8"/>
        <v>0</v>
      </c>
      <c r="AA50" s="43">
        <f t="shared" si="18"/>
        <v>0</v>
      </c>
      <c r="AB50" s="43">
        <f t="shared" si="29"/>
        <v>0</v>
      </c>
      <c r="AC50" s="109">
        <f t="shared" si="10"/>
        <v>1.0231743355373026E-2</v>
      </c>
      <c r="AE50" s="53">
        <f t="shared" si="30"/>
        <v>10847144.195571344</v>
      </c>
      <c r="AF50" s="54">
        <f t="shared" si="31"/>
        <v>19004949.024419133</v>
      </c>
      <c r="AG50" s="54">
        <f t="shared" si="32"/>
        <v>20492880.949238066</v>
      </c>
      <c r="AH50" s="54">
        <f t="shared" si="19"/>
        <v>50344974.169228539</v>
      </c>
      <c r="AI50" s="55">
        <f t="shared" si="20"/>
        <v>6.2840951475832268E-3</v>
      </c>
    </row>
    <row r="51" spans="1:35" ht="14.25">
      <c r="A51" s="4" t="s">
        <v>45</v>
      </c>
      <c r="B51" s="44">
        <v>345400602</v>
      </c>
      <c r="C51" s="44">
        <v>20380807.239999998</v>
      </c>
      <c r="D51" s="51">
        <f t="shared" si="21"/>
        <v>5.9006287545497672E-2</v>
      </c>
      <c r="E51" s="52">
        <f t="shared" si="14"/>
        <v>1202595.7724128007</v>
      </c>
      <c r="F51" s="109">
        <f t="shared" si="22"/>
        <v>6.9147759516925927E-4</v>
      </c>
      <c r="G51" s="41">
        <v>54192</v>
      </c>
      <c r="H51" s="103">
        <f t="shared" si="23"/>
        <v>1.0585400460669627E-2</v>
      </c>
      <c r="I51" s="43">
        <f t="shared" si="15"/>
        <v>8.9975903915691831E-3</v>
      </c>
      <c r="J51" s="44">
        <v>1658.08</v>
      </c>
      <c r="K51" s="100">
        <f t="shared" si="24"/>
        <v>2.5818691768656987E-2</v>
      </c>
      <c r="L51" s="45">
        <f t="shared" si="16"/>
        <v>3.8728037652985478E-3</v>
      </c>
      <c r="M51" s="109">
        <f t="shared" si="17"/>
        <v>1.2870394156867731E-2</v>
      </c>
      <c r="N51" s="46">
        <v>2382</v>
      </c>
      <c r="O51" s="47">
        <v>572</v>
      </c>
      <c r="P51" s="47">
        <v>6969</v>
      </c>
      <c r="Q51" s="47">
        <v>1381</v>
      </c>
      <c r="R51" s="48">
        <f t="shared" si="25"/>
        <v>1.7053640702108089E-2</v>
      </c>
      <c r="S51" s="49">
        <v>1795.99999997852</v>
      </c>
      <c r="T51" s="49">
        <v>775</v>
      </c>
      <c r="U51" s="49">
        <v>2276</v>
      </c>
      <c r="V51" s="49">
        <v>675</v>
      </c>
      <c r="W51" s="48">
        <f t="shared" si="26"/>
        <v>2.09736755298758E-2</v>
      </c>
      <c r="X51" s="50">
        <f t="shared" si="27"/>
        <v>1.782762420039443E-2</v>
      </c>
      <c r="Y51" s="42">
        <f t="shared" si="28"/>
        <v>0.22986498286451734</v>
      </c>
      <c r="Z51" s="42">
        <f t="shared" si="8"/>
        <v>0</v>
      </c>
      <c r="AA51" s="43">
        <f t="shared" si="18"/>
        <v>0</v>
      </c>
      <c r="AB51" s="43">
        <f t="shared" si="29"/>
        <v>0</v>
      </c>
      <c r="AC51" s="109">
        <f t="shared" si="10"/>
        <v>1.782762420039443E-2</v>
      </c>
      <c r="AE51" s="53">
        <f t="shared" si="30"/>
        <v>2769883.4000615813</v>
      </c>
      <c r="AF51" s="54">
        <f t="shared" si="31"/>
        <v>25777762.993630506</v>
      </c>
      <c r="AG51" s="54">
        <f t="shared" si="32"/>
        <v>35706464.44670514</v>
      </c>
      <c r="AH51" s="54">
        <f t="shared" si="19"/>
        <v>64254110.840397224</v>
      </c>
      <c r="AI51" s="55">
        <f t="shared" si="20"/>
        <v>8.020243386900168E-3</v>
      </c>
    </row>
    <row r="52" spans="1:35" ht="14.25">
      <c r="A52" s="4" t="s">
        <v>216</v>
      </c>
      <c r="B52" s="44">
        <v>628178081</v>
      </c>
      <c r="C52" s="44">
        <v>291911120</v>
      </c>
      <c r="D52" s="51">
        <f t="shared" si="21"/>
        <v>0.46469485139517308</v>
      </c>
      <c r="E52" s="52">
        <f t="shared" si="14"/>
        <v>135649594.52899852</v>
      </c>
      <c r="F52" s="109">
        <f t="shared" si="22"/>
        <v>7.7996827830523807E-2</v>
      </c>
      <c r="G52" s="41">
        <v>430143</v>
      </c>
      <c r="H52" s="103">
        <f t="shared" si="23"/>
        <v>8.4020444168028771E-2</v>
      </c>
      <c r="I52" s="43">
        <f t="shared" si="15"/>
        <v>7.1417377542824456E-2</v>
      </c>
      <c r="J52" s="44">
        <v>60.1</v>
      </c>
      <c r="K52" s="100">
        <f t="shared" si="24"/>
        <v>9.3584349084259205E-4</v>
      </c>
      <c r="L52" s="45">
        <f t="shared" si="16"/>
        <v>1.403765236263888E-4</v>
      </c>
      <c r="M52" s="109">
        <f t="shared" si="17"/>
        <v>7.1557754066450846E-2</v>
      </c>
      <c r="N52" s="46">
        <v>40580</v>
      </c>
      <c r="O52" s="47">
        <v>5745</v>
      </c>
      <c r="P52" s="47">
        <v>2165</v>
      </c>
      <c r="Q52" s="47">
        <v>472</v>
      </c>
      <c r="R52" s="48">
        <f t="shared" si="25"/>
        <v>4.4692892588453548E-2</v>
      </c>
      <c r="S52" s="49">
        <v>18155.999999995089</v>
      </c>
      <c r="T52" s="49">
        <v>4217</v>
      </c>
      <c r="U52" s="49">
        <v>161</v>
      </c>
      <c r="V52" s="49">
        <v>91</v>
      </c>
      <c r="W52" s="48">
        <f t="shared" si="26"/>
        <v>3.0657492440983779E-2</v>
      </c>
      <c r="X52" s="50">
        <f t="shared" si="27"/>
        <v>2.6058868574836212E-2</v>
      </c>
      <c r="Y52" s="42">
        <f t="shared" si="28"/>
        <v>-0.3140409880540117</v>
      </c>
      <c r="Z52" s="42">
        <f t="shared" si="8"/>
        <v>-0.3140409880540117</v>
      </c>
      <c r="AA52" s="43">
        <f t="shared" si="18"/>
        <v>5.8518530393766088E-2</v>
      </c>
      <c r="AB52" s="43">
        <f t="shared" si="29"/>
        <v>8.7777795590649136E-3</v>
      </c>
      <c r="AC52" s="109">
        <f t="shared" si="10"/>
        <v>3.4836648133901124E-2</v>
      </c>
      <c r="AE52" s="53">
        <f t="shared" si="30"/>
        <v>312435457.30841279</v>
      </c>
      <c r="AF52" s="54">
        <f t="shared" si="31"/>
        <v>143321082.64898625</v>
      </c>
      <c r="AG52" s="54">
        <f t="shared" si="32"/>
        <v>69773376.645890743</v>
      </c>
      <c r="AH52" s="54">
        <f t="shared" si="19"/>
        <v>525529916.60328972</v>
      </c>
      <c r="AI52" s="55">
        <f t="shared" si="20"/>
        <v>6.5597014465349879E-2</v>
      </c>
    </row>
    <row r="53" spans="1:35" ht="14.25">
      <c r="A53" s="4" t="s">
        <v>217</v>
      </c>
      <c r="B53" s="44">
        <v>1066601268</v>
      </c>
      <c r="C53" s="44">
        <v>707374780.13</v>
      </c>
      <c r="D53" s="51">
        <f t="shared" si="21"/>
        <v>0.66320451826989579</v>
      </c>
      <c r="E53" s="52">
        <f t="shared" si="14"/>
        <v>469134150.29239011</v>
      </c>
      <c r="F53" s="109">
        <f t="shared" si="22"/>
        <v>0.2697462950539995</v>
      </c>
      <c r="G53" s="41">
        <v>123156</v>
      </c>
      <c r="H53" s="103">
        <f t="shared" si="23"/>
        <v>2.4056236697930111E-2</v>
      </c>
      <c r="I53" s="43">
        <f t="shared" si="15"/>
        <v>2.0447801193240595E-2</v>
      </c>
      <c r="J53" s="44">
        <v>72.010000000000005</v>
      </c>
      <c r="K53" s="100">
        <f t="shared" si="24"/>
        <v>1.1212993307084037E-3</v>
      </c>
      <c r="L53" s="45">
        <f t="shared" si="16"/>
        <v>1.6819489960626053E-4</v>
      </c>
      <c r="M53" s="109">
        <f t="shared" si="17"/>
        <v>2.0615996092846856E-2</v>
      </c>
      <c r="N53" s="46">
        <v>9903</v>
      </c>
      <c r="O53" s="47">
        <v>1776</v>
      </c>
      <c r="P53" s="47">
        <v>642</v>
      </c>
      <c r="Q53" s="47">
        <v>85</v>
      </c>
      <c r="R53" s="48">
        <f t="shared" si="25"/>
        <v>1.186193507945096E-2</v>
      </c>
      <c r="S53" s="49">
        <v>4908.0000000006539</v>
      </c>
      <c r="T53" s="49">
        <v>1283</v>
      </c>
      <c r="U53" s="49">
        <v>140</v>
      </c>
      <c r="V53" s="49">
        <v>21</v>
      </c>
      <c r="W53" s="48">
        <f t="shared" si="26"/>
        <v>8.9060598463427572E-3</v>
      </c>
      <c r="X53" s="50">
        <f t="shared" si="27"/>
        <v>7.5701508693913431E-3</v>
      </c>
      <c r="Y53" s="42">
        <f t="shared" si="28"/>
        <v>-0.24918996886341233</v>
      </c>
      <c r="Z53" s="42">
        <f t="shared" si="8"/>
        <v>-0.24918996886341233</v>
      </c>
      <c r="AA53" s="43">
        <f t="shared" si="18"/>
        <v>4.6434164078757868E-2</v>
      </c>
      <c r="AB53" s="43">
        <f t="shared" si="29"/>
        <v>6.9651246118136801E-3</v>
      </c>
      <c r="AC53" s="109">
        <f t="shared" si="10"/>
        <v>1.4535275481205024E-2</v>
      </c>
      <c r="AE53" s="53">
        <f t="shared" si="30"/>
        <v>1080535060.1638741</v>
      </c>
      <c r="AF53" s="54">
        <f t="shared" si="31"/>
        <v>41291218.798877411</v>
      </c>
      <c r="AG53" s="54">
        <f t="shared" si="32"/>
        <v>29112308.592483643</v>
      </c>
      <c r="AH53" s="54">
        <f t="shared" si="19"/>
        <v>1150938587.5552354</v>
      </c>
      <c r="AI53" s="55">
        <f t="shared" si="20"/>
        <v>0.14366096542051271</v>
      </c>
    </row>
    <row r="54" spans="1:35" ht="14.25">
      <c r="A54" s="4" t="s">
        <v>48</v>
      </c>
      <c r="B54" s="44">
        <v>260271541</v>
      </c>
      <c r="C54" s="44">
        <v>114179634.2</v>
      </c>
      <c r="D54" s="51">
        <f t="shared" si="21"/>
        <v>0.4386942719949547</v>
      </c>
      <c r="E54" s="52">
        <f t="shared" si="14"/>
        <v>50089951.502019234</v>
      </c>
      <c r="F54" s="109">
        <f t="shared" si="22"/>
        <v>2.8801098425009244E-2</v>
      </c>
      <c r="G54" s="41">
        <v>296954</v>
      </c>
      <c r="H54" s="103">
        <f t="shared" si="23"/>
        <v>5.8004447305832756E-2</v>
      </c>
      <c r="I54" s="43">
        <f t="shared" si="15"/>
        <v>4.9303780209957841E-2</v>
      </c>
      <c r="J54" s="44">
        <v>885.01</v>
      </c>
      <c r="K54" s="100">
        <f t="shared" si="24"/>
        <v>1.3780879331624E-2</v>
      </c>
      <c r="L54" s="45">
        <f t="shared" si="16"/>
        <v>2.0671318997435998E-3</v>
      </c>
      <c r="M54" s="109">
        <f t="shared" si="17"/>
        <v>5.137091210970144E-2</v>
      </c>
      <c r="N54" s="46">
        <v>25924</v>
      </c>
      <c r="O54" s="47">
        <v>5313</v>
      </c>
      <c r="P54" s="47">
        <v>11983</v>
      </c>
      <c r="Q54" s="47">
        <v>721</v>
      </c>
      <c r="R54" s="48">
        <f t="shared" si="25"/>
        <v>4.3831533381636548E-2</v>
      </c>
      <c r="S54" s="49">
        <v>21053.000000219407</v>
      </c>
      <c r="T54" s="49">
        <v>4306</v>
      </c>
      <c r="U54" s="49">
        <v>2328</v>
      </c>
      <c r="V54" s="49">
        <v>359</v>
      </c>
      <c r="W54" s="48">
        <f t="shared" si="26"/>
        <v>4.2521238623903848E-2</v>
      </c>
      <c r="X54" s="50">
        <f t="shared" si="27"/>
        <v>3.6143052830318267E-2</v>
      </c>
      <c r="Y54" s="42">
        <f t="shared" si="28"/>
        <v>-2.9893883618537846E-2</v>
      </c>
      <c r="Z54" s="42">
        <f t="shared" si="8"/>
        <v>-2.9893883618537846E-2</v>
      </c>
      <c r="AA54" s="43">
        <f t="shared" si="18"/>
        <v>5.5704389034027758E-3</v>
      </c>
      <c r="AB54" s="43">
        <f t="shared" si="29"/>
        <v>8.3556583551041631E-4</v>
      </c>
      <c r="AC54" s="109">
        <f t="shared" si="10"/>
        <v>3.6978618665828682E-2</v>
      </c>
      <c r="AE54" s="53">
        <f t="shared" si="30"/>
        <v>115369876.02822538</v>
      </c>
      <c r="AF54" s="54">
        <f t="shared" si="31"/>
        <v>102889405.01669797</v>
      </c>
      <c r="AG54" s="54">
        <f t="shared" si="32"/>
        <v>74063471.264469773</v>
      </c>
      <c r="AH54" s="54">
        <f t="shared" si="19"/>
        <v>292322752.30939317</v>
      </c>
      <c r="AI54" s="55">
        <f t="shared" si="20"/>
        <v>3.6487931906387154E-2</v>
      </c>
    </row>
    <row r="55" spans="1:35" ht="14.25">
      <c r="A55" s="4" t="s">
        <v>49</v>
      </c>
      <c r="B55" s="44">
        <v>164659580</v>
      </c>
      <c r="C55" s="44">
        <v>77757928.799999997</v>
      </c>
      <c r="D55" s="51">
        <f t="shared" si="21"/>
        <v>0.47223446579907463</v>
      </c>
      <c r="E55" s="52">
        <f t="shared" si="14"/>
        <v>36719973.968510479</v>
      </c>
      <c r="F55" s="109">
        <f t="shared" si="22"/>
        <v>2.1113527817814205E-2</v>
      </c>
      <c r="G55" s="41">
        <v>42407</v>
      </c>
      <c r="H55" s="103">
        <f t="shared" si="23"/>
        <v>8.2834196437779912E-3</v>
      </c>
      <c r="I55" s="43">
        <f t="shared" si="15"/>
        <v>7.0409066972112926E-3</v>
      </c>
      <c r="J55" s="44">
        <v>746.48</v>
      </c>
      <c r="K55" s="100">
        <f t="shared" si="24"/>
        <v>1.1623767870951384E-2</v>
      </c>
      <c r="L55" s="45">
        <f t="shared" si="16"/>
        <v>1.7435651806427075E-3</v>
      </c>
      <c r="M55" s="109">
        <f t="shared" si="17"/>
        <v>8.7844718778539999E-3</v>
      </c>
      <c r="N55" s="46">
        <v>4577</v>
      </c>
      <c r="O55" s="47">
        <v>1003</v>
      </c>
      <c r="P55" s="47">
        <v>3403</v>
      </c>
      <c r="Q55" s="47">
        <v>757</v>
      </c>
      <c r="R55" s="48">
        <f t="shared" si="25"/>
        <v>1.2908414603821229E-2</v>
      </c>
      <c r="S55" s="49">
        <v>2792.0000000464884</v>
      </c>
      <c r="T55" s="49">
        <v>666</v>
      </c>
      <c r="U55" s="49">
        <v>1225</v>
      </c>
      <c r="V55" s="49">
        <v>325</v>
      </c>
      <c r="W55" s="48">
        <f t="shared" si="26"/>
        <v>1.2876011255505039E-2</v>
      </c>
      <c r="X55" s="50">
        <f t="shared" si="27"/>
        <v>1.0944609567179282E-2</v>
      </c>
      <c r="Y55" s="42">
        <f t="shared" si="28"/>
        <v>-2.5102500431461333E-3</v>
      </c>
      <c r="Z55" s="42">
        <f t="shared" si="8"/>
        <v>-2.5102500431461333E-3</v>
      </c>
      <c r="AA55" s="43">
        <f t="shared" si="18"/>
        <v>4.6776105360022324E-4</v>
      </c>
      <c r="AB55" s="43">
        <f t="shared" si="29"/>
        <v>7.0164158040033481E-5</v>
      </c>
      <c r="AC55" s="109">
        <f t="shared" si="10"/>
        <v>1.1014773725219315E-2</v>
      </c>
      <c r="AE55" s="53">
        <f t="shared" si="30"/>
        <v>84575423.163185522</v>
      </c>
      <c r="AF55" s="54">
        <f t="shared" si="31"/>
        <v>17594180.203929547</v>
      </c>
      <c r="AG55" s="54">
        <f t="shared" si="32"/>
        <v>22061191.215784311</v>
      </c>
      <c r="AH55" s="54">
        <f t="shared" si="19"/>
        <v>124230794.58289938</v>
      </c>
      <c r="AI55" s="55">
        <f t="shared" si="20"/>
        <v>1.5506575309675429E-2</v>
      </c>
    </row>
    <row r="56" spans="1:35" ht="14.25">
      <c r="A56" s="4" t="s">
        <v>50</v>
      </c>
      <c r="B56" s="44">
        <v>4336101</v>
      </c>
      <c r="C56" s="44">
        <v>1324391</v>
      </c>
      <c r="D56" s="51">
        <f t="shared" si="21"/>
        <v>0.30543361420778714</v>
      </c>
      <c r="E56" s="52">
        <f t="shared" si="14"/>
        <v>404513.52975426544</v>
      </c>
      <c r="F56" s="109">
        <f t="shared" si="22"/>
        <v>2.3259024286000456E-4</v>
      </c>
      <c r="G56" s="41">
        <v>1632</v>
      </c>
      <c r="H56" s="103">
        <f t="shared" si="23"/>
        <v>3.1878088189793386E-4</v>
      </c>
      <c r="I56" s="43">
        <f t="shared" si="15"/>
        <v>2.7096374961324375E-4</v>
      </c>
      <c r="J56" s="44">
        <v>1766.28</v>
      </c>
      <c r="K56" s="100">
        <f t="shared" si="24"/>
        <v>2.7503521480955966E-2</v>
      </c>
      <c r="L56" s="45">
        <f t="shared" si="16"/>
        <v>4.1255282221433947E-3</v>
      </c>
      <c r="M56" s="109">
        <f t="shared" si="17"/>
        <v>4.3964919717566385E-3</v>
      </c>
      <c r="N56" s="46">
        <v>477</v>
      </c>
      <c r="O56" s="47">
        <v>88</v>
      </c>
      <c r="P56" s="47">
        <v>1037</v>
      </c>
      <c r="Q56" s="47">
        <v>127</v>
      </c>
      <c r="R56" s="48">
        <f t="shared" si="25"/>
        <v>2.1161437003937465E-3</v>
      </c>
      <c r="S56" s="49">
        <v>265.99999999676999</v>
      </c>
      <c r="T56" s="49">
        <v>85</v>
      </c>
      <c r="U56" s="49">
        <v>641</v>
      </c>
      <c r="V56" s="49">
        <v>46</v>
      </c>
      <c r="W56" s="48">
        <f t="shared" si="26"/>
        <v>2.6387778418526363E-3</v>
      </c>
      <c r="X56" s="50">
        <f t="shared" si="27"/>
        <v>2.2429611655747409E-3</v>
      </c>
      <c r="Y56" s="42">
        <f t="shared" si="28"/>
        <v>0.24697478784717899</v>
      </c>
      <c r="Z56" s="42">
        <f t="shared" si="8"/>
        <v>0</v>
      </c>
      <c r="AA56" s="43">
        <f t="shared" si="18"/>
        <v>0</v>
      </c>
      <c r="AB56" s="43">
        <f t="shared" si="29"/>
        <v>0</v>
      </c>
      <c r="AC56" s="109">
        <f t="shared" si="10"/>
        <v>2.2429611655747409E-3</v>
      </c>
      <c r="AE56" s="53">
        <f t="shared" si="30"/>
        <v>931697.36404332798</v>
      </c>
      <c r="AF56" s="54">
        <f t="shared" si="31"/>
        <v>8805614.3945573959</v>
      </c>
      <c r="AG56" s="54">
        <f t="shared" si="32"/>
        <v>4492366.0165644996</v>
      </c>
      <c r="AH56" s="54">
        <f t="shared" si="19"/>
        <v>14229677.775165223</v>
      </c>
      <c r="AI56" s="55">
        <f t="shared" si="20"/>
        <v>1.7761584057628466E-3</v>
      </c>
    </row>
    <row r="57" spans="1:35" ht="14.25">
      <c r="A57" s="4" t="s">
        <v>51</v>
      </c>
      <c r="B57" s="44">
        <v>2885796</v>
      </c>
      <c r="C57" s="44">
        <v>606247</v>
      </c>
      <c r="D57" s="51">
        <f t="shared" si="21"/>
        <v>0.21007964526945078</v>
      </c>
      <c r="E57" s="52">
        <f t="shared" si="14"/>
        <v>127360.15470566873</v>
      </c>
      <c r="F57" s="109">
        <f t="shared" si="22"/>
        <v>7.3230503147013421E-5</v>
      </c>
      <c r="G57" s="41">
        <v>4080</v>
      </c>
      <c r="H57" s="103">
        <f t="shared" si="23"/>
        <v>7.9695220474483466E-4</v>
      </c>
      <c r="I57" s="43">
        <f t="shared" si="15"/>
        <v>6.7740937403310941E-4</v>
      </c>
      <c r="J57" s="44">
        <v>879.68</v>
      </c>
      <c r="K57" s="100">
        <f t="shared" si="24"/>
        <v>1.3697883561138291E-2</v>
      </c>
      <c r="L57" s="45">
        <f t="shared" si="16"/>
        <v>2.0546825341707436E-3</v>
      </c>
      <c r="M57" s="109">
        <f t="shared" si="17"/>
        <v>2.7320919082038531E-3</v>
      </c>
      <c r="N57" s="46">
        <v>765</v>
      </c>
      <c r="O57" s="47">
        <v>138</v>
      </c>
      <c r="P57" s="47">
        <v>1343</v>
      </c>
      <c r="Q57" s="47">
        <v>81</v>
      </c>
      <c r="R57" s="48">
        <f t="shared" si="25"/>
        <v>2.3618458065896289E-3</v>
      </c>
      <c r="S57" s="49">
        <v>609.99999999842794</v>
      </c>
      <c r="T57" s="49">
        <v>123</v>
      </c>
      <c r="U57" s="49">
        <v>468</v>
      </c>
      <c r="V57" s="49">
        <v>34</v>
      </c>
      <c r="W57" s="48">
        <f t="shared" si="26"/>
        <v>2.4691708613404947E-3</v>
      </c>
      <c r="X57" s="50">
        <f t="shared" si="27"/>
        <v>2.0987952321394206E-3</v>
      </c>
      <c r="Y57" s="42">
        <f t="shared" si="28"/>
        <v>4.5441177595686125E-2</v>
      </c>
      <c r="Z57" s="42">
        <f t="shared" si="8"/>
        <v>0</v>
      </c>
      <c r="AA57" s="43">
        <f t="shared" si="18"/>
        <v>0</v>
      </c>
      <c r="AB57" s="43">
        <f t="shared" si="29"/>
        <v>0</v>
      </c>
      <c r="AC57" s="109">
        <f t="shared" si="10"/>
        <v>2.0987952321394206E-3</v>
      </c>
      <c r="AE57" s="53">
        <f t="shared" si="30"/>
        <v>293342.77272630774</v>
      </c>
      <c r="AF57" s="54">
        <f t="shared" si="31"/>
        <v>5472032.6998621244</v>
      </c>
      <c r="AG57" s="54">
        <f t="shared" si="32"/>
        <v>4203619.9829499684</v>
      </c>
      <c r="AH57" s="54">
        <f t="shared" si="19"/>
        <v>9968995.4555383995</v>
      </c>
      <c r="AI57" s="55">
        <f t="shared" si="20"/>
        <v>1.2443370366593248E-3</v>
      </c>
    </row>
    <row r="58" spans="1:35" ht="15.75" thickBot="1">
      <c r="A58" s="6" t="s">
        <v>52</v>
      </c>
      <c r="B58" s="113">
        <f>SUM(B7:B57)</f>
        <v>7593491597</v>
      </c>
      <c r="C58" s="113">
        <f>SUM(C7:C57)</f>
        <v>3470514481.75</v>
      </c>
      <c r="D58" s="68">
        <f t="shared" si="21"/>
        <v>0.45703803545672111</v>
      </c>
      <c r="E58" s="69">
        <f t="shared" ref="E58:J58" si="33">SUM(E7:E57)</f>
        <v>1739168095.7044318</v>
      </c>
      <c r="F58" s="110">
        <f t="shared" si="33"/>
        <v>1.0000000000000002</v>
      </c>
      <c r="G58" s="56">
        <f t="shared" si="33"/>
        <v>5119504</v>
      </c>
      <c r="H58" s="104">
        <f t="shared" si="33"/>
        <v>0.99999999999999989</v>
      </c>
      <c r="I58" s="58">
        <f t="shared" si="33"/>
        <v>0.85</v>
      </c>
      <c r="J58" s="59">
        <f t="shared" si="33"/>
        <v>64220.140000000021</v>
      </c>
      <c r="K58" s="101">
        <f t="shared" si="24"/>
        <v>1</v>
      </c>
      <c r="L58" s="60">
        <f>SUM(L7:L57)</f>
        <v>0.15</v>
      </c>
      <c r="M58" s="110">
        <f>SUM(M7:M57)</f>
        <v>1</v>
      </c>
      <c r="N58" s="61">
        <v>427511</v>
      </c>
      <c r="O58" s="62">
        <v>87963</v>
      </c>
      <c r="P58" s="62">
        <v>334098</v>
      </c>
      <c r="Q58" s="62">
        <v>39143</v>
      </c>
      <c r="R58" s="63"/>
      <c r="S58" s="64">
        <v>317877.99999509094</v>
      </c>
      <c r="T58" s="64">
        <v>73242</v>
      </c>
      <c r="U58" s="64">
        <v>123116</v>
      </c>
      <c r="V58" s="64">
        <v>13726</v>
      </c>
      <c r="W58" s="63">
        <f t="shared" ref="W58:X58" si="34">SUM(W7:W57)</f>
        <v>1.0000000000000002</v>
      </c>
      <c r="X58" s="65">
        <f t="shared" si="34"/>
        <v>0.85</v>
      </c>
      <c r="Y58" s="66"/>
      <c r="Z58" s="57">
        <f>SUM(Z7:Z57)</f>
        <v>-5.3665221245451189</v>
      </c>
      <c r="AA58" s="67">
        <f>SUM(AA7:AA57)</f>
        <v>1.0000000000000002</v>
      </c>
      <c r="AB58" s="58">
        <f>SUM(AB7:AB57)</f>
        <v>0.15000000000000005</v>
      </c>
      <c r="AC58" s="110">
        <f>SUM(AC7:AC57)</f>
        <v>1.0000000000000002</v>
      </c>
      <c r="AE58" s="70">
        <f>SUM(AE7:AE57)</f>
        <v>4005745695.0337954</v>
      </c>
      <c r="AF58" s="71">
        <f>SUM(AF7:AF57)</f>
        <v>2002872847.5168974</v>
      </c>
      <c r="AG58" s="71">
        <f>SUM(AG7:AG57)</f>
        <v>2002872847.5168979</v>
      </c>
      <c r="AH58" s="71">
        <f>SUM(AH7:AH57)</f>
        <v>8011491390.0675898</v>
      </c>
      <c r="AI58" s="72">
        <f>SUM(AI7:AI57)</f>
        <v>0.99999999999999989</v>
      </c>
    </row>
    <row r="59" spans="1:35" ht="13.5" thickTop="1">
      <c r="K59" s="74"/>
      <c r="R59" s="76"/>
    </row>
    <row r="60" spans="1:35" ht="86.45" customHeight="1">
      <c r="B60" s="258" t="s">
        <v>159</v>
      </c>
      <c r="C60" s="258"/>
      <c r="D60" s="258"/>
      <c r="E60" s="258"/>
      <c r="F60" s="258"/>
      <c r="K60" s="74"/>
      <c r="R60" s="76"/>
    </row>
    <row r="61" spans="1:35" s="11" customFormat="1">
      <c r="I61" s="77"/>
      <c r="L61" s="77"/>
      <c r="M61" s="78"/>
      <c r="R61" s="79"/>
      <c r="S61" s="79"/>
      <c r="X61" s="77"/>
      <c r="AA61" s="77"/>
      <c r="AB61" s="77"/>
      <c r="AC61" s="78"/>
    </row>
    <row r="62" spans="1:35">
      <c r="R62" s="76"/>
    </row>
    <row r="63" spans="1:35">
      <c r="R63" s="76"/>
    </row>
    <row r="64" spans="1:35">
      <c r="R64" s="76"/>
    </row>
    <row r="65" spans="9:30">
      <c r="I65" s="14"/>
      <c r="L65" s="14"/>
      <c r="M65" s="14"/>
      <c r="R65" s="76"/>
      <c r="X65" s="14"/>
      <c r="AA65" s="14"/>
      <c r="AB65" s="14"/>
      <c r="AC65" s="14"/>
      <c r="AD65" s="14"/>
    </row>
    <row r="66" spans="9:30">
      <c r="I66" s="14"/>
      <c r="L66" s="14"/>
      <c r="M66" s="14"/>
      <c r="R66" s="76"/>
      <c r="X66" s="14"/>
      <c r="AA66" s="14"/>
      <c r="AB66" s="14"/>
      <c r="AC66" s="14"/>
      <c r="AD66" s="14"/>
    </row>
    <row r="67" spans="9:30">
      <c r="I67" s="14"/>
      <c r="L67" s="14"/>
      <c r="M67" s="14"/>
      <c r="R67" s="76"/>
      <c r="X67" s="14"/>
      <c r="AA67" s="14"/>
      <c r="AB67" s="14"/>
      <c r="AC67" s="14"/>
      <c r="AD67" s="14"/>
    </row>
    <row r="68" spans="9:30">
      <c r="I68" s="14"/>
      <c r="L68" s="14"/>
      <c r="M68" s="14"/>
      <c r="R68" s="76"/>
      <c r="X68" s="14"/>
      <c r="AA68" s="14"/>
      <c r="AB68" s="14"/>
      <c r="AC68" s="14"/>
      <c r="AD68" s="14"/>
    </row>
    <row r="69" spans="9:30">
      <c r="I69" s="14"/>
      <c r="L69" s="14"/>
      <c r="M69" s="14"/>
      <c r="R69" s="76"/>
      <c r="X69" s="14"/>
      <c r="AA69" s="14"/>
      <c r="AB69" s="14"/>
      <c r="AC69" s="14"/>
      <c r="AD69" s="14"/>
    </row>
    <row r="70" spans="9:30">
      <c r="I70" s="14"/>
      <c r="L70" s="14"/>
      <c r="M70" s="14"/>
      <c r="R70" s="76"/>
      <c r="X70" s="14"/>
      <c r="AA70" s="14"/>
      <c r="AB70" s="14"/>
      <c r="AC70" s="14"/>
      <c r="AD70" s="14"/>
    </row>
    <row r="71" spans="9:30">
      <c r="I71" s="14"/>
      <c r="L71" s="14"/>
      <c r="M71" s="14"/>
      <c r="R71" s="76"/>
      <c r="X71" s="14"/>
      <c r="AA71" s="14"/>
      <c r="AB71" s="14"/>
      <c r="AC71" s="14"/>
      <c r="AD71" s="14"/>
    </row>
    <row r="72" spans="9:30">
      <c r="I72" s="14"/>
      <c r="L72" s="14"/>
      <c r="M72" s="14"/>
      <c r="R72" s="76"/>
      <c r="X72" s="14"/>
      <c r="AA72" s="14"/>
      <c r="AB72" s="14"/>
      <c r="AC72" s="14"/>
      <c r="AD72" s="14"/>
    </row>
    <row r="73" spans="9:30">
      <c r="I73" s="14"/>
      <c r="L73" s="14"/>
      <c r="M73" s="14"/>
      <c r="R73" s="76"/>
      <c r="X73" s="14"/>
      <c r="AA73" s="14"/>
      <c r="AB73" s="14"/>
      <c r="AC73" s="14"/>
      <c r="AD73" s="14"/>
    </row>
    <row r="74" spans="9:30">
      <c r="I74" s="14"/>
      <c r="L74" s="14"/>
      <c r="M74" s="14"/>
      <c r="R74" s="76"/>
      <c r="X74" s="14"/>
      <c r="AA74" s="14"/>
      <c r="AB74" s="14"/>
      <c r="AC74" s="14"/>
      <c r="AD74" s="14"/>
    </row>
    <row r="75" spans="9:30">
      <c r="I75" s="14"/>
      <c r="L75" s="14"/>
      <c r="M75" s="14"/>
      <c r="R75" s="76"/>
      <c r="X75" s="14"/>
      <c r="AA75" s="14"/>
      <c r="AB75" s="14"/>
      <c r="AC75" s="14"/>
      <c r="AD75" s="14"/>
    </row>
    <row r="76" spans="9:30">
      <c r="I76" s="14"/>
      <c r="L76" s="14"/>
      <c r="M76" s="14"/>
      <c r="R76" s="76"/>
      <c r="X76" s="14"/>
      <c r="AA76" s="14"/>
      <c r="AB76" s="14"/>
      <c r="AC76" s="14"/>
      <c r="AD76" s="14"/>
    </row>
    <row r="77" spans="9:30">
      <c r="I77" s="14"/>
      <c r="L77" s="14"/>
      <c r="M77" s="14"/>
      <c r="R77" s="76"/>
      <c r="X77" s="14"/>
      <c r="AA77" s="14"/>
      <c r="AB77" s="14"/>
      <c r="AC77" s="14"/>
      <c r="AD77" s="14"/>
    </row>
    <row r="78" spans="9:30">
      <c r="I78" s="14"/>
      <c r="L78" s="14"/>
      <c r="M78" s="14"/>
      <c r="R78" s="76"/>
      <c r="X78" s="14"/>
      <c r="AA78" s="14"/>
      <c r="AB78" s="14"/>
      <c r="AC78" s="14"/>
      <c r="AD78" s="14"/>
    </row>
    <row r="79" spans="9:30">
      <c r="I79" s="14"/>
      <c r="L79" s="14"/>
      <c r="M79" s="14"/>
      <c r="R79" s="76"/>
      <c r="X79" s="14"/>
      <c r="AA79" s="14"/>
      <c r="AB79" s="14"/>
      <c r="AC79" s="14"/>
      <c r="AD79" s="14"/>
    </row>
    <row r="80" spans="9:30">
      <c r="I80" s="14"/>
      <c r="L80" s="14"/>
      <c r="M80" s="14"/>
      <c r="R80" s="76"/>
      <c r="X80" s="14"/>
      <c r="AA80" s="14"/>
      <c r="AB80" s="14"/>
      <c r="AC80" s="14"/>
      <c r="AD80" s="14"/>
    </row>
    <row r="81" spans="9:30">
      <c r="I81" s="14"/>
      <c r="L81" s="14"/>
      <c r="M81" s="14"/>
      <c r="R81" s="76"/>
      <c r="X81" s="14"/>
      <c r="AA81" s="14"/>
      <c r="AB81" s="14"/>
      <c r="AC81" s="14"/>
      <c r="AD81" s="14"/>
    </row>
    <row r="82" spans="9:30">
      <c r="I82" s="14"/>
      <c r="L82" s="14"/>
      <c r="M82" s="14"/>
      <c r="R82" s="76"/>
      <c r="X82" s="14"/>
      <c r="AA82" s="14"/>
      <c r="AB82" s="14"/>
      <c r="AC82" s="14"/>
      <c r="AD82" s="14"/>
    </row>
    <row r="83" spans="9:30">
      <c r="I83" s="14"/>
      <c r="L83" s="14"/>
      <c r="M83" s="14"/>
      <c r="R83" s="76"/>
      <c r="X83" s="14"/>
      <c r="AA83" s="14"/>
      <c r="AB83" s="14"/>
      <c r="AC83" s="14"/>
      <c r="AD83" s="14"/>
    </row>
    <row r="84" spans="9:30">
      <c r="I84" s="14"/>
      <c r="L84" s="14"/>
      <c r="M84" s="14"/>
      <c r="R84" s="76"/>
      <c r="X84" s="14"/>
      <c r="AA84" s="14"/>
      <c r="AB84" s="14"/>
      <c r="AC84" s="14"/>
      <c r="AD84" s="14"/>
    </row>
    <row r="85" spans="9:30">
      <c r="I85" s="14"/>
      <c r="L85" s="14"/>
      <c r="M85" s="14"/>
      <c r="R85" s="76"/>
      <c r="X85" s="14"/>
      <c r="AA85" s="14"/>
      <c r="AB85" s="14"/>
      <c r="AC85" s="14"/>
      <c r="AD85" s="14"/>
    </row>
    <row r="86" spans="9:30">
      <c r="I86" s="14"/>
      <c r="L86" s="14"/>
      <c r="M86" s="14"/>
      <c r="R86" s="76"/>
      <c r="X86" s="14"/>
      <c r="AA86" s="14"/>
      <c r="AB86" s="14"/>
      <c r="AC86" s="14"/>
      <c r="AD86" s="14"/>
    </row>
    <row r="87" spans="9:30">
      <c r="I87" s="14"/>
      <c r="L87" s="14"/>
      <c r="M87" s="14"/>
      <c r="R87" s="76"/>
      <c r="X87" s="14"/>
      <c r="AA87" s="14"/>
      <c r="AB87" s="14"/>
      <c r="AC87" s="14"/>
      <c r="AD87" s="14"/>
    </row>
  </sheetData>
  <mergeCells count="8">
    <mergeCell ref="B60:F60"/>
    <mergeCell ref="AE3:AI3"/>
    <mergeCell ref="B3:F3"/>
    <mergeCell ref="G3:M3"/>
    <mergeCell ref="N3:Q3"/>
    <mergeCell ref="R3:U3"/>
    <mergeCell ref="W3:X3"/>
    <mergeCell ref="Y3:AC3"/>
  </mergeCells>
  <phoneticPr fontId="0" type="noConversion"/>
  <printOptions horizontalCentered="1"/>
  <pageMargins left="0.27559055118110237" right="0.19685039370078741" top="0.23622047244094491" bottom="0.23622047244094491" header="0.23622047244094491" footer="0.23622047244094491"/>
  <pageSetup scale="80" orientation="portrait" r:id="rId1"/>
  <headerFooter alignWithMargins="0">
    <oddHeader>&amp;LAnexo I</oddHeader>
  </headerFooter>
  <colBreaks count="2" manualBreakCount="2">
    <brk id="13" max="1048575" man="1"/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="120" zoomScaleNormal="120" zoomScaleSheetLayoutView="100" workbookViewId="0">
      <selection activeCell="E11" sqref="E11"/>
    </sheetView>
  </sheetViews>
  <sheetFormatPr baseColWidth="10" defaultColWidth="11.42578125" defaultRowHeight="12.75"/>
  <cols>
    <col min="1" max="1" width="55" style="138" customWidth="1"/>
    <col min="2" max="2" width="17.5703125" style="138" customWidth="1"/>
    <col min="3" max="4" width="17.28515625" style="138" customWidth="1"/>
    <col min="5" max="5" width="13.28515625" style="138" bestFit="1" customWidth="1"/>
    <col min="6" max="6" width="12.7109375" style="138" bestFit="1" customWidth="1"/>
    <col min="7" max="16384" width="11.42578125" style="138"/>
  </cols>
  <sheetData>
    <row r="1" spans="1:6" ht="18.75" customHeight="1">
      <c r="A1" s="254" t="s">
        <v>228</v>
      </c>
      <c r="B1" s="254"/>
      <c r="C1" s="254"/>
      <c r="D1" s="254"/>
    </row>
    <row r="3" spans="1:6" ht="25.5">
      <c r="A3" s="234" t="s">
        <v>126</v>
      </c>
      <c r="B3" s="234" t="s">
        <v>127</v>
      </c>
      <c r="C3" s="234" t="s">
        <v>128</v>
      </c>
      <c r="D3" s="234" t="s">
        <v>148</v>
      </c>
    </row>
    <row r="4" spans="1:6" ht="25.5" customHeight="1">
      <c r="A4" s="223" t="s">
        <v>129</v>
      </c>
      <c r="B4" s="236">
        <v>31800622006.235031</v>
      </c>
      <c r="C4" s="237">
        <v>20</v>
      </c>
      <c r="D4" s="238">
        <f>+C4/100*B4</f>
        <v>6360124401.2470064</v>
      </c>
    </row>
    <row r="5" spans="1:6" ht="25.5" customHeight="1">
      <c r="A5" s="223" t="s">
        <v>163</v>
      </c>
      <c r="B5" s="236">
        <v>939599707.76547754</v>
      </c>
      <c r="C5" s="237">
        <v>100</v>
      </c>
      <c r="D5" s="238">
        <f t="shared" ref="D5:D12" si="0">+C5/100*B5</f>
        <v>939599707.76547754</v>
      </c>
    </row>
    <row r="6" spans="1:6" ht="25.5" customHeight="1">
      <c r="A6" s="223" t="s">
        <v>162</v>
      </c>
      <c r="B6" s="236">
        <v>165833256.96490592</v>
      </c>
      <c r="C6" s="237">
        <v>100</v>
      </c>
      <c r="D6" s="238">
        <f t="shared" si="0"/>
        <v>165833256.96490592</v>
      </c>
    </row>
    <row r="7" spans="1:6" ht="25.5" customHeight="1">
      <c r="A7" s="223" t="s">
        <v>130</v>
      </c>
      <c r="B7" s="236">
        <v>972381359.86930346</v>
      </c>
      <c r="C7" s="237">
        <v>20</v>
      </c>
      <c r="D7" s="238">
        <f t="shared" si="0"/>
        <v>194476271.97386071</v>
      </c>
    </row>
    <row r="8" spans="1:6" ht="25.5" customHeight="1">
      <c r="A8" s="223" t="s">
        <v>147</v>
      </c>
      <c r="B8" s="236">
        <v>1656809007.0312295</v>
      </c>
      <c r="C8" s="237">
        <v>20</v>
      </c>
      <c r="D8" s="238">
        <f t="shared" si="0"/>
        <v>331361801.40624595</v>
      </c>
    </row>
    <row r="9" spans="1:6" ht="25.5" customHeight="1">
      <c r="A9" s="223" t="s">
        <v>146</v>
      </c>
      <c r="B9" s="236">
        <v>41147154.374992393</v>
      </c>
      <c r="C9" s="237">
        <v>20</v>
      </c>
      <c r="D9" s="238">
        <f t="shared" si="0"/>
        <v>8229430.8749984792</v>
      </c>
    </row>
    <row r="10" spans="1:6" ht="25.5" customHeight="1">
      <c r="A10" s="223" t="s">
        <v>153</v>
      </c>
      <c r="B10" s="236">
        <v>698675516</v>
      </c>
      <c r="C10" s="237">
        <v>20</v>
      </c>
      <c r="D10" s="238">
        <f t="shared" si="0"/>
        <v>139735103.20000002</v>
      </c>
      <c r="E10" s="171"/>
    </row>
    <row r="11" spans="1:6" ht="25.5" customHeight="1">
      <c r="A11" s="223" t="s">
        <v>152</v>
      </c>
      <c r="B11" s="236">
        <v>189823368</v>
      </c>
      <c r="C11" s="237">
        <v>20</v>
      </c>
      <c r="D11" s="238">
        <f t="shared" si="0"/>
        <v>37964673.600000001</v>
      </c>
      <c r="E11" s="171"/>
    </row>
    <row r="12" spans="1:6" ht="25.5" customHeight="1">
      <c r="A12" s="223" t="s">
        <v>143</v>
      </c>
      <c r="B12" s="236">
        <v>775283681.5454545</v>
      </c>
      <c r="C12" s="237">
        <v>20</v>
      </c>
      <c r="D12" s="238">
        <f t="shared" si="0"/>
        <v>155056736.30909091</v>
      </c>
    </row>
    <row r="13" spans="1:6" ht="21.75" customHeight="1">
      <c r="A13" s="239" t="s">
        <v>53</v>
      </c>
      <c r="B13" s="240">
        <f>SUM(B4:B12)</f>
        <v>37240175057.786392</v>
      </c>
      <c r="C13" s="239"/>
      <c r="D13" s="241">
        <f>SUM(D4:D12)</f>
        <v>8332381383.3415852</v>
      </c>
      <c r="F13" s="171"/>
    </row>
    <row r="14" spans="1:6">
      <c r="A14" s="142"/>
      <c r="B14" s="143"/>
      <c r="C14" s="144"/>
      <c r="D14" s="143"/>
    </row>
    <row r="15" spans="1:6">
      <c r="A15" s="145" t="s">
        <v>199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&amp;LAnexo 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4"/>
  <sheetViews>
    <sheetView showGridLines="0" zoomScaleSheetLayoutView="100" workbookViewId="0">
      <selection activeCell="Q3" sqref="Q3:Q4"/>
    </sheetView>
  </sheetViews>
  <sheetFormatPr baseColWidth="10" defaultColWidth="9.7109375" defaultRowHeight="14.25"/>
  <cols>
    <col min="1" max="1" width="26.28515625" style="14" customWidth="1"/>
    <col min="2" max="2" width="12.7109375" style="14" hidden="1" customWidth="1"/>
    <col min="3" max="5" width="11.140625" style="14" hidden="1" customWidth="1"/>
    <col min="6" max="6" width="10.140625" style="14" hidden="1" customWidth="1"/>
    <col min="7" max="7" width="11.140625" style="14" hidden="1" customWidth="1"/>
    <col min="8" max="8" width="11.28515625" style="14" hidden="1" customWidth="1"/>
    <col min="9" max="16" width="19.42578125" style="14" customWidth="1"/>
    <col min="17" max="17" width="19.42578125" style="160" customWidth="1"/>
    <col min="18" max="18" width="5.42578125" style="14" customWidth="1"/>
    <col min="19" max="16384" width="9.7109375" style="14"/>
  </cols>
  <sheetData>
    <row r="1" spans="1:17" ht="47.25" customHeight="1">
      <c r="A1" s="265" t="s">
        <v>154</v>
      </c>
      <c r="B1" s="265"/>
      <c r="C1" s="265"/>
      <c r="D1" s="265"/>
      <c r="E1" s="265"/>
      <c r="F1" s="265"/>
      <c r="G1" s="265"/>
      <c r="H1" s="265"/>
      <c r="I1" s="266"/>
      <c r="J1" s="266"/>
      <c r="K1" s="266"/>
      <c r="L1" s="266"/>
      <c r="M1" s="266"/>
      <c r="N1" s="266"/>
      <c r="O1" s="266"/>
      <c r="P1" s="266"/>
      <c r="Q1" s="266"/>
    </row>
    <row r="2" spans="1:17" ht="8.25" customHeight="1" thickBot="1">
      <c r="I2" s="91"/>
    </row>
    <row r="3" spans="1:17" ht="72.75" thickBot="1">
      <c r="A3" s="269" t="s">
        <v>0</v>
      </c>
      <c r="B3" s="267" t="s">
        <v>118</v>
      </c>
      <c r="C3" s="272" t="s">
        <v>119</v>
      </c>
      <c r="D3" s="261" t="s">
        <v>120</v>
      </c>
      <c r="E3" s="261" t="s">
        <v>139</v>
      </c>
      <c r="F3" s="261" t="s">
        <v>133</v>
      </c>
      <c r="G3" s="261" t="s">
        <v>155</v>
      </c>
      <c r="H3" s="263" t="s">
        <v>156</v>
      </c>
      <c r="I3" s="267" t="s">
        <v>195</v>
      </c>
      <c r="J3" s="232" t="s">
        <v>196</v>
      </c>
      <c r="K3" s="267" t="s">
        <v>221</v>
      </c>
      <c r="L3" s="267" t="s">
        <v>197</v>
      </c>
      <c r="M3" s="267" t="s">
        <v>222</v>
      </c>
      <c r="N3" s="232" t="s">
        <v>223</v>
      </c>
      <c r="O3" s="267" t="s">
        <v>224</v>
      </c>
      <c r="P3" s="267" t="s">
        <v>225</v>
      </c>
      <c r="Q3" s="267" t="s">
        <v>229</v>
      </c>
    </row>
    <row r="4" spans="1:17" ht="20.45" customHeight="1" thickBot="1">
      <c r="A4" s="270"/>
      <c r="B4" s="271"/>
      <c r="C4" s="273"/>
      <c r="D4" s="262"/>
      <c r="E4" s="262"/>
      <c r="F4" s="262"/>
      <c r="G4" s="262"/>
      <c r="H4" s="264"/>
      <c r="I4" s="271"/>
      <c r="J4" s="153">
        <f>IF(I59&lt;I60,I59,I60)</f>
        <v>2.5104275854166948E-2</v>
      </c>
      <c r="K4" s="268"/>
      <c r="L4" s="271"/>
      <c r="M4" s="271"/>
      <c r="N4" s="137">
        <f>+L57/M57</f>
        <v>0.99999999999999156</v>
      </c>
      <c r="O4" s="271"/>
      <c r="P4" s="271"/>
      <c r="Q4" s="271"/>
    </row>
    <row r="5" spans="1:17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61" t="s">
        <v>134</v>
      </c>
      <c r="L5" s="161" t="s">
        <v>135</v>
      </c>
      <c r="M5" s="161" t="s">
        <v>136</v>
      </c>
      <c r="N5" s="161" t="s">
        <v>137</v>
      </c>
      <c r="O5" s="161"/>
      <c r="P5" s="161"/>
      <c r="Q5" s="161" t="s">
        <v>138</v>
      </c>
    </row>
    <row r="6" spans="1:17" ht="12.75" customHeight="1" thickTop="1">
      <c r="A6" s="2" t="s">
        <v>1</v>
      </c>
      <c r="B6" s="3">
        <v>7358911.9291536603</v>
      </c>
      <c r="C6" s="3">
        <v>1038729.9199644899</v>
      </c>
      <c r="D6" s="3">
        <v>270337.76932806754</v>
      </c>
      <c r="E6" s="3">
        <v>340933.91798828181</v>
      </c>
      <c r="F6" s="3">
        <v>28368.944292691671</v>
      </c>
      <c r="G6" s="3">
        <v>248523.20538033982</v>
      </c>
      <c r="H6" s="3">
        <v>46023.651196244748</v>
      </c>
      <c r="I6" s="3">
        <f>+'[5]Part Fed'!$BH7</f>
        <v>9782556.6947492361</v>
      </c>
      <c r="J6" s="3">
        <f>(+I6*J$4)+I6</f>
        <v>10028140.696573248</v>
      </c>
      <c r="K6" s="3">
        <f>+'COEF Art 14 F I'!AH7</f>
        <v>3564245.757377957</v>
      </c>
      <c r="L6" s="3">
        <f t="shared" ref="L6:L56" si="0">IF(K6&lt;J6,J6-K6,0)</f>
        <v>6463894.9391952911</v>
      </c>
      <c r="M6" s="3">
        <f t="shared" ref="M6:M56" si="1">IF(K6&gt;J6,K6-J6,0)</f>
        <v>0</v>
      </c>
      <c r="N6" s="3">
        <f>+M6*N$4</f>
        <v>0</v>
      </c>
      <c r="O6" s="3">
        <f t="shared" ref="O6:O56" si="2">IF(L6&lt;&gt;0,K6+L6,K6-N6)</f>
        <v>10028140.696573248</v>
      </c>
      <c r="P6" s="154">
        <f t="shared" ref="P6:P57" si="3">+(O6-I6)/I6</f>
        <v>2.5104275854166903E-2</v>
      </c>
      <c r="Q6" s="157">
        <f>+O6/O$57</f>
        <v>1.2517195873175178E-3</v>
      </c>
    </row>
    <row r="7" spans="1:17" ht="12.75" customHeight="1">
      <c r="A7" s="4" t="s">
        <v>2</v>
      </c>
      <c r="B7" s="5">
        <v>14576366.23974626</v>
      </c>
      <c r="C7" s="170">
        <v>2057492.7222054771</v>
      </c>
      <c r="D7" s="170">
        <v>535478.93657359632</v>
      </c>
      <c r="E7" s="170">
        <v>675314.19046624668</v>
      </c>
      <c r="F7" s="170">
        <v>56192.562953092871</v>
      </c>
      <c r="G7" s="170">
        <v>492269.14190235961</v>
      </c>
      <c r="H7" s="170">
        <v>91162.606915986529</v>
      </c>
      <c r="I7" s="5">
        <f>+'[5]Part Fed'!$BH8</f>
        <v>19377066.95181853</v>
      </c>
      <c r="J7" s="5">
        <f t="shared" ref="J7:J56" si="4">(+I7*J$4)+I7</f>
        <v>19863514.185821645</v>
      </c>
      <c r="K7" s="5">
        <f>+'COEF Art 14 F I'!AH8</f>
        <v>19731211.177348353</v>
      </c>
      <c r="L7" s="5">
        <f t="shared" si="0"/>
        <v>132303.00847329199</v>
      </c>
      <c r="M7" s="5">
        <f t="shared" si="1"/>
        <v>0</v>
      </c>
      <c r="N7" s="5">
        <f t="shared" ref="N7:N56" si="5">+M7*N$4</f>
        <v>0</v>
      </c>
      <c r="O7" s="5">
        <f t="shared" si="2"/>
        <v>19863514.185821645</v>
      </c>
      <c r="P7" s="155">
        <f t="shared" si="3"/>
        <v>2.510427585416701E-2</v>
      </c>
      <c r="Q7" s="158">
        <f t="shared" ref="Q7:Q56" si="6">+O7/O$57</f>
        <v>2.4793778359979077E-3</v>
      </c>
    </row>
    <row r="8" spans="1:17" ht="12.75" customHeight="1">
      <c r="A8" s="4" t="s">
        <v>218</v>
      </c>
      <c r="B8" s="5">
        <v>14372051.346093465</v>
      </c>
      <c r="C8" s="170">
        <v>2028653.1335304263</v>
      </c>
      <c r="D8" s="170">
        <v>527973.20296511694</v>
      </c>
      <c r="E8" s="170">
        <v>665848.40559658967</v>
      </c>
      <c r="F8" s="170">
        <v>55404.919631371144</v>
      </c>
      <c r="G8" s="170">
        <v>485369.07396124443</v>
      </c>
      <c r="H8" s="170">
        <v>89884.793362830373</v>
      </c>
      <c r="I8" s="5">
        <f>+'[5]Part Fed'!$BH9</f>
        <v>20157867.418715145</v>
      </c>
      <c r="J8" s="5">
        <f t="shared" si="4"/>
        <v>20663916.083026294</v>
      </c>
      <c r="K8" s="5">
        <f>+'COEF Art 14 F I'!AH9</f>
        <v>21311035.517974123</v>
      </c>
      <c r="L8" s="5">
        <f t="shared" si="0"/>
        <v>0</v>
      </c>
      <c r="M8" s="5">
        <f t="shared" si="1"/>
        <v>647119.43494782969</v>
      </c>
      <c r="N8" s="5">
        <f t="shared" si="5"/>
        <v>647119.43494782422</v>
      </c>
      <c r="O8" s="5">
        <f t="shared" si="2"/>
        <v>20663916.083026297</v>
      </c>
      <c r="P8" s="155">
        <f t="shared" si="3"/>
        <v>2.5104275854167083E-2</v>
      </c>
      <c r="Q8" s="158">
        <f t="shared" si="6"/>
        <v>2.5792845647496813E-3</v>
      </c>
    </row>
    <row r="9" spans="1:17" ht="12.75" customHeight="1">
      <c r="A9" s="4" t="s">
        <v>4</v>
      </c>
      <c r="B9" s="5">
        <v>39994666.972263224</v>
      </c>
      <c r="C9" s="170">
        <v>5645353.2292616945</v>
      </c>
      <c r="D9" s="170">
        <v>1469248.3288835278</v>
      </c>
      <c r="E9" s="170">
        <v>1852928.6178126237</v>
      </c>
      <c r="F9" s="170">
        <v>154181.28254073061</v>
      </c>
      <c r="G9" s="170">
        <v>1350689.1955942744</v>
      </c>
      <c r="H9" s="170">
        <v>250132.16901668301</v>
      </c>
      <c r="I9" s="5">
        <f>+'[5]Part Fed'!$BH10</f>
        <v>55755338.175156303</v>
      </c>
      <c r="J9" s="5">
        <f t="shared" si="4"/>
        <v>57155035.565047793</v>
      </c>
      <c r="K9" s="5">
        <f>+'COEF Art 14 F I'!AH10</f>
        <v>64978262.530916944</v>
      </c>
      <c r="L9" s="5">
        <f t="shared" si="0"/>
        <v>0</v>
      </c>
      <c r="M9" s="5">
        <f t="shared" si="1"/>
        <v>7823226.9658691511</v>
      </c>
      <c r="N9" s="5">
        <f t="shared" si="5"/>
        <v>7823226.9658690849</v>
      </c>
      <c r="O9" s="5">
        <f t="shared" si="2"/>
        <v>57155035.56504786</v>
      </c>
      <c r="P9" s="155">
        <f t="shared" si="3"/>
        <v>2.5104275854168173E-2</v>
      </c>
      <c r="Q9" s="158">
        <f t="shared" si="6"/>
        <v>7.1341318092043382E-3</v>
      </c>
    </row>
    <row r="10" spans="1:17" ht="12.75" customHeight="1">
      <c r="A10" s="4" t="s">
        <v>219</v>
      </c>
      <c r="B10" s="5">
        <v>52971569.298851922</v>
      </c>
      <c r="C10" s="170">
        <v>7477077.3815359473</v>
      </c>
      <c r="D10" s="170">
        <v>1945969.1894567527</v>
      </c>
      <c r="E10" s="170">
        <v>2454140.6171064759</v>
      </c>
      <c r="F10" s="170">
        <v>204207.83846891561</v>
      </c>
      <c r="G10" s="170">
        <v>1788941.6700345716</v>
      </c>
      <c r="H10" s="170">
        <v>331291.50779338833</v>
      </c>
      <c r="I10" s="5">
        <f>+'[5]Part Fed'!$BH11</f>
        <v>70417662.945920616</v>
      </c>
      <c r="J10" s="5">
        <f t="shared" si="4"/>
        <v>72185447.381520763</v>
      </c>
      <c r="K10" s="5">
        <f>+'COEF Art 14 F I'!AH11</f>
        <v>57984653.378777996</v>
      </c>
      <c r="L10" s="5">
        <f t="shared" si="0"/>
        <v>14200794.002742767</v>
      </c>
      <c r="M10" s="5">
        <f t="shared" si="1"/>
        <v>0</v>
      </c>
      <c r="N10" s="5">
        <f t="shared" si="5"/>
        <v>0</v>
      </c>
      <c r="O10" s="5">
        <f t="shared" si="2"/>
        <v>72185447.381520763</v>
      </c>
      <c r="P10" s="155">
        <f t="shared" si="3"/>
        <v>2.5104275854167021E-2</v>
      </c>
      <c r="Q10" s="158">
        <f t="shared" si="6"/>
        <v>9.0102384021799199E-3</v>
      </c>
    </row>
    <row r="11" spans="1:17" ht="12.75" customHeight="1">
      <c r="A11" s="4" t="s">
        <v>6</v>
      </c>
      <c r="B11" s="5">
        <v>345472493.01836276</v>
      </c>
      <c r="C11" s="170">
        <v>48764357.893887833</v>
      </c>
      <c r="D11" s="170">
        <v>12691314.154321574</v>
      </c>
      <c r="E11" s="170">
        <v>16005530.672995448</v>
      </c>
      <c r="F11" s="170">
        <v>1331812.3662101035</v>
      </c>
      <c r="G11" s="170">
        <v>11667204.630520202</v>
      </c>
      <c r="H11" s="170">
        <v>2160632.66820582</v>
      </c>
      <c r="I11" s="5">
        <f>+'[5]Part Fed'!$BH12</f>
        <v>480420096.49022204</v>
      </c>
      <c r="J11" s="5">
        <f t="shared" si="4"/>
        <v>492480695.11839807</v>
      </c>
      <c r="K11" s="5">
        <f>+'COEF Art 14 F I'!AH12</f>
        <v>581788830.35802925</v>
      </c>
      <c r="L11" s="5">
        <f t="shared" si="0"/>
        <v>0</v>
      </c>
      <c r="M11" s="5">
        <f t="shared" si="1"/>
        <v>89308135.239631176</v>
      </c>
      <c r="N11" s="5">
        <f t="shared" si="5"/>
        <v>89308135.239630416</v>
      </c>
      <c r="O11" s="5">
        <f t="shared" si="2"/>
        <v>492480695.11839885</v>
      </c>
      <c r="P11" s="155">
        <f t="shared" si="3"/>
        <v>2.5104275854168554E-2</v>
      </c>
      <c r="Q11" s="158">
        <f t="shared" si="6"/>
        <v>6.1471787353970318E-2</v>
      </c>
    </row>
    <row r="12" spans="1:17" ht="12.75" customHeight="1">
      <c r="A12" s="4" t="s">
        <v>7</v>
      </c>
      <c r="B12" s="5">
        <v>59046361.196344882</v>
      </c>
      <c r="C12" s="170">
        <v>8334550.3561050957</v>
      </c>
      <c r="D12" s="170">
        <v>2169133.3890708839</v>
      </c>
      <c r="E12" s="170">
        <v>2735582.0343315811</v>
      </c>
      <c r="F12" s="170">
        <v>227626.44091840737</v>
      </c>
      <c r="G12" s="170">
        <v>1994097.9171697502</v>
      </c>
      <c r="H12" s="170">
        <v>369284.09502253646</v>
      </c>
      <c r="I12" s="5">
        <f>+'[5]Part Fed'!$BH13</f>
        <v>80382217.062349468</v>
      </c>
      <c r="J12" s="5">
        <f t="shared" si="4"/>
        <v>82400154.41325222</v>
      </c>
      <c r="K12" s="5">
        <f>+'COEF Art 14 F I'!AH13</f>
        <v>84344365.792508528</v>
      </c>
      <c r="L12" s="5">
        <f t="shared" si="0"/>
        <v>0</v>
      </c>
      <c r="M12" s="5">
        <f t="shared" si="1"/>
        <v>1944211.3792563081</v>
      </c>
      <c r="N12" s="5">
        <f t="shared" si="5"/>
        <v>1944211.3792562918</v>
      </c>
      <c r="O12" s="5">
        <f t="shared" si="2"/>
        <v>82400154.413252234</v>
      </c>
      <c r="P12" s="155">
        <f t="shared" si="3"/>
        <v>2.5104275854167194E-2</v>
      </c>
      <c r="Q12" s="158">
        <f t="shared" si="6"/>
        <v>1.0285245330901751E-2</v>
      </c>
    </row>
    <row r="13" spans="1:17" ht="12.75" customHeight="1">
      <c r="A13" s="4" t="s">
        <v>8</v>
      </c>
      <c r="B13" s="5">
        <v>9614635.2259016</v>
      </c>
      <c r="C13" s="170">
        <v>1357131.2409818619</v>
      </c>
      <c r="D13" s="170">
        <v>353204.2596645439</v>
      </c>
      <c r="E13" s="170">
        <v>445440.2076220765</v>
      </c>
      <c r="F13" s="170">
        <v>37064.861455615079</v>
      </c>
      <c r="G13" s="170">
        <v>324702.88921892311</v>
      </c>
      <c r="H13" s="170">
        <v>60131.256125375949</v>
      </c>
      <c r="I13" s="5">
        <f>+'[5]Part Fed'!$BH14</f>
        <v>12781198.511711607</v>
      </c>
      <c r="J13" s="5">
        <f t="shared" si="4"/>
        <v>13102061.244896483</v>
      </c>
      <c r="K13" s="5">
        <f>+'COEF Art 14 F I'!AH14</f>
        <v>11322253.511385461</v>
      </c>
      <c r="L13" s="5">
        <f t="shared" si="0"/>
        <v>1779807.7335110214</v>
      </c>
      <c r="M13" s="5">
        <f t="shared" si="1"/>
        <v>0</v>
      </c>
      <c r="N13" s="5">
        <f t="shared" si="5"/>
        <v>0</v>
      </c>
      <c r="O13" s="5">
        <f t="shared" si="2"/>
        <v>13102061.244896483</v>
      </c>
      <c r="P13" s="155">
        <f t="shared" si="3"/>
        <v>2.5104275854166924E-2</v>
      </c>
      <c r="Q13" s="158">
        <f t="shared" si="6"/>
        <v>1.6354085159649592E-3</v>
      </c>
    </row>
    <row r="14" spans="1:17" ht="12.75" customHeight="1">
      <c r="A14" s="4" t="s">
        <v>203</v>
      </c>
      <c r="B14" s="5">
        <v>95571355.506969333</v>
      </c>
      <c r="C14" s="170">
        <v>13490150.0945221</v>
      </c>
      <c r="D14" s="170">
        <v>3510919.4549614945</v>
      </c>
      <c r="E14" s="170">
        <v>4427762.8260988574</v>
      </c>
      <c r="F14" s="170">
        <v>368431.97560404323</v>
      </c>
      <c r="G14" s="170">
        <v>3227610.2556737154</v>
      </c>
      <c r="H14" s="170">
        <v>597716.45218085009</v>
      </c>
      <c r="I14" s="5">
        <f>+'[5]Part Fed'!$BH15</f>
        <v>127047614.19104084</v>
      </c>
      <c r="J14" s="5">
        <f t="shared" si="4"/>
        <v>130237052.5443065</v>
      </c>
      <c r="K14" s="5">
        <f>+'COEF Art 14 F I'!AH15</f>
        <v>98758235.593231797</v>
      </c>
      <c r="L14" s="5">
        <f t="shared" si="0"/>
        <v>31478816.951074705</v>
      </c>
      <c r="M14" s="5">
        <f t="shared" si="1"/>
        <v>0</v>
      </c>
      <c r="N14" s="5">
        <f t="shared" si="5"/>
        <v>0</v>
      </c>
      <c r="O14" s="5">
        <f t="shared" si="2"/>
        <v>130237052.5443065</v>
      </c>
      <c r="P14" s="155">
        <f t="shared" si="3"/>
        <v>2.5104275854166896E-2</v>
      </c>
      <c r="Q14" s="158">
        <f t="shared" si="6"/>
        <v>1.6256280660273889E-2</v>
      </c>
    </row>
    <row r="15" spans="1:17" ht="12.75" customHeight="1">
      <c r="A15" s="4" t="s">
        <v>204</v>
      </c>
      <c r="B15" s="5">
        <v>13653729.802358963</v>
      </c>
      <c r="C15" s="170">
        <v>1927260.1440757033</v>
      </c>
      <c r="D15" s="170">
        <v>501584.86652827612</v>
      </c>
      <c r="E15" s="170">
        <v>632569.00496796379</v>
      </c>
      <c r="F15" s="170">
        <v>52635.757008595327</v>
      </c>
      <c r="G15" s="170">
        <v>461110.11091684276</v>
      </c>
      <c r="H15" s="170">
        <v>85392.31125488026</v>
      </c>
      <c r="I15" s="5">
        <f>+'[5]Part Fed'!$BH16</f>
        <v>21108810.62306257</v>
      </c>
      <c r="J15" s="5">
        <f t="shared" si="4"/>
        <v>21638732.027897302</v>
      </c>
      <c r="K15" s="5">
        <f>+'COEF Art 14 F I'!AH16</f>
        <v>25363372.244522221</v>
      </c>
      <c r="L15" s="5">
        <f t="shared" si="0"/>
        <v>0</v>
      </c>
      <c r="M15" s="5">
        <f t="shared" si="1"/>
        <v>3724640.2166249193</v>
      </c>
      <c r="N15" s="5">
        <f t="shared" si="5"/>
        <v>3724640.2166248881</v>
      </c>
      <c r="O15" s="5">
        <f t="shared" si="2"/>
        <v>21638732.027897332</v>
      </c>
      <c r="P15" s="155">
        <f t="shared" si="3"/>
        <v>2.510427585416836E-2</v>
      </c>
      <c r="Q15" s="158">
        <f t="shared" si="6"/>
        <v>2.7009617778188462E-3</v>
      </c>
    </row>
    <row r="16" spans="1:17" s="11" customFormat="1" ht="12.75" customHeight="1">
      <c r="A16" s="4" t="s">
        <v>205</v>
      </c>
      <c r="B16" s="5">
        <v>19976001.592748493</v>
      </c>
      <c r="C16" s="170">
        <v>2819665.5613501002</v>
      </c>
      <c r="D16" s="170">
        <v>733840.51374347787</v>
      </c>
      <c r="E16" s="170">
        <v>925476.01524834731</v>
      </c>
      <c r="F16" s="170">
        <v>77008.405839252242</v>
      </c>
      <c r="G16" s="170">
        <v>674624.18279911578</v>
      </c>
      <c r="H16" s="170">
        <v>124932.67190199086</v>
      </c>
      <c r="I16" s="5">
        <f>+'[5]Part Fed'!$BH17</f>
        <v>30667968.334768124</v>
      </c>
      <c r="J16" s="5">
        <f t="shared" si="4"/>
        <v>31437865.471731</v>
      </c>
      <c r="K16" s="5">
        <f>+'COEF Art 14 F I'!AH17</f>
        <v>24777227.854405966</v>
      </c>
      <c r="L16" s="5">
        <f t="shared" si="0"/>
        <v>6660637.617325034</v>
      </c>
      <c r="M16" s="5">
        <f t="shared" si="1"/>
        <v>0</v>
      </c>
      <c r="N16" s="5">
        <f t="shared" si="5"/>
        <v>0</v>
      </c>
      <c r="O16" s="5">
        <f t="shared" si="2"/>
        <v>31437865.471731</v>
      </c>
      <c r="P16" s="155">
        <f t="shared" si="3"/>
        <v>2.5104275854166941E-2</v>
      </c>
      <c r="Q16" s="158">
        <f t="shared" si="6"/>
        <v>3.9240965184967613E-3</v>
      </c>
    </row>
    <row r="17" spans="1:17" ht="12.75" customHeight="1">
      <c r="A17" s="4" t="s">
        <v>12</v>
      </c>
      <c r="B17" s="5">
        <v>48519433.955937073</v>
      </c>
      <c r="C17" s="170">
        <v>6848646.6796959136</v>
      </c>
      <c r="D17" s="170">
        <v>1782415.073177408</v>
      </c>
      <c r="E17" s="170">
        <v>2247875.8920374489</v>
      </c>
      <c r="F17" s="170">
        <v>187044.65174476066</v>
      </c>
      <c r="G17" s="170">
        <v>1638585.346048024</v>
      </c>
      <c r="H17" s="170">
        <v>303447.23868493165</v>
      </c>
      <c r="I17" s="5">
        <f>+'[5]Part Fed'!$BH18</f>
        <v>64499224.619159676</v>
      </c>
      <c r="J17" s="5">
        <f t="shared" si="4"/>
        <v>66118430.946378939</v>
      </c>
      <c r="K17" s="5">
        <f>+'COEF Art 14 F I'!AH18</f>
        <v>56923229.603831604</v>
      </c>
      <c r="L17" s="5">
        <f t="shared" si="0"/>
        <v>9195201.3425473347</v>
      </c>
      <c r="M17" s="5">
        <f t="shared" si="1"/>
        <v>0</v>
      </c>
      <c r="N17" s="5">
        <f t="shared" si="5"/>
        <v>0</v>
      </c>
      <c r="O17" s="5">
        <f t="shared" si="2"/>
        <v>66118430.946378939</v>
      </c>
      <c r="P17" s="155">
        <f t="shared" si="3"/>
        <v>2.5104275854166979E-2</v>
      </c>
      <c r="Q17" s="158">
        <f t="shared" si="6"/>
        <v>8.2529491360810343E-3</v>
      </c>
    </row>
    <row r="18" spans="1:17" ht="12.75" customHeight="1">
      <c r="A18" s="4" t="s">
        <v>206</v>
      </c>
      <c r="B18" s="5">
        <v>24687151.460771684</v>
      </c>
      <c r="C18" s="170">
        <v>3484656.8497997792</v>
      </c>
      <c r="D18" s="170">
        <v>906909.815095003</v>
      </c>
      <c r="E18" s="170">
        <v>1143740.7258737253</v>
      </c>
      <c r="F18" s="170">
        <v>95170.105482757135</v>
      </c>
      <c r="G18" s="170">
        <v>833727.87605117215</v>
      </c>
      <c r="H18" s="170">
        <v>154396.85361067939</v>
      </c>
      <c r="I18" s="5">
        <f>+'[5]Part Fed'!$BH19</f>
        <v>32817821.591273677</v>
      </c>
      <c r="J18" s="5">
        <f t="shared" si="4"/>
        <v>33641689.237433851</v>
      </c>
      <c r="K18" s="5">
        <f>+'COEF Art 14 F I'!AH19</f>
        <v>32214965.112651415</v>
      </c>
      <c r="L18" s="5">
        <f t="shared" si="0"/>
        <v>1426724.1247824356</v>
      </c>
      <c r="M18" s="5">
        <f t="shared" si="1"/>
        <v>0</v>
      </c>
      <c r="N18" s="5">
        <f t="shared" si="5"/>
        <v>0</v>
      </c>
      <c r="O18" s="5">
        <f t="shared" si="2"/>
        <v>33641689.237433851</v>
      </c>
      <c r="P18" s="155">
        <f t="shared" si="3"/>
        <v>2.5104275854167059E-2</v>
      </c>
      <c r="Q18" s="158">
        <f t="shared" si="6"/>
        <v>4.1991793536896053E-3</v>
      </c>
    </row>
    <row r="19" spans="1:17" ht="12.75" customHeight="1">
      <c r="A19" s="4" t="s">
        <v>14</v>
      </c>
      <c r="B19" s="5">
        <v>129251977.08819351</v>
      </c>
      <c r="C19" s="170">
        <v>18244259.084576715</v>
      </c>
      <c r="D19" s="170">
        <v>4748214.3425108716</v>
      </c>
      <c r="E19" s="170">
        <v>5988165.5577144232</v>
      </c>
      <c r="F19" s="170">
        <v>498272.3224624148</v>
      </c>
      <c r="G19" s="170">
        <v>4365063.1991389329</v>
      </c>
      <c r="H19" s="170">
        <v>808359.70958781976</v>
      </c>
      <c r="I19" s="5">
        <f>+'[5]Part Fed'!$BH20</f>
        <v>179755444.69518831</v>
      </c>
      <c r="J19" s="5">
        <f t="shared" si="4"/>
        <v>184268074.96510476</v>
      </c>
      <c r="K19" s="5">
        <f>+'COEF Art 14 F I'!AH20</f>
        <v>188907028.56979918</v>
      </c>
      <c r="L19" s="5">
        <f t="shared" si="0"/>
        <v>0</v>
      </c>
      <c r="M19" s="5">
        <f t="shared" si="1"/>
        <v>4638953.6046944261</v>
      </c>
      <c r="N19" s="5">
        <f t="shared" si="5"/>
        <v>4638953.6046943869</v>
      </c>
      <c r="O19" s="5">
        <f t="shared" si="2"/>
        <v>184268074.96510479</v>
      </c>
      <c r="P19" s="155">
        <f t="shared" si="3"/>
        <v>2.5104275854167041E-2</v>
      </c>
      <c r="Q19" s="158">
        <f t="shared" si="6"/>
        <v>2.3000470947713299E-2</v>
      </c>
    </row>
    <row r="20" spans="1:17" ht="12.75" customHeight="1">
      <c r="A20" s="4" t="s">
        <v>15</v>
      </c>
      <c r="B20" s="5">
        <v>16327622.596552014</v>
      </c>
      <c r="C20" s="170">
        <v>2304687.19780913</v>
      </c>
      <c r="D20" s="170">
        <v>599813.27588639664</v>
      </c>
      <c r="E20" s="170">
        <v>756448.83331509889</v>
      </c>
      <c r="F20" s="170">
        <v>62943.736836790253</v>
      </c>
      <c r="G20" s="170">
        <v>551412.10317407991</v>
      </c>
      <c r="H20" s="170">
        <v>102115.20595466773</v>
      </c>
      <c r="I20" s="5">
        <f>+'[5]Part Fed'!$BH21</f>
        <v>22947725.690392174</v>
      </c>
      <c r="J20" s="5">
        <f t="shared" si="4"/>
        <v>23523811.726349533</v>
      </c>
      <c r="K20" s="5">
        <f>+'COEF Art 14 F I'!AH21</f>
        <v>24180440.128019858</v>
      </c>
      <c r="L20" s="5">
        <f t="shared" si="0"/>
        <v>0</v>
      </c>
      <c r="M20" s="5">
        <f t="shared" si="1"/>
        <v>656628.40167032555</v>
      </c>
      <c r="N20" s="5">
        <f t="shared" si="5"/>
        <v>656628.40167031996</v>
      </c>
      <c r="O20" s="5">
        <f t="shared" si="2"/>
        <v>23523811.72634954</v>
      </c>
      <c r="P20" s="155">
        <f t="shared" si="3"/>
        <v>2.510427585416727E-2</v>
      </c>
      <c r="Q20" s="158">
        <f t="shared" si="6"/>
        <v>2.9362587539585542E-3</v>
      </c>
    </row>
    <row r="21" spans="1:17" ht="12.75" customHeight="1">
      <c r="A21" s="4" t="s">
        <v>207</v>
      </c>
      <c r="B21" s="5">
        <v>12021064.558850277</v>
      </c>
      <c r="C21" s="170">
        <v>1696805.1183809435</v>
      </c>
      <c r="D21" s="170">
        <v>441607.10293512425</v>
      </c>
      <c r="E21" s="170">
        <v>556928.61633557442</v>
      </c>
      <c r="F21" s="170">
        <v>46341.757326628933</v>
      </c>
      <c r="G21" s="170">
        <v>405972.1770026756</v>
      </c>
      <c r="H21" s="170">
        <v>75181.397411790167</v>
      </c>
      <c r="I21" s="5">
        <f>+'[5]Part Fed'!$BH22</f>
        <v>15980181.134158269</v>
      </c>
      <c r="J21" s="5">
        <f t="shared" si="4"/>
        <v>16381352.009549731</v>
      </c>
      <c r="K21" s="5">
        <f>+'COEF Art 14 F I'!AH22</f>
        <v>9252150.9548155889</v>
      </c>
      <c r="L21" s="5">
        <f t="shared" si="0"/>
        <v>7129201.0547341425</v>
      </c>
      <c r="M21" s="5">
        <f t="shared" si="1"/>
        <v>0</v>
      </c>
      <c r="N21" s="5">
        <f t="shared" si="5"/>
        <v>0</v>
      </c>
      <c r="O21" s="5">
        <f t="shared" si="2"/>
        <v>16381352.009549731</v>
      </c>
      <c r="P21" s="155">
        <f t="shared" si="3"/>
        <v>2.5104275854166899E-2</v>
      </c>
      <c r="Q21" s="158">
        <f t="shared" si="6"/>
        <v>2.0447318997133105E-3</v>
      </c>
    </row>
    <row r="22" spans="1:17" ht="12.75" customHeight="1">
      <c r="A22" s="4" t="s">
        <v>17</v>
      </c>
      <c r="B22" s="5">
        <v>105426348.73077556</v>
      </c>
      <c r="C22" s="170">
        <v>14881208.50385846</v>
      </c>
      <c r="D22" s="170">
        <v>3872953.5315363719</v>
      </c>
      <c r="E22" s="170">
        <v>4884338.6737087974</v>
      </c>
      <c r="F22" s="170">
        <v>406423.42820771184</v>
      </c>
      <c r="G22" s="170">
        <v>3560430.4509092262</v>
      </c>
      <c r="H22" s="170">
        <v>659350.94040959794</v>
      </c>
      <c r="I22" s="5">
        <f>+'[5]Part Fed'!$BH23</f>
        <v>140148332.18663472</v>
      </c>
      <c r="J22" s="5">
        <f t="shared" si="4"/>
        <v>143666654.57834941</v>
      </c>
      <c r="K22" s="5">
        <f>+'COEF Art 14 F I'!AH23</f>
        <v>140546100.65937227</v>
      </c>
      <c r="L22" s="5">
        <f t="shared" si="0"/>
        <v>3120553.9189771414</v>
      </c>
      <c r="M22" s="5">
        <f t="shared" si="1"/>
        <v>0</v>
      </c>
      <c r="N22" s="5">
        <f t="shared" si="5"/>
        <v>0</v>
      </c>
      <c r="O22" s="5">
        <f t="shared" si="2"/>
        <v>143666654.57834941</v>
      </c>
      <c r="P22" s="155">
        <f t="shared" si="3"/>
        <v>2.5104275854166875E-2</v>
      </c>
      <c r="Q22" s="158">
        <f t="shared" si="6"/>
        <v>1.7932573048316962E-2</v>
      </c>
    </row>
    <row r="23" spans="1:17" ht="12.75" customHeight="1">
      <c r="A23" s="4" t="s">
        <v>208</v>
      </c>
      <c r="B23" s="5">
        <v>113489960.67171809</v>
      </c>
      <c r="C23" s="170">
        <v>16019408.697944999</v>
      </c>
      <c r="D23" s="170">
        <v>4169179.2352610994</v>
      </c>
      <c r="E23" s="170">
        <v>5257920.9150282089</v>
      </c>
      <c r="F23" s="170">
        <v>437509.02349046944</v>
      </c>
      <c r="G23" s="170">
        <v>3832752.5965930833</v>
      </c>
      <c r="H23" s="170">
        <v>709781.88277251832</v>
      </c>
      <c r="I23" s="5">
        <f>+'[5]Part Fed'!$BH24</f>
        <v>171896741.95973486</v>
      </c>
      <c r="J23" s="5">
        <f t="shared" si="4"/>
        <v>176212085.1883246</v>
      </c>
      <c r="K23" s="5">
        <f>+'COEF Art 14 F I'!AH24</f>
        <v>193942101.46363047</v>
      </c>
      <c r="L23" s="5">
        <f t="shared" si="0"/>
        <v>0</v>
      </c>
      <c r="M23" s="5">
        <f t="shared" si="1"/>
        <v>17730016.275305867</v>
      </c>
      <c r="N23" s="5">
        <f t="shared" si="5"/>
        <v>17730016.275305718</v>
      </c>
      <c r="O23" s="5">
        <f t="shared" si="2"/>
        <v>176212085.18832475</v>
      </c>
      <c r="P23" s="155">
        <f t="shared" si="3"/>
        <v>2.5104275854167846E-2</v>
      </c>
      <c r="Q23" s="158">
        <f t="shared" si="6"/>
        <v>2.1994916627731426E-2</v>
      </c>
    </row>
    <row r="24" spans="1:17" ht="12.75" customHeight="1">
      <c r="A24" s="4" t="s">
        <v>19</v>
      </c>
      <c r="B24" s="5">
        <v>20262980.828679498</v>
      </c>
      <c r="C24" s="170">
        <v>2860173.4409990315</v>
      </c>
      <c r="D24" s="170">
        <v>744383.01339918515</v>
      </c>
      <c r="E24" s="170">
        <v>938771.58886417933</v>
      </c>
      <c r="F24" s="170">
        <v>78114.724006324599</v>
      </c>
      <c r="G24" s="170">
        <v>684315.96879879571</v>
      </c>
      <c r="H24" s="170">
        <v>126727.47966459139</v>
      </c>
      <c r="I24" s="5">
        <f>+'[5]Part Fed'!$BH25</f>
        <v>26936558.103905931</v>
      </c>
      <c r="J24" s="5">
        <f t="shared" si="4"/>
        <v>27612780.889108181</v>
      </c>
      <c r="K24" s="5">
        <f>+'COEF Art 14 F I'!AH25</f>
        <v>21453293.063752495</v>
      </c>
      <c r="L24" s="5">
        <f t="shared" si="0"/>
        <v>6159487.8253556862</v>
      </c>
      <c r="M24" s="5">
        <f t="shared" si="1"/>
        <v>0</v>
      </c>
      <c r="N24" s="5">
        <f t="shared" si="5"/>
        <v>0</v>
      </c>
      <c r="O24" s="5">
        <f t="shared" si="2"/>
        <v>27612780.889108181</v>
      </c>
      <c r="P24" s="155">
        <f t="shared" si="3"/>
        <v>2.5104275854166917E-2</v>
      </c>
      <c r="Q24" s="158">
        <f t="shared" si="6"/>
        <v>3.4466467658370945E-3</v>
      </c>
    </row>
    <row r="25" spans="1:17" ht="12.75" customHeight="1">
      <c r="A25" s="4" t="s">
        <v>20</v>
      </c>
      <c r="B25" s="5">
        <v>276982955.19764858</v>
      </c>
      <c r="C25" s="170">
        <v>39096878.132776573</v>
      </c>
      <c r="D25" s="170">
        <v>10175275.226956585</v>
      </c>
      <c r="E25" s="170">
        <v>12832452.003862159</v>
      </c>
      <c r="F25" s="170">
        <v>1067782.0446388081</v>
      </c>
      <c r="G25" s="170">
        <v>9354194.2781782262</v>
      </c>
      <c r="H25" s="170">
        <v>1732289.6428236314</v>
      </c>
      <c r="I25" s="5">
        <f>+'[5]Part Fed'!$BH26</f>
        <v>368206806.7652095</v>
      </c>
      <c r="J25" s="5">
        <f t="shared" si="4"/>
        <v>377450372.01362526</v>
      </c>
      <c r="K25" s="5">
        <f>+'COEF Art 14 F I'!AH26</f>
        <v>383368983.60593957</v>
      </c>
      <c r="L25" s="5">
        <f t="shared" si="0"/>
        <v>0</v>
      </c>
      <c r="M25" s="5">
        <f t="shared" si="1"/>
        <v>5918611.5923143029</v>
      </c>
      <c r="N25" s="5">
        <f t="shared" si="5"/>
        <v>5918611.5923142526</v>
      </c>
      <c r="O25" s="5">
        <f t="shared" si="2"/>
        <v>377450372.01362532</v>
      </c>
      <c r="P25" s="155">
        <f t="shared" si="3"/>
        <v>2.5104275854167121E-2</v>
      </c>
      <c r="Q25" s="158">
        <f t="shared" si="6"/>
        <v>4.7113621376611257E-2</v>
      </c>
    </row>
    <row r="26" spans="1:17" s="11" customFormat="1" ht="12.75" customHeight="1">
      <c r="A26" s="4" t="s">
        <v>209</v>
      </c>
      <c r="B26" s="5">
        <v>40895486.4857333</v>
      </c>
      <c r="C26" s="170">
        <v>5772506.2907662932</v>
      </c>
      <c r="D26" s="170">
        <v>1502340.9300960016</v>
      </c>
      <c r="E26" s="170">
        <v>1894663.0384828388</v>
      </c>
      <c r="F26" s="170">
        <v>157653.98323903049</v>
      </c>
      <c r="G26" s="170">
        <v>1381111.4312644987</v>
      </c>
      <c r="H26" s="170">
        <v>255766.01862343462</v>
      </c>
      <c r="I26" s="5">
        <f>+'[5]Part Fed'!$BH27</f>
        <v>54364343.391733974</v>
      </c>
      <c r="J26" s="5">
        <f t="shared" si="4"/>
        <v>55729120.86487072</v>
      </c>
      <c r="K26" s="5">
        <f>+'COEF Art 14 F I'!AH27</f>
        <v>51980298.583986551</v>
      </c>
      <c r="L26" s="5">
        <f t="shared" si="0"/>
        <v>3748822.280884169</v>
      </c>
      <c r="M26" s="5">
        <f t="shared" si="1"/>
        <v>0</v>
      </c>
      <c r="N26" s="5">
        <f t="shared" si="5"/>
        <v>0</v>
      </c>
      <c r="O26" s="5">
        <f t="shared" si="2"/>
        <v>55729120.86487072</v>
      </c>
      <c r="P26" s="155">
        <f t="shared" si="3"/>
        <v>2.5104275854166906E-2</v>
      </c>
      <c r="Q26" s="158">
        <f t="shared" si="6"/>
        <v>6.9561481316652287E-3</v>
      </c>
    </row>
    <row r="27" spans="1:17" ht="12.75" customHeight="1">
      <c r="A27" s="4" t="s">
        <v>22</v>
      </c>
      <c r="B27" s="5">
        <v>6559653.4378309054</v>
      </c>
      <c r="C27" s="170">
        <v>925912.46587408532</v>
      </c>
      <c r="D27" s="170">
        <v>240976.1245984016</v>
      </c>
      <c r="E27" s="170">
        <v>303904.75775977928</v>
      </c>
      <c r="F27" s="170">
        <v>25287.766010618696</v>
      </c>
      <c r="G27" s="170">
        <v>221530.8613893674</v>
      </c>
      <c r="H27" s="170">
        <v>41024.978243719575</v>
      </c>
      <c r="I27" s="5">
        <f>+'[5]Part Fed'!$BH28</f>
        <v>8720063.8180307318</v>
      </c>
      <c r="J27" s="5">
        <f t="shared" si="4"/>
        <v>8938974.7055845149</v>
      </c>
      <c r="K27" s="5">
        <f>+'COEF Art 14 F I'!AH28</f>
        <v>4411290.1978877597</v>
      </c>
      <c r="L27" s="5">
        <f t="shared" si="0"/>
        <v>4527684.5076967552</v>
      </c>
      <c r="M27" s="5">
        <f t="shared" si="1"/>
        <v>0</v>
      </c>
      <c r="N27" s="5">
        <f t="shared" si="5"/>
        <v>0</v>
      </c>
      <c r="O27" s="5">
        <f t="shared" si="2"/>
        <v>8938974.7055845149</v>
      </c>
      <c r="P27" s="155">
        <f t="shared" si="3"/>
        <v>2.5104275854166878E-2</v>
      </c>
      <c r="Q27" s="158">
        <f t="shared" si="6"/>
        <v>1.1157691209238263E-3</v>
      </c>
    </row>
    <row r="28" spans="1:17" ht="12.75" customHeight="1">
      <c r="A28" s="4" t="s">
        <v>23</v>
      </c>
      <c r="B28" s="5">
        <v>30017232.489574715</v>
      </c>
      <c r="C28" s="170">
        <v>4237011.9117647037</v>
      </c>
      <c r="D28" s="170">
        <v>1102716.2372314048</v>
      </c>
      <c r="E28" s="170">
        <v>1390680.1410806994</v>
      </c>
      <c r="F28" s="170">
        <v>115717.81324680921</v>
      </c>
      <c r="G28" s="170">
        <v>1013733.9469170612</v>
      </c>
      <c r="H28" s="170">
        <v>187731.9162502407</v>
      </c>
      <c r="I28" s="5">
        <f>+'[5]Part Fed'!$BH29</f>
        <v>40382541.007767558</v>
      </c>
      <c r="J28" s="5">
        <f t="shared" si="4"/>
        <v>41396315.456918761</v>
      </c>
      <c r="K28" s="5">
        <f>+'COEF Art 14 F I'!AH29</f>
        <v>41664319.75998491</v>
      </c>
      <c r="L28" s="5">
        <f t="shared" si="0"/>
        <v>0</v>
      </c>
      <c r="M28" s="5">
        <f t="shared" si="1"/>
        <v>268004.30306614935</v>
      </c>
      <c r="N28" s="5">
        <f t="shared" si="5"/>
        <v>268004.30306614708</v>
      </c>
      <c r="O28" s="5">
        <f t="shared" si="2"/>
        <v>41396315.456918761</v>
      </c>
      <c r="P28" s="155">
        <f t="shared" si="3"/>
        <v>2.5104275854166882E-2</v>
      </c>
      <c r="Q28" s="158">
        <f t="shared" si="6"/>
        <v>5.1671172621168514E-3</v>
      </c>
    </row>
    <row r="29" spans="1:17" ht="12.75" customHeight="1">
      <c r="A29" s="4" t="s">
        <v>24</v>
      </c>
      <c r="B29" s="5">
        <v>28912782.89665971</v>
      </c>
      <c r="C29" s="170">
        <v>4081115.9249261506</v>
      </c>
      <c r="D29" s="170">
        <v>1062143.0598162662</v>
      </c>
      <c r="E29" s="170">
        <v>1339511.6625667326</v>
      </c>
      <c r="F29" s="170">
        <v>111460.10921703762</v>
      </c>
      <c r="G29" s="170">
        <v>976434.77067269804</v>
      </c>
      <c r="H29" s="170">
        <v>180824.5360128473</v>
      </c>
      <c r="I29" s="5">
        <f>+'[5]Part Fed'!$BH30</f>
        <v>39347712.552407421</v>
      </c>
      <c r="J29" s="5">
        <f t="shared" si="4"/>
        <v>40335508.382553525</v>
      </c>
      <c r="K29" s="5">
        <f>+'COEF Art 14 F I'!AH30</f>
        <v>36762452.46086923</v>
      </c>
      <c r="L29" s="5">
        <f t="shared" si="0"/>
        <v>3573055.9216842949</v>
      </c>
      <c r="M29" s="5">
        <f t="shared" si="1"/>
        <v>0</v>
      </c>
      <c r="N29" s="5">
        <f t="shared" si="5"/>
        <v>0</v>
      </c>
      <c r="O29" s="5">
        <f t="shared" si="2"/>
        <v>40335508.382553525</v>
      </c>
      <c r="P29" s="155">
        <f t="shared" si="3"/>
        <v>2.5104275854166965E-2</v>
      </c>
      <c r="Q29" s="158">
        <f t="shared" si="6"/>
        <v>5.034706575677071E-3</v>
      </c>
    </row>
    <row r="30" spans="1:17" ht="12.75" customHeight="1">
      <c r="A30" s="4" t="s">
        <v>25</v>
      </c>
      <c r="B30" s="5">
        <v>466191870.11476332</v>
      </c>
      <c r="C30" s="170">
        <v>65804217.878185242</v>
      </c>
      <c r="D30" s="170">
        <v>17126073.998306401</v>
      </c>
      <c r="E30" s="170">
        <v>21598386.057976648</v>
      </c>
      <c r="F30" s="170">
        <v>1797191.122861081</v>
      </c>
      <c r="G30" s="170">
        <v>15744107.144994853</v>
      </c>
      <c r="H30" s="170">
        <v>2915628.3194103278</v>
      </c>
      <c r="I30" s="5">
        <f>+'[5]Part Fed'!$BH31</f>
        <v>629749485.85144389</v>
      </c>
      <c r="J30" s="5">
        <f t="shared" si="4"/>
        <v>645558890.66327834</v>
      </c>
      <c r="K30" s="5">
        <f>+'COEF Art 14 F I'!AH31</f>
        <v>655025276.32546139</v>
      </c>
      <c r="L30" s="5">
        <f t="shared" si="0"/>
        <v>0</v>
      </c>
      <c r="M30" s="5">
        <f t="shared" si="1"/>
        <v>9466385.6621830463</v>
      </c>
      <c r="N30" s="5">
        <f t="shared" si="5"/>
        <v>9466385.6621829662</v>
      </c>
      <c r="O30" s="5">
        <f t="shared" si="2"/>
        <v>645558890.66327846</v>
      </c>
      <c r="P30" s="155">
        <f t="shared" si="3"/>
        <v>2.5104275854167139E-2</v>
      </c>
      <c r="Q30" s="158">
        <f t="shared" si="6"/>
        <v>8.0579115576860441E-2</v>
      </c>
    </row>
    <row r="31" spans="1:17" ht="12.75" customHeight="1">
      <c r="A31" s="4" t="s">
        <v>210</v>
      </c>
      <c r="B31" s="5">
        <v>12198301.467330018</v>
      </c>
      <c r="C31" s="170">
        <v>1721822.5776918184</v>
      </c>
      <c r="D31" s="170">
        <v>448118.09680789994</v>
      </c>
      <c r="E31" s="170">
        <v>565139.89460631157</v>
      </c>
      <c r="F31" s="170">
        <v>47025.013768841702</v>
      </c>
      <c r="G31" s="170">
        <v>411957.77447022841</v>
      </c>
      <c r="H31" s="170">
        <v>76289.86150723022</v>
      </c>
      <c r="I31" s="5">
        <f>+'[5]Part Fed'!$BH32</f>
        <v>16215790.708277004</v>
      </c>
      <c r="J31" s="5">
        <f t="shared" si="4"/>
        <v>16622876.391411027</v>
      </c>
      <c r="K31" s="5">
        <f>+'COEF Art 14 F I'!AH32</f>
        <v>11125729.164880557</v>
      </c>
      <c r="L31" s="5">
        <f t="shared" si="0"/>
        <v>5497147.22653047</v>
      </c>
      <c r="M31" s="5">
        <f t="shared" si="1"/>
        <v>0</v>
      </c>
      <c r="N31" s="5">
        <f t="shared" si="5"/>
        <v>0</v>
      </c>
      <c r="O31" s="5">
        <f t="shared" si="2"/>
        <v>16622876.391411027</v>
      </c>
      <c r="P31" s="155">
        <f t="shared" si="3"/>
        <v>2.5104275854166944E-2</v>
      </c>
      <c r="Q31" s="158">
        <f t="shared" si="6"/>
        <v>2.0748791432291347E-3</v>
      </c>
    </row>
    <row r="32" spans="1:17" ht="12.75" customHeight="1">
      <c r="A32" s="4" t="s">
        <v>27</v>
      </c>
      <c r="B32" s="5">
        <v>20997489.676431384</v>
      </c>
      <c r="C32" s="170">
        <v>2963851.3113124319</v>
      </c>
      <c r="D32" s="170">
        <v>771366.00835341483</v>
      </c>
      <c r="E32" s="170">
        <v>972800.9374515739</v>
      </c>
      <c r="F32" s="170">
        <v>80946.289431345125</v>
      </c>
      <c r="G32" s="170">
        <v>709121.60514570505</v>
      </c>
      <c r="H32" s="170">
        <v>131321.19940671316</v>
      </c>
      <c r="I32" s="5">
        <f>+'[5]Part Fed'!$BH33</f>
        <v>27912976.155256927</v>
      </c>
      <c r="J32" s="5">
        <f t="shared" si="4"/>
        <v>28613711.208569281</v>
      </c>
      <c r="K32" s="5">
        <f>+'COEF Art 14 F I'!AH33</f>
        <v>25709956.615208149</v>
      </c>
      <c r="L32" s="5">
        <f t="shared" si="0"/>
        <v>2903754.5933611318</v>
      </c>
      <c r="M32" s="5">
        <f t="shared" si="1"/>
        <v>0</v>
      </c>
      <c r="N32" s="5">
        <f t="shared" si="5"/>
        <v>0</v>
      </c>
      <c r="O32" s="5">
        <f t="shared" si="2"/>
        <v>28613711.208569281</v>
      </c>
      <c r="P32" s="155">
        <f t="shared" si="3"/>
        <v>2.510427585416693E-2</v>
      </c>
      <c r="Q32" s="158">
        <f t="shared" si="6"/>
        <v>3.5715835935421114E-3</v>
      </c>
    </row>
    <row r="33" spans="1:17" ht="12.75" customHeight="1">
      <c r="A33" s="4" t="s">
        <v>28</v>
      </c>
      <c r="B33" s="5">
        <v>11471401.74041779</v>
      </c>
      <c r="C33" s="170">
        <v>1619218.7549490104</v>
      </c>
      <c r="D33" s="170">
        <v>421414.63132433518</v>
      </c>
      <c r="E33" s="170">
        <v>531463.07196372247</v>
      </c>
      <c r="F33" s="170">
        <v>44222.781854991714</v>
      </c>
      <c r="G33" s="170">
        <v>387409.11131633562</v>
      </c>
      <c r="H33" s="170">
        <v>71743.730257389965</v>
      </c>
      <c r="I33" s="5">
        <f>+'[5]Part Fed'!$BH34</f>
        <v>16019923.254867921</v>
      </c>
      <c r="J33" s="5">
        <f t="shared" si="4"/>
        <v>16422091.82742071</v>
      </c>
      <c r="K33" s="5">
        <f>+'COEF Art 14 F I'!AH34</f>
        <v>16938725.354956791</v>
      </c>
      <c r="L33" s="5">
        <f t="shared" si="0"/>
        <v>0</v>
      </c>
      <c r="M33" s="5">
        <f t="shared" si="1"/>
        <v>516633.52753608115</v>
      </c>
      <c r="N33" s="5">
        <f t="shared" si="5"/>
        <v>516633.52753607678</v>
      </c>
      <c r="O33" s="5">
        <f t="shared" si="2"/>
        <v>16422091.827420713</v>
      </c>
      <c r="P33" s="155">
        <f t="shared" si="3"/>
        <v>2.5104275854167222E-2</v>
      </c>
      <c r="Q33" s="158">
        <f t="shared" si="6"/>
        <v>2.0498170724841994E-3</v>
      </c>
    </row>
    <row r="34" spans="1:17" ht="12.75" customHeight="1">
      <c r="A34" s="4" t="s">
        <v>29</v>
      </c>
      <c r="B34" s="5">
        <v>16809759.413881905</v>
      </c>
      <c r="C34" s="170">
        <v>2372742.0872411542</v>
      </c>
      <c r="D34" s="170">
        <v>617525.10515681026</v>
      </c>
      <c r="E34" s="170">
        <v>778785.93908845424</v>
      </c>
      <c r="F34" s="170">
        <v>64802.3964652625</v>
      </c>
      <c r="G34" s="170">
        <v>567694.69881272723</v>
      </c>
      <c r="H34" s="170">
        <v>105130.55617534323</v>
      </c>
      <c r="I34" s="5">
        <f>+'[5]Part Fed'!$BH35</f>
        <v>22346024.259364486</v>
      </c>
      <c r="J34" s="5">
        <f t="shared" si="4"/>
        <v>22907005.01661548</v>
      </c>
      <c r="K34" s="5">
        <f>+'COEF Art 14 F I'!AH35</f>
        <v>18797981.961270154</v>
      </c>
      <c r="L34" s="5">
        <f t="shared" si="0"/>
        <v>4109023.0553453267</v>
      </c>
      <c r="M34" s="5">
        <f t="shared" si="1"/>
        <v>0</v>
      </c>
      <c r="N34" s="5">
        <f t="shared" si="5"/>
        <v>0</v>
      </c>
      <c r="O34" s="5">
        <f t="shared" si="2"/>
        <v>22907005.01661548</v>
      </c>
      <c r="P34" s="155">
        <f t="shared" si="3"/>
        <v>2.5104275854167024E-2</v>
      </c>
      <c r="Q34" s="158">
        <f t="shared" si="6"/>
        <v>2.8592685058633294E-3</v>
      </c>
    </row>
    <row r="35" spans="1:17" ht="12.75" customHeight="1">
      <c r="A35" s="4" t="s">
        <v>30</v>
      </c>
      <c r="B35" s="5">
        <v>15457056.03370185</v>
      </c>
      <c r="C35" s="170">
        <v>2181804.4204559885</v>
      </c>
      <c r="D35" s="170">
        <v>567832.05027573742</v>
      </c>
      <c r="E35" s="170">
        <v>716116.01346348226</v>
      </c>
      <c r="F35" s="170">
        <v>59587.662655929205</v>
      </c>
      <c r="G35" s="170">
        <v>522011.56206538598</v>
      </c>
      <c r="H35" s="170">
        <v>96670.56247780376</v>
      </c>
      <c r="I35" s="5">
        <f>+'[5]Part Fed'!$BH36</f>
        <v>21032897.106208049</v>
      </c>
      <c r="J35" s="5">
        <f t="shared" si="4"/>
        <v>21560912.757174604</v>
      </c>
      <c r="K35" s="5">
        <f>+'COEF Art 14 F I'!AH36</f>
        <v>21832152.143187765</v>
      </c>
      <c r="L35" s="5">
        <f t="shared" si="0"/>
        <v>0</v>
      </c>
      <c r="M35" s="5">
        <f t="shared" si="1"/>
        <v>271239.38601316139</v>
      </c>
      <c r="N35" s="5">
        <f t="shared" si="5"/>
        <v>271239.38601315912</v>
      </c>
      <c r="O35" s="5">
        <f t="shared" si="2"/>
        <v>21560912.757174607</v>
      </c>
      <c r="P35" s="155">
        <f t="shared" si="3"/>
        <v>2.5104275854167045E-2</v>
      </c>
      <c r="Q35" s="158">
        <f t="shared" si="6"/>
        <v>2.6912483216177696E-3</v>
      </c>
    </row>
    <row r="36" spans="1:17" ht="12.75" customHeight="1">
      <c r="A36" s="4" t="s">
        <v>211</v>
      </c>
      <c r="B36" s="5">
        <v>146976776.61061856</v>
      </c>
      <c r="C36" s="170">
        <v>20746161.508002289</v>
      </c>
      <c r="D36" s="170">
        <v>5399354.4581683828</v>
      </c>
      <c r="E36" s="170">
        <v>6809344.7490014546</v>
      </c>
      <c r="F36" s="170">
        <v>566602.24067467044</v>
      </c>
      <c r="G36" s="170">
        <v>4963660.3877581675</v>
      </c>
      <c r="H36" s="170">
        <v>919213.05293477781</v>
      </c>
      <c r="I36" s="5">
        <f>+'[5]Part Fed'!$BH37</f>
        <v>195383320.77446538</v>
      </c>
      <c r="J36" s="5">
        <f t="shared" si="4"/>
        <v>200288277.55649075</v>
      </c>
      <c r="K36" s="5">
        <f>+'COEF Art 14 F I'!AH37</f>
        <v>237022112.72986344</v>
      </c>
      <c r="L36" s="5">
        <f t="shared" si="0"/>
        <v>0</v>
      </c>
      <c r="M36" s="5">
        <f t="shared" si="1"/>
        <v>36733835.173372686</v>
      </c>
      <c r="N36" s="5">
        <f t="shared" si="5"/>
        <v>36733835.173372373</v>
      </c>
      <c r="O36" s="5">
        <f t="shared" si="2"/>
        <v>200288277.55649108</v>
      </c>
      <c r="P36" s="155">
        <f t="shared" si="3"/>
        <v>2.5104275854168627E-2</v>
      </c>
      <c r="Q36" s="158">
        <f t="shared" si="6"/>
        <v>2.5000123922594812E-2</v>
      </c>
    </row>
    <row r="37" spans="1:17" ht="12.75" customHeight="1">
      <c r="A37" s="4" t="s">
        <v>32</v>
      </c>
      <c r="B37" s="5">
        <v>28642439.294303101</v>
      </c>
      <c r="C37" s="170">
        <v>4042956.2090412104</v>
      </c>
      <c r="D37" s="170">
        <v>1052211.6885596451</v>
      </c>
      <c r="E37" s="170">
        <v>1326986.8077455515</v>
      </c>
      <c r="F37" s="170">
        <v>110417.92218327834</v>
      </c>
      <c r="G37" s="170">
        <v>967304.79884281906</v>
      </c>
      <c r="H37" s="170">
        <v>179133.76979933886</v>
      </c>
      <c r="I37" s="5">
        <f>+'[5]Part Fed'!$BH38</f>
        <v>38075776.550930724</v>
      </c>
      <c r="J37" s="5">
        <f t="shared" si="4"/>
        <v>39031641.348826908</v>
      </c>
      <c r="K37" s="5">
        <f>+'COEF Art 14 F I'!AH38</f>
        <v>35770979.624892145</v>
      </c>
      <c r="L37" s="5">
        <f t="shared" si="0"/>
        <v>3260661.7239347622</v>
      </c>
      <c r="M37" s="5">
        <f t="shared" si="1"/>
        <v>0</v>
      </c>
      <c r="N37" s="5">
        <f t="shared" si="5"/>
        <v>0</v>
      </c>
      <c r="O37" s="5">
        <f t="shared" si="2"/>
        <v>39031641.348826908</v>
      </c>
      <c r="P37" s="155">
        <f t="shared" si="3"/>
        <v>2.5104275854166889E-2</v>
      </c>
      <c r="Q37" s="158">
        <f t="shared" si="6"/>
        <v>4.8719569738559778E-3</v>
      </c>
    </row>
    <row r="38" spans="1:17" s="11" customFormat="1" ht="12.75" customHeight="1">
      <c r="A38" s="4" t="s">
        <v>33</v>
      </c>
      <c r="B38" s="5">
        <v>105014849.53165476</v>
      </c>
      <c r="C38" s="170">
        <v>14823124.301427007</v>
      </c>
      <c r="D38" s="170">
        <v>3857836.6533019841</v>
      </c>
      <c r="E38" s="170">
        <v>4865274.1658636238</v>
      </c>
      <c r="F38" s="170">
        <v>404837.07984959421</v>
      </c>
      <c r="G38" s="170">
        <v>3546533.4100203705</v>
      </c>
      <c r="H38" s="170">
        <v>656777.36760560225</v>
      </c>
      <c r="I38" s="5">
        <f>+'[5]Part Fed'!$BH39</f>
        <v>139601306.44641688</v>
      </c>
      <c r="J38" s="5">
        <f t="shared" si="4"/>
        <v>143105896.15304983</v>
      </c>
      <c r="K38" s="5">
        <f>+'COEF Art 14 F I'!AH39</f>
        <v>136795884.10867402</v>
      </c>
      <c r="L38" s="5">
        <f t="shared" si="0"/>
        <v>6310012.044375807</v>
      </c>
      <c r="M38" s="5">
        <f t="shared" si="1"/>
        <v>0</v>
      </c>
      <c r="N38" s="5">
        <f t="shared" si="5"/>
        <v>0</v>
      </c>
      <c r="O38" s="5">
        <f t="shared" si="2"/>
        <v>143105896.15304983</v>
      </c>
      <c r="P38" s="155">
        <f t="shared" si="3"/>
        <v>2.5104275854166934E-2</v>
      </c>
      <c r="Q38" s="158">
        <f t="shared" si="6"/>
        <v>1.7862578786575035E-2</v>
      </c>
    </row>
    <row r="39" spans="1:17" ht="12.75" customHeight="1">
      <c r="A39" s="4" t="s">
        <v>212</v>
      </c>
      <c r="B39" s="5">
        <v>21201866.178504594</v>
      </c>
      <c r="C39" s="170">
        <v>2992699.5961788408</v>
      </c>
      <c r="D39" s="170">
        <v>778874.00521614891</v>
      </c>
      <c r="E39" s="170">
        <v>982269.57660201832</v>
      </c>
      <c r="F39" s="170">
        <v>81734.170256389014</v>
      </c>
      <c r="G39" s="170">
        <v>716023.75370756444</v>
      </c>
      <c r="H39" s="170">
        <v>132599.39826748069</v>
      </c>
      <c r="I39" s="5">
        <f>+'[5]Part Fed'!$BH40</f>
        <v>29786207.421576548</v>
      </c>
      <c r="J39" s="5">
        <f t="shared" si="4"/>
        <v>30533968.589337241</v>
      </c>
      <c r="K39" s="5">
        <f>+'COEF Art 14 F I'!AH40</f>
        <v>33052082.358482197</v>
      </c>
      <c r="L39" s="5">
        <f t="shared" si="0"/>
        <v>0</v>
      </c>
      <c r="M39" s="5">
        <f t="shared" si="1"/>
        <v>2518113.769144956</v>
      </c>
      <c r="N39" s="5">
        <f t="shared" si="5"/>
        <v>2518113.7691449346</v>
      </c>
      <c r="O39" s="5">
        <f t="shared" si="2"/>
        <v>30533968.589337263</v>
      </c>
      <c r="P39" s="155">
        <f t="shared" si="3"/>
        <v>2.5104275854167701E-2</v>
      </c>
      <c r="Q39" s="158">
        <f t="shared" si="6"/>
        <v>3.8112714727737687E-3</v>
      </c>
    </row>
    <row r="40" spans="1:17" ht="12.75" customHeight="1">
      <c r="A40" s="4" t="s">
        <v>35</v>
      </c>
      <c r="B40" s="5">
        <v>20006809.988561384</v>
      </c>
      <c r="C40" s="170">
        <v>2824014.2480615564</v>
      </c>
      <c r="D40" s="170">
        <v>734972.29424045898</v>
      </c>
      <c r="E40" s="170">
        <v>926903.349505438</v>
      </c>
      <c r="F40" s="170">
        <v>77127.173623534836</v>
      </c>
      <c r="G40" s="170">
        <v>675664.6357022624</v>
      </c>
      <c r="H40" s="170">
        <v>125125.35186289361</v>
      </c>
      <c r="I40" s="5">
        <f>+'[5]Part Fed'!$BH41</f>
        <v>28630601.556963243</v>
      </c>
      <c r="J40" s="5">
        <f t="shared" si="4"/>
        <v>29349352.076319989</v>
      </c>
      <c r="K40" s="5">
        <f>+'COEF Art 14 F I'!AH41</f>
        <v>30547207.111023683</v>
      </c>
      <c r="L40" s="5">
        <f t="shared" si="0"/>
        <v>0</v>
      </c>
      <c r="M40" s="5">
        <f t="shared" si="1"/>
        <v>1197855.0347036943</v>
      </c>
      <c r="N40" s="5">
        <f t="shared" si="5"/>
        <v>1197855.0347036843</v>
      </c>
      <c r="O40" s="5">
        <f t="shared" si="2"/>
        <v>29349352.07632</v>
      </c>
      <c r="P40" s="155">
        <f t="shared" si="3"/>
        <v>2.5104275854167312E-2</v>
      </c>
      <c r="Q40" s="158">
        <f t="shared" si="6"/>
        <v>3.6634068049684813E-3</v>
      </c>
    </row>
    <row r="41" spans="1:17" ht="12.75" customHeight="1">
      <c r="A41" s="4" t="s">
        <v>36</v>
      </c>
      <c r="B41" s="5">
        <v>22613926.876078855</v>
      </c>
      <c r="C41" s="170">
        <v>3192015.7056117598</v>
      </c>
      <c r="D41" s="170">
        <v>830747.61680566624</v>
      </c>
      <c r="E41" s="170">
        <v>1047689.4906729467</v>
      </c>
      <c r="F41" s="170">
        <v>87177.729257084051</v>
      </c>
      <c r="G41" s="170">
        <v>763711.48990311264</v>
      </c>
      <c r="H41" s="170">
        <v>141430.62082300748</v>
      </c>
      <c r="I41" s="5">
        <f>+'[5]Part Fed'!$BH42</f>
        <v>30061784.117804673</v>
      </c>
      <c r="J41" s="5">
        <f t="shared" si="4"/>
        <v>30816463.438966457</v>
      </c>
      <c r="K41" s="5">
        <f>+'COEF Art 14 F I'!AH42</f>
        <v>30772800.390469279</v>
      </c>
      <c r="L41" s="5">
        <f t="shared" si="0"/>
        <v>43663.04849717766</v>
      </c>
      <c r="M41" s="5">
        <f t="shared" si="1"/>
        <v>0</v>
      </c>
      <c r="N41" s="5">
        <f t="shared" si="5"/>
        <v>0</v>
      </c>
      <c r="O41" s="5">
        <f t="shared" si="2"/>
        <v>30816463.438966457</v>
      </c>
      <c r="P41" s="155">
        <f t="shared" si="3"/>
        <v>2.5104275854166979E-2</v>
      </c>
      <c r="Q41" s="158">
        <f t="shared" si="6"/>
        <v>3.8465326789431245E-3</v>
      </c>
    </row>
    <row r="42" spans="1:17" ht="12.75" customHeight="1">
      <c r="A42" s="4" t="s">
        <v>37</v>
      </c>
      <c r="B42" s="5">
        <v>31852696.246518105</v>
      </c>
      <c r="C42" s="170">
        <v>4496092.4850481506</v>
      </c>
      <c r="D42" s="170">
        <v>1170144.0285287597</v>
      </c>
      <c r="E42" s="170">
        <v>1475716.0616087182</v>
      </c>
      <c r="F42" s="170">
        <v>122793.61053495121</v>
      </c>
      <c r="G42" s="170">
        <v>1075720.7379843476</v>
      </c>
      <c r="H42" s="170">
        <v>199211.15999526353</v>
      </c>
      <c r="I42" s="5">
        <f>+'[5]Part Fed'!$BH43</f>
        <v>42343326.012331598</v>
      </c>
      <c r="J42" s="5">
        <f t="shared" si="4"/>
        <v>43406324.549128093</v>
      </c>
      <c r="K42" s="5">
        <f>+'COEF Art 14 F I'!AH43</f>
        <v>39105601.229563378</v>
      </c>
      <c r="L42" s="5">
        <f t="shared" si="0"/>
        <v>4300723.319564715</v>
      </c>
      <c r="M42" s="5">
        <f t="shared" si="1"/>
        <v>0</v>
      </c>
      <c r="N42" s="5">
        <f t="shared" si="5"/>
        <v>0</v>
      </c>
      <c r="O42" s="5">
        <f t="shared" si="2"/>
        <v>43406324.549128093</v>
      </c>
      <c r="P42" s="155">
        <f t="shared" si="3"/>
        <v>2.5104275854166948E-2</v>
      </c>
      <c r="Q42" s="158">
        <f t="shared" si="6"/>
        <v>5.4180080132073764E-3</v>
      </c>
    </row>
    <row r="43" spans="1:17" s="11" customFormat="1" ht="12.75" customHeight="1">
      <c r="A43" s="4" t="s">
        <v>38</v>
      </c>
      <c r="B43" s="5">
        <v>74729366.826373518</v>
      </c>
      <c r="C43" s="170">
        <v>10548248.160850508</v>
      </c>
      <c r="D43" s="170">
        <v>2745265.9476880203</v>
      </c>
      <c r="E43" s="170">
        <v>3462166.1552931815</v>
      </c>
      <c r="F43" s="170">
        <v>288085.1496709417</v>
      </c>
      <c r="G43" s="170">
        <v>2523740.1885674577</v>
      </c>
      <c r="H43" s="170">
        <v>467367.77747098112</v>
      </c>
      <c r="I43" s="5">
        <f>+'[5]Part Fed'!$BH44</f>
        <v>99341353.012467459</v>
      </c>
      <c r="J43" s="5">
        <f t="shared" si="4"/>
        <v>101835245.74221861</v>
      </c>
      <c r="K43" s="5">
        <f>+'COEF Art 14 F I'!AH44</f>
        <v>95938970.60195525</v>
      </c>
      <c r="L43" s="5">
        <f t="shared" si="0"/>
        <v>5896275.1402633637</v>
      </c>
      <c r="M43" s="5">
        <f t="shared" si="1"/>
        <v>0</v>
      </c>
      <c r="N43" s="5">
        <f t="shared" si="5"/>
        <v>0</v>
      </c>
      <c r="O43" s="5">
        <f t="shared" si="2"/>
        <v>101835245.74221861</v>
      </c>
      <c r="P43" s="155">
        <f t="shared" si="3"/>
        <v>2.5104275854166878E-2</v>
      </c>
      <c r="Q43" s="158">
        <f t="shared" si="6"/>
        <v>1.2711147124051206E-2</v>
      </c>
    </row>
    <row r="44" spans="1:17" ht="12.75" customHeight="1">
      <c r="A44" s="4" t="s">
        <v>39</v>
      </c>
      <c r="B44" s="5">
        <v>1401888181.6267445</v>
      </c>
      <c r="C44" s="170">
        <v>197880231.84936696</v>
      </c>
      <c r="D44" s="170">
        <v>51499912.965053618</v>
      </c>
      <c r="E44" s="170">
        <v>64948627.588551342</v>
      </c>
      <c r="F44" s="170">
        <v>5404343.4833909571</v>
      </c>
      <c r="G44" s="170">
        <v>47344192.706095994</v>
      </c>
      <c r="H44" s="170">
        <v>8767602.23637826</v>
      </c>
      <c r="I44" s="5">
        <f>+'[5]Part Fed'!$BH45</f>
        <v>2055890228.4986162</v>
      </c>
      <c r="J44" s="5">
        <f t="shared" si="4"/>
        <v>2107501863.9207318</v>
      </c>
      <c r="K44" s="5">
        <f>+'COEF Art 14 F I'!AH45</f>
        <v>2108704768.8824248</v>
      </c>
      <c r="L44" s="5">
        <f t="shared" si="0"/>
        <v>0</v>
      </c>
      <c r="M44" s="5">
        <f t="shared" si="1"/>
        <v>1202904.9616930485</v>
      </c>
      <c r="N44" s="5">
        <f t="shared" si="5"/>
        <v>1202904.9616930382</v>
      </c>
      <c r="O44" s="5">
        <f t="shared" si="2"/>
        <v>2107501863.9207318</v>
      </c>
      <c r="P44" s="155">
        <f t="shared" si="3"/>
        <v>2.5104275854166941E-2</v>
      </c>
      <c r="Q44" s="158">
        <f t="shared" si="6"/>
        <v>0.26305986754645344</v>
      </c>
    </row>
    <row r="45" spans="1:17" ht="12.75" customHeight="1">
      <c r="A45" s="4" t="s">
        <v>213</v>
      </c>
      <c r="B45" s="5">
        <v>7987263.9307073141</v>
      </c>
      <c r="C45" s="170">
        <v>1127423.470120677</v>
      </c>
      <c r="D45" s="170">
        <v>293420.97511829878</v>
      </c>
      <c r="E45" s="170">
        <v>370045.08439819218</v>
      </c>
      <c r="F45" s="170">
        <v>30791.27018813516</v>
      </c>
      <c r="G45" s="170">
        <v>269743.74111125537</v>
      </c>
      <c r="H45" s="170">
        <v>49953.451365940979</v>
      </c>
      <c r="I45" s="5">
        <f>+'[5]Part Fed'!$BH46</f>
        <v>10617855.328383615</v>
      </c>
      <c r="J45" s="5">
        <f t="shared" si="4"/>
        <v>10884408.897526994</v>
      </c>
      <c r="K45" s="5">
        <f>+'COEF Art 14 F I'!AH46</f>
        <v>8297144.0899147661</v>
      </c>
      <c r="L45" s="5">
        <f t="shared" si="0"/>
        <v>2587264.8076122282</v>
      </c>
      <c r="M45" s="5">
        <f t="shared" si="1"/>
        <v>0</v>
      </c>
      <c r="N45" s="5">
        <f t="shared" si="5"/>
        <v>0</v>
      </c>
      <c r="O45" s="5">
        <f t="shared" si="2"/>
        <v>10884408.897526994</v>
      </c>
      <c r="P45" s="155">
        <f t="shared" si="3"/>
        <v>2.5104275854166989E-2</v>
      </c>
      <c r="Q45" s="158">
        <f t="shared" si="6"/>
        <v>1.358599587465221E-3</v>
      </c>
    </row>
    <row r="46" spans="1:17" s="11" customFormat="1" ht="12.75" customHeight="1">
      <c r="A46" s="4" t="s">
        <v>214</v>
      </c>
      <c r="B46" s="5">
        <v>22055288.490343686</v>
      </c>
      <c r="C46" s="170">
        <v>3113162.4170694686</v>
      </c>
      <c r="D46" s="170">
        <v>810225.4178027208</v>
      </c>
      <c r="E46" s="170">
        <v>1021808.113722087</v>
      </c>
      <c r="F46" s="170">
        <v>85024.152560273462</v>
      </c>
      <c r="G46" s="170">
        <v>744845.30375708197</v>
      </c>
      <c r="H46" s="170">
        <v>137936.81923153237</v>
      </c>
      <c r="I46" s="5">
        <f>+'[5]Part Fed'!$BH47</f>
        <v>44703605.111531183</v>
      </c>
      <c r="J46" s="5">
        <f t="shared" si="4"/>
        <v>45825856.745926812</v>
      </c>
      <c r="K46" s="5">
        <f>+'COEF Art 14 F I'!AH47</f>
        <v>52920146.610777445</v>
      </c>
      <c r="L46" s="5">
        <f t="shared" si="0"/>
        <v>0</v>
      </c>
      <c r="M46" s="5">
        <f t="shared" si="1"/>
        <v>7094289.8648506328</v>
      </c>
      <c r="N46" s="5">
        <f t="shared" si="5"/>
        <v>7094289.8648505732</v>
      </c>
      <c r="O46" s="5">
        <f t="shared" si="2"/>
        <v>45825856.745926872</v>
      </c>
      <c r="P46" s="155">
        <f t="shared" si="3"/>
        <v>2.5104275854168343E-2</v>
      </c>
      <c r="Q46" s="158">
        <f t="shared" si="6"/>
        <v>5.7200157267522532E-3</v>
      </c>
    </row>
    <row r="47" spans="1:17" ht="12.75" customHeight="1">
      <c r="A47" s="4" t="s">
        <v>215</v>
      </c>
      <c r="B47" s="5">
        <v>16940744.022520985</v>
      </c>
      <c r="C47" s="170">
        <v>2391230.9118606243</v>
      </c>
      <c r="D47" s="170">
        <v>622336.96963578486</v>
      </c>
      <c r="E47" s="170">
        <v>784854.37641307653</v>
      </c>
      <c r="F47" s="170">
        <v>65307.348162124203</v>
      </c>
      <c r="G47" s="170">
        <v>572118.275981182</v>
      </c>
      <c r="H47" s="170">
        <v>105949.75200186195</v>
      </c>
      <c r="I47" s="5">
        <f>+'[5]Part Fed'!$BH48</f>
        <v>22520148.41963267</v>
      </c>
      <c r="J47" s="5">
        <f t="shared" si="4"/>
        <v>23085500.437835909</v>
      </c>
      <c r="K47" s="5">
        <f>+'COEF Art 14 F I'!AH48</f>
        <v>15452130.587535087</v>
      </c>
      <c r="L47" s="5">
        <f t="shared" si="0"/>
        <v>7633369.8503008224</v>
      </c>
      <c r="M47" s="5">
        <f t="shared" si="1"/>
        <v>0</v>
      </c>
      <c r="N47" s="5">
        <f t="shared" si="5"/>
        <v>0</v>
      </c>
      <c r="O47" s="5">
        <f t="shared" si="2"/>
        <v>23085500.437835909</v>
      </c>
      <c r="P47" s="155">
        <f t="shared" si="3"/>
        <v>2.5104275854166927E-2</v>
      </c>
      <c r="Q47" s="158">
        <f t="shared" si="6"/>
        <v>2.8815484301033681E-3</v>
      </c>
    </row>
    <row r="48" spans="1:17" ht="12.75" customHeight="1">
      <c r="A48" s="4" t="s">
        <v>43</v>
      </c>
      <c r="B48" s="5">
        <v>18324287.173424091</v>
      </c>
      <c r="C48" s="170">
        <v>2586521.6940089422</v>
      </c>
      <c r="D48" s="170">
        <v>673162.95760589605</v>
      </c>
      <c r="E48" s="170">
        <v>848953.08987566538</v>
      </c>
      <c r="F48" s="170">
        <v>70640.970707464192</v>
      </c>
      <c r="G48" s="170">
        <v>618842.92521665664</v>
      </c>
      <c r="H48" s="170">
        <v>114602.62188332574</v>
      </c>
      <c r="I48" s="5">
        <f>+'[5]Part Fed'!$BH49</f>
        <v>25235500.347407877</v>
      </c>
      <c r="J48" s="5">
        <f t="shared" si="4"/>
        <v>25869019.309447132</v>
      </c>
      <c r="K48" s="5">
        <f>+'COEF Art 14 F I'!AH49</f>
        <v>26331583.004882403</v>
      </c>
      <c r="L48" s="5">
        <f t="shared" si="0"/>
        <v>0</v>
      </c>
      <c r="M48" s="5">
        <f t="shared" si="1"/>
        <v>462563.69543527067</v>
      </c>
      <c r="N48" s="5">
        <f t="shared" si="5"/>
        <v>462563.69543526677</v>
      </c>
      <c r="O48" s="5">
        <f t="shared" si="2"/>
        <v>25869019.309447136</v>
      </c>
      <c r="P48" s="155">
        <f t="shared" si="3"/>
        <v>2.5104275854167152E-2</v>
      </c>
      <c r="Q48" s="158">
        <f t="shared" si="6"/>
        <v>3.2289892168540289E-3</v>
      </c>
    </row>
    <row r="49" spans="1:17" ht="12.75" customHeight="1">
      <c r="A49" s="4" t="s">
        <v>44</v>
      </c>
      <c r="B49" s="5">
        <v>54618112.049358256</v>
      </c>
      <c r="C49" s="170">
        <v>7709491.2541189073</v>
      </c>
      <c r="D49" s="170">
        <v>2006456.7586192188</v>
      </c>
      <c r="E49" s="170">
        <v>2530423.9422053113</v>
      </c>
      <c r="F49" s="170">
        <v>210555.33657928117</v>
      </c>
      <c r="G49" s="170">
        <v>1844548.2714032405</v>
      </c>
      <c r="H49" s="170">
        <v>341589.21348120784</v>
      </c>
      <c r="I49" s="5">
        <f>+'[5]Part Fed'!$BH50</f>
        <v>72606491.669817179</v>
      </c>
      <c r="J49" s="5">
        <f t="shared" si="4"/>
        <v>74429225.065499544</v>
      </c>
      <c r="K49" s="5">
        <f>+'COEF Art 14 F I'!AH50</f>
        <v>50344974.169228539</v>
      </c>
      <c r="L49" s="5">
        <f t="shared" si="0"/>
        <v>24084250.896271005</v>
      </c>
      <c r="M49" s="5">
        <f t="shared" si="1"/>
        <v>0</v>
      </c>
      <c r="N49" s="5">
        <f t="shared" si="5"/>
        <v>0</v>
      </c>
      <c r="O49" s="5">
        <f t="shared" si="2"/>
        <v>74429225.065499544</v>
      </c>
      <c r="P49" s="155">
        <f t="shared" si="3"/>
        <v>2.5104275854166944E-2</v>
      </c>
      <c r="Q49" s="158">
        <f t="shared" si="6"/>
        <v>9.2903083136024727E-3</v>
      </c>
    </row>
    <row r="50" spans="1:17" ht="12.75" customHeight="1">
      <c r="A50" s="4" t="s">
        <v>45</v>
      </c>
      <c r="B50" s="5">
        <v>47001748.859349623</v>
      </c>
      <c r="C50" s="170">
        <v>6634421.4064372238</v>
      </c>
      <c r="D50" s="170">
        <v>1726661.2324596685</v>
      </c>
      <c r="E50" s="170">
        <v>2177562.463743506</v>
      </c>
      <c r="F50" s="170">
        <v>181193.90582288505</v>
      </c>
      <c r="G50" s="170">
        <v>1587330.4909018956</v>
      </c>
      <c r="H50" s="170">
        <v>293955.42655515752</v>
      </c>
      <c r="I50" s="5">
        <f>+'[5]Part Fed'!$BH51</f>
        <v>62481692.591996215</v>
      </c>
      <c r="J50" s="5">
        <f t="shared" si="4"/>
        <v>64050250.238660946</v>
      </c>
      <c r="K50" s="5">
        <f>+'COEF Art 14 F I'!AH51</f>
        <v>64254110.840397224</v>
      </c>
      <c r="L50" s="5">
        <f t="shared" si="0"/>
        <v>0</v>
      </c>
      <c r="M50" s="5">
        <f t="shared" si="1"/>
        <v>203860.60173627734</v>
      </c>
      <c r="N50" s="5">
        <f t="shared" si="5"/>
        <v>203860.60173627562</v>
      </c>
      <c r="O50" s="5">
        <f t="shared" si="2"/>
        <v>64050250.238660946</v>
      </c>
      <c r="P50" s="155">
        <f t="shared" si="3"/>
        <v>2.5104275854166927E-2</v>
      </c>
      <c r="Q50" s="158">
        <f t="shared" si="6"/>
        <v>7.9947973629564857E-3</v>
      </c>
    </row>
    <row r="51" spans="1:17" ht="12.75" customHeight="1">
      <c r="A51" s="4" t="s">
        <v>216</v>
      </c>
      <c r="B51" s="5">
        <v>425297684.76315486</v>
      </c>
      <c r="C51" s="170">
        <v>60031895.245948687</v>
      </c>
      <c r="D51" s="170">
        <v>15623780.866811644</v>
      </c>
      <c r="E51" s="170">
        <v>19703783.300247163</v>
      </c>
      <c r="F51" s="170">
        <v>1639542.1555540059</v>
      </c>
      <c r="G51" s="170">
        <v>14363039.655284002</v>
      </c>
      <c r="H51" s="170">
        <v>2659870.4382593478</v>
      </c>
      <c r="I51" s="5">
        <f>+'[5]Part Fed'!$BH52</f>
        <v>565368732.9588201</v>
      </c>
      <c r="J51" s="5">
        <f t="shared" si="4"/>
        <v>579561905.59033918</v>
      </c>
      <c r="K51" s="5">
        <f>+'COEF Art 14 F I'!AH52</f>
        <v>525529916.60328972</v>
      </c>
      <c r="L51" s="5">
        <f t="shared" si="0"/>
        <v>54031988.98704946</v>
      </c>
      <c r="M51" s="5">
        <f t="shared" si="1"/>
        <v>0</v>
      </c>
      <c r="N51" s="5">
        <f t="shared" si="5"/>
        <v>0</v>
      </c>
      <c r="O51" s="5">
        <f t="shared" si="2"/>
        <v>579561905.59033918</v>
      </c>
      <c r="P51" s="155">
        <f t="shared" si="3"/>
        <v>2.5104275854166965E-2</v>
      </c>
      <c r="Q51" s="158">
        <f t="shared" si="6"/>
        <v>7.2341325400269801E-2</v>
      </c>
    </row>
    <row r="52" spans="1:17" ht="12.75" customHeight="1">
      <c r="A52" s="4" t="s">
        <v>217</v>
      </c>
      <c r="B52" s="5">
        <v>724304822.74862874</v>
      </c>
      <c r="C52" s="170">
        <v>102237545.1434126</v>
      </c>
      <c r="D52" s="170">
        <v>26608138.809256099</v>
      </c>
      <c r="E52" s="170">
        <v>33556602.309545174</v>
      </c>
      <c r="F52" s="170">
        <v>2792228.4388400866</v>
      </c>
      <c r="G52" s="170">
        <v>24461028.743535973</v>
      </c>
      <c r="H52" s="170">
        <v>4529902.3609605283</v>
      </c>
      <c r="I52" s="5">
        <f>+'[5]Part Fed'!$BH53</f>
        <v>1092436477.444715</v>
      </c>
      <c r="J52" s="5">
        <f t="shared" si="4"/>
        <v>1119861304.1276417</v>
      </c>
      <c r="K52" s="5">
        <f>+'COEF Art 14 F I'!AH53</f>
        <v>1150938587.5552354</v>
      </c>
      <c r="L52" s="5">
        <f t="shared" si="0"/>
        <v>0</v>
      </c>
      <c r="M52" s="5">
        <f t="shared" si="1"/>
        <v>31077283.427593708</v>
      </c>
      <c r="N52" s="5">
        <f t="shared" si="5"/>
        <v>31077283.427593447</v>
      </c>
      <c r="O52" s="5">
        <f t="shared" si="2"/>
        <v>1119861304.1276419</v>
      </c>
      <c r="P52" s="155">
        <f t="shared" si="3"/>
        <v>2.5104275854167257E-2</v>
      </c>
      <c r="Q52" s="158">
        <f t="shared" si="6"/>
        <v>0.13978187700682213</v>
      </c>
    </row>
    <row r="53" spans="1:17" s="11" customFormat="1" ht="12.75" customHeight="1">
      <c r="A53" s="4" t="s">
        <v>48</v>
      </c>
      <c r="B53" s="5">
        <v>221441748.31500369</v>
      </c>
      <c r="C53" s="170">
        <v>31257089.5967311</v>
      </c>
      <c r="D53" s="170">
        <v>8134907.5586131345</v>
      </c>
      <c r="E53" s="170">
        <v>10259261.638955295</v>
      </c>
      <c r="F53" s="170">
        <v>853668.1349777797</v>
      </c>
      <c r="G53" s="170">
        <v>7478471.4949613456</v>
      </c>
      <c r="H53" s="170">
        <v>1384927.2668101583</v>
      </c>
      <c r="I53" s="5">
        <f>+'[5]Part Fed'!$BH54</f>
        <v>294373200.59419709</v>
      </c>
      <c r="J53" s="5">
        <f t="shared" si="4"/>
        <v>301763226.62598783</v>
      </c>
      <c r="K53" s="5">
        <f>+'COEF Art 14 F I'!AH54</f>
        <v>292322752.30939317</v>
      </c>
      <c r="L53" s="5">
        <f t="shared" si="0"/>
        <v>9440474.3165946603</v>
      </c>
      <c r="M53" s="5">
        <f t="shared" si="1"/>
        <v>0</v>
      </c>
      <c r="N53" s="5">
        <f t="shared" si="5"/>
        <v>0</v>
      </c>
      <c r="O53" s="5">
        <f t="shared" si="2"/>
        <v>301763226.62598783</v>
      </c>
      <c r="P53" s="155">
        <f t="shared" si="3"/>
        <v>2.5104275854166906E-2</v>
      </c>
      <c r="Q53" s="158">
        <f t="shared" si="6"/>
        <v>3.7666298562101061E-2</v>
      </c>
    </row>
    <row r="54" spans="1:17" s="11" customFormat="1" ht="12.75" customHeight="1">
      <c r="A54" s="4" t="s">
        <v>49</v>
      </c>
      <c r="B54" s="5">
        <v>59031167.450255796</v>
      </c>
      <c r="C54" s="170">
        <v>8332405.7185797393</v>
      </c>
      <c r="D54" s="170">
        <v>2168575.2300050557</v>
      </c>
      <c r="E54" s="170">
        <v>2734878.1173081729</v>
      </c>
      <c r="F54" s="170">
        <v>227567.8683277868</v>
      </c>
      <c r="G54" s="170">
        <v>1993584.7980335688</v>
      </c>
      <c r="H54" s="170">
        <v>369189.07123694004</v>
      </c>
      <c r="I54" s="5">
        <f>+'[5]Part Fed'!$BH55</f>
        <v>93830529.113984913</v>
      </c>
      <c r="J54" s="5">
        <f t="shared" si="4"/>
        <v>96186076.600404829</v>
      </c>
      <c r="K54" s="5">
        <f>+'COEF Art 14 F I'!AH55</f>
        <v>124230794.58289938</v>
      </c>
      <c r="L54" s="5">
        <f t="shared" si="0"/>
        <v>0</v>
      </c>
      <c r="M54" s="5">
        <f t="shared" si="1"/>
        <v>28044717.982494548</v>
      </c>
      <c r="N54" s="5">
        <f t="shared" si="5"/>
        <v>28044717.98249431</v>
      </c>
      <c r="O54" s="5">
        <f t="shared" si="2"/>
        <v>96186076.600405067</v>
      </c>
      <c r="P54" s="155">
        <f t="shared" si="3"/>
        <v>2.5104275854169446E-2</v>
      </c>
      <c r="Q54" s="158">
        <f t="shared" si="6"/>
        <v>1.2006013851510063E-2</v>
      </c>
    </row>
    <row r="55" spans="1:17" ht="12.75" customHeight="1">
      <c r="A55" s="4" t="s">
        <v>50</v>
      </c>
      <c r="B55" s="5">
        <v>14182129.555242509</v>
      </c>
      <c r="C55" s="170">
        <v>2001845.1694579963</v>
      </c>
      <c r="D55" s="170">
        <v>520996.21590754075</v>
      </c>
      <c r="E55" s="170">
        <v>657049.4444336046</v>
      </c>
      <c r="F55" s="170">
        <v>54672.762383593654</v>
      </c>
      <c r="G55" s="170">
        <v>478955.08603993838</v>
      </c>
      <c r="H55" s="170">
        <v>88696.99626171538</v>
      </c>
      <c r="I55" s="5">
        <f>+'[5]Part Fed'!$BH56</f>
        <v>18852989.105197065</v>
      </c>
      <c r="J55" s="5">
        <f t="shared" si="4"/>
        <v>19326279.744369537</v>
      </c>
      <c r="K55" s="5">
        <f>+'COEF Art 14 F I'!AH56</f>
        <v>14229677.775165223</v>
      </c>
      <c r="L55" s="5">
        <f t="shared" si="0"/>
        <v>5096601.9692043141</v>
      </c>
      <c r="M55" s="5">
        <f t="shared" si="1"/>
        <v>0</v>
      </c>
      <c r="N55" s="5">
        <f t="shared" si="5"/>
        <v>0</v>
      </c>
      <c r="O55" s="5">
        <f t="shared" si="2"/>
        <v>19326279.744369537</v>
      </c>
      <c r="P55" s="155">
        <f t="shared" si="3"/>
        <v>2.5104275854166993E-2</v>
      </c>
      <c r="Q55" s="158">
        <f t="shared" si="6"/>
        <v>2.4123198544942197E-3</v>
      </c>
    </row>
    <row r="56" spans="1:17" ht="12.75" customHeight="1">
      <c r="A56" s="4" t="s">
        <v>51</v>
      </c>
      <c r="B56" s="5">
        <v>19538877.032701243</v>
      </c>
      <c r="C56" s="170">
        <v>2757964.2713169348</v>
      </c>
      <c r="D56" s="170">
        <v>717782.25953077164</v>
      </c>
      <c r="E56" s="170">
        <v>905224.30000276084</v>
      </c>
      <c r="F56" s="170">
        <v>75323.270534942145</v>
      </c>
      <c r="G56" s="170">
        <v>659861.72907734208</v>
      </c>
      <c r="H56" s="170">
        <v>122198.83455281158</v>
      </c>
      <c r="I56" s="5">
        <f>+'[5]Part Fed'!$BH57</f>
        <v>25973971.989921138</v>
      </c>
      <c r="J56" s="5">
        <f t="shared" si="4"/>
        <v>26626029.747784525</v>
      </c>
      <c r="K56" s="5">
        <f>+'COEF Art 14 F I'!AH57</f>
        <v>9968995.4555383995</v>
      </c>
      <c r="L56" s="5">
        <f t="shared" si="0"/>
        <v>16657034.292246126</v>
      </c>
      <c r="M56" s="5">
        <f t="shared" si="1"/>
        <v>0</v>
      </c>
      <c r="N56" s="5">
        <f t="shared" si="5"/>
        <v>0</v>
      </c>
      <c r="O56" s="5">
        <f t="shared" si="2"/>
        <v>26626029.747784525</v>
      </c>
      <c r="P56" s="155">
        <f t="shared" si="3"/>
        <v>2.510427585416701E-2</v>
      </c>
      <c r="Q56" s="158">
        <f t="shared" si="6"/>
        <v>3.3234797931374796E-3</v>
      </c>
    </row>
    <row r="57" spans="1:17" s="162" customFormat="1" ht="16.5" customHeight="1" thickBot="1">
      <c r="A57" s="6" t="s">
        <v>52</v>
      </c>
      <c r="B57" s="7">
        <f>SUM(B6:B56)</f>
        <v>5552739458.5442934</v>
      </c>
      <c r="C57" s="7">
        <f t="shared" ref="C57:I57" si="7">SUM(C6:C56)</f>
        <v>783783889.36908042</v>
      </c>
      <c r="D57" s="7">
        <f t="shared" si="7"/>
        <v>203986025.83315057</v>
      </c>
      <c r="E57" s="7">
        <f t="shared" si="7"/>
        <v>257255044.95710856</v>
      </c>
      <c r="F57" s="7">
        <f t="shared" si="7"/>
        <v>21406066.261950191</v>
      </c>
      <c r="G57" s="7">
        <f t="shared" si="7"/>
        <v>187525631.79999995</v>
      </c>
      <c r="H57" s="7">
        <f t="shared" si="7"/>
        <v>34727599.199999988</v>
      </c>
      <c r="I57" s="7">
        <f t="shared" si="7"/>
        <v>7815294091.317709</v>
      </c>
      <c r="J57" s="7">
        <f>SUM(J6:J56)</f>
        <v>8011491390.0675859</v>
      </c>
      <c r="K57" s="7">
        <f>SUM(K6:K56)</f>
        <v>8011491390.0675898</v>
      </c>
      <c r="L57" s="7">
        <f t="shared" ref="L57:O57" si="8">SUM(L6:L56)</f>
        <v>251449230.50013545</v>
      </c>
      <c r="M57" s="7">
        <f t="shared" si="8"/>
        <v>251449230.50013757</v>
      </c>
      <c r="N57" s="7">
        <f t="shared" si="8"/>
        <v>251449230.50013536</v>
      </c>
      <c r="O57" s="7">
        <f t="shared" si="8"/>
        <v>8011491390.0675879</v>
      </c>
      <c r="P57" s="156">
        <f t="shared" si="3"/>
        <v>2.5104275854166705E-2</v>
      </c>
      <c r="Q57" s="159">
        <f>SUM(Q6:Q56)</f>
        <v>0.99999999999999989</v>
      </c>
    </row>
    <row r="58" spans="1:17" ht="15" thickTop="1">
      <c r="K58" s="163"/>
      <c r="L58" s="164"/>
      <c r="M58" s="164"/>
      <c r="N58" s="164"/>
      <c r="O58" s="165"/>
      <c r="P58" s="164"/>
      <c r="Q58" s="166"/>
    </row>
    <row r="59" spans="1:17">
      <c r="A59" s="92" t="s">
        <v>193</v>
      </c>
      <c r="B59" s="92"/>
      <c r="C59" s="92"/>
      <c r="D59" s="92"/>
      <c r="E59" s="92"/>
      <c r="F59" s="92"/>
      <c r="G59" s="92"/>
      <c r="H59" s="92"/>
      <c r="I59" s="235">
        <v>2.8299999999999999E-2</v>
      </c>
      <c r="K59" s="167"/>
    </row>
    <row r="60" spans="1:17">
      <c r="A60" s="92" t="s">
        <v>198</v>
      </c>
      <c r="B60" s="92"/>
      <c r="C60" s="92"/>
      <c r="D60" s="92"/>
      <c r="E60" s="92"/>
      <c r="F60" s="92"/>
      <c r="G60" s="92"/>
      <c r="H60" s="92"/>
      <c r="I60" s="235">
        <f>+(K57-I57)/I57</f>
        <v>2.5104275854166948E-2</v>
      </c>
      <c r="K60" s="168"/>
    </row>
    <row r="64" spans="1:17">
      <c r="N64" s="169"/>
    </row>
  </sheetData>
  <mergeCells count="16">
    <mergeCell ref="E3:E4"/>
    <mergeCell ref="F3:F4"/>
    <mergeCell ref="G3:G4"/>
    <mergeCell ref="H3:H4"/>
    <mergeCell ref="A1:Q1"/>
    <mergeCell ref="K3:K4"/>
    <mergeCell ref="A3:A4"/>
    <mergeCell ref="I3:I4"/>
    <mergeCell ref="Q3:Q4"/>
    <mergeCell ref="P3:P4"/>
    <mergeCell ref="O3:O4"/>
    <mergeCell ref="L3:L4"/>
    <mergeCell ref="M3:M4"/>
    <mergeCell ref="B3:B4"/>
    <mergeCell ref="C3:C4"/>
    <mergeCell ref="D3:D4"/>
  </mergeCells>
  <conditionalFormatting sqref="P6:P56">
    <cfRule type="cellIs" dxfId="0" priority="1" operator="lessThan">
      <formula>#REF!-0.00001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5" orientation="landscape" horizontalDpi="300" verticalDpi="300" r:id="rId1"/>
  <headerFooter alignWithMargins="0">
    <oddHeader>&amp;LAnexo I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zoomScaleNormal="100" workbookViewId="0">
      <selection activeCell="L5" sqref="L5"/>
    </sheetView>
  </sheetViews>
  <sheetFormatPr baseColWidth="10" defaultColWidth="9.7109375" defaultRowHeight="12.75"/>
  <cols>
    <col min="1" max="1" width="28.7109375" style="14" customWidth="1"/>
    <col min="2" max="2" width="12.42578125" style="14" customWidth="1"/>
    <col min="3" max="3" width="14.140625" style="75" customWidth="1"/>
    <col min="4" max="4" width="17.28515625" style="14" customWidth="1"/>
    <col min="5" max="5" width="15.7109375" style="75" customWidth="1"/>
    <col min="6" max="6" width="2" style="11" customWidth="1"/>
    <col min="7" max="7" width="16.140625" style="75" customWidth="1"/>
    <col min="8" max="8" width="2" style="75" customWidth="1"/>
    <col min="9" max="11" width="18.42578125" style="14" customWidth="1"/>
    <col min="12" max="12" width="15.7109375" style="14" customWidth="1"/>
    <col min="13" max="13" width="15.7109375" style="75" customWidth="1"/>
    <col min="14" max="16384" width="9.7109375" style="14"/>
  </cols>
  <sheetData>
    <row r="1" spans="1:13" s="90" customFormat="1" ht="51" customHeight="1">
      <c r="A1" s="274" t="s">
        <v>149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3" spans="1:13" ht="37.5" customHeight="1" thickBot="1">
      <c r="B3" s="276" t="s">
        <v>114</v>
      </c>
      <c r="C3" s="277"/>
      <c r="D3" s="278" t="s">
        <v>116</v>
      </c>
      <c r="E3" s="278"/>
      <c r="G3" s="106" t="s">
        <v>115</v>
      </c>
      <c r="H3" s="106"/>
    </row>
    <row r="4" spans="1:13" ht="39" customHeight="1" thickBot="1">
      <c r="A4" s="8" t="s">
        <v>0</v>
      </c>
      <c r="B4" s="8" t="s">
        <v>144</v>
      </c>
      <c r="C4" s="107" t="s">
        <v>102</v>
      </c>
      <c r="D4" s="80" t="s">
        <v>191</v>
      </c>
      <c r="E4" s="107" t="s">
        <v>103</v>
      </c>
      <c r="G4" s="107" t="s">
        <v>109</v>
      </c>
      <c r="H4" s="247"/>
      <c r="I4" s="114" t="s">
        <v>106</v>
      </c>
      <c r="J4" s="114" t="s">
        <v>107</v>
      </c>
      <c r="K4" s="114" t="s">
        <v>108</v>
      </c>
      <c r="L4" s="114" t="s">
        <v>150</v>
      </c>
      <c r="M4" s="116" t="s">
        <v>101</v>
      </c>
    </row>
    <row r="5" spans="1:13" s="17" customFormat="1" ht="11.25">
      <c r="A5" s="81"/>
      <c r="B5" s="93" t="s">
        <v>57</v>
      </c>
      <c r="C5" s="105" t="s">
        <v>73</v>
      </c>
      <c r="D5" s="82" t="s">
        <v>56</v>
      </c>
      <c r="E5" s="105" t="s">
        <v>74</v>
      </c>
      <c r="F5" s="16"/>
      <c r="G5" s="96" t="s">
        <v>70</v>
      </c>
      <c r="H5" s="96"/>
      <c r="I5" s="117">
        <f>+L5*0.35</f>
        <v>54269857.708181813</v>
      </c>
      <c r="J5" s="117">
        <f>+L5*0.35</f>
        <v>54269857.708181813</v>
      </c>
      <c r="K5" s="117">
        <f>+L5*0.3</f>
        <v>46517020.892727271</v>
      </c>
      <c r="L5" s="117">
        <f>+'PART PEF2020'!D12</f>
        <v>155056736.30909091</v>
      </c>
      <c r="M5" s="118"/>
    </row>
    <row r="6" spans="1:13" s="25" customFormat="1" ht="23.25" customHeight="1" thickBot="1">
      <c r="A6" s="18"/>
      <c r="B6" s="18"/>
      <c r="C6" s="83"/>
      <c r="D6" s="84"/>
      <c r="E6" s="85"/>
      <c r="F6" s="19"/>
      <c r="G6" s="21"/>
      <c r="H6" s="21"/>
      <c r="I6" s="117" t="s">
        <v>104</v>
      </c>
      <c r="J6" s="117" t="s">
        <v>69</v>
      </c>
      <c r="K6" s="117" t="s">
        <v>105</v>
      </c>
      <c r="L6" s="119" t="s">
        <v>117</v>
      </c>
      <c r="M6" s="120" t="s">
        <v>71</v>
      </c>
    </row>
    <row r="7" spans="1:13" ht="13.5" thickTop="1">
      <c r="A7" s="2" t="s">
        <v>1</v>
      </c>
      <c r="B7" s="121">
        <v>2639</v>
      </c>
      <c r="C7" s="108">
        <f t="shared" ref="C7:C57" si="0">+B7/$B$58</f>
        <v>5.1547962458863201E-4</v>
      </c>
      <c r="D7" s="86">
        <v>2911</v>
      </c>
      <c r="E7" s="108">
        <f t="shared" ref="E7:E58" si="1">(D7/D$58)</f>
        <v>5.2610205367759066E-4</v>
      </c>
      <c r="G7" s="122">
        <f>+'COEF Art 14 F I'!AI7</f>
        <v>4.448916667122433E-4</v>
      </c>
      <c r="H7" s="248"/>
      <c r="I7" s="123">
        <f t="shared" ref="I7:I38" si="2">+C7*I$5</f>
        <v>27975.005877892039</v>
      </c>
      <c r="J7" s="124">
        <f t="shared" ref="J7:J38" si="3">+E7*J$5</f>
        <v>28551.483593065077</v>
      </c>
      <c r="K7" s="124">
        <f t="shared" ref="K7:K38" si="4">+G7*K$5</f>
        <v>20695.034955453681</v>
      </c>
      <c r="L7" s="124">
        <f>SUM(I7:K7)</f>
        <v>77221.52442641079</v>
      </c>
      <c r="M7" s="125">
        <f>+L7/L$58</f>
        <v>4.9802108740685104E-4</v>
      </c>
    </row>
    <row r="8" spans="1:13">
      <c r="A8" s="4" t="s">
        <v>2</v>
      </c>
      <c r="B8" s="126">
        <v>2439</v>
      </c>
      <c r="C8" s="109">
        <f t="shared" si="0"/>
        <v>4.7641334004231659E-4</v>
      </c>
      <c r="D8" s="87">
        <v>2627</v>
      </c>
      <c r="E8" s="109">
        <f t="shared" si="1"/>
        <v>4.7477502405050869E-4</v>
      </c>
      <c r="G8" s="127">
        <f>+'COEF Art 14 F I'!AI8</f>
        <v>2.4628636812629575E-3</v>
      </c>
      <c r="H8" s="248"/>
      <c r="I8" s="128">
        <f t="shared" si="2"/>
        <v>25854.884174376159</v>
      </c>
      <c r="J8" s="129">
        <f t="shared" si="3"/>
        <v>25765.972998619705</v>
      </c>
      <c r="K8" s="129">
        <f t="shared" si="4"/>
        <v>114565.08131724819</v>
      </c>
      <c r="L8" s="129">
        <f t="shared" ref="L8:L57" si="5">SUM(I8:K8)</f>
        <v>166185.93849024404</v>
      </c>
      <c r="M8" s="130">
        <f t="shared" ref="M8:M57" si="6">+L8/L$58</f>
        <v>1.0717750318113763E-3</v>
      </c>
    </row>
    <row r="9" spans="1:13">
      <c r="A9" s="4" t="s">
        <v>218</v>
      </c>
      <c r="B9" s="126">
        <v>1292</v>
      </c>
      <c r="C9" s="109">
        <f t="shared" si="0"/>
        <v>2.5236819816919762E-4</v>
      </c>
      <c r="D9" s="87">
        <v>1485</v>
      </c>
      <c r="E9" s="109">
        <f t="shared" si="1"/>
        <v>2.6838253167681971E-4</v>
      </c>
      <c r="G9" s="127">
        <f>+'COEF Art 14 F I'!AI9</f>
        <v>2.6600584685636578E-3</v>
      </c>
      <c r="H9" s="248"/>
      <c r="I9" s="128">
        <f t="shared" si="2"/>
        <v>13695.986204712584</v>
      </c>
      <c r="J9" s="129">
        <f t="shared" si="3"/>
        <v>14565.081805462603</v>
      </c>
      <c r="K9" s="129">
        <f t="shared" si="4"/>
        <v>123737.99535805178</v>
      </c>
      <c r="L9" s="129">
        <f t="shared" si="5"/>
        <v>151999.06336822695</v>
      </c>
      <c r="M9" s="130">
        <f t="shared" si="6"/>
        <v>9.8028029601520371E-4</v>
      </c>
    </row>
    <row r="10" spans="1:13" ht="13.5" customHeight="1">
      <c r="A10" s="4" t="s">
        <v>4</v>
      </c>
      <c r="B10" s="126">
        <v>34353</v>
      </c>
      <c r="C10" s="109">
        <f t="shared" si="0"/>
        <v>6.7102203650978689E-3</v>
      </c>
      <c r="D10" s="87">
        <v>37797</v>
      </c>
      <c r="E10" s="109">
        <f t="shared" si="1"/>
        <v>6.8310131648409121E-3</v>
      </c>
      <c r="G10" s="127">
        <f>+'COEF Art 14 F I'!AI10</f>
        <v>8.1106325111295844E-3</v>
      </c>
      <c r="H10" s="248"/>
      <c r="I10" s="128">
        <f t="shared" si="2"/>
        <v>364162.70440440514</v>
      </c>
      <c r="J10" s="129">
        <f t="shared" si="3"/>
        <v>370718.11245863303</v>
      </c>
      <c r="K10" s="129">
        <f t="shared" si="4"/>
        <v>377282.46197344793</v>
      </c>
      <c r="L10" s="129">
        <f t="shared" si="5"/>
        <v>1112163.2788364859</v>
      </c>
      <c r="M10" s="130">
        <f t="shared" si="6"/>
        <v>7.1726214888174497E-3</v>
      </c>
    </row>
    <row r="11" spans="1:13">
      <c r="A11" s="4" t="s">
        <v>219</v>
      </c>
      <c r="B11" s="126">
        <v>18194</v>
      </c>
      <c r="C11" s="109">
        <f t="shared" si="0"/>
        <v>3.5538599051783142E-3</v>
      </c>
      <c r="D11" s="87">
        <v>19844</v>
      </c>
      <c r="E11" s="109">
        <f t="shared" si="1"/>
        <v>3.5863858307035759E-3</v>
      </c>
      <c r="G11" s="127">
        <f>+'COEF Art 14 F I'!AI11</f>
        <v>7.2376852892416079E-3</v>
      </c>
      <c r="H11" s="248"/>
      <c r="I11" s="128">
        <f t="shared" si="2"/>
        <v>192867.47136883962</v>
      </c>
      <c r="J11" s="129">
        <f t="shared" si="3"/>
        <v>194632.64871892249</v>
      </c>
      <c r="K11" s="129">
        <f t="shared" si="4"/>
        <v>336675.55781463668</v>
      </c>
      <c r="L11" s="129">
        <f t="shared" si="5"/>
        <v>724175.67790239886</v>
      </c>
      <c r="M11" s="130">
        <f t="shared" si="6"/>
        <v>4.6703915943311454E-3</v>
      </c>
    </row>
    <row r="12" spans="1:13">
      <c r="A12" s="4" t="s">
        <v>6</v>
      </c>
      <c r="B12" s="126">
        <v>597207</v>
      </c>
      <c r="C12" s="109">
        <f t="shared" si="0"/>
        <v>0.11665329297525698</v>
      </c>
      <c r="D12" s="87">
        <v>654249</v>
      </c>
      <c r="E12" s="109">
        <f t="shared" si="1"/>
        <v>0.11824175283974925</v>
      </c>
      <c r="G12" s="127">
        <f>+'COEF Art 14 F I'!AI12</f>
        <v>7.2619291718807044E-2</v>
      </c>
      <c r="H12" s="248"/>
      <c r="I12" s="128">
        <f t="shared" si="2"/>
        <v>6330757.6109580416</v>
      </c>
      <c r="J12" s="129">
        <f t="shared" si="3"/>
        <v>6416963.1017791945</v>
      </c>
      <c r="K12" s="129">
        <f t="shared" si="4"/>
        <v>3378033.1100988039</v>
      </c>
      <c r="L12" s="129">
        <f t="shared" si="5"/>
        <v>16125753.82283604</v>
      </c>
      <c r="M12" s="130">
        <f t="shared" si="6"/>
        <v>0.10399905355089432</v>
      </c>
    </row>
    <row r="13" spans="1:13">
      <c r="A13" s="4" t="s">
        <v>7</v>
      </c>
      <c r="B13" s="126">
        <v>16152</v>
      </c>
      <c r="C13" s="109">
        <f t="shared" si="0"/>
        <v>3.1549931399604335E-3</v>
      </c>
      <c r="D13" s="87">
        <v>17586</v>
      </c>
      <c r="E13" s="109">
        <f t="shared" si="1"/>
        <v>3.1782997993727619E-3</v>
      </c>
      <c r="G13" s="127">
        <f>+'COEF Art 14 F I'!AI13</f>
        <v>1.0527923165102092E-2</v>
      </c>
      <c r="H13" s="248"/>
      <c r="I13" s="128">
        <f t="shared" si="2"/>
        <v>171221.02877594248</v>
      </c>
      <c r="J13" s="129">
        <f t="shared" si="3"/>
        <v>172485.87786590258</v>
      </c>
      <c r="K13" s="129">
        <f t="shared" si="4"/>
        <v>489727.62182808144</v>
      </c>
      <c r="L13" s="129">
        <f t="shared" si="5"/>
        <v>833434.52846992644</v>
      </c>
      <c r="M13" s="130">
        <f t="shared" si="6"/>
        <v>5.3750294782972472E-3</v>
      </c>
    </row>
    <row r="14" spans="1:13">
      <c r="A14" s="4" t="s">
        <v>8</v>
      </c>
      <c r="B14" s="126">
        <v>3977</v>
      </c>
      <c r="C14" s="109">
        <f t="shared" si="0"/>
        <v>7.7683306820348224E-4</v>
      </c>
      <c r="D14" s="87">
        <v>4330</v>
      </c>
      <c r="E14" s="109">
        <f t="shared" si="1"/>
        <v>7.8255647283544062E-4</v>
      </c>
      <c r="G14" s="127">
        <f>+'COEF Art 14 F I'!AI14</f>
        <v>1.4132516606611418E-3</v>
      </c>
      <c r="H14" s="248"/>
      <c r="I14" s="128">
        <f t="shared" si="2"/>
        <v>42158.62007441328</v>
      </c>
      <c r="J14" s="129">
        <f t="shared" si="3"/>
        <v>42469.228429396011</v>
      </c>
      <c r="K14" s="129">
        <f t="shared" si="4"/>
        <v>65740.257025655839</v>
      </c>
      <c r="L14" s="129">
        <f t="shared" si="5"/>
        <v>150368.10552946513</v>
      </c>
      <c r="M14" s="130">
        <f t="shared" si="6"/>
        <v>9.6976183756196583E-4</v>
      </c>
    </row>
    <row r="15" spans="1:13">
      <c r="A15" s="4" t="s">
        <v>203</v>
      </c>
      <c r="B15" s="126">
        <v>95534</v>
      </c>
      <c r="C15" s="109">
        <f t="shared" si="0"/>
        <v>1.8660792139238488E-2</v>
      </c>
      <c r="D15" s="87">
        <v>103732</v>
      </c>
      <c r="E15" s="109">
        <f t="shared" si="1"/>
        <v>1.874737830026927E-2</v>
      </c>
      <c r="G15" s="127">
        <f>+'COEF Art 14 F I'!AI15</f>
        <v>1.2327072549272079E-2</v>
      </c>
      <c r="H15" s="248"/>
      <c r="I15" s="128">
        <f t="shared" si="2"/>
        <v>1012718.5341184305</v>
      </c>
      <c r="J15" s="129">
        <f t="shared" si="3"/>
        <v>1017417.5527570687</v>
      </c>
      <c r="K15" s="129">
        <f t="shared" si="4"/>
        <v>573418.69132065412</v>
      </c>
      <c r="L15" s="129">
        <f t="shared" si="5"/>
        <v>2603554.7781961532</v>
      </c>
      <c r="M15" s="130">
        <f t="shared" si="6"/>
        <v>1.6790981418609345E-2</v>
      </c>
    </row>
    <row r="16" spans="1:13">
      <c r="A16" s="4" t="s">
        <v>204</v>
      </c>
      <c r="B16" s="126">
        <v>38306</v>
      </c>
      <c r="C16" s="109">
        <f t="shared" si="0"/>
        <v>7.4823654791557935E-3</v>
      </c>
      <c r="D16" s="87">
        <v>45792</v>
      </c>
      <c r="E16" s="109">
        <f t="shared" si="1"/>
        <v>8.2759413404342955E-3</v>
      </c>
      <c r="G16" s="127">
        <f>+'COEF Art 14 F I'!AI16</f>
        <v>3.1658739939441215E-3</v>
      </c>
      <c r="H16" s="248"/>
      <c r="I16" s="128">
        <f t="shared" si="2"/>
        <v>406066.90987439657</v>
      </c>
      <c r="J16" s="129">
        <f t="shared" si="3"/>
        <v>449134.15894662868</v>
      </c>
      <c r="K16" s="129">
        <f t="shared" si="4"/>
        <v>147267.02672004062</v>
      </c>
      <c r="L16" s="129">
        <f t="shared" si="5"/>
        <v>1002468.0955410659</v>
      </c>
      <c r="M16" s="130">
        <f t="shared" si="6"/>
        <v>6.4651695850397699E-3</v>
      </c>
    </row>
    <row r="17" spans="1:13">
      <c r="A17" s="4" t="s">
        <v>205</v>
      </c>
      <c r="B17" s="126">
        <v>7757</v>
      </c>
      <c r="C17" s="109">
        <f t="shared" si="0"/>
        <v>1.5151858461288437E-3</v>
      </c>
      <c r="D17" s="87">
        <v>8312</v>
      </c>
      <c r="E17" s="109">
        <f t="shared" si="1"/>
        <v>1.5022192614799498E-3</v>
      </c>
      <c r="G17" s="127">
        <f>+'COEF Art 14 F I'!AI17</f>
        <v>3.0927110381874768E-3</v>
      </c>
      <c r="H17" s="248"/>
      <c r="I17" s="128">
        <f t="shared" si="2"/>
        <v>82228.920270863411</v>
      </c>
      <c r="J17" s="129">
        <f t="shared" si="3"/>
        <v>81525.225567006841</v>
      </c>
      <c r="K17" s="129">
        <f t="shared" si="4"/>
        <v>143863.70397853511</v>
      </c>
      <c r="L17" s="129">
        <f t="shared" si="5"/>
        <v>307617.84981640533</v>
      </c>
      <c r="M17" s="130">
        <f t="shared" si="6"/>
        <v>1.983905099119321E-3</v>
      </c>
    </row>
    <row r="18" spans="1:13">
      <c r="A18" s="4" t="s">
        <v>12</v>
      </c>
      <c r="B18" s="126">
        <v>10835</v>
      </c>
      <c r="C18" s="109">
        <f t="shared" si="0"/>
        <v>2.1164159652966382E-3</v>
      </c>
      <c r="D18" s="87">
        <v>11856</v>
      </c>
      <c r="E18" s="109">
        <f t="shared" si="1"/>
        <v>2.142722757953114E-3</v>
      </c>
      <c r="G18" s="127">
        <f>+'COEF Art 14 F I'!AI18</f>
        <v>7.1051976258007772E-3</v>
      </c>
      <c r="H18" s="248"/>
      <c r="I18" s="128">
        <f t="shared" si="2"/>
        <v>114857.59328797281</v>
      </c>
      <c r="J18" s="129">
        <f t="shared" si="3"/>
        <v>116285.2591821984</v>
      </c>
      <c r="K18" s="129">
        <f t="shared" si="4"/>
        <v>330512.62640633096</v>
      </c>
      <c r="L18" s="129">
        <f t="shared" si="5"/>
        <v>561655.47887650214</v>
      </c>
      <c r="M18" s="130">
        <f t="shared" si="6"/>
        <v>3.6222578408776473E-3</v>
      </c>
    </row>
    <row r="19" spans="1:13">
      <c r="A19" s="4" t="s">
        <v>206</v>
      </c>
      <c r="B19" s="126">
        <v>42715</v>
      </c>
      <c r="C19" s="109">
        <f t="shared" si="0"/>
        <v>8.3435817219793176E-3</v>
      </c>
      <c r="D19" s="87">
        <v>49098</v>
      </c>
      <c r="E19" s="109">
        <f t="shared" si="1"/>
        <v>8.873431340248145E-3</v>
      </c>
      <c r="G19" s="127">
        <f>+'COEF Art 14 F I'!AI19</f>
        <v>4.0210946432009623E-3</v>
      </c>
      <c r="H19" s="248"/>
      <c r="I19" s="128">
        <f t="shared" si="2"/>
        <v>452804.99282840418</v>
      </c>
      <c r="J19" s="129">
        <f t="shared" si="3"/>
        <v>481559.85621858784</v>
      </c>
      <c r="K19" s="129">
        <f t="shared" si="4"/>
        <v>187049.34352941287</v>
      </c>
      <c r="L19" s="129">
        <f t="shared" si="5"/>
        <v>1121414.1925764049</v>
      </c>
      <c r="M19" s="130">
        <f t="shared" si="6"/>
        <v>7.232282964739903E-3</v>
      </c>
    </row>
    <row r="20" spans="1:13">
      <c r="A20" s="4" t="s">
        <v>14</v>
      </c>
      <c r="B20" s="126">
        <v>34110</v>
      </c>
      <c r="C20" s="109">
        <f t="shared" si="0"/>
        <v>6.6627548293740953E-3</v>
      </c>
      <c r="D20" s="87">
        <v>37512</v>
      </c>
      <c r="E20" s="109">
        <f t="shared" si="1"/>
        <v>6.7795054062362702E-3</v>
      </c>
      <c r="G20" s="127">
        <f>+'COEF Art 14 F I'!AI20</f>
        <v>2.3579508405139216E-2</v>
      </c>
      <c r="H20" s="248"/>
      <c r="I20" s="128">
        <f t="shared" si="2"/>
        <v>361586.75653463334</v>
      </c>
      <c r="J20" s="129">
        <f t="shared" si="3"/>
        <v>367922.7937282917</v>
      </c>
      <c r="K20" s="129">
        <f t="shared" si="4"/>
        <v>1096848.4851220993</v>
      </c>
      <c r="L20" s="129">
        <f t="shared" si="5"/>
        <v>1826358.0353850243</v>
      </c>
      <c r="M20" s="130">
        <f t="shared" si="6"/>
        <v>1.1778643604005396E-2</v>
      </c>
    </row>
    <row r="21" spans="1:13">
      <c r="A21" s="4" t="s">
        <v>15</v>
      </c>
      <c r="B21" s="126">
        <v>1632</v>
      </c>
      <c r="C21" s="109">
        <f t="shared" si="0"/>
        <v>3.1878088189793386E-4</v>
      </c>
      <c r="D21" s="87">
        <v>1822</v>
      </c>
      <c r="E21" s="109">
        <f t="shared" si="1"/>
        <v>3.2928819711458958E-4</v>
      </c>
      <c r="G21" s="127">
        <f>+'COEF Art 14 F I'!AI21</f>
        <v>3.0182195736986068E-3</v>
      </c>
      <c r="H21" s="248"/>
      <c r="I21" s="128">
        <f t="shared" si="2"/>
        <v>17300.193100689583</v>
      </c>
      <c r="J21" s="129">
        <f t="shared" si="3"/>
        <v>17870.4236023925</v>
      </c>
      <c r="K21" s="129">
        <f t="shared" si="4"/>
        <v>140398.58296857649</v>
      </c>
      <c r="L21" s="129">
        <f t="shared" si="5"/>
        <v>175569.19967165857</v>
      </c>
      <c r="M21" s="130">
        <f t="shared" si="6"/>
        <v>1.1322900497639655E-3</v>
      </c>
    </row>
    <row r="22" spans="1:13">
      <c r="A22" s="4" t="s">
        <v>207</v>
      </c>
      <c r="B22" s="126">
        <v>2861</v>
      </c>
      <c r="C22" s="109">
        <f t="shared" si="0"/>
        <v>5.588432004350421E-4</v>
      </c>
      <c r="D22" s="87">
        <v>3278</v>
      </c>
      <c r="E22" s="109">
        <f t="shared" si="1"/>
        <v>5.9242958844216501E-4</v>
      </c>
      <c r="G22" s="127">
        <f>+'COEF Art 14 F I'!AI22</f>
        <v>1.1548600010088173E-3</v>
      </c>
      <c r="H22" s="248"/>
      <c r="I22" s="128">
        <f t="shared" si="2"/>
        <v>30328.340968794662</v>
      </c>
      <c r="J22" s="129">
        <f t="shared" si="3"/>
        <v>32151.069466873007</v>
      </c>
      <c r="K22" s="129">
        <f t="shared" si="4"/>
        <v>53720.646795102191</v>
      </c>
      <c r="L22" s="129">
        <f t="shared" si="5"/>
        <v>116200.05723076986</v>
      </c>
      <c r="M22" s="130">
        <f t="shared" si="6"/>
        <v>7.4940347640966784E-4</v>
      </c>
    </row>
    <row r="23" spans="1:13">
      <c r="A23" s="4" t="s">
        <v>17</v>
      </c>
      <c r="B23" s="126">
        <v>41130</v>
      </c>
      <c r="C23" s="109">
        <f t="shared" si="0"/>
        <v>8.0339814169497672E-3</v>
      </c>
      <c r="D23" s="87">
        <v>44543</v>
      </c>
      <c r="E23" s="109">
        <f t="shared" si="1"/>
        <v>8.0502108474616706E-3</v>
      </c>
      <c r="G23" s="127">
        <f>+'COEF Art 14 F I'!AI23</f>
        <v>1.7543063309487815E-2</v>
      </c>
      <c r="H23" s="248"/>
      <c r="I23" s="128">
        <f t="shared" si="2"/>
        <v>436003.02832804079</v>
      </c>
      <c r="J23" s="129">
        <f t="shared" si="3"/>
        <v>436883.79721260659</v>
      </c>
      <c r="K23" s="129">
        <f t="shared" si="4"/>
        <v>816051.04248988186</v>
      </c>
      <c r="L23" s="129">
        <f t="shared" si="5"/>
        <v>1688937.8680305292</v>
      </c>
      <c r="M23" s="130">
        <f t="shared" si="6"/>
        <v>1.0892386285390351E-2</v>
      </c>
    </row>
    <row r="24" spans="1:13">
      <c r="A24" s="4" t="s">
        <v>208</v>
      </c>
      <c r="B24" s="126">
        <v>247370</v>
      </c>
      <c r="C24" s="109">
        <f t="shared" si="0"/>
        <v>4.8319134041110233E-2</v>
      </c>
      <c r="D24" s="87">
        <v>290911</v>
      </c>
      <c r="E24" s="109">
        <f t="shared" si="1"/>
        <v>5.2576047591000201E-2</v>
      </c>
      <c r="G24" s="127">
        <f>+'COEF Art 14 F I'!AI24</f>
        <v>2.4207989751330716E-2</v>
      </c>
      <c r="H24" s="248"/>
      <c r="I24" s="128">
        <f t="shared" si="2"/>
        <v>2622272.5289936163</v>
      </c>
      <c r="J24" s="129">
        <f t="shared" si="3"/>
        <v>2853294.6216221759</v>
      </c>
      <c r="K24" s="129">
        <f t="shared" si="4"/>
        <v>1126083.5650335785</v>
      </c>
      <c r="L24" s="129">
        <f t="shared" si="5"/>
        <v>6601650.715649371</v>
      </c>
      <c r="M24" s="130">
        <f t="shared" si="6"/>
        <v>4.2575710496637879E-2</v>
      </c>
    </row>
    <row r="25" spans="1:13">
      <c r="A25" s="4" t="s">
        <v>19</v>
      </c>
      <c r="B25" s="126">
        <v>5479</v>
      </c>
      <c r="C25" s="109">
        <f t="shared" si="0"/>
        <v>1.0702208651463111E-3</v>
      </c>
      <c r="D25" s="87">
        <v>6059</v>
      </c>
      <c r="E25" s="109">
        <f t="shared" si="1"/>
        <v>1.0950368750369365E-3</v>
      </c>
      <c r="G25" s="127">
        <f>+'COEF Art 14 F I'!AI25</f>
        <v>2.6778151556587394E-3</v>
      </c>
      <c r="H25" s="248"/>
      <c r="I25" s="128">
        <f t="shared" si="2"/>
        <v>58080.734067817539</v>
      </c>
      <c r="J25" s="129">
        <f t="shared" si="3"/>
        <v>59427.495393466619</v>
      </c>
      <c r="K25" s="129">
        <f t="shared" si="4"/>
        <v>124563.98354263931</v>
      </c>
      <c r="L25" s="129">
        <f t="shared" si="5"/>
        <v>242072.21300392348</v>
      </c>
      <c r="M25" s="130">
        <f t="shared" si="6"/>
        <v>1.5611847557617591E-3</v>
      </c>
    </row>
    <row r="26" spans="1:13">
      <c r="A26" s="4" t="s">
        <v>20</v>
      </c>
      <c r="B26" s="126">
        <v>425148</v>
      </c>
      <c r="C26" s="109">
        <f t="shared" si="0"/>
        <v>8.3044763711484545E-2</v>
      </c>
      <c r="D26" s="87">
        <v>459071</v>
      </c>
      <c r="E26" s="109">
        <f t="shared" si="1"/>
        <v>8.2967432457514687E-2</v>
      </c>
      <c r="G26" s="127">
        <f>+'COEF Art 14 F I'!AI26</f>
        <v>4.7852386645666135E-2</v>
      </c>
      <c r="H26" s="248"/>
      <c r="I26" s="128">
        <f t="shared" si="2"/>
        <v>4506827.5100318473</v>
      </c>
      <c r="J26" s="129">
        <f t="shared" si="3"/>
        <v>4502630.7538825078</v>
      </c>
      <c r="K26" s="129">
        <f t="shared" si="4"/>
        <v>2225950.469363315</v>
      </c>
      <c r="L26" s="129">
        <f t="shared" si="5"/>
        <v>11235408.733277669</v>
      </c>
      <c r="M26" s="130">
        <f t="shared" si="6"/>
        <v>7.2459984652849585E-2</v>
      </c>
    </row>
    <row r="27" spans="1:13">
      <c r="A27" s="4" t="s">
        <v>209</v>
      </c>
      <c r="B27" s="126">
        <v>14795</v>
      </c>
      <c r="C27" s="109">
        <f t="shared" si="0"/>
        <v>2.8899283993136836E-3</v>
      </c>
      <c r="D27" s="87">
        <v>16112</v>
      </c>
      <c r="E27" s="109">
        <f t="shared" si="1"/>
        <v>2.9119052864491038E-3</v>
      </c>
      <c r="G27" s="127">
        <f>+'COEF Art 14 F I'!AI27</f>
        <v>6.4882174932410445E-3</v>
      </c>
      <c r="H27" s="248"/>
      <c r="I27" s="128">
        <f t="shared" si="2"/>
        <v>156836.00301758724</v>
      </c>
      <c r="J27" s="129">
        <f t="shared" si="3"/>
        <v>158028.68555529526</v>
      </c>
      <c r="K27" s="129">
        <f t="shared" si="4"/>
        <v>301812.54868965223</v>
      </c>
      <c r="L27" s="129">
        <f t="shared" si="5"/>
        <v>616677.23726253468</v>
      </c>
      <c r="M27" s="130">
        <f t="shared" si="6"/>
        <v>3.9771070379892894E-3</v>
      </c>
    </row>
    <row r="28" spans="1:13">
      <c r="A28" s="4" t="s">
        <v>22</v>
      </c>
      <c r="B28" s="126">
        <v>1044</v>
      </c>
      <c r="C28" s="109">
        <f t="shared" si="0"/>
        <v>2.0392600533176652E-4</v>
      </c>
      <c r="D28" s="87">
        <v>1196</v>
      </c>
      <c r="E28" s="109">
        <f t="shared" si="1"/>
        <v>2.1615185716193695E-4</v>
      </c>
      <c r="G28" s="127">
        <f>+'COEF Art 14 F I'!AI28</f>
        <v>5.5062035058250783E-4</v>
      </c>
      <c r="H28" s="248"/>
      <c r="I28" s="128">
        <f t="shared" si="2"/>
        <v>11067.035292352895</v>
      </c>
      <c r="J28" s="129">
        <f t="shared" si="3"/>
        <v>11730.530531537559</v>
      </c>
      <c r="K28" s="129">
        <f t="shared" si="4"/>
        <v>25613.21835200733</v>
      </c>
      <c r="L28" s="129">
        <f t="shared" si="5"/>
        <v>48410.784175897788</v>
      </c>
      <c r="M28" s="130">
        <f t="shared" si="6"/>
        <v>3.1221335704754869E-4</v>
      </c>
    </row>
    <row r="29" spans="1:13">
      <c r="A29" s="4" t="s">
        <v>23</v>
      </c>
      <c r="B29" s="126">
        <v>6011</v>
      </c>
      <c r="C29" s="109">
        <f t="shared" si="0"/>
        <v>1.17413718203951E-3</v>
      </c>
      <c r="D29" s="87">
        <v>6546</v>
      </c>
      <c r="E29" s="109">
        <f t="shared" si="1"/>
        <v>1.1830518871087286E-3</v>
      </c>
      <c r="G29" s="127">
        <f>+'COEF Art 14 F I'!AI29</f>
        <v>5.2005697480545388E-3</v>
      </c>
      <c r="H29" s="248"/>
      <c r="I29" s="128">
        <f t="shared" si="2"/>
        <v>63720.257799169776</v>
      </c>
      <c r="J29" s="129">
        <f t="shared" si="3"/>
        <v>64204.057574786675</v>
      </c>
      <c r="K29" s="129">
        <f t="shared" si="4"/>
        <v>241915.01162433837</v>
      </c>
      <c r="L29" s="129">
        <f t="shared" si="5"/>
        <v>369839.3269982948</v>
      </c>
      <c r="M29" s="130">
        <f t="shared" si="6"/>
        <v>2.3851870986182455E-3</v>
      </c>
    </row>
    <row r="30" spans="1:13">
      <c r="A30" s="4" t="s">
        <v>24</v>
      </c>
      <c r="B30" s="126">
        <v>67294</v>
      </c>
      <c r="C30" s="109">
        <f t="shared" si="0"/>
        <v>1.3144632761298751E-2</v>
      </c>
      <c r="D30" s="87">
        <v>88975</v>
      </c>
      <c r="E30" s="109">
        <f t="shared" si="1"/>
        <v>1.6080360778414165E-2</v>
      </c>
      <c r="G30" s="127">
        <f>+'COEF Art 14 F I'!AI30</f>
        <v>4.5887152180486938E-3</v>
      </c>
      <c r="H30" s="248"/>
      <c r="I30" s="128">
        <f t="shared" si="2"/>
        <v>713357.34958198818</v>
      </c>
      <c r="J30" s="129">
        <f t="shared" si="3"/>
        <v>872678.89134076447</v>
      </c>
      <c r="K30" s="129">
        <f t="shared" si="4"/>
        <v>213453.36166874666</v>
      </c>
      <c r="L30" s="129">
        <f t="shared" si="5"/>
        <v>1799489.6025914995</v>
      </c>
      <c r="M30" s="130">
        <f t="shared" si="6"/>
        <v>1.1605362304314132E-2</v>
      </c>
    </row>
    <row r="31" spans="1:13">
      <c r="A31" s="4" t="s">
        <v>25</v>
      </c>
      <c r="B31" s="126">
        <v>682880</v>
      </c>
      <c r="C31" s="109">
        <f t="shared" si="0"/>
        <v>0.1333879219549394</v>
      </c>
      <c r="D31" s="87">
        <v>706231</v>
      </c>
      <c r="E31" s="109">
        <f t="shared" si="1"/>
        <v>0.12763640655128086</v>
      </c>
      <c r="G31" s="127">
        <f>+'COEF Art 14 F I'!AI31</f>
        <v>8.1760716504987119E-2</v>
      </c>
      <c r="H31" s="248"/>
      <c r="I31" s="128">
        <f t="shared" si="2"/>
        <v>7238943.5444846218</v>
      </c>
      <c r="J31" s="129">
        <f t="shared" si="3"/>
        <v>6926809.6219216576</v>
      </c>
      <c r="K31" s="129">
        <f t="shared" si="4"/>
        <v>3803264.9578668373</v>
      </c>
      <c r="L31" s="129">
        <f t="shared" si="5"/>
        <v>17969018.124273118</v>
      </c>
      <c r="M31" s="130">
        <f t="shared" si="6"/>
        <v>0.11588672992867327</v>
      </c>
    </row>
    <row r="32" spans="1:13">
      <c r="A32" s="4" t="s">
        <v>210</v>
      </c>
      <c r="B32" s="126">
        <v>1764</v>
      </c>
      <c r="C32" s="109">
        <f t="shared" si="0"/>
        <v>3.4456462969850206E-4</v>
      </c>
      <c r="D32" s="87">
        <v>1986</v>
      </c>
      <c r="E32" s="109">
        <f t="shared" si="1"/>
        <v>3.5892774943445383E-4</v>
      </c>
      <c r="G32" s="127">
        <f>+'COEF Art 14 F I'!AI32</f>
        <v>1.3887213532643755E-3</v>
      </c>
      <c r="H32" s="248"/>
      <c r="I32" s="128">
        <f t="shared" si="2"/>
        <v>18699.473425010063</v>
      </c>
      <c r="J32" s="129">
        <f t="shared" si="3"/>
        <v>19478.957889325746</v>
      </c>
      <c r="K32" s="129">
        <f t="shared" si="4"/>
        <v>64599.180203975448</v>
      </c>
      <c r="L32" s="129">
        <f t="shared" si="5"/>
        <v>102777.61151831126</v>
      </c>
      <c r="M32" s="130">
        <f t="shared" si="6"/>
        <v>6.6283873867584739E-4</v>
      </c>
    </row>
    <row r="33" spans="1:13">
      <c r="A33" s="4" t="s">
        <v>27</v>
      </c>
      <c r="B33" s="126">
        <v>13836</v>
      </c>
      <c r="C33" s="109">
        <f t="shared" si="0"/>
        <v>2.702605564914101E-3</v>
      </c>
      <c r="D33" s="87">
        <v>15875</v>
      </c>
      <c r="E33" s="109">
        <f t="shared" si="1"/>
        <v>2.8690725187673488E-3</v>
      </c>
      <c r="G33" s="127">
        <f>+'COEF Art 14 F I'!AI33</f>
        <v>3.2091348992876151E-3</v>
      </c>
      <c r="H33" s="248"/>
      <c r="I33" s="128">
        <f t="shared" si="2"/>
        <v>146670.0194492286</v>
      </c>
      <c r="J33" s="129">
        <f t="shared" si="3"/>
        <v>155704.15734795883</v>
      </c>
      <c r="K33" s="129">
        <f t="shared" si="4"/>
        <v>149279.39515774223</v>
      </c>
      <c r="L33" s="129">
        <f t="shared" si="5"/>
        <v>451653.57195492962</v>
      </c>
      <c r="M33" s="130">
        <f t="shared" si="6"/>
        <v>2.9128277990747927E-3</v>
      </c>
    </row>
    <row r="34" spans="1:13">
      <c r="A34" s="4" t="s">
        <v>28</v>
      </c>
      <c r="B34" s="126">
        <v>1511</v>
      </c>
      <c r="C34" s="109">
        <f t="shared" si="0"/>
        <v>2.9514577974741303E-4</v>
      </c>
      <c r="D34" s="87">
        <v>1700</v>
      </c>
      <c r="E34" s="109">
        <f t="shared" si="1"/>
        <v>3.0723926185225153E-4</v>
      </c>
      <c r="G34" s="127">
        <f>+'COEF Art 14 F I'!AI34</f>
        <v>2.1143036333980117E-3</v>
      </c>
      <c r="H34" s="248"/>
      <c r="I34" s="128">
        <f t="shared" si="2"/>
        <v>16017.519470062474</v>
      </c>
      <c r="J34" s="129">
        <f t="shared" si="3"/>
        <v>16673.831023088504</v>
      </c>
      <c r="K34" s="129">
        <f t="shared" si="4"/>
        <v>98351.106288344483</v>
      </c>
      <c r="L34" s="129">
        <f t="shared" si="5"/>
        <v>131042.45678149546</v>
      </c>
      <c r="M34" s="130">
        <f t="shared" si="6"/>
        <v>8.4512585457928631E-4</v>
      </c>
    </row>
    <row r="35" spans="1:13">
      <c r="A35" s="4" t="s">
        <v>29</v>
      </c>
      <c r="B35" s="126">
        <v>6921</v>
      </c>
      <c r="C35" s="109">
        <f t="shared" si="0"/>
        <v>1.3518887767252452E-3</v>
      </c>
      <c r="D35" s="87">
        <v>7661</v>
      </c>
      <c r="E35" s="109">
        <f t="shared" si="1"/>
        <v>1.3845646970882936E-3</v>
      </c>
      <c r="G35" s="127">
        <f>+'COEF Art 14 F I'!AI35</f>
        <v>2.3463773529826589E-3</v>
      </c>
      <c r="H35" s="248"/>
      <c r="I35" s="128">
        <f t="shared" si="2"/>
        <v>73366.811550167025</v>
      </c>
      <c r="J35" s="129">
        <f t="shared" si="3"/>
        <v>75140.129098753547</v>
      </c>
      <c r="K35" s="129">
        <f t="shared" si="4"/>
        <v>109146.48435091645</v>
      </c>
      <c r="L35" s="129">
        <f t="shared" si="5"/>
        <v>257653.42499983701</v>
      </c>
      <c r="M35" s="130">
        <f t="shared" si="6"/>
        <v>1.6616719217295366E-3</v>
      </c>
    </row>
    <row r="36" spans="1:13">
      <c r="A36" s="4" t="s">
        <v>30</v>
      </c>
      <c r="B36" s="126">
        <v>3571</v>
      </c>
      <c r="C36" s="109">
        <f t="shared" si="0"/>
        <v>6.9752851057446193E-4</v>
      </c>
      <c r="D36" s="87">
        <v>3937</v>
      </c>
      <c r="E36" s="109">
        <f t="shared" si="1"/>
        <v>7.1152998465430256E-4</v>
      </c>
      <c r="G36" s="127">
        <f>+'COEF Art 14 F I'!AI36</f>
        <v>2.7251046128882596E-3</v>
      </c>
      <c r="H36" s="248"/>
      <c r="I36" s="128">
        <f t="shared" si="2"/>
        <v>37854.773016276042</v>
      </c>
      <c r="J36" s="129">
        <f t="shared" si="3"/>
        <v>38614.63102229379</v>
      </c>
      <c r="K36" s="129">
        <f t="shared" si="4"/>
        <v>126763.74821259062</v>
      </c>
      <c r="L36" s="129">
        <f t="shared" si="5"/>
        <v>203233.15225116047</v>
      </c>
      <c r="M36" s="130">
        <f t="shared" si="6"/>
        <v>1.3107018571965458E-3</v>
      </c>
    </row>
    <row r="37" spans="1:13">
      <c r="A37" s="4" t="s">
        <v>211</v>
      </c>
      <c r="B37" s="126">
        <v>333481</v>
      </c>
      <c r="C37" s="109">
        <f t="shared" si="0"/>
        <v>6.5139318183949066E-2</v>
      </c>
      <c r="D37" s="87">
        <v>385877</v>
      </c>
      <c r="E37" s="109">
        <f t="shared" si="1"/>
        <v>6.9739155673977218E-2</v>
      </c>
      <c r="G37" s="127">
        <f>+'COEF Art 14 F I'!AI37</f>
        <v>2.9585267110655133E-2</v>
      </c>
      <c r="H37" s="248"/>
      <c r="I37" s="128">
        <f t="shared" si="2"/>
        <v>3535101.5290508959</v>
      </c>
      <c r="J37" s="129">
        <f t="shared" si="3"/>
        <v>3784734.0551154842</v>
      </c>
      <c r="K37" s="129">
        <f t="shared" si="4"/>
        <v>1376218.4883032618</v>
      </c>
      <c r="L37" s="129">
        <f t="shared" si="5"/>
        <v>8696054.0724696405</v>
      </c>
      <c r="M37" s="130">
        <f t="shared" si="6"/>
        <v>5.6083045983470747E-2</v>
      </c>
    </row>
    <row r="38" spans="1:13">
      <c r="A38" s="4" t="s">
        <v>32</v>
      </c>
      <c r="B38" s="126">
        <v>5238</v>
      </c>
      <c r="C38" s="109">
        <f t="shared" si="0"/>
        <v>1.0231459922680009E-3</v>
      </c>
      <c r="D38" s="87">
        <v>5719</v>
      </c>
      <c r="E38" s="109">
        <f t="shared" si="1"/>
        <v>1.0335890226664862E-3</v>
      </c>
      <c r="G38" s="127">
        <f>+'COEF Art 14 F I'!AI38</f>
        <v>4.4649588800956524E-3</v>
      </c>
      <c r="H38" s="248"/>
      <c r="I38" s="128">
        <f t="shared" si="2"/>
        <v>55525.987415080897</v>
      </c>
      <c r="J38" s="129">
        <f t="shared" si="3"/>
        <v>56092.729188848913</v>
      </c>
      <c r="K38" s="129">
        <f t="shared" si="4"/>
        <v>207696.58551057763</v>
      </c>
      <c r="L38" s="129">
        <f t="shared" si="5"/>
        <v>319315.30211450742</v>
      </c>
      <c r="M38" s="130">
        <f t="shared" si="6"/>
        <v>2.0593449192557668E-3</v>
      </c>
    </row>
    <row r="39" spans="1:13">
      <c r="A39" s="4" t="s">
        <v>33</v>
      </c>
      <c r="B39" s="126">
        <v>79853</v>
      </c>
      <c r="C39" s="109">
        <f t="shared" si="0"/>
        <v>1.5597800099384627E-2</v>
      </c>
      <c r="D39" s="87">
        <v>87683</v>
      </c>
      <c r="E39" s="109">
        <f t="shared" si="1"/>
        <v>1.5846858939406454E-2</v>
      </c>
      <c r="G39" s="127">
        <f>+'COEF Art 14 F I'!AI39</f>
        <v>1.7074958637323074E-2</v>
      </c>
      <c r="H39" s="248"/>
      <c r="I39" s="128">
        <f t="shared" ref="I39:I57" si="7">+C39*I$5</f>
        <v>846490.39195426786</v>
      </c>
      <c r="J39" s="129">
        <f t="shared" ref="J39:J57" si="8">+E39*J$5</f>
        <v>860006.7797632172</v>
      </c>
      <c r="K39" s="129">
        <f t="shared" ref="K39:K57" si="9">+G39*K$5</f>
        <v>794276.20767481136</v>
      </c>
      <c r="L39" s="129">
        <f t="shared" si="5"/>
        <v>2500773.3793922961</v>
      </c>
      <c r="M39" s="130">
        <f t="shared" si="6"/>
        <v>1.6128118254773803E-2</v>
      </c>
    </row>
    <row r="40" spans="1:13">
      <c r="A40" s="4" t="s">
        <v>212</v>
      </c>
      <c r="B40" s="126">
        <v>5630</v>
      </c>
      <c r="C40" s="109">
        <f t="shared" si="0"/>
        <v>1.0997159099787792E-3</v>
      </c>
      <c r="D40" s="87">
        <v>6150</v>
      </c>
      <c r="E40" s="109">
        <f t="shared" si="1"/>
        <v>1.11148321199491E-3</v>
      </c>
      <c r="G40" s="127">
        <f>+'COEF Art 14 F I'!AI40</f>
        <v>4.1255842076369439E-3</v>
      </c>
      <c r="H40" s="248"/>
      <c r="I40" s="128">
        <f t="shared" si="7"/>
        <v>59681.42595397203</v>
      </c>
      <c r="J40" s="129">
        <f t="shared" si="8"/>
        <v>60320.035759996652</v>
      </c>
      <c r="K40" s="129">
        <f t="shared" si="9"/>
        <v>191909.88678135342</v>
      </c>
      <c r="L40" s="129">
        <f t="shared" si="5"/>
        <v>311911.34849532211</v>
      </c>
      <c r="M40" s="130">
        <f t="shared" si="6"/>
        <v>2.0115949549818751E-3</v>
      </c>
    </row>
    <row r="41" spans="1:13">
      <c r="A41" s="4" t="s">
        <v>35</v>
      </c>
      <c r="B41" s="126">
        <v>955</v>
      </c>
      <c r="C41" s="109">
        <f t="shared" si="0"/>
        <v>1.8654150870865615E-4</v>
      </c>
      <c r="D41" s="87">
        <v>1057</v>
      </c>
      <c r="E41" s="109">
        <f t="shared" si="1"/>
        <v>1.910305292810764E-4</v>
      </c>
      <c r="G41" s="127">
        <f>+'COEF Art 14 F I'!AI41</f>
        <v>3.8129239143781901E-3</v>
      </c>
      <c r="H41" s="248"/>
      <c r="I41" s="128">
        <f t="shared" si="7"/>
        <v>10123.581134288328</v>
      </c>
      <c r="J41" s="129">
        <f t="shared" si="8"/>
        <v>10367.199642002675</v>
      </c>
      <c r="K41" s="129">
        <f t="shared" si="9"/>
        <v>177365.86138750971</v>
      </c>
      <c r="L41" s="129">
        <f t="shared" si="5"/>
        <v>197856.64216380072</v>
      </c>
      <c r="M41" s="130">
        <f t="shared" si="6"/>
        <v>1.2760273876098638E-3</v>
      </c>
    </row>
    <row r="42" spans="1:13">
      <c r="A42" s="4" t="s">
        <v>36</v>
      </c>
      <c r="B42" s="126">
        <v>6996</v>
      </c>
      <c r="C42" s="109">
        <f t="shared" si="0"/>
        <v>1.3665386334301135E-3</v>
      </c>
      <c r="D42" s="87">
        <v>7554</v>
      </c>
      <c r="E42" s="109">
        <f t="shared" si="1"/>
        <v>1.3652266964893577E-3</v>
      </c>
      <c r="G42" s="127">
        <f>+'COEF Art 14 F I'!AI42</f>
        <v>3.8410826264658397E-3</v>
      </c>
      <c r="H42" s="248"/>
      <c r="I42" s="128">
        <f t="shared" si="7"/>
        <v>74161.857188985494</v>
      </c>
      <c r="J42" s="129">
        <f t="shared" si="8"/>
        <v>74090.658557888557</v>
      </c>
      <c r="K42" s="129">
        <f t="shared" si="9"/>
        <v>178675.72078600319</v>
      </c>
      <c r="L42" s="129">
        <f t="shared" si="5"/>
        <v>326928.2365328772</v>
      </c>
      <c r="M42" s="130">
        <f t="shared" si="6"/>
        <v>2.1084426534115669E-3</v>
      </c>
    </row>
    <row r="43" spans="1:13">
      <c r="A43" s="4" t="s">
        <v>37</v>
      </c>
      <c r="B43" s="126">
        <v>5326</v>
      </c>
      <c r="C43" s="109">
        <f t="shared" si="0"/>
        <v>1.0403351574683798E-3</v>
      </c>
      <c r="D43" s="87">
        <v>5846</v>
      </c>
      <c r="E43" s="109">
        <f t="shared" si="1"/>
        <v>1.056541602816625E-3</v>
      </c>
      <c r="G43" s="127">
        <f>+'COEF Art 14 F I'!AI43</f>
        <v>4.881188698279742E-3</v>
      </c>
      <c r="H43" s="248"/>
      <c r="I43" s="128">
        <f t="shared" si="7"/>
        <v>56458.840964627889</v>
      </c>
      <c r="J43" s="129">
        <f t="shared" si="8"/>
        <v>57338.362447632586</v>
      </c>
      <c r="K43" s="129">
        <f t="shared" si="9"/>
        <v>227058.35665922298</v>
      </c>
      <c r="L43" s="129">
        <f t="shared" si="5"/>
        <v>340855.56007148349</v>
      </c>
      <c r="M43" s="130">
        <f t="shared" si="6"/>
        <v>2.1982634755836751E-3</v>
      </c>
    </row>
    <row r="44" spans="1:13">
      <c r="A44" s="4" t="s">
        <v>38</v>
      </c>
      <c r="B44" s="126">
        <v>60829</v>
      </c>
      <c r="C44" s="109">
        <f t="shared" si="0"/>
        <v>1.1881815113339104E-2</v>
      </c>
      <c r="D44" s="87">
        <v>66834</v>
      </c>
      <c r="E44" s="109">
        <f t="shared" si="1"/>
        <v>1.2078840486254929E-2</v>
      </c>
      <c r="G44" s="127">
        <f>+'COEF Art 14 F I'!AI44</f>
        <v>1.1975169906678993E-2</v>
      </c>
      <c r="H44" s="248"/>
      <c r="I44" s="128">
        <f t="shared" si="7"/>
        <v>644824.41551583738</v>
      </c>
      <c r="J44" s="129">
        <f t="shared" si="8"/>
        <v>655516.95446888066</v>
      </c>
      <c r="K44" s="129">
        <f t="shared" si="9"/>
        <v>557049.22874294559</v>
      </c>
      <c r="L44" s="129">
        <f t="shared" si="5"/>
        <v>1857390.5987276635</v>
      </c>
      <c r="M44" s="130">
        <f t="shared" si="6"/>
        <v>1.1978780431861612E-2</v>
      </c>
    </row>
    <row r="45" spans="1:13">
      <c r="A45" s="4" t="s">
        <v>39</v>
      </c>
      <c r="B45" s="126">
        <v>1109171</v>
      </c>
      <c r="C45" s="109">
        <f t="shared" si="0"/>
        <v>0.21665594948260614</v>
      </c>
      <c r="D45" s="87">
        <v>1115043</v>
      </c>
      <c r="E45" s="109">
        <f t="shared" si="1"/>
        <v>0.20152058132560005</v>
      </c>
      <c r="G45" s="127">
        <f>+'COEF Art 14 F I'!AI45</f>
        <v>0.26321001499130797</v>
      </c>
      <c r="H45" s="248"/>
      <c r="I45" s="128">
        <f t="shared" si="7"/>
        <v>11757887.550052062</v>
      </c>
      <c r="J45" s="129">
        <f t="shared" si="8"/>
        <v>10936493.273810396</v>
      </c>
      <c r="K45" s="129">
        <f t="shared" si="9"/>
        <v>12243745.76652573</v>
      </c>
      <c r="L45" s="129">
        <f t="shared" si="5"/>
        <v>34938126.590388186</v>
      </c>
      <c r="M45" s="130">
        <f t="shared" si="6"/>
        <v>0.22532479028026461</v>
      </c>
    </row>
    <row r="46" spans="1:13">
      <c r="A46" s="4" t="s">
        <v>213</v>
      </c>
      <c r="B46" s="126">
        <v>971</v>
      </c>
      <c r="C46" s="109">
        <f t="shared" si="0"/>
        <v>1.8966681147236138E-4</v>
      </c>
      <c r="D46" s="87">
        <v>1080</v>
      </c>
      <c r="E46" s="109">
        <f t="shared" si="1"/>
        <v>1.9518729576495979E-4</v>
      </c>
      <c r="G46" s="127">
        <f>+'COEF Art 14 F I'!AI46</f>
        <v>1.035655371258505E-3</v>
      </c>
      <c r="H46" s="248"/>
      <c r="I46" s="128">
        <f t="shared" si="7"/>
        <v>10293.190870569597</v>
      </c>
      <c r="J46" s="129">
        <f t="shared" si="8"/>
        <v>10592.786767609166</v>
      </c>
      <c r="K46" s="129">
        <f t="shared" si="9"/>
        <v>48175.602542497094</v>
      </c>
      <c r="L46" s="129">
        <f t="shared" si="5"/>
        <v>69061.580180675854</v>
      </c>
      <c r="M46" s="130">
        <f t="shared" si="6"/>
        <v>4.4539554891061402E-4</v>
      </c>
    </row>
    <row r="47" spans="1:13">
      <c r="A47" s="4" t="s">
        <v>214</v>
      </c>
      <c r="B47" s="126">
        <v>87168</v>
      </c>
      <c r="C47" s="109">
        <f t="shared" si="0"/>
        <v>1.7026649456666116E-2</v>
      </c>
      <c r="D47" s="87">
        <v>108796</v>
      </c>
      <c r="E47" s="109">
        <f t="shared" si="1"/>
        <v>1.9662589842633856E-2</v>
      </c>
      <c r="G47" s="127">
        <f>+'COEF Art 14 F I'!AI47</f>
        <v>6.6055299861379471E-3</v>
      </c>
      <c r="H47" s="248"/>
      <c r="I47" s="128">
        <f t="shared" si="7"/>
        <v>924033.84326036135</v>
      </c>
      <c r="J47" s="129">
        <f t="shared" si="8"/>
        <v>1067085.9529340805</v>
      </c>
      <c r="K47" s="129">
        <f t="shared" si="9"/>
        <v>307269.57637271535</v>
      </c>
      <c r="L47" s="129">
        <f t="shared" si="5"/>
        <v>2298389.3725671573</v>
      </c>
      <c r="M47" s="130">
        <f t="shared" si="6"/>
        <v>1.4822892750596379E-2</v>
      </c>
    </row>
    <row r="48" spans="1:13">
      <c r="A48" s="4" t="s">
        <v>215</v>
      </c>
      <c r="B48" s="126">
        <v>4469</v>
      </c>
      <c r="C48" s="109">
        <f t="shared" si="0"/>
        <v>8.7293612818741819E-4</v>
      </c>
      <c r="D48" s="87">
        <v>5203</v>
      </c>
      <c r="E48" s="109">
        <f t="shared" si="1"/>
        <v>9.4033287024544981E-4</v>
      </c>
      <c r="G48" s="127">
        <f>+'COEF Art 14 F I'!AI48</f>
        <v>1.9287458271118137E-3</v>
      </c>
      <c r="H48" s="248"/>
      <c r="I48" s="128">
        <f t="shared" si="7"/>
        <v>47374.119465062344</v>
      </c>
      <c r="J48" s="129">
        <f t="shared" si="8"/>
        <v>51031.731066546752</v>
      </c>
      <c r="K48" s="129">
        <f t="shared" si="9"/>
        <v>89719.509936520772</v>
      </c>
      <c r="L48" s="129">
        <f t="shared" si="5"/>
        <v>188125.36046812986</v>
      </c>
      <c r="M48" s="130">
        <f t="shared" si="6"/>
        <v>1.2132678975850482E-3</v>
      </c>
    </row>
    <row r="49" spans="1:13">
      <c r="A49" s="4" t="s">
        <v>43</v>
      </c>
      <c r="B49" s="126">
        <v>2640</v>
      </c>
      <c r="C49" s="109">
        <f t="shared" si="0"/>
        <v>5.1567495601136364E-4</v>
      </c>
      <c r="D49" s="87">
        <v>2942</v>
      </c>
      <c r="E49" s="109">
        <f t="shared" si="1"/>
        <v>5.3170465198195533E-4</v>
      </c>
      <c r="G49" s="127">
        <f>+'COEF Art 14 F I'!AI49</f>
        <v>3.2867267432287977E-3</v>
      </c>
      <c r="H49" s="248"/>
      <c r="I49" s="128">
        <f t="shared" si="7"/>
        <v>27985.606486409622</v>
      </c>
      <c r="J49" s="129">
        <f t="shared" si="8"/>
        <v>28855.535805839048</v>
      </c>
      <c r="K49" s="129">
        <f t="shared" si="9"/>
        <v>152888.73658345945</v>
      </c>
      <c r="L49" s="129">
        <f t="shared" si="5"/>
        <v>209729.87887570812</v>
      </c>
      <c r="M49" s="130">
        <f t="shared" si="6"/>
        <v>1.3526008857663015E-3</v>
      </c>
    </row>
    <row r="50" spans="1:13">
      <c r="A50" s="4" t="s">
        <v>44</v>
      </c>
      <c r="B50" s="126">
        <v>35456</v>
      </c>
      <c r="C50" s="109">
        <f t="shared" si="0"/>
        <v>6.9256709243707987E-3</v>
      </c>
      <c r="D50" s="87">
        <v>38710</v>
      </c>
      <c r="E50" s="109">
        <f t="shared" si="1"/>
        <v>6.9960187213533274E-3</v>
      </c>
      <c r="G50" s="127">
        <f>+'COEF Art 14 F I'!AI50</f>
        <v>6.2840951475832268E-3</v>
      </c>
      <c r="H50" s="248"/>
      <c r="I50" s="128">
        <f t="shared" si="7"/>
        <v>375855.17559929524</v>
      </c>
      <c r="J50" s="129">
        <f t="shared" si="8"/>
        <v>379672.94053162116</v>
      </c>
      <c r="K50" s="129">
        <f t="shared" si="9"/>
        <v>292317.385272015</v>
      </c>
      <c r="L50" s="129">
        <f t="shared" si="5"/>
        <v>1047845.5014029314</v>
      </c>
      <c r="M50" s="130">
        <f t="shared" si="6"/>
        <v>6.7578199202784142E-3</v>
      </c>
    </row>
    <row r="51" spans="1:13">
      <c r="A51" s="4" t="s">
        <v>45</v>
      </c>
      <c r="B51" s="126">
        <v>54192</v>
      </c>
      <c r="C51" s="109">
        <f t="shared" si="0"/>
        <v>1.0585400460669627E-2</v>
      </c>
      <c r="D51" s="87">
        <v>60377</v>
      </c>
      <c r="E51" s="109">
        <f t="shared" si="1"/>
        <v>1.0911873478149054E-2</v>
      </c>
      <c r="G51" s="127">
        <f>+'COEF Art 14 F I'!AI51</f>
        <v>8.020243386900168E-3</v>
      </c>
      <c r="H51" s="248"/>
      <c r="I51" s="128">
        <f t="shared" si="7"/>
        <v>574468.17678466288</v>
      </c>
      <c r="J51" s="129">
        <f t="shared" si="8"/>
        <v>592185.82098883216</v>
      </c>
      <c r="K51" s="129">
        <f t="shared" si="9"/>
        <v>373077.82919319283</v>
      </c>
      <c r="L51" s="129">
        <f t="shared" si="5"/>
        <v>1539731.8269666878</v>
      </c>
      <c r="M51" s="130">
        <f t="shared" si="6"/>
        <v>9.9301188946565918E-3</v>
      </c>
    </row>
    <row r="52" spans="1:13">
      <c r="A52" s="4" t="s">
        <v>216</v>
      </c>
      <c r="B52" s="126">
        <v>430143</v>
      </c>
      <c r="C52" s="109">
        <f t="shared" si="0"/>
        <v>8.4020444168028771E-2</v>
      </c>
      <c r="D52" s="87">
        <v>473285</v>
      </c>
      <c r="E52" s="109">
        <f t="shared" si="1"/>
        <v>8.553631414455462E-2</v>
      </c>
      <c r="G52" s="127">
        <f>+'COEF Art 14 F I'!AI52</f>
        <v>6.5597014465349879E-2</v>
      </c>
      <c r="H52" s="248"/>
      <c r="I52" s="128">
        <f t="shared" si="7"/>
        <v>4559777.5495771561</v>
      </c>
      <c r="J52" s="129">
        <f t="shared" si="8"/>
        <v>4642043.5975073185</v>
      </c>
      <c r="K52" s="129">
        <f t="shared" si="9"/>
        <v>3051377.6923852134</v>
      </c>
      <c r="L52" s="129">
        <f t="shared" si="5"/>
        <v>12253198.839469688</v>
      </c>
      <c r="M52" s="130">
        <f t="shared" si="6"/>
        <v>7.9023969749009174E-2</v>
      </c>
    </row>
    <row r="53" spans="1:13">
      <c r="A53" s="4" t="s">
        <v>217</v>
      </c>
      <c r="B53" s="126">
        <v>123156</v>
      </c>
      <c r="C53" s="109">
        <f t="shared" si="0"/>
        <v>2.4056236697930111E-2</v>
      </c>
      <c r="D53" s="87">
        <v>136480</v>
      </c>
      <c r="E53" s="109">
        <f t="shared" si="1"/>
        <v>2.4665890857408994E-2</v>
      </c>
      <c r="G53" s="127">
        <f>+'COEF Art 14 F I'!AI53</f>
        <v>0.14366096542051271</v>
      </c>
      <c r="H53" s="248"/>
      <c r="I53" s="128">
        <f t="shared" si="7"/>
        <v>1305528.5425910086</v>
      </c>
      <c r="J53" s="129">
        <f t="shared" si="8"/>
        <v>1338614.3870771287</v>
      </c>
      <c r="K53" s="129">
        <f t="shared" si="9"/>
        <v>6682680.1299353596</v>
      </c>
      <c r="L53" s="129">
        <f t="shared" si="5"/>
        <v>9326823.0596034974</v>
      </c>
      <c r="M53" s="130">
        <f t="shared" si="6"/>
        <v>6.015103427052252E-2</v>
      </c>
    </row>
    <row r="54" spans="1:13">
      <c r="A54" s="4" t="s">
        <v>48</v>
      </c>
      <c r="B54" s="126">
        <v>296954</v>
      </c>
      <c r="C54" s="109">
        <f t="shared" si="0"/>
        <v>5.8004447305832756E-2</v>
      </c>
      <c r="D54" s="87">
        <v>318594</v>
      </c>
      <c r="E54" s="109">
        <f t="shared" si="1"/>
        <v>5.7579167876797781E-2</v>
      </c>
      <c r="G54" s="127">
        <f>+'COEF Art 14 F I'!AI54</f>
        <v>3.6487931906387154E-2</v>
      </c>
      <c r="H54" s="248"/>
      <c r="I54" s="128">
        <f t="shared" si="7"/>
        <v>3147893.1017292738</v>
      </c>
      <c r="J54" s="129">
        <f t="shared" si="8"/>
        <v>3124813.2476293286</v>
      </c>
      <c r="K54" s="129">
        <f t="shared" si="9"/>
        <v>1697309.8908218213</v>
      </c>
      <c r="L54" s="129">
        <f t="shared" si="5"/>
        <v>7970016.2401804235</v>
      </c>
      <c r="M54" s="130">
        <f t="shared" si="6"/>
        <v>5.1400644885836851E-2</v>
      </c>
    </row>
    <row r="55" spans="1:13">
      <c r="A55" s="4" t="s">
        <v>49</v>
      </c>
      <c r="B55" s="126">
        <v>42407</v>
      </c>
      <c r="C55" s="109">
        <f t="shared" si="0"/>
        <v>8.2834196437779912E-3</v>
      </c>
      <c r="D55" s="87">
        <v>46435</v>
      </c>
      <c r="E55" s="109">
        <f t="shared" si="1"/>
        <v>8.3921500730054707E-3</v>
      </c>
      <c r="G55" s="127">
        <f>+'COEF Art 14 F I'!AI55</f>
        <v>1.5506575309675429E-2</v>
      </c>
      <c r="H55" s="248"/>
      <c r="I55" s="128">
        <f t="shared" si="7"/>
        <v>449540.00540498964</v>
      </c>
      <c r="J55" s="129">
        <f t="shared" si="8"/>
        <v>455440.79032771452</v>
      </c>
      <c r="K55" s="129">
        <f t="shared" si="9"/>
        <v>721319.68765482074</v>
      </c>
      <c r="L55" s="129">
        <f t="shared" si="5"/>
        <v>1626300.483387525</v>
      </c>
      <c r="M55" s="130">
        <f t="shared" si="6"/>
        <v>1.0488421993776843E-2</v>
      </c>
    </row>
    <row r="56" spans="1:13">
      <c r="A56" s="4" t="s">
        <v>50</v>
      </c>
      <c r="B56" s="126">
        <v>1632</v>
      </c>
      <c r="C56" s="109">
        <f t="shared" si="0"/>
        <v>3.1878088189793386E-4</v>
      </c>
      <c r="D56" s="87">
        <v>1921</v>
      </c>
      <c r="E56" s="109">
        <f t="shared" si="1"/>
        <v>3.4718036589304421E-4</v>
      </c>
      <c r="G56" s="127">
        <f>+'COEF Art 14 F I'!AI56</f>
        <v>1.7761584057628466E-3</v>
      </c>
      <c r="H56" s="248"/>
      <c r="I56" s="128">
        <f t="shared" si="7"/>
        <v>17300.193100689583</v>
      </c>
      <c r="J56" s="129">
        <f t="shared" si="8"/>
        <v>18841.429056090008</v>
      </c>
      <c r="K56" s="129">
        <f t="shared" si="9"/>
        <v>82621.597669663504</v>
      </c>
      <c r="L56" s="129">
        <f t="shared" si="5"/>
        <v>118763.21982644309</v>
      </c>
      <c r="M56" s="130">
        <f t="shared" si="6"/>
        <v>7.6593395845569654E-4</v>
      </c>
    </row>
    <row r="57" spans="1:13">
      <c r="A57" s="4" t="s">
        <v>51</v>
      </c>
      <c r="B57" s="126">
        <v>4080</v>
      </c>
      <c r="C57" s="109">
        <f t="shared" si="0"/>
        <v>7.9695220474483466E-4</v>
      </c>
      <c r="D57" s="87">
        <v>4527</v>
      </c>
      <c r="E57" s="109">
        <f t="shared" si="1"/>
        <v>8.181600814147898E-4</v>
      </c>
      <c r="G57" s="127">
        <f>+'COEF Art 14 F I'!AI57</f>
        <v>1.2443370366593248E-3</v>
      </c>
      <c r="H57" s="248"/>
      <c r="I57" s="128">
        <f t="shared" si="7"/>
        <v>43250.482751723954</v>
      </c>
      <c r="J57" s="129">
        <f t="shared" si="8"/>
        <v>44401.431200895087</v>
      </c>
      <c r="K57" s="129">
        <f t="shared" si="9"/>
        <v>57882.851931876146</v>
      </c>
      <c r="L57" s="129">
        <f t="shared" si="5"/>
        <v>145534.76588449519</v>
      </c>
      <c r="M57" s="130">
        <f t="shared" si="6"/>
        <v>9.3859041115366623E-4</v>
      </c>
    </row>
    <row r="58" spans="1:13" ht="13.5" thickBot="1">
      <c r="A58" s="6" t="s">
        <v>52</v>
      </c>
      <c r="B58" s="131">
        <f>SUM(B7:B57)</f>
        <v>5119504</v>
      </c>
      <c r="C58" s="110">
        <f>SUM(C7:C57)</f>
        <v>0.99999999999999989</v>
      </c>
      <c r="D58" s="132">
        <f>SUM(D7:D57)</f>
        <v>5533147</v>
      </c>
      <c r="E58" s="110">
        <f t="shared" si="1"/>
        <v>1</v>
      </c>
      <c r="G58" s="133">
        <f t="shared" ref="G58:M58" si="10">SUM(G7:G57)</f>
        <v>0.99999999999999989</v>
      </c>
      <c r="H58" s="249"/>
      <c r="I58" s="134">
        <f t="shared" si="10"/>
        <v>54269857.708181813</v>
      </c>
      <c r="J58" s="135">
        <f t="shared" si="10"/>
        <v>54269857.708181813</v>
      </c>
      <c r="K58" s="135">
        <f t="shared" si="10"/>
        <v>46517020.892727271</v>
      </c>
      <c r="L58" s="135">
        <f t="shared" si="10"/>
        <v>155056736.30909085</v>
      </c>
      <c r="M58" s="136">
        <f t="shared" si="10"/>
        <v>1.0000000000000004</v>
      </c>
    </row>
    <row r="59" spans="1:13" ht="13.5" thickTop="1"/>
    <row r="60" spans="1:13" ht="15.75" customHeight="1">
      <c r="A60" s="14" t="s">
        <v>90</v>
      </c>
    </row>
    <row r="61" spans="1:13">
      <c r="A61" s="14" t="s">
        <v>145</v>
      </c>
    </row>
    <row r="62" spans="1:13">
      <c r="A62" s="14" t="s">
        <v>121</v>
      </c>
    </row>
  </sheetData>
  <mergeCells count="3">
    <mergeCell ref="A1:M1"/>
    <mergeCell ref="B3:C3"/>
    <mergeCell ref="D3:E3"/>
  </mergeCells>
  <printOptions horizontalCentered="1"/>
  <pageMargins left="0.19685039370078741" right="0.19685039370078741" top="0.35433070866141736" bottom="0.15748031496062992" header="0.15748031496062992" footer="0.15748031496062992"/>
  <pageSetup scale="70" orientation="landscape" r:id="rId1"/>
  <headerFooter alignWithMargins="0">
    <oddHeader>&amp;LAnexo 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3"/>
  <sheetViews>
    <sheetView zoomScaleNormal="100" workbookViewId="0">
      <selection sqref="A1:Q56"/>
    </sheetView>
  </sheetViews>
  <sheetFormatPr baseColWidth="10" defaultColWidth="11.42578125" defaultRowHeight="12.75"/>
  <cols>
    <col min="1" max="1" width="28.28515625" style="174" bestFit="1" customWidth="1"/>
    <col min="2" max="2" width="17.7109375" style="174" customWidth="1"/>
    <col min="3" max="3" width="18.28515625" style="174" customWidth="1"/>
    <col min="4" max="4" width="15.5703125" style="174" customWidth="1"/>
    <col min="5" max="5" width="16.85546875" style="174" customWidth="1"/>
    <col min="6" max="6" width="19.7109375" style="174" customWidth="1"/>
    <col min="7" max="7" width="15.7109375" style="174" customWidth="1"/>
    <col min="8" max="8" width="14.140625" style="174" customWidth="1"/>
    <col min="9" max="9" width="16.42578125" style="174" customWidth="1"/>
    <col min="10" max="10" width="21.42578125" style="174" customWidth="1"/>
    <col min="11" max="11" width="11.42578125" style="174"/>
    <col min="12" max="12" width="33.28515625" style="174" customWidth="1"/>
    <col min="13" max="13" width="21.42578125" style="174" customWidth="1"/>
    <col min="14" max="14" width="17.7109375" style="174" customWidth="1"/>
    <col min="15" max="15" width="17.7109375" style="174" bestFit="1" customWidth="1"/>
    <col min="16" max="16" width="22.7109375" style="174" customWidth="1"/>
    <col min="17" max="17" width="20.7109375" style="174" customWidth="1"/>
    <col min="18" max="18" width="0.28515625" style="174" customWidth="1"/>
    <col min="19" max="20" width="11.42578125" style="174" customWidth="1"/>
    <col min="21" max="21" width="21.28515625" style="174" customWidth="1"/>
    <col min="22" max="22" width="16.7109375" style="174" bestFit="1" customWidth="1"/>
    <col min="23" max="24" width="15.28515625" style="174" bestFit="1" customWidth="1"/>
    <col min="25" max="25" width="14.28515625" style="174" bestFit="1" customWidth="1"/>
    <col min="26" max="26" width="13.28515625" style="174" bestFit="1" customWidth="1"/>
    <col min="27" max="27" width="12.5703125" style="174" bestFit="1" customWidth="1"/>
    <col min="28" max="28" width="14.28515625" style="174" bestFit="1" customWidth="1"/>
    <col min="29" max="16384" width="11.42578125" style="174"/>
  </cols>
  <sheetData>
    <row r="1" spans="1:29" ht="38.25" customHeight="1" thickBot="1">
      <c r="A1" s="211"/>
      <c r="B1" s="279" t="s">
        <v>188</v>
      </c>
      <c r="C1" s="279"/>
      <c r="D1" s="279"/>
      <c r="E1" s="279"/>
      <c r="F1" s="279" t="s">
        <v>187</v>
      </c>
      <c r="G1" s="279"/>
      <c r="H1" s="279"/>
      <c r="I1" s="279"/>
      <c r="J1" s="222" t="s">
        <v>186</v>
      </c>
      <c r="L1" s="280" t="s">
        <v>185</v>
      </c>
      <c r="M1" s="280"/>
      <c r="N1" s="280"/>
      <c r="O1" s="280"/>
      <c r="P1" s="280"/>
      <c r="Q1" s="280"/>
      <c r="T1" s="221"/>
    </row>
    <row r="2" spans="1:29" ht="68.25" customHeight="1" thickTop="1" thickBot="1">
      <c r="A2" s="220" t="s">
        <v>0</v>
      </c>
      <c r="B2" s="219" t="s">
        <v>220</v>
      </c>
      <c r="C2" s="218" t="s">
        <v>200</v>
      </c>
      <c r="D2" s="218" t="s">
        <v>183</v>
      </c>
      <c r="E2" s="217" t="s">
        <v>182</v>
      </c>
      <c r="F2" s="218" t="s">
        <v>184</v>
      </c>
      <c r="G2" s="218" t="s">
        <v>181</v>
      </c>
      <c r="H2" s="218" t="s">
        <v>180</v>
      </c>
      <c r="I2" s="215" t="s">
        <v>179</v>
      </c>
      <c r="J2" s="216" t="s">
        <v>178</v>
      </c>
      <c r="L2" s="220" t="s">
        <v>0</v>
      </c>
      <c r="M2" s="219" t="s">
        <v>177</v>
      </c>
      <c r="N2" s="218" t="s">
        <v>176</v>
      </c>
      <c r="O2" s="217" t="s">
        <v>175</v>
      </c>
      <c r="P2" s="216" t="s">
        <v>174</v>
      </c>
      <c r="Q2" s="215" t="s">
        <v>101</v>
      </c>
    </row>
    <row r="3" spans="1:29" ht="26.25" customHeight="1" thickTop="1">
      <c r="A3" s="211"/>
      <c r="B3" s="214" t="s">
        <v>173</v>
      </c>
      <c r="C3" s="214" t="s">
        <v>172</v>
      </c>
      <c r="D3" s="214" t="s">
        <v>171</v>
      </c>
      <c r="E3" s="214" t="s">
        <v>170</v>
      </c>
      <c r="F3" s="214" t="s">
        <v>169</v>
      </c>
      <c r="G3" s="214" t="s">
        <v>168</v>
      </c>
      <c r="H3" s="214"/>
      <c r="I3" s="214" t="s">
        <v>167</v>
      </c>
      <c r="J3" s="214" t="s">
        <v>166</v>
      </c>
      <c r="M3" s="213">
        <f>M4*P3</f>
        <v>82916628.482452959</v>
      </c>
      <c r="N3" s="213">
        <f>P3*N4</f>
        <v>49749977.089471772</v>
      </c>
      <c r="O3" s="213">
        <f>P3*O4</f>
        <v>33166651.392981187</v>
      </c>
      <c r="P3" s="213">
        <f>+'PART MES'!E6</f>
        <v>165833256.96490592</v>
      </c>
    </row>
    <row r="4" spans="1:29" ht="13.5" thickBot="1">
      <c r="F4" s="212"/>
      <c r="G4" s="211"/>
      <c r="H4" s="211"/>
      <c r="I4" s="211"/>
      <c r="M4" s="210">
        <v>0.5</v>
      </c>
      <c r="N4" s="210">
        <v>0.3</v>
      </c>
      <c r="O4" s="210">
        <v>0.2</v>
      </c>
      <c r="P4" s="209" t="s">
        <v>165</v>
      </c>
      <c r="Q4" s="209"/>
    </row>
    <row r="5" spans="1:29" ht="13.5" thickTop="1">
      <c r="A5" s="204" t="s">
        <v>1</v>
      </c>
      <c r="B5" s="203">
        <v>558823</v>
      </c>
      <c r="C5" s="202">
        <v>110684</v>
      </c>
      <c r="D5" s="208">
        <f t="shared" ref="D5:D36" si="0">IFERROR(C5/B5,0)</f>
        <v>0.19806629290490907</v>
      </c>
      <c r="E5" s="207">
        <f t="shared" ref="E5:E36" si="1">IFERROR(D5/$D$56,0)</f>
        <v>1.3297257969579904E-2</v>
      </c>
      <c r="F5" s="202">
        <v>121403</v>
      </c>
      <c r="G5" s="242">
        <f t="shared" ref="G5:G36" si="2">IFERROR((C5/F5)-1,0)</f>
        <v>-8.8292711053268857E-2</v>
      </c>
      <c r="H5" s="206">
        <f t="shared" ref="H5:H36" si="3">IF(G5&lt;0,0,G5)</f>
        <v>0</v>
      </c>
      <c r="I5" s="199">
        <f t="shared" ref="I5:I36" si="4">IFERROR(H5/$H$56,0)</f>
        <v>0</v>
      </c>
      <c r="J5" s="205">
        <f t="shared" ref="J5:J36" si="5">IFERROR(C5/$C$56,0)</f>
        <v>5.1404392770842337E-5</v>
      </c>
      <c r="L5" s="204" t="s">
        <v>1</v>
      </c>
      <c r="M5" s="203">
        <f t="shared" ref="M5:M36" si="6">IFERROR($M$3*E5,0)</f>
        <v>1102563.7988989938</v>
      </c>
      <c r="N5" s="202">
        <f t="shared" ref="N5:N36" si="7">IFERROR($N$3*I5,0)</f>
        <v>0</v>
      </c>
      <c r="O5" s="201">
        <f t="shared" ref="O5:O36" si="8">IFERROR($O$3*J5,0)</f>
        <v>1704.9115750984101</v>
      </c>
      <c r="P5" s="200">
        <f t="shared" ref="P5:P36" si="9">IFERROR(SUM(M5:O5),0)</f>
        <v>1104268.7104740923</v>
      </c>
      <c r="Q5" s="199">
        <f t="shared" ref="Q5:Q36" si="10">IFERROR(P5/$P$56,0)</f>
        <v>6.6589098633441221E-3</v>
      </c>
      <c r="S5" s="175"/>
      <c r="T5" s="175"/>
      <c r="AC5" s="175"/>
    </row>
    <row r="6" spans="1:29">
      <c r="A6" s="194" t="s">
        <v>2</v>
      </c>
      <c r="B6" s="193">
        <v>2588435</v>
      </c>
      <c r="C6" s="192">
        <v>953414</v>
      </c>
      <c r="D6" s="198">
        <f t="shared" si="0"/>
        <v>0.368336079522955</v>
      </c>
      <c r="E6" s="197">
        <f t="shared" si="1"/>
        <v>2.4728386627965393E-2</v>
      </c>
      <c r="F6" s="192">
        <v>836482</v>
      </c>
      <c r="G6" s="243">
        <f t="shared" si="2"/>
        <v>0.13979021664542701</v>
      </c>
      <c r="H6" s="196">
        <f t="shared" si="3"/>
        <v>0.13979021664542701</v>
      </c>
      <c r="I6" s="189">
        <f t="shared" si="4"/>
        <v>1.7991724283460474E-2</v>
      </c>
      <c r="J6" s="195">
        <f t="shared" si="5"/>
        <v>4.4278909082812222E-4</v>
      </c>
      <c r="L6" s="194" t="s">
        <v>2</v>
      </c>
      <c r="M6" s="193">
        <f t="shared" si="6"/>
        <v>2050394.4470014642</v>
      </c>
      <c r="N6" s="192">
        <f t="shared" si="7"/>
        <v>895087.87090225157</v>
      </c>
      <c r="O6" s="191">
        <f t="shared" si="8"/>
        <v>14685.831416111412</v>
      </c>
      <c r="P6" s="190">
        <f t="shared" si="9"/>
        <v>2960168.1493198271</v>
      </c>
      <c r="Q6" s="189">
        <f t="shared" si="10"/>
        <v>1.7850268417186461E-2</v>
      </c>
      <c r="S6" s="175"/>
      <c r="T6" s="175"/>
      <c r="U6" s="175"/>
      <c r="V6" s="175"/>
      <c r="W6" s="175"/>
      <c r="X6" s="175"/>
      <c r="Y6" s="175"/>
      <c r="Z6" s="175"/>
    </row>
    <row r="7" spans="1:29">
      <c r="A7" s="194" t="s">
        <v>218</v>
      </c>
      <c r="B7" s="193">
        <v>1115974</v>
      </c>
      <c r="C7" s="192">
        <v>293401</v>
      </c>
      <c r="D7" s="198">
        <f t="shared" si="0"/>
        <v>0.26291024701292326</v>
      </c>
      <c r="E7" s="197">
        <f t="shared" si="1"/>
        <v>1.7650582166725486E-2</v>
      </c>
      <c r="F7" s="192">
        <v>248385</v>
      </c>
      <c r="G7" s="243">
        <f t="shared" si="2"/>
        <v>0.18123477665720555</v>
      </c>
      <c r="H7" s="196">
        <f t="shared" si="3"/>
        <v>0.18123477665720555</v>
      </c>
      <c r="I7" s="189">
        <f t="shared" si="4"/>
        <v>2.3325853628667723E-2</v>
      </c>
      <c r="J7" s="195">
        <f t="shared" si="5"/>
        <v>1.362626959936207E-4</v>
      </c>
      <c r="L7" s="194" t="s">
        <v>3</v>
      </c>
      <c r="M7" s="193">
        <f t="shared" si="6"/>
        <v>1463526.7640173866</v>
      </c>
      <c r="N7" s="192">
        <f t="shared" si="7"/>
        <v>1160460.6836185912</v>
      </c>
      <c r="O7" s="191">
        <f t="shared" si="8"/>
        <v>4519.3773358881917</v>
      </c>
      <c r="P7" s="190">
        <f t="shared" si="9"/>
        <v>2628506.8249718659</v>
      </c>
      <c r="Q7" s="189">
        <f t="shared" si="10"/>
        <v>1.585029971116178E-2</v>
      </c>
      <c r="S7" s="175"/>
      <c r="T7" s="175"/>
      <c r="U7" s="175"/>
      <c r="V7" s="175"/>
      <c r="W7" s="175"/>
      <c r="X7" s="175"/>
      <c r="Y7" s="175"/>
      <c r="Z7" s="175"/>
    </row>
    <row r="8" spans="1:29">
      <c r="A8" s="194" t="s">
        <v>4</v>
      </c>
      <c r="B8" s="193">
        <v>37146815</v>
      </c>
      <c r="C8" s="192">
        <v>18200124</v>
      </c>
      <c r="D8" s="198">
        <f t="shared" si="0"/>
        <v>0.48995113039973953</v>
      </c>
      <c r="E8" s="197">
        <f t="shared" si="1"/>
        <v>3.2893060590276461E-2</v>
      </c>
      <c r="F8" s="192">
        <v>15242673</v>
      </c>
      <c r="G8" s="243">
        <f t="shared" si="2"/>
        <v>0.19402443390342361</v>
      </c>
      <c r="H8" s="196">
        <f t="shared" si="3"/>
        <v>0.19402443390342361</v>
      </c>
      <c r="I8" s="189">
        <f t="shared" si="4"/>
        <v>2.4971948701526636E-2</v>
      </c>
      <c r="J8" s="195">
        <f t="shared" si="5"/>
        <v>8.4525886539520995E-3</v>
      </c>
      <c r="L8" s="194" t="s">
        <v>4</v>
      </c>
      <c r="M8" s="193">
        <f t="shared" si="6"/>
        <v>2727381.6846147683</v>
      </c>
      <c r="N8" s="192">
        <f t="shared" si="7"/>
        <v>1242353.8757804146</v>
      </c>
      <c r="O8" s="191">
        <f t="shared" si="8"/>
        <v>280344.06125389738</v>
      </c>
      <c r="P8" s="190">
        <f t="shared" si="9"/>
        <v>4250079.6216490809</v>
      </c>
      <c r="Q8" s="189">
        <f t="shared" si="10"/>
        <v>2.5628632636386647E-2</v>
      </c>
      <c r="S8" s="175"/>
      <c r="T8" s="175"/>
      <c r="U8" s="175"/>
      <c r="V8" s="175"/>
      <c r="W8" s="175"/>
      <c r="X8" s="175"/>
      <c r="Y8" s="175"/>
      <c r="Z8" s="175"/>
    </row>
    <row r="9" spans="1:29">
      <c r="A9" s="194" t="s">
        <v>219</v>
      </c>
      <c r="B9" s="193">
        <v>10240869</v>
      </c>
      <c r="C9" s="192">
        <v>1756976</v>
      </c>
      <c r="D9" s="198">
        <f t="shared" si="0"/>
        <v>0.1715651279202966</v>
      </c>
      <c r="E9" s="197">
        <f t="shared" si="1"/>
        <v>1.1518091902873276E-2</v>
      </c>
      <c r="F9" s="192">
        <v>2322895</v>
      </c>
      <c r="G9" s="243">
        <f t="shared" si="2"/>
        <v>-0.24362659526151631</v>
      </c>
      <c r="H9" s="196">
        <f t="shared" si="3"/>
        <v>0</v>
      </c>
      <c r="I9" s="189">
        <f t="shared" si="4"/>
        <v>0</v>
      </c>
      <c r="J9" s="195">
        <f t="shared" si="5"/>
        <v>8.1598319895326776E-4</v>
      </c>
      <c r="L9" s="194" t="s">
        <v>5</v>
      </c>
      <c r="M9" s="193">
        <f t="shared" si="6"/>
        <v>955041.34713729308</v>
      </c>
      <c r="N9" s="192">
        <f t="shared" si="7"/>
        <v>0</v>
      </c>
      <c r="O9" s="191">
        <f t="shared" si="8"/>
        <v>27063.430302212644</v>
      </c>
      <c r="P9" s="190">
        <f t="shared" si="9"/>
        <v>982104.77743950568</v>
      </c>
      <c r="Q9" s="189">
        <f t="shared" si="10"/>
        <v>5.9222425912272914E-3</v>
      </c>
      <c r="S9" s="175"/>
      <c r="T9" s="175"/>
      <c r="U9" s="175"/>
      <c r="V9" s="175"/>
      <c r="W9" s="175"/>
      <c r="X9" s="175"/>
      <c r="Y9" s="175"/>
      <c r="Z9" s="175"/>
    </row>
    <row r="10" spans="1:29">
      <c r="A10" s="194" t="s">
        <v>6</v>
      </c>
      <c r="B10" s="193">
        <v>679461530</v>
      </c>
      <c r="C10" s="192">
        <v>292840828.44</v>
      </c>
      <c r="D10" s="198">
        <f t="shared" si="0"/>
        <v>0.43098956380944775</v>
      </c>
      <c r="E10" s="197">
        <f t="shared" si="1"/>
        <v>2.893465277770594E-2</v>
      </c>
      <c r="F10" s="192">
        <v>263928665.28</v>
      </c>
      <c r="G10" s="243">
        <f t="shared" si="2"/>
        <v>0.10954536950098737</v>
      </c>
      <c r="H10" s="196">
        <f t="shared" si="3"/>
        <v>0.10954536950098737</v>
      </c>
      <c r="I10" s="189">
        <f t="shared" si="4"/>
        <v>1.4099055941738105E-2</v>
      </c>
      <c r="J10" s="195">
        <f t="shared" si="5"/>
        <v>0.13600253843797314</v>
      </c>
      <c r="L10" s="194" t="s">
        <v>6</v>
      </c>
      <c r="M10" s="193">
        <f t="shared" si="6"/>
        <v>2399163.8546378189</v>
      </c>
      <c r="N10" s="192">
        <f t="shared" si="7"/>
        <v>701427.7100846516</v>
      </c>
      <c r="O10" s="191">
        <f t="shared" si="8"/>
        <v>4510748.7809327794</v>
      </c>
      <c r="P10" s="190">
        <f t="shared" si="9"/>
        <v>7611340.3456552494</v>
      </c>
      <c r="Q10" s="189">
        <f t="shared" si="10"/>
        <v>4.589755085896903E-2</v>
      </c>
      <c r="S10" s="175"/>
      <c r="T10" s="175"/>
      <c r="U10" s="175"/>
      <c r="V10" s="175"/>
      <c r="W10" s="175"/>
      <c r="X10" s="175"/>
      <c r="Y10" s="175"/>
      <c r="Z10" s="175"/>
    </row>
    <row r="11" spans="1:29">
      <c r="A11" s="194" t="s">
        <v>7</v>
      </c>
      <c r="B11" s="193"/>
      <c r="C11" s="192"/>
      <c r="D11" s="198">
        <f t="shared" si="0"/>
        <v>0</v>
      </c>
      <c r="E11" s="197">
        <f t="shared" si="1"/>
        <v>0</v>
      </c>
      <c r="F11" s="192"/>
      <c r="G11" s="243">
        <f t="shared" si="2"/>
        <v>0</v>
      </c>
      <c r="H11" s="196">
        <f t="shared" si="3"/>
        <v>0</v>
      </c>
      <c r="I11" s="189">
        <f t="shared" si="4"/>
        <v>0</v>
      </c>
      <c r="J11" s="195">
        <f t="shared" si="5"/>
        <v>0</v>
      </c>
      <c r="L11" s="194" t="s">
        <v>7</v>
      </c>
      <c r="M11" s="193">
        <f t="shared" si="6"/>
        <v>0</v>
      </c>
      <c r="N11" s="192">
        <f t="shared" si="7"/>
        <v>0</v>
      </c>
      <c r="O11" s="191">
        <f t="shared" si="8"/>
        <v>0</v>
      </c>
      <c r="P11" s="190">
        <f t="shared" si="9"/>
        <v>0</v>
      </c>
      <c r="Q11" s="189">
        <f t="shared" si="10"/>
        <v>0</v>
      </c>
      <c r="S11" s="175"/>
      <c r="T11" s="175"/>
      <c r="U11" s="175"/>
      <c r="V11" s="175"/>
      <c r="W11" s="175"/>
      <c r="X11" s="175"/>
      <c r="Y11" s="175"/>
      <c r="Z11" s="175"/>
    </row>
    <row r="12" spans="1:29">
      <c r="A12" s="194" t="s">
        <v>8</v>
      </c>
      <c r="B12" s="193">
        <v>2443492</v>
      </c>
      <c r="C12" s="192">
        <v>927656</v>
      </c>
      <c r="D12" s="198">
        <f t="shared" si="0"/>
        <v>0.37964355929955979</v>
      </c>
      <c r="E12" s="197">
        <f t="shared" si="1"/>
        <v>2.5487518701222848E-2</v>
      </c>
      <c r="F12" s="192">
        <v>721021</v>
      </c>
      <c r="G12" s="243">
        <f t="shared" si="2"/>
        <v>0.2865866597505482</v>
      </c>
      <c r="H12" s="196">
        <f t="shared" si="3"/>
        <v>0.2865866597505482</v>
      </c>
      <c r="I12" s="189">
        <f t="shared" si="4"/>
        <v>3.6885186168845084E-2</v>
      </c>
      <c r="J12" s="195">
        <f t="shared" si="5"/>
        <v>4.3082643724683351E-4</v>
      </c>
      <c r="L12" s="194" t="s">
        <v>8</v>
      </c>
      <c r="M12" s="193">
        <f t="shared" si="6"/>
        <v>2113339.1190888667</v>
      </c>
      <c r="N12" s="192">
        <f t="shared" si="7"/>
        <v>1835037.166840944</v>
      </c>
      <c r="O12" s="191">
        <f t="shared" si="8"/>
        <v>14289.070255045812</v>
      </c>
      <c r="P12" s="190">
        <f t="shared" si="9"/>
        <v>3962665.3561848565</v>
      </c>
      <c r="Q12" s="189">
        <f t="shared" si="10"/>
        <v>2.3895480488714316E-2</v>
      </c>
      <c r="S12" s="175"/>
      <c r="T12" s="175"/>
      <c r="U12" s="175"/>
      <c r="V12" s="175"/>
      <c r="W12" s="175"/>
      <c r="X12" s="175"/>
      <c r="Y12" s="175"/>
      <c r="Z12" s="175"/>
    </row>
    <row r="13" spans="1:29">
      <c r="A13" s="194" t="s">
        <v>203</v>
      </c>
      <c r="B13" s="193">
        <v>96076042</v>
      </c>
      <c r="C13" s="192">
        <v>28519495.5</v>
      </c>
      <c r="D13" s="198">
        <f t="shared" si="0"/>
        <v>0.29684294758936886</v>
      </c>
      <c r="E13" s="197">
        <f t="shared" si="1"/>
        <v>1.992866727930007E-2</v>
      </c>
      <c r="F13" s="192">
        <v>28310880.329999998</v>
      </c>
      <c r="G13" s="243">
        <f t="shared" si="2"/>
        <v>7.3687277671454776E-3</v>
      </c>
      <c r="H13" s="196">
        <f t="shared" si="3"/>
        <v>7.3687277671454776E-3</v>
      </c>
      <c r="I13" s="189">
        <f t="shared" si="4"/>
        <v>9.483933961032154E-4</v>
      </c>
      <c r="J13" s="195">
        <f t="shared" si="5"/>
        <v>1.3245160531858901E-2</v>
      </c>
      <c r="L13" s="194" t="s">
        <v>9</v>
      </c>
      <c r="M13" s="193">
        <f t="shared" si="6"/>
        <v>1652417.9009481405</v>
      </c>
      <c r="N13" s="192">
        <f t="shared" si="7"/>
        <v>47182.549727941296</v>
      </c>
      <c r="O13" s="191">
        <f t="shared" si="8"/>
        <v>439297.62200423743</v>
      </c>
      <c r="P13" s="190">
        <f t="shared" si="9"/>
        <v>2138898.0726803192</v>
      </c>
      <c r="Q13" s="189">
        <f t="shared" si="10"/>
        <v>1.2897883764852779E-2</v>
      </c>
      <c r="S13" s="175"/>
      <c r="T13" s="175"/>
      <c r="U13" s="175"/>
      <c r="V13" s="175"/>
      <c r="W13" s="175"/>
      <c r="X13" s="175"/>
      <c r="Y13" s="175"/>
      <c r="Z13" s="175"/>
    </row>
    <row r="14" spans="1:29">
      <c r="A14" s="194" t="s">
        <v>204</v>
      </c>
      <c r="B14" s="193">
        <v>25918809</v>
      </c>
      <c r="C14" s="192">
        <v>6103961.7199999997</v>
      </c>
      <c r="D14" s="198">
        <f t="shared" si="0"/>
        <v>0.23550317146131211</v>
      </c>
      <c r="E14" s="197">
        <f t="shared" si="1"/>
        <v>1.5810597440114253E-2</v>
      </c>
      <c r="F14" s="192">
        <v>4203660</v>
      </c>
      <c r="G14" s="243">
        <f t="shared" si="2"/>
        <v>0.45205885347530472</v>
      </c>
      <c r="H14" s="196">
        <f t="shared" si="3"/>
        <v>0.45205885347530472</v>
      </c>
      <c r="I14" s="189">
        <f t="shared" si="4"/>
        <v>5.8182313804225776E-2</v>
      </c>
      <c r="J14" s="195">
        <f t="shared" si="5"/>
        <v>2.8348311021743552E-3</v>
      </c>
      <c r="L14" s="194" t="s">
        <v>10</v>
      </c>
      <c r="M14" s="193">
        <f t="shared" si="6"/>
        <v>1310961.4340275754</v>
      </c>
      <c r="N14" s="192">
        <f t="shared" si="7"/>
        <v>2894568.7787726894</v>
      </c>
      <c r="O14" s="191">
        <f t="shared" si="8"/>
        <v>94021.854923797466</v>
      </c>
      <c r="P14" s="190">
        <f t="shared" si="9"/>
        <v>4299552.0677240621</v>
      </c>
      <c r="Q14" s="189">
        <f t="shared" si="10"/>
        <v>2.5926959081759727E-2</v>
      </c>
      <c r="S14" s="175"/>
      <c r="T14" s="175"/>
      <c r="U14" s="175"/>
      <c r="V14" s="175"/>
      <c r="W14" s="175"/>
      <c r="X14" s="175"/>
      <c r="Y14" s="175"/>
      <c r="Z14" s="175"/>
    </row>
    <row r="15" spans="1:29">
      <c r="A15" s="194" t="s">
        <v>205</v>
      </c>
      <c r="B15" s="193">
        <v>2065528</v>
      </c>
      <c r="C15" s="192">
        <v>826855</v>
      </c>
      <c r="D15" s="198">
        <f t="shared" si="0"/>
        <v>0.40031168785898813</v>
      </c>
      <c r="E15" s="197">
        <f t="shared" si="1"/>
        <v>2.6875081588236163E-2</v>
      </c>
      <c r="F15" s="192">
        <v>3866062</v>
      </c>
      <c r="G15" s="243">
        <f t="shared" si="2"/>
        <v>-0.78612474399013776</v>
      </c>
      <c r="H15" s="196">
        <f t="shared" si="3"/>
        <v>0</v>
      </c>
      <c r="I15" s="189">
        <f t="shared" si="4"/>
        <v>0</v>
      </c>
      <c r="J15" s="195">
        <f t="shared" si="5"/>
        <v>3.8401195461435113E-4</v>
      </c>
      <c r="L15" s="194" t="s">
        <v>11</v>
      </c>
      <c r="M15" s="193">
        <f t="shared" si="6"/>
        <v>2228391.1554873898</v>
      </c>
      <c r="N15" s="192">
        <f t="shared" si="7"/>
        <v>0</v>
      </c>
      <c r="O15" s="191">
        <f t="shared" si="8"/>
        <v>12736.390629431497</v>
      </c>
      <c r="P15" s="190">
        <f t="shared" si="9"/>
        <v>2241127.5461168215</v>
      </c>
      <c r="Q15" s="189">
        <f t="shared" si="10"/>
        <v>1.3514343185040953E-2</v>
      </c>
      <c r="S15" s="175"/>
      <c r="T15" s="175"/>
      <c r="U15" s="175"/>
      <c r="V15" s="175"/>
      <c r="W15" s="175"/>
      <c r="X15" s="175"/>
      <c r="Y15" s="175"/>
      <c r="Z15" s="175"/>
    </row>
    <row r="16" spans="1:29">
      <c r="A16" s="194" t="s">
        <v>12</v>
      </c>
      <c r="B16" s="193">
        <v>4522487</v>
      </c>
      <c r="C16" s="192">
        <v>1648610</v>
      </c>
      <c r="D16" s="198">
        <f t="shared" si="0"/>
        <v>0.36453615013155372</v>
      </c>
      <c r="E16" s="197">
        <f t="shared" si="1"/>
        <v>2.4473276883431982E-2</v>
      </c>
      <c r="F16" s="192">
        <v>1407462</v>
      </c>
      <c r="G16" s="243">
        <f t="shared" si="2"/>
        <v>0.17133535399179523</v>
      </c>
      <c r="H16" s="196">
        <f t="shared" si="3"/>
        <v>0.17133535399179523</v>
      </c>
      <c r="I16" s="189">
        <f t="shared" si="4"/>
        <v>2.2051746703050271E-2</v>
      </c>
      <c r="J16" s="195">
        <f t="shared" si="5"/>
        <v>7.6565534283128892E-4</v>
      </c>
      <c r="L16" s="194" t="s">
        <v>12</v>
      </c>
      <c r="M16" s="193">
        <f t="shared" si="6"/>
        <v>2029241.607091734</v>
      </c>
      <c r="N16" s="192">
        <f t="shared" si="7"/>
        <v>1097073.8932595856</v>
      </c>
      <c r="O16" s="191">
        <f t="shared" si="8"/>
        <v>25394.223842858857</v>
      </c>
      <c r="P16" s="190">
        <f t="shared" si="9"/>
        <v>3151709.7241941784</v>
      </c>
      <c r="Q16" s="189">
        <f t="shared" si="10"/>
        <v>1.9005293521197328E-2</v>
      </c>
      <c r="S16" s="175"/>
      <c r="T16" s="175"/>
      <c r="U16" s="175"/>
      <c r="V16" s="175"/>
      <c r="W16" s="175"/>
      <c r="X16" s="175"/>
      <c r="Y16" s="175"/>
      <c r="Z16" s="175"/>
    </row>
    <row r="17" spans="1:26">
      <c r="A17" s="194" t="s">
        <v>206</v>
      </c>
      <c r="B17" s="193">
        <v>45557174</v>
      </c>
      <c r="C17" s="192">
        <v>14225141</v>
      </c>
      <c r="D17" s="198">
        <f t="shared" si="0"/>
        <v>0.31224809949800664</v>
      </c>
      <c r="E17" s="197">
        <f t="shared" si="1"/>
        <v>2.0962898172327733E-2</v>
      </c>
      <c r="F17" s="192">
        <v>12855566</v>
      </c>
      <c r="G17" s="243">
        <f t="shared" si="2"/>
        <v>0.10653556599530511</v>
      </c>
      <c r="H17" s="196">
        <f t="shared" si="3"/>
        <v>0.10653556599530511</v>
      </c>
      <c r="I17" s="189">
        <f t="shared" si="4"/>
        <v>1.3711678655107373E-2</v>
      </c>
      <c r="J17" s="195">
        <f t="shared" si="5"/>
        <v>6.6065080335424541E-3</v>
      </c>
      <c r="L17" s="194" t="s">
        <v>13</v>
      </c>
      <c r="M17" s="193">
        <f t="shared" si="6"/>
        <v>1738172.8396703908</v>
      </c>
      <c r="N17" s="192">
        <f t="shared" si="7"/>
        <v>682155.69894979091</v>
      </c>
      <c r="O17" s="191">
        <f t="shared" si="8"/>
        <v>219115.74887343223</v>
      </c>
      <c r="P17" s="190">
        <f t="shared" si="9"/>
        <v>2639444.287493614</v>
      </c>
      <c r="Q17" s="189">
        <f t="shared" si="10"/>
        <v>1.5916254289404571E-2</v>
      </c>
      <c r="S17" s="175"/>
      <c r="T17" s="175"/>
      <c r="U17" s="175"/>
      <c r="V17" s="175"/>
      <c r="W17" s="175"/>
      <c r="X17" s="175"/>
      <c r="Y17" s="175"/>
      <c r="Z17" s="175"/>
    </row>
    <row r="18" spans="1:26">
      <c r="A18" s="194" t="s">
        <v>14</v>
      </c>
      <c r="B18" s="193">
        <v>6492908</v>
      </c>
      <c r="C18" s="192">
        <v>766514</v>
      </c>
      <c r="D18" s="198">
        <f t="shared" si="0"/>
        <v>0.11805403680446419</v>
      </c>
      <c r="E18" s="197">
        <f t="shared" si="1"/>
        <v>7.9256038910815261E-3</v>
      </c>
      <c r="F18" s="192">
        <v>602897</v>
      </c>
      <c r="G18" s="243">
        <f t="shared" si="2"/>
        <v>0.27138466437882425</v>
      </c>
      <c r="H18" s="196">
        <f t="shared" si="3"/>
        <v>0.27138466437882425</v>
      </c>
      <c r="I18" s="189">
        <f t="shared" si="4"/>
        <v>3.4928610695611158E-2</v>
      </c>
      <c r="J18" s="195">
        <f t="shared" si="5"/>
        <v>3.5598809873468114E-4</v>
      </c>
      <c r="L18" s="194" t="s">
        <v>14</v>
      </c>
      <c r="M18" s="193">
        <f t="shared" si="6"/>
        <v>657164.35333589045</v>
      </c>
      <c r="N18" s="192">
        <f t="shared" si="7"/>
        <v>1737697.5818737338</v>
      </c>
      <c r="O18" s="191">
        <f t="shared" si="8"/>
        <v>11806.933170783337</v>
      </c>
      <c r="P18" s="190">
        <f t="shared" si="9"/>
        <v>2406668.8683804078</v>
      </c>
      <c r="Q18" s="189">
        <f t="shared" si="10"/>
        <v>1.4512582773971047E-2</v>
      </c>
      <c r="S18" s="175"/>
      <c r="T18" s="175"/>
      <c r="U18" s="175"/>
      <c r="V18" s="175"/>
      <c r="W18" s="175"/>
      <c r="X18" s="175"/>
      <c r="Y18" s="175"/>
      <c r="Z18" s="175"/>
    </row>
    <row r="19" spans="1:26">
      <c r="A19" s="194" t="s">
        <v>15</v>
      </c>
      <c r="B19" s="193">
        <v>1493874</v>
      </c>
      <c r="C19" s="192">
        <v>328496</v>
      </c>
      <c r="D19" s="198">
        <f t="shared" si="0"/>
        <v>0.21989538609012541</v>
      </c>
      <c r="E19" s="197">
        <f t="shared" si="1"/>
        <v>1.4762762670398314E-2</v>
      </c>
      <c r="F19" s="192">
        <v>363371</v>
      </c>
      <c r="G19" s="243">
        <f t="shared" si="2"/>
        <v>-9.5976288696676404E-2</v>
      </c>
      <c r="H19" s="196">
        <f t="shared" si="3"/>
        <v>0</v>
      </c>
      <c r="I19" s="189">
        <f t="shared" si="4"/>
        <v>0</v>
      </c>
      <c r="J19" s="195">
        <f t="shared" si="5"/>
        <v>1.5256168378131098E-4</v>
      </c>
      <c r="L19" s="194" t="s">
        <v>15</v>
      </c>
      <c r="M19" s="193">
        <f t="shared" si="6"/>
        <v>1224078.5077160422</v>
      </c>
      <c r="N19" s="192">
        <f t="shared" si="7"/>
        <v>0</v>
      </c>
      <c r="O19" s="191">
        <f t="shared" si="8"/>
        <v>5059.9601819009731</v>
      </c>
      <c r="P19" s="190">
        <f t="shared" si="9"/>
        <v>1229138.4678979432</v>
      </c>
      <c r="Q19" s="189">
        <f t="shared" si="10"/>
        <v>7.4118936719554203E-3</v>
      </c>
      <c r="S19" s="175"/>
      <c r="T19" s="175"/>
      <c r="U19" s="175"/>
      <c r="V19" s="175"/>
      <c r="W19" s="175"/>
      <c r="X19" s="175"/>
      <c r="Y19" s="175"/>
      <c r="Z19" s="175"/>
    </row>
    <row r="20" spans="1:26">
      <c r="A20" s="194" t="s">
        <v>207</v>
      </c>
      <c r="B20" s="193">
        <v>2353237</v>
      </c>
      <c r="C20" s="192">
        <v>704192</v>
      </c>
      <c r="D20" s="198">
        <f t="shared" si="0"/>
        <v>0.29924397755092241</v>
      </c>
      <c r="E20" s="197">
        <f t="shared" si="1"/>
        <v>2.0089861363983604E-2</v>
      </c>
      <c r="F20" s="192">
        <v>531178</v>
      </c>
      <c r="G20" s="243">
        <f t="shared" si="2"/>
        <v>0.32571755607348196</v>
      </c>
      <c r="H20" s="196">
        <f t="shared" si="3"/>
        <v>0.32571755607348196</v>
      </c>
      <c r="I20" s="189">
        <f t="shared" si="4"/>
        <v>4.1921535024306511E-2</v>
      </c>
      <c r="J20" s="195">
        <f t="shared" si="5"/>
        <v>3.2704421735829035E-4</v>
      </c>
      <c r="L20" s="194" t="s">
        <v>16</v>
      </c>
      <c r="M20" s="193">
        <f t="shared" si="6"/>
        <v>1665783.5709814141</v>
      </c>
      <c r="N20" s="192">
        <f t="shared" si="7"/>
        <v>2085595.4070147374</v>
      </c>
      <c r="O20" s="191">
        <f t="shared" si="8"/>
        <v>10846.961547212783</v>
      </c>
      <c r="P20" s="190">
        <f t="shared" si="9"/>
        <v>3762225.9395433641</v>
      </c>
      <c r="Q20" s="189">
        <f t="shared" si="10"/>
        <v>2.2686800032755413E-2</v>
      </c>
      <c r="S20" s="175"/>
      <c r="T20" s="175"/>
      <c r="U20" s="175"/>
      <c r="V20" s="175"/>
      <c r="W20" s="175"/>
      <c r="X20" s="175"/>
      <c r="Y20" s="175"/>
      <c r="Z20" s="175"/>
    </row>
    <row r="21" spans="1:26">
      <c r="A21" s="194" t="s">
        <v>17</v>
      </c>
      <c r="B21" s="193">
        <v>9897478</v>
      </c>
      <c r="C21" s="192">
        <v>1253081</v>
      </c>
      <c r="D21" s="198">
        <f t="shared" si="0"/>
        <v>0.12660609096579958</v>
      </c>
      <c r="E21" s="197">
        <f t="shared" si="1"/>
        <v>8.499749388961331E-3</v>
      </c>
      <c r="F21" s="192">
        <v>1058773</v>
      </c>
      <c r="G21" s="243">
        <f t="shared" si="2"/>
        <v>0.18352186918253488</v>
      </c>
      <c r="H21" s="196">
        <f t="shared" si="3"/>
        <v>0.18352186918253488</v>
      </c>
      <c r="I21" s="189">
        <f t="shared" si="4"/>
        <v>2.3620214272165835E-2</v>
      </c>
      <c r="J21" s="195">
        <f t="shared" si="5"/>
        <v>5.8196187251707463E-4</v>
      </c>
      <c r="L21" s="194" t="s">
        <v>17</v>
      </c>
      <c r="M21" s="193">
        <f t="shared" si="6"/>
        <v>704770.56227846327</v>
      </c>
      <c r="N21" s="192">
        <f t="shared" si="7"/>
        <v>1175105.1188886645</v>
      </c>
      <c r="O21" s="191">
        <f t="shared" si="8"/>
        <v>19301.726549780375</v>
      </c>
      <c r="P21" s="190">
        <f t="shared" si="9"/>
        <v>1899177.4077169083</v>
      </c>
      <c r="Q21" s="189">
        <f t="shared" si="10"/>
        <v>1.1452331350633832E-2</v>
      </c>
      <c r="S21" s="175"/>
      <c r="T21" s="175"/>
      <c r="U21" s="175"/>
      <c r="V21" s="175"/>
      <c r="W21" s="175"/>
      <c r="X21" s="175"/>
      <c r="Y21" s="175"/>
      <c r="Z21" s="175"/>
    </row>
    <row r="22" spans="1:26">
      <c r="A22" s="194" t="s">
        <v>208</v>
      </c>
      <c r="B22" s="193">
        <v>377012210</v>
      </c>
      <c r="C22" s="192">
        <v>89654721.319999993</v>
      </c>
      <c r="D22" s="198">
        <f t="shared" si="0"/>
        <v>0.23780323008636775</v>
      </c>
      <c r="E22" s="197">
        <f t="shared" si="1"/>
        <v>1.5965012774666939E-2</v>
      </c>
      <c r="F22" s="192">
        <v>84817135</v>
      </c>
      <c r="G22" s="243">
        <f t="shared" si="2"/>
        <v>5.7035483690883737E-2</v>
      </c>
      <c r="H22" s="196">
        <f t="shared" si="3"/>
        <v>5.7035483690883737E-2</v>
      </c>
      <c r="I22" s="189">
        <f t="shared" si="4"/>
        <v>7.3407619042684695E-3</v>
      </c>
      <c r="J22" s="195">
        <f t="shared" si="5"/>
        <v>4.1637874566275997E-2</v>
      </c>
      <c r="L22" s="194" t="s">
        <v>18</v>
      </c>
      <c r="M22" s="193">
        <f t="shared" si="6"/>
        <v>1323765.032954674</v>
      </c>
      <c r="N22" s="192">
        <f t="shared" si="7"/>
        <v>365202.73655662354</v>
      </c>
      <c r="O22" s="191">
        <f t="shared" si="8"/>
        <v>1380988.8704843537</v>
      </c>
      <c r="P22" s="190">
        <f t="shared" si="9"/>
        <v>3069956.6399956513</v>
      </c>
      <c r="Q22" s="189">
        <f t="shared" si="10"/>
        <v>1.851230987186921E-2</v>
      </c>
      <c r="S22" s="175"/>
      <c r="T22" s="175"/>
      <c r="U22" s="175"/>
      <c r="V22" s="175"/>
      <c r="W22" s="175"/>
      <c r="X22" s="175"/>
      <c r="Y22" s="175"/>
      <c r="Z22" s="175"/>
    </row>
    <row r="23" spans="1:26">
      <c r="A23" s="194" t="s">
        <v>19</v>
      </c>
      <c r="B23" s="193">
        <v>4942797</v>
      </c>
      <c r="C23" s="192">
        <v>1101010</v>
      </c>
      <c r="D23" s="198">
        <f t="shared" si="0"/>
        <v>0.22275039820571227</v>
      </c>
      <c r="E23" s="197">
        <f t="shared" si="1"/>
        <v>1.4954435024388707E-2</v>
      </c>
      <c r="F23" s="192">
        <v>1347671</v>
      </c>
      <c r="G23" s="243">
        <f t="shared" si="2"/>
        <v>-0.18302760837029219</v>
      </c>
      <c r="H23" s="196">
        <f t="shared" si="3"/>
        <v>0</v>
      </c>
      <c r="I23" s="189">
        <f t="shared" si="4"/>
        <v>0</v>
      </c>
      <c r="J23" s="195">
        <f t="shared" si="5"/>
        <v>5.1133633121883126E-4</v>
      </c>
      <c r="L23" s="194" t="s">
        <v>19</v>
      </c>
      <c r="M23" s="193">
        <f t="shared" si="6"/>
        <v>1239971.3330822207</v>
      </c>
      <c r="N23" s="192">
        <f t="shared" si="7"/>
        <v>0</v>
      </c>
      <c r="O23" s="191">
        <f t="shared" si="8"/>
        <v>16959.313842100939</v>
      </c>
      <c r="P23" s="190">
        <f t="shared" si="9"/>
        <v>1256930.6469243218</v>
      </c>
      <c r="Q23" s="189">
        <f t="shared" si="10"/>
        <v>7.5794847784381204E-3</v>
      </c>
      <c r="S23" s="175"/>
      <c r="T23" s="175"/>
      <c r="U23" s="175"/>
      <c r="V23" s="175"/>
      <c r="W23" s="175"/>
      <c r="X23" s="175"/>
      <c r="Y23" s="175"/>
      <c r="Z23" s="175"/>
    </row>
    <row r="24" spans="1:26">
      <c r="A24" s="194" t="s">
        <v>20</v>
      </c>
      <c r="B24" s="193">
        <v>437682929</v>
      </c>
      <c r="C24" s="192">
        <v>149244141.31999999</v>
      </c>
      <c r="D24" s="198">
        <f t="shared" si="0"/>
        <v>0.34098689126621157</v>
      </c>
      <c r="E24" s="197">
        <f t="shared" si="1"/>
        <v>2.2892288187514858E-2</v>
      </c>
      <c r="F24" s="192">
        <v>139338983</v>
      </c>
      <c r="G24" s="243">
        <f t="shared" si="2"/>
        <v>7.1086770598863813E-2</v>
      </c>
      <c r="H24" s="196">
        <f t="shared" si="3"/>
        <v>7.1086770598863813E-2</v>
      </c>
      <c r="I24" s="189">
        <f t="shared" si="4"/>
        <v>9.1492352434107294E-3</v>
      </c>
      <c r="J24" s="195">
        <f t="shared" si="5"/>
        <v>6.9312678066932712E-2</v>
      </c>
      <c r="L24" s="194" t="s">
        <v>20</v>
      </c>
      <c r="M24" s="193">
        <f t="shared" si="6"/>
        <v>1898151.3547574158</v>
      </c>
      <c r="N24" s="192">
        <f t="shared" si="7"/>
        <v>455174.24374587147</v>
      </c>
      <c r="O24" s="191">
        <f t="shared" si="8"/>
        <v>2298869.4305598903</v>
      </c>
      <c r="P24" s="190">
        <f t="shared" si="9"/>
        <v>4652195.0290631782</v>
      </c>
      <c r="Q24" s="189">
        <f t="shared" si="10"/>
        <v>2.8053450280167196E-2</v>
      </c>
      <c r="S24" s="175"/>
      <c r="T24" s="175"/>
      <c r="U24" s="175"/>
      <c r="V24" s="175"/>
      <c r="W24" s="175"/>
      <c r="X24" s="175"/>
      <c r="Y24" s="175"/>
      <c r="Z24" s="175"/>
    </row>
    <row r="25" spans="1:26">
      <c r="A25" s="194" t="s">
        <v>209</v>
      </c>
      <c r="B25" s="193">
        <v>11203821</v>
      </c>
      <c r="C25" s="192">
        <v>4417747</v>
      </c>
      <c r="D25" s="198">
        <f t="shared" si="0"/>
        <v>0.39430717431133538</v>
      </c>
      <c r="E25" s="197">
        <f t="shared" si="1"/>
        <v>2.6471966224920363E-2</v>
      </c>
      <c r="F25" s="192">
        <v>3647488</v>
      </c>
      <c r="G25" s="243">
        <f t="shared" si="2"/>
        <v>0.21117519783478378</v>
      </c>
      <c r="H25" s="196">
        <f t="shared" si="3"/>
        <v>0.21117519783478378</v>
      </c>
      <c r="I25" s="189">
        <f t="shared" si="4"/>
        <v>2.7179340773079343E-2</v>
      </c>
      <c r="J25" s="195">
        <f t="shared" si="5"/>
        <v>2.0517111953869613E-3</v>
      </c>
      <c r="L25" s="194" t="s">
        <v>21</v>
      </c>
      <c r="M25" s="193">
        <f t="shared" si="6"/>
        <v>2194966.1886717645</v>
      </c>
      <c r="N25" s="192">
        <f t="shared" si="7"/>
        <v>1352171.5807676434</v>
      </c>
      <c r="O25" s="191">
        <f t="shared" si="8"/>
        <v>68048.389976476057</v>
      </c>
      <c r="P25" s="190">
        <f t="shared" si="9"/>
        <v>3615186.1594158835</v>
      </c>
      <c r="Q25" s="189">
        <f t="shared" si="10"/>
        <v>2.1800127583461375E-2</v>
      </c>
      <c r="S25" s="175"/>
      <c r="T25" s="175"/>
      <c r="U25" s="175"/>
      <c r="V25" s="175"/>
      <c r="W25" s="175"/>
      <c r="X25" s="175"/>
      <c r="Y25" s="175"/>
      <c r="Z25" s="175"/>
    </row>
    <row r="26" spans="1:26">
      <c r="A26" s="194" t="s">
        <v>22</v>
      </c>
      <c r="B26" s="193">
        <v>822645</v>
      </c>
      <c r="C26" s="192">
        <v>320606.25</v>
      </c>
      <c r="D26" s="198">
        <f t="shared" si="0"/>
        <v>0.38972612730886347</v>
      </c>
      <c r="E26" s="197">
        <f t="shared" si="1"/>
        <v>2.6164415844342055E-2</v>
      </c>
      <c r="F26" s="192">
        <v>228955</v>
      </c>
      <c r="G26" s="243">
        <f t="shared" si="2"/>
        <v>0.40030246118232848</v>
      </c>
      <c r="H26" s="196">
        <f t="shared" si="3"/>
        <v>0.40030246118232848</v>
      </c>
      <c r="I26" s="189">
        <f t="shared" si="4"/>
        <v>5.1520998281668361E-2</v>
      </c>
      <c r="J26" s="195">
        <f t="shared" si="5"/>
        <v>1.4889748834327339E-4</v>
      </c>
      <c r="L26" s="194" t="s">
        <v>22</v>
      </c>
      <c r="M26" s="193">
        <f t="shared" si="6"/>
        <v>2169465.1480257157</v>
      </c>
      <c r="N26" s="192">
        <f t="shared" si="7"/>
        <v>2563168.4841397153</v>
      </c>
      <c r="O26" s="191">
        <f t="shared" si="8"/>
        <v>4938.4310891718287</v>
      </c>
      <c r="P26" s="190">
        <f t="shared" si="9"/>
        <v>4737572.0632546032</v>
      </c>
      <c r="Q26" s="189">
        <f t="shared" si="10"/>
        <v>2.8568286904340188E-2</v>
      </c>
      <c r="S26" s="175"/>
      <c r="T26" s="175"/>
      <c r="U26" s="175"/>
      <c r="V26" s="175"/>
      <c r="W26" s="175"/>
      <c r="X26" s="175"/>
      <c r="Y26" s="175"/>
      <c r="Z26" s="175"/>
    </row>
    <row r="27" spans="1:26">
      <c r="A27" s="194" t="s">
        <v>23</v>
      </c>
      <c r="B27" s="193"/>
      <c r="C27" s="192"/>
      <c r="D27" s="198">
        <f t="shared" si="0"/>
        <v>0</v>
      </c>
      <c r="E27" s="197">
        <f t="shared" si="1"/>
        <v>0</v>
      </c>
      <c r="F27" s="192"/>
      <c r="G27" s="243">
        <f t="shared" si="2"/>
        <v>0</v>
      </c>
      <c r="H27" s="196">
        <f t="shared" si="3"/>
        <v>0</v>
      </c>
      <c r="I27" s="189">
        <f t="shared" si="4"/>
        <v>0</v>
      </c>
      <c r="J27" s="195">
        <f t="shared" si="5"/>
        <v>0</v>
      </c>
      <c r="L27" s="194" t="s">
        <v>23</v>
      </c>
      <c r="M27" s="193">
        <f t="shared" si="6"/>
        <v>0</v>
      </c>
      <c r="N27" s="192">
        <f t="shared" si="7"/>
        <v>0</v>
      </c>
      <c r="O27" s="191">
        <f t="shared" si="8"/>
        <v>0</v>
      </c>
      <c r="P27" s="190">
        <f t="shared" si="9"/>
        <v>0</v>
      </c>
      <c r="Q27" s="189">
        <f t="shared" si="10"/>
        <v>0</v>
      </c>
      <c r="S27" s="175"/>
      <c r="T27" s="175"/>
      <c r="U27" s="175"/>
      <c r="V27" s="175"/>
      <c r="W27" s="175"/>
      <c r="X27" s="175"/>
      <c r="Y27" s="175"/>
      <c r="Z27" s="175"/>
    </row>
    <row r="28" spans="1:26">
      <c r="A28" s="194" t="s">
        <v>24</v>
      </c>
      <c r="B28" s="193">
        <v>59610291</v>
      </c>
      <c r="C28" s="192">
        <v>7133102</v>
      </c>
      <c r="D28" s="198">
        <f t="shared" si="0"/>
        <v>0.11966225764608329</v>
      </c>
      <c r="E28" s="197">
        <f t="shared" si="1"/>
        <v>8.0335724257040789E-3</v>
      </c>
      <c r="F28" s="192">
        <v>11872386</v>
      </c>
      <c r="G28" s="243">
        <f t="shared" si="2"/>
        <v>-0.39918547122709791</v>
      </c>
      <c r="H28" s="196">
        <f t="shared" si="3"/>
        <v>0</v>
      </c>
      <c r="I28" s="189">
        <f t="shared" si="4"/>
        <v>0</v>
      </c>
      <c r="J28" s="195">
        <f t="shared" si="5"/>
        <v>3.3127893542199507E-3</v>
      </c>
      <c r="L28" s="194" t="s">
        <v>24</v>
      </c>
      <c r="M28" s="193">
        <f t="shared" si="6"/>
        <v>666116.74020898354</v>
      </c>
      <c r="N28" s="192">
        <f t="shared" si="7"/>
        <v>0</v>
      </c>
      <c r="O28" s="191">
        <f t="shared" si="8"/>
        <v>109874.12964979238</v>
      </c>
      <c r="P28" s="190">
        <f t="shared" si="9"/>
        <v>775990.86985877587</v>
      </c>
      <c r="Q28" s="189">
        <f t="shared" si="10"/>
        <v>4.6793440836960295E-3</v>
      </c>
      <c r="S28" s="175"/>
      <c r="T28" s="175"/>
      <c r="U28" s="175"/>
      <c r="V28" s="175"/>
      <c r="W28" s="175"/>
      <c r="X28" s="175"/>
      <c r="Y28" s="175"/>
      <c r="Z28" s="175"/>
    </row>
    <row r="29" spans="1:26">
      <c r="A29" s="194" t="s">
        <v>25</v>
      </c>
      <c r="B29" s="193">
        <v>542535324</v>
      </c>
      <c r="C29" s="192">
        <v>259353547.03</v>
      </c>
      <c r="D29" s="198">
        <f t="shared" si="0"/>
        <v>0.47803992764533798</v>
      </c>
      <c r="E29" s="197">
        <f t="shared" si="1"/>
        <v>3.2093397338996806E-2</v>
      </c>
      <c r="F29" s="192">
        <v>252087113.56999999</v>
      </c>
      <c r="G29" s="243">
        <f t="shared" si="2"/>
        <v>2.8825088903174922E-2</v>
      </c>
      <c r="H29" s="196">
        <f t="shared" si="3"/>
        <v>2.8825088903174922E-2</v>
      </c>
      <c r="I29" s="189">
        <f t="shared" si="4"/>
        <v>3.7099381089565312E-3</v>
      </c>
      <c r="J29" s="195">
        <f t="shared" si="5"/>
        <v>0.12045021500886534</v>
      </c>
      <c r="L29" s="194" t="s">
        <v>25</v>
      </c>
      <c r="M29" s="193">
        <f t="shared" si="6"/>
        <v>2661076.3038973426</v>
      </c>
      <c r="N29" s="192">
        <f t="shared" si="7"/>
        <v>184569.33592394565</v>
      </c>
      <c r="O29" s="191">
        <f t="shared" si="8"/>
        <v>3994930.2914086669</v>
      </c>
      <c r="P29" s="190">
        <f t="shared" si="9"/>
        <v>6840575.9312299546</v>
      </c>
      <c r="Q29" s="189">
        <f t="shared" si="10"/>
        <v>4.1249723103958427E-2</v>
      </c>
      <c r="S29" s="175"/>
      <c r="T29" s="175"/>
      <c r="U29" s="175"/>
      <c r="V29" s="175"/>
      <c r="W29" s="175"/>
      <c r="X29" s="175"/>
      <c r="Y29" s="175"/>
      <c r="Z29" s="175"/>
    </row>
    <row r="30" spans="1:26">
      <c r="A30" s="194" t="s">
        <v>210</v>
      </c>
      <c r="B30" s="193">
        <v>1019354</v>
      </c>
      <c r="C30" s="192">
        <v>294751</v>
      </c>
      <c r="D30" s="198">
        <f t="shared" si="0"/>
        <v>0.28915469993741133</v>
      </c>
      <c r="E30" s="197">
        <f t="shared" si="1"/>
        <v>1.9412513768964124E-2</v>
      </c>
      <c r="F30" s="192">
        <v>228664</v>
      </c>
      <c r="G30" s="243">
        <f t="shared" si="2"/>
        <v>0.28901357450232656</v>
      </c>
      <c r="H30" s="196">
        <f t="shared" si="3"/>
        <v>0.28901357450232656</v>
      </c>
      <c r="I30" s="189">
        <f t="shared" si="4"/>
        <v>3.719754265645403E-2</v>
      </c>
      <c r="J30" s="195">
        <f t="shared" si="5"/>
        <v>1.3688966945175953E-4</v>
      </c>
      <c r="L30" s="194" t="s">
        <v>26</v>
      </c>
      <c r="M30" s="193">
        <f t="shared" si="6"/>
        <v>1609620.1920917009</v>
      </c>
      <c r="N30" s="192">
        <f t="shared" si="7"/>
        <v>1850576.8949432371</v>
      </c>
      <c r="O30" s="191">
        <f t="shared" si="8"/>
        <v>4540.1719460069344</v>
      </c>
      <c r="P30" s="190">
        <f t="shared" si="9"/>
        <v>3464737.2589809448</v>
      </c>
      <c r="Q30" s="189">
        <f t="shared" si="10"/>
        <v>2.0892897615308621E-2</v>
      </c>
      <c r="S30" s="175"/>
      <c r="T30" s="175"/>
      <c r="U30" s="175"/>
      <c r="V30" s="175"/>
      <c r="W30" s="175"/>
      <c r="X30" s="175"/>
      <c r="Y30" s="175"/>
      <c r="Z30" s="175"/>
    </row>
    <row r="31" spans="1:26">
      <c r="A31" s="194" t="s">
        <v>27</v>
      </c>
      <c r="B31" s="193">
        <v>2430155</v>
      </c>
      <c r="C31" s="192">
        <v>501704</v>
      </c>
      <c r="D31" s="198">
        <f t="shared" si="0"/>
        <v>0.20644938285829506</v>
      </c>
      <c r="E31" s="197">
        <f t="shared" si="1"/>
        <v>1.3860059989335403E-2</v>
      </c>
      <c r="F31" s="192">
        <v>558660</v>
      </c>
      <c r="G31" s="243">
        <f t="shared" si="2"/>
        <v>-0.10195109726846385</v>
      </c>
      <c r="H31" s="196">
        <f t="shared" si="3"/>
        <v>0</v>
      </c>
      <c r="I31" s="189">
        <f t="shared" si="4"/>
        <v>0</v>
      </c>
      <c r="J31" s="195">
        <f t="shared" si="5"/>
        <v>2.3300377173487302E-4</v>
      </c>
      <c r="L31" s="194" t="s">
        <v>27</v>
      </c>
      <c r="M31" s="193">
        <f t="shared" si="6"/>
        <v>1149229.4448802345</v>
      </c>
      <c r="N31" s="192">
        <f t="shared" si="7"/>
        <v>0</v>
      </c>
      <c r="O31" s="191">
        <f t="shared" si="8"/>
        <v>7727.9548703802966</v>
      </c>
      <c r="P31" s="190">
        <f t="shared" si="9"/>
        <v>1156957.3997506148</v>
      </c>
      <c r="Q31" s="189">
        <f t="shared" si="10"/>
        <v>6.976630749014676E-3</v>
      </c>
      <c r="S31" s="175"/>
      <c r="T31" s="175"/>
      <c r="U31" s="175"/>
      <c r="V31" s="175"/>
      <c r="W31" s="175"/>
      <c r="X31" s="175"/>
      <c r="Y31" s="175"/>
      <c r="Z31" s="175"/>
    </row>
    <row r="32" spans="1:26">
      <c r="A32" s="194" t="s">
        <v>28</v>
      </c>
      <c r="B32" s="193">
        <v>721085</v>
      </c>
      <c r="C32" s="192">
        <v>314751</v>
      </c>
      <c r="D32" s="198">
        <f t="shared" si="0"/>
        <v>0.436496390855447</v>
      </c>
      <c r="E32" s="197">
        <f t="shared" si="1"/>
        <v>2.9304355763259706E-2</v>
      </c>
      <c r="F32" s="192">
        <v>282361</v>
      </c>
      <c r="G32" s="243">
        <f t="shared" si="2"/>
        <v>0.11471130928138096</v>
      </c>
      <c r="H32" s="196">
        <f t="shared" si="3"/>
        <v>0.11471130928138096</v>
      </c>
      <c r="I32" s="189">
        <f t="shared" si="4"/>
        <v>1.4763939124726164E-2</v>
      </c>
      <c r="J32" s="195">
        <f t="shared" si="5"/>
        <v>1.4617816512789018E-4</v>
      </c>
      <c r="L32" s="194" t="s">
        <v>28</v>
      </c>
      <c r="M32" s="193">
        <f t="shared" si="6"/>
        <v>2429818.3797398345</v>
      </c>
      <c r="N32" s="192">
        <f t="shared" si="7"/>
        <v>734505.63320548262</v>
      </c>
      <c r="O32" s="191">
        <f t="shared" si="8"/>
        <v>4848.2402440623728</v>
      </c>
      <c r="P32" s="190">
        <f t="shared" si="9"/>
        <v>3169172.2531893793</v>
      </c>
      <c r="Q32" s="189">
        <f t="shared" si="10"/>
        <v>1.911059525207328E-2</v>
      </c>
      <c r="S32" s="175"/>
      <c r="T32" s="175"/>
      <c r="U32" s="175"/>
      <c r="V32" s="175"/>
      <c r="W32" s="175"/>
      <c r="X32" s="175"/>
      <c r="Y32" s="175"/>
      <c r="Z32" s="175"/>
    </row>
    <row r="33" spans="1:26">
      <c r="A33" s="194" t="s">
        <v>29</v>
      </c>
      <c r="B33" s="193">
        <v>1890448</v>
      </c>
      <c r="C33" s="192">
        <v>586273</v>
      </c>
      <c r="D33" s="198">
        <f t="shared" si="0"/>
        <v>0.31012384366033874</v>
      </c>
      <c r="E33" s="197">
        <f t="shared" si="1"/>
        <v>2.082028542660215E-2</v>
      </c>
      <c r="F33" s="192">
        <v>494360</v>
      </c>
      <c r="G33" s="243">
        <f t="shared" si="2"/>
        <v>0.18592321385225352</v>
      </c>
      <c r="H33" s="196">
        <f t="shared" si="3"/>
        <v>0.18592321385225352</v>
      </c>
      <c r="I33" s="189">
        <f t="shared" si="4"/>
        <v>2.3929279757890928E-2</v>
      </c>
      <c r="J33" s="195">
        <f t="shared" si="5"/>
        <v>2.7227971127660776E-4</v>
      </c>
      <c r="L33" s="194" t="s">
        <v>29</v>
      </c>
      <c r="M33" s="193">
        <f t="shared" si="6"/>
        <v>1726347.8716162001</v>
      </c>
      <c r="N33" s="192">
        <f t="shared" si="7"/>
        <v>1190481.1197226343</v>
      </c>
      <c r="O33" s="191">
        <f t="shared" si="8"/>
        <v>9030.6062652928176</v>
      </c>
      <c r="P33" s="190">
        <f t="shared" si="9"/>
        <v>2925859.5976041271</v>
      </c>
      <c r="Q33" s="189">
        <f t="shared" si="10"/>
        <v>1.7643382582923674E-2</v>
      </c>
      <c r="S33" s="175"/>
      <c r="T33" s="175"/>
      <c r="U33" s="175"/>
      <c r="V33" s="175"/>
      <c r="W33" s="175"/>
      <c r="X33" s="175"/>
      <c r="Y33" s="175"/>
      <c r="Z33" s="175"/>
    </row>
    <row r="34" spans="1:26">
      <c r="A34" s="194" t="s">
        <v>30</v>
      </c>
      <c r="B34" s="193">
        <v>574456</v>
      </c>
      <c r="C34" s="192">
        <v>107675</v>
      </c>
      <c r="D34" s="198">
        <f t="shared" si="0"/>
        <v>0.18743820240366538</v>
      </c>
      <c r="E34" s="197">
        <f t="shared" si="1"/>
        <v>1.2583736960798625E-2</v>
      </c>
      <c r="F34" s="192">
        <v>111314</v>
      </c>
      <c r="G34" s="243">
        <f t="shared" si="2"/>
        <v>-3.2691305675835891E-2</v>
      </c>
      <c r="H34" s="196">
        <f t="shared" si="3"/>
        <v>0</v>
      </c>
      <c r="I34" s="189">
        <f t="shared" si="4"/>
        <v>0</v>
      </c>
      <c r="J34" s="195">
        <f t="shared" si="5"/>
        <v>5.0006938596368483E-5</v>
      </c>
      <c r="L34" s="194" t="s">
        <v>30</v>
      </c>
      <c r="M34" s="193">
        <f t="shared" si="6"/>
        <v>1043401.0424994513</v>
      </c>
      <c r="N34" s="192">
        <f t="shared" si="7"/>
        <v>0</v>
      </c>
      <c r="O34" s="191">
        <f t="shared" si="8"/>
        <v>1658.5626996559695</v>
      </c>
      <c r="P34" s="190">
        <f t="shared" si="9"/>
        <v>1045059.6051991073</v>
      </c>
      <c r="Q34" s="189">
        <f t="shared" si="10"/>
        <v>6.3018698681185864E-3</v>
      </c>
      <c r="S34" s="175"/>
      <c r="T34" s="175"/>
      <c r="U34" s="175"/>
      <c r="V34" s="175"/>
      <c r="W34" s="175"/>
      <c r="X34" s="175"/>
      <c r="Y34" s="175"/>
      <c r="Z34" s="175"/>
    </row>
    <row r="35" spans="1:26">
      <c r="A35" s="194" t="s">
        <v>211</v>
      </c>
      <c r="B35" s="193"/>
      <c r="C35" s="192"/>
      <c r="D35" s="198">
        <f t="shared" si="0"/>
        <v>0</v>
      </c>
      <c r="E35" s="197">
        <f t="shared" si="1"/>
        <v>0</v>
      </c>
      <c r="F35" s="192"/>
      <c r="G35" s="243">
        <f t="shared" si="2"/>
        <v>0</v>
      </c>
      <c r="H35" s="196">
        <f t="shared" si="3"/>
        <v>0</v>
      </c>
      <c r="I35" s="189">
        <f t="shared" si="4"/>
        <v>0</v>
      </c>
      <c r="J35" s="195">
        <f t="shared" si="5"/>
        <v>0</v>
      </c>
      <c r="L35" s="194" t="s">
        <v>31</v>
      </c>
      <c r="M35" s="193">
        <f t="shared" si="6"/>
        <v>0</v>
      </c>
      <c r="N35" s="192">
        <f t="shared" si="7"/>
        <v>0</v>
      </c>
      <c r="O35" s="191">
        <f t="shared" si="8"/>
        <v>0</v>
      </c>
      <c r="P35" s="190">
        <f t="shared" si="9"/>
        <v>0</v>
      </c>
      <c r="Q35" s="189">
        <f t="shared" si="10"/>
        <v>0</v>
      </c>
      <c r="S35" s="175"/>
      <c r="T35" s="175"/>
      <c r="U35" s="175"/>
      <c r="V35" s="175"/>
      <c r="W35" s="175"/>
      <c r="X35" s="175"/>
      <c r="Y35" s="175"/>
      <c r="Z35" s="175"/>
    </row>
    <row r="36" spans="1:26">
      <c r="A36" s="194" t="s">
        <v>32</v>
      </c>
      <c r="B36" s="193">
        <v>3808697</v>
      </c>
      <c r="C36" s="192">
        <v>1383880</v>
      </c>
      <c r="D36" s="198">
        <f t="shared" si="0"/>
        <v>0.36334736000264656</v>
      </c>
      <c r="E36" s="197">
        <f t="shared" si="1"/>
        <v>2.4393466993602026E-2</v>
      </c>
      <c r="F36" s="192">
        <v>1144646</v>
      </c>
      <c r="G36" s="243">
        <f t="shared" si="2"/>
        <v>0.20900260866678422</v>
      </c>
      <c r="H36" s="196">
        <f t="shared" si="3"/>
        <v>0.20900260866678422</v>
      </c>
      <c r="I36" s="189">
        <f t="shared" si="4"/>
        <v>2.6899717304213651E-2</v>
      </c>
      <c r="J36" s="195">
        <f t="shared" si="5"/>
        <v>6.4270816981418536E-4</v>
      </c>
      <c r="L36" s="194" t="s">
        <v>32</v>
      </c>
      <c r="M36" s="193">
        <f t="shared" si="6"/>
        <v>2022624.0401074779</v>
      </c>
      <c r="N36" s="192">
        <f t="shared" si="7"/>
        <v>1338260.3195978964</v>
      </c>
      <c r="O36" s="191">
        <f t="shared" si="8"/>
        <v>21316.477815648039</v>
      </c>
      <c r="P36" s="190">
        <f t="shared" si="9"/>
        <v>3382200.8375210227</v>
      </c>
      <c r="Q36" s="189">
        <f t="shared" si="10"/>
        <v>2.0395190322027947E-2</v>
      </c>
      <c r="S36" s="175"/>
      <c r="T36" s="175"/>
      <c r="U36" s="175"/>
      <c r="V36" s="175"/>
      <c r="W36" s="175"/>
      <c r="X36" s="175"/>
      <c r="Y36" s="175"/>
      <c r="Z36" s="175"/>
    </row>
    <row r="37" spans="1:26">
      <c r="A37" s="194" t="s">
        <v>33</v>
      </c>
      <c r="B37" s="193">
        <v>39439786</v>
      </c>
      <c r="C37" s="192">
        <v>10865396</v>
      </c>
      <c r="D37" s="198">
        <f t="shared" ref="D37:D55" si="11">IFERROR(C37/B37,0)</f>
        <v>0.27549327980633564</v>
      </c>
      <c r="E37" s="197">
        <f t="shared" ref="E37:E55" si="12">IFERROR(D37/$D$56,0)</f>
        <v>1.8495348990195132E-2</v>
      </c>
      <c r="F37" s="192">
        <v>10001944</v>
      </c>
      <c r="G37" s="243">
        <f t="shared" ref="G37:G55" si="13">IFERROR((C37/F37)-1,0)</f>
        <v>8.6328417755588305E-2</v>
      </c>
      <c r="H37" s="196">
        <f t="shared" ref="H37:H55" si="14">IF(G37&lt;0,0,G37)</f>
        <v>8.6328417755588305E-2</v>
      </c>
      <c r="I37" s="189">
        <f t="shared" ref="I37:I55" si="15">IFERROR(H37/$H$56,0)</f>
        <v>1.1110914106568476E-2</v>
      </c>
      <c r="J37" s="195">
        <f t="shared" ref="J37:J55" si="16">IFERROR(C37/$C$56,0)</f>
        <v>5.0461591882723722E-3</v>
      </c>
      <c r="L37" s="194" t="s">
        <v>33</v>
      </c>
      <c r="M37" s="193">
        <f t="shared" ref="M37:M55" si="17">IFERROR($M$3*E37,0)</f>
        <v>1533571.9808733212</v>
      </c>
      <c r="N37" s="192">
        <f t="shared" ref="N37:N55" si="18">IFERROR($N$3*I37,0)</f>
        <v>552767.72224487038</v>
      </c>
      <c r="O37" s="191">
        <f t="shared" ref="O37:O55" si="19">IFERROR($O$3*J37,0)</f>
        <v>167364.20267091869</v>
      </c>
      <c r="P37" s="190">
        <f t="shared" ref="P37:P55" si="20">IFERROR(SUM(M37:O37),0)</f>
        <v>2253703.9057891103</v>
      </c>
      <c r="Q37" s="189">
        <f t="shared" ref="Q37:Q55" si="21">IFERROR(P37/$P$56,0)</f>
        <v>1.3590180564722583E-2</v>
      </c>
      <c r="S37" s="175"/>
      <c r="T37" s="175"/>
      <c r="U37" s="175"/>
      <c r="V37" s="175"/>
      <c r="W37" s="175"/>
      <c r="X37" s="175"/>
      <c r="Y37" s="175"/>
      <c r="Z37" s="175"/>
    </row>
    <row r="38" spans="1:26">
      <c r="A38" s="194" t="s">
        <v>212</v>
      </c>
      <c r="B38" s="193">
        <v>2142351</v>
      </c>
      <c r="C38" s="192">
        <v>1126052</v>
      </c>
      <c r="D38" s="198">
        <f t="shared" si="11"/>
        <v>0.52561508361608344</v>
      </c>
      <c r="E38" s="197">
        <f t="shared" si="12"/>
        <v>3.5287374025326369E-2</v>
      </c>
      <c r="F38" s="192">
        <v>491980</v>
      </c>
      <c r="G38" s="243">
        <f t="shared" si="13"/>
        <v>1.28881661856173</v>
      </c>
      <c r="H38" s="196">
        <f t="shared" si="14"/>
        <v>1.28881661856173</v>
      </c>
      <c r="I38" s="189">
        <f t="shared" si="15"/>
        <v>0.16587736831340727</v>
      </c>
      <c r="J38" s="195">
        <f t="shared" si="16"/>
        <v>5.2296645665491455E-4</v>
      </c>
      <c r="L38" s="194" t="s">
        <v>34</v>
      </c>
      <c r="M38" s="193">
        <f t="shared" si="17"/>
        <v>2925910.0821793471</v>
      </c>
      <c r="N38" s="192">
        <f t="shared" si="18"/>
        <v>8252395.2732538823</v>
      </c>
      <c r="O38" s="191">
        <f t="shared" si="19"/>
        <v>17345.046158096156</v>
      </c>
      <c r="P38" s="190">
        <f t="shared" si="20"/>
        <v>11195650.401591325</v>
      </c>
      <c r="Q38" s="189">
        <f t="shared" si="21"/>
        <v>6.7511490798016341E-2</v>
      </c>
      <c r="S38" s="175"/>
      <c r="T38" s="175"/>
      <c r="U38" s="175"/>
      <c r="V38" s="175"/>
      <c r="W38" s="175"/>
      <c r="X38" s="175"/>
      <c r="Y38" s="175"/>
      <c r="Z38" s="175"/>
    </row>
    <row r="39" spans="1:26">
      <c r="A39" s="194" t="s">
        <v>35</v>
      </c>
      <c r="B39" s="193">
        <v>758867</v>
      </c>
      <c r="C39" s="192">
        <v>319251</v>
      </c>
      <c r="D39" s="198">
        <f t="shared" si="11"/>
        <v>0.42069427185527897</v>
      </c>
      <c r="E39" s="197">
        <f t="shared" si="12"/>
        <v>2.8243474329425255E-2</v>
      </c>
      <c r="F39" s="192">
        <v>296444</v>
      </c>
      <c r="G39" s="243">
        <f t="shared" si="13"/>
        <v>7.6935272766525786E-2</v>
      </c>
      <c r="H39" s="196">
        <f t="shared" si="14"/>
        <v>7.6935272766525786E-2</v>
      </c>
      <c r="I39" s="189">
        <f t="shared" si="15"/>
        <v>9.9019677378362429E-3</v>
      </c>
      <c r="J39" s="195">
        <f t="shared" si="16"/>
        <v>1.4826807665501958E-4</v>
      </c>
      <c r="L39" s="194" t="s">
        <v>35</v>
      </c>
      <c r="M39" s="193">
        <f t="shared" si="17"/>
        <v>2341853.6680266513</v>
      </c>
      <c r="N39" s="192">
        <f t="shared" si="18"/>
        <v>492622.66809804173</v>
      </c>
      <c r="O39" s="191">
        <f t="shared" si="19"/>
        <v>4917.555611124847</v>
      </c>
      <c r="P39" s="190">
        <f t="shared" si="20"/>
        <v>2839393.8917358178</v>
      </c>
      <c r="Q39" s="189">
        <f t="shared" si="21"/>
        <v>1.7121981101394505E-2</v>
      </c>
      <c r="S39" s="175"/>
      <c r="T39" s="175"/>
      <c r="U39" s="175"/>
      <c r="V39" s="175"/>
      <c r="W39" s="175"/>
      <c r="X39" s="175"/>
      <c r="Y39" s="175"/>
      <c r="Z39" s="175"/>
    </row>
    <row r="40" spans="1:26">
      <c r="A40" s="194" t="s">
        <v>36</v>
      </c>
      <c r="B40" s="193">
        <v>746282</v>
      </c>
      <c r="C40" s="192">
        <v>69817</v>
      </c>
      <c r="D40" s="198">
        <f t="shared" si="11"/>
        <v>9.3553107270441999E-2</v>
      </c>
      <c r="E40" s="197">
        <f t="shared" si="12"/>
        <v>6.2807244129524271E-3</v>
      </c>
      <c r="F40" s="192">
        <v>94052</v>
      </c>
      <c r="G40" s="243">
        <f t="shared" si="13"/>
        <v>-0.25767660443159102</v>
      </c>
      <c r="H40" s="196">
        <f t="shared" si="14"/>
        <v>0</v>
      </c>
      <c r="I40" s="189">
        <f t="shared" si="15"/>
        <v>0</v>
      </c>
      <c r="J40" s="195">
        <f t="shared" si="16"/>
        <v>3.2424745131020741E-5</v>
      </c>
      <c r="L40" s="194" t="s">
        <v>36</v>
      </c>
      <c r="M40" s="193">
        <f t="shared" si="17"/>
        <v>520776.49274944887</v>
      </c>
      <c r="N40" s="192">
        <f t="shared" si="18"/>
        <v>0</v>
      </c>
      <c r="O40" s="191">
        <f t="shared" si="19"/>
        <v>1075.4202182668291</v>
      </c>
      <c r="P40" s="190">
        <f t="shared" si="20"/>
        <v>521851.9129677157</v>
      </c>
      <c r="Q40" s="189">
        <f t="shared" si="21"/>
        <v>3.1468471555024177E-3</v>
      </c>
      <c r="S40" s="175"/>
      <c r="T40" s="175"/>
      <c r="U40" s="175"/>
      <c r="V40" s="175"/>
      <c r="W40" s="175"/>
      <c r="X40" s="175"/>
      <c r="Y40" s="175"/>
      <c r="Z40" s="175"/>
    </row>
    <row r="41" spans="1:26">
      <c r="A41" s="194" t="s">
        <v>37</v>
      </c>
      <c r="B41" s="193">
        <v>4564482</v>
      </c>
      <c r="C41" s="192">
        <v>875732</v>
      </c>
      <c r="D41" s="198">
        <f t="shared" si="11"/>
        <v>0.19185791509310365</v>
      </c>
      <c r="E41" s="197">
        <f t="shared" si="12"/>
        <v>1.2880456099229219E-2</v>
      </c>
      <c r="F41" s="192">
        <v>601205</v>
      </c>
      <c r="G41" s="243">
        <f t="shared" si="13"/>
        <v>0.45662793888939723</v>
      </c>
      <c r="H41" s="196">
        <f t="shared" si="14"/>
        <v>0.45662793888939723</v>
      </c>
      <c r="I41" s="189">
        <f t="shared" si="15"/>
        <v>5.8770378741605803E-2</v>
      </c>
      <c r="J41" s="195">
        <f t="shared" si="16"/>
        <v>4.067116447724631E-4</v>
      </c>
      <c r="L41" s="194" t="s">
        <v>37</v>
      </c>
      <c r="M41" s="193">
        <f t="shared" si="17"/>
        <v>1068003.9930643344</v>
      </c>
      <c r="N41" s="192">
        <f t="shared" si="18"/>
        <v>2923824.9959344678</v>
      </c>
      <c r="O41" s="191">
        <f t="shared" si="19"/>
        <v>13489.263339634283</v>
      </c>
      <c r="P41" s="190">
        <f t="shared" si="20"/>
        <v>4005318.2523384364</v>
      </c>
      <c r="Q41" s="189">
        <f t="shared" si="21"/>
        <v>2.4152684001050844E-2</v>
      </c>
      <c r="S41" s="175"/>
      <c r="T41" s="175"/>
      <c r="U41" s="175"/>
      <c r="V41" s="175"/>
      <c r="W41" s="175"/>
      <c r="X41" s="175"/>
      <c r="Y41" s="175"/>
      <c r="Z41" s="175"/>
    </row>
    <row r="42" spans="1:26">
      <c r="A42" s="194" t="s">
        <v>38</v>
      </c>
      <c r="B42" s="193">
        <v>56486259</v>
      </c>
      <c r="C42" s="192">
        <v>15135193.17</v>
      </c>
      <c r="D42" s="198">
        <f t="shared" si="11"/>
        <v>0.26794469022988404</v>
      </c>
      <c r="E42" s="197">
        <f t="shared" si="12"/>
        <v>1.7988571479330379E-2</v>
      </c>
      <c r="F42" s="192">
        <v>16720965.199999999</v>
      </c>
      <c r="G42" s="243">
        <f t="shared" si="13"/>
        <v>-9.4837350059193914E-2</v>
      </c>
      <c r="H42" s="196">
        <f t="shared" si="14"/>
        <v>0</v>
      </c>
      <c r="I42" s="189">
        <f t="shared" si="15"/>
        <v>0</v>
      </c>
      <c r="J42" s="195">
        <f t="shared" si="16"/>
        <v>7.0291588158473703E-3</v>
      </c>
      <c r="L42" s="194" t="s">
        <v>38</v>
      </c>
      <c r="M42" s="193">
        <f t="shared" si="17"/>
        <v>1491551.6982816863</v>
      </c>
      <c r="N42" s="192">
        <f t="shared" si="18"/>
        <v>0</v>
      </c>
      <c r="O42" s="191">
        <f t="shared" si="19"/>
        <v>233133.66003111016</v>
      </c>
      <c r="P42" s="190">
        <f t="shared" si="20"/>
        <v>1724685.3583127963</v>
      </c>
      <c r="Q42" s="189">
        <f t="shared" si="21"/>
        <v>1.0400117502834663E-2</v>
      </c>
      <c r="S42" s="175"/>
      <c r="T42" s="175"/>
      <c r="U42" s="175"/>
      <c r="V42" s="175"/>
      <c r="W42" s="175"/>
      <c r="X42" s="175"/>
      <c r="Y42" s="175"/>
      <c r="Z42" s="175"/>
    </row>
    <row r="43" spans="1:26">
      <c r="A43" s="194" t="s">
        <v>39</v>
      </c>
      <c r="B43" s="193"/>
      <c r="C43" s="192"/>
      <c r="D43" s="198">
        <f t="shared" si="11"/>
        <v>0</v>
      </c>
      <c r="E43" s="197">
        <f t="shared" si="12"/>
        <v>0</v>
      </c>
      <c r="F43" s="192"/>
      <c r="G43" s="243">
        <f t="shared" si="13"/>
        <v>0</v>
      </c>
      <c r="H43" s="196">
        <f t="shared" si="14"/>
        <v>0</v>
      </c>
      <c r="I43" s="189">
        <f t="shared" si="15"/>
        <v>0</v>
      </c>
      <c r="J43" s="195">
        <f t="shared" si="16"/>
        <v>0</v>
      </c>
      <c r="L43" s="194" t="s">
        <v>39</v>
      </c>
      <c r="M43" s="193">
        <f t="shared" si="17"/>
        <v>0</v>
      </c>
      <c r="N43" s="192">
        <f t="shared" si="18"/>
        <v>0</v>
      </c>
      <c r="O43" s="191">
        <f t="shared" si="19"/>
        <v>0</v>
      </c>
      <c r="P43" s="190">
        <f t="shared" si="20"/>
        <v>0</v>
      </c>
      <c r="Q43" s="189">
        <f t="shared" si="21"/>
        <v>0</v>
      </c>
      <c r="S43" s="175"/>
      <c r="T43" s="175"/>
      <c r="U43" s="175"/>
      <c r="V43" s="175"/>
      <c r="W43" s="175"/>
      <c r="X43" s="175"/>
      <c r="Y43" s="175"/>
      <c r="Z43" s="175"/>
    </row>
    <row r="44" spans="1:26">
      <c r="A44" s="194" t="s">
        <v>213</v>
      </c>
      <c r="B44" s="193">
        <v>1354101</v>
      </c>
      <c r="C44" s="192">
        <v>468889</v>
      </c>
      <c r="D44" s="198">
        <f t="shared" si="11"/>
        <v>0.34627328389832074</v>
      </c>
      <c r="E44" s="197">
        <f t="shared" si="12"/>
        <v>2.3247192222556248E-2</v>
      </c>
      <c r="F44" s="192">
        <v>476354</v>
      </c>
      <c r="G44" s="243">
        <f t="shared" si="13"/>
        <v>-1.5671118537894047E-2</v>
      </c>
      <c r="H44" s="196">
        <f t="shared" si="14"/>
        <v>0</v>
      </c>
      <c r="I44" s="189">
        <f t="shared" si="15"/>
        <v>0</v>
      </c>
      <c r="J44" s="195">
        <f t="shared" si="16"/>
        <v>2.1776367245426162E-4</v>
      </c>
      <c r="L44" s="194" t="s">
        <v>40</v>
      </c>
      <c r="M44" s="193">
        <f t="shared" si="17"/>
        <v>1927578.8007778663</v>
      </c>
      <c r="N44" s="192">
        <f t="shared" si="18"/>
        <v>0</v>
      </c>
      <c r="O44" s="191">
        <f t="shared" si="19"/>
        <v>7222.4918103458349</v>
      </c>
      <c r="P44" s="190">
        <f t="shared" si="20"/>
        <v>1934801.2925882121</v>
      </c>
      <c r="Q44" s="189">
        <f t="shared" si="21"/>
        <v>1.1667148845768976E-2</v>
      </c>
      <c r="S44" s="175"/>
      <c r="T44" s="175"/>
      <c r="U44" s="175"/>
      <c r="V44" s="175"/>
      <c r="W44" s="175"/>
      <c r="X44" s="175"/>
      <c r="Y44" s="175"/>
      <c r="Z44" s="175"/>
    </row>
    <row r="45" spans="1:26">
      <c r="A45" s="194" t="s">
        <v>214</v>
      </c>
      <c r="B45" s="193">
        <v>81632998</v>
      </c>
      <c r="C45" s="192">
        <v>15857010</v>
      </c>
      <c r="D45" s="198">
        <f t="shared" si="11"/>
        <v>0.19424755170697025</v>
      </c>
      <c r="E45" s="197">
        <f t="shared" si="12"/>
        <v>1.3040885287063785E-2</v>
      </c>
      <c r="F45" s="192">
        <v>16886302</v>
      </c>
      <c r="G45" s="243">
        <f t="shared" si="13"/>
        <v>-6.0954257480412277E-2</v>
      </c>
      <c r="H45" s="196">
        <f t="shared" si="14"/>
        <v>0</v>
      </c>
      <c r="I45" s="189">
        <f t="shared" si="15"/>
        <v>0</v>
      </c>
      <c r="J45" s="195">
        <f t="shared" si="16"/>
        <v>7.3643884410680375E-3</v>
      </c>
      <c r="L45" s="194" t="s">
        <v>41</v>
      </c>
      <c r="M45" s="193">
        <f t="shared" si="17"/>
        <v>1081306.2404297548</v>
      </c>
      <c r="N45" s="192">
        <f t="shared" si="18"/>
        <v>0</v>
      </c>
      <c r="O45" s="191">
        <f t="shared" si="19"/>
        <v>244252.10414740376</v>
      </c>
      <c r="P45" s="190">
        <f t="shared" si="20"/>
        <v>1325558.3445771586</v>
      </c>
      <c r="Q45" s="189">
        <f t="shared" si="21"/>
        <v>7.9933203317455008E-3</v>
      </c>
      <c r="S45" s="175"/>
      <c r="T45" s="175"/>
      <c r="U45" s="175"/>
      <c r="V45" s="175"/>
      <c r="W45" s="175"/>
      <c r="X45" s="175"/>
      <c r="Y45" s="175"/>
      <c r="Z45" s="175"/>
    </row>
    <row r="46" spans="1:26">
      <c r="A46" s="194" t="s">
        <v>215</v>
      </c>
      <c r="B46" s="193">
        <v>7103115</v>
      </c>
      <c r="C46" s="192">
        <v>1139783</v>
      </c>
      <c r="D46" s="198">
        <f t="shared" si="11"/>
        <v>0.16046241684106199</v>
      </c>
      <c r="E46" s="197">
        <f t="shared" si="12"/>
        <v>1.0772707056128176E-2</v>
      </c>
      <c r="F46" s="192">
        <v>704593</v>
      </c>
      <c r="G46" s="243">
        <f t="shared" si="13"/>
        <v>0.61764735102392443</v>
      </c>
      <c r="H46" s="196">
        <f t="shared" si="14"/>
        <v>0.61764735102392443</v>
      </c>
      <c r="I46" s="189">
        <f t="shared" si="15"/>
        <v>7.9494410343598984E-2</v>
      </c>
      <c r="J46" s="195">
        <f t="shared" si="16"/>
        <v>5.2934347336136198E-4</v>
      </c>
      <c r="L46" s="194" t="s">
        <v>42</v>
      </c>
      <c r="M46" s="193">
        <f t="shared" si="17"/>
        <v>893236.5487232795</v>
      </c>
      <c r="N46" s="192">
        <f t="shared" si="18"/>
        <v>3954845.0933351172</v>
      </c>
      <c r="O46" s="191">
        <f t="shared" si="19"/>
        <v>17556.550448126116</v>
      </c>
      <c r="P46" s="190">
        <f t="shared" si="20"/>
        <v>4865638.1925065229</v>
      </c>
      <c r="Q46" s="189">
        <f t="shared" si="21"/>
        <v>2.9340545325816054E-2</v>
      </c>
      <c r="S46" s="175"/>
      <c r="T46" s="175"/>
      <c r="U46" s="175"/>
      <c r="V46" s="175"/>
      <c r="W46" s="175"/>
      <c r="X46" s="175"/>
      <c r="Y46" s="175"/>
      <c r="Z46" s="175"/>
    </row>
    <row r="47" spans="1:26">
      <c r="A47" s="194" t="s">
        <v>43</v>
      </c>
      <c r="B47" s="193">
        <v>939947</v>
      </c>
      <c r="C47" s="192">
        <v>622808</v>
      </c>
      <c r="D47" s="198">
        <f t="shared" si="11"/>
        <v>0.66259906143644265</v>
      </c>
      <c r="E47" s="197">
        <f t="shared" si="12"/>
        <v>4.4483846903480499E-2</v>
      </c>
      <c r="F47" s="192">
        <v>625255</v>
      </c>
      <c r="G47" s="243">
        <f t="shared" si="13"/>
        <v>-3.9136032498739981E-3</v>
      </c>
      <c r="H47" s="196">
        <f t="shared" si="14"/>
        <v>0</v>
      </c>
      <c r="I47" s="189">
        <f t="shared" si="15"/>
        <v>0</v>
      </c>
      <c r="J47" s="195">
        <f t="shared" si="16"/>
        <v>2.8924747075297942E-4</v>
      </c>
      <c r="L47" s="194" t="s">
        <v>43</v>
      </c>
      <c r="M47" s="193">
        <f t="shared" si="17"/>
        <v>3688450.6071662079</v>
      </c>
      <c r="N47" s="192">
        <f t="shared" si="18"/>
        <v>0</v>
      </c>
      <c r="O47" s="191">
        <f t="shared" si="19"/>
        <v>9593.3700287655902</v>
      </c>
      <c r="P47" s="190">
        <f t="shared" si="20"/>
        <v>3698043.9771949733</v>
      </c>
      <c r="Q47" s="189">
        <f t="shared" si="21"/>
        <v>2.2299772945890844E-2</v>
      </c>
      <c r="S47" s="175"/>
      <c r="T47" s="175"/>
      <c r="U47" s="175"/>
      <c r="V47" s="175"/>
      <c r="W47" s="175"/>
      <c r="X47" s="175"/>
      <c r="Y47" s="175"/>
      <c r="Z47" s="175"/>
    </row>
    <row r="48" spans="1:26">
      <c r="A48" s="194" t="s">
        <v>44</v>
      </c>
      <c r="B48" s="193">
        <v>19089007</v>
      </c>
      <c r="C48" s="192">
        <v>9313018</v>
      </c>
      <c r="D48" s="198">
        <f t="shared" si="11"/>
        <v>0.48787336083013644</v>
      </c>
      <c r="E48" s="197">
        <f t="shared" si="12"/>
        <v>3.2753568718322155E-2</v>
      </c>
      <c r="F48" s="192">
        <v>6249012</v>
      </c>
      <c r="G48" s="243">
        <f t="shared" si="13"/>
        <v>0.49031846954366554</v>
      </c>
      <c r="H48" s="196">
        <f t="shared" si="14"/>
        <v>0.49031846954366554</v>
      </c>
      <c r="I48" s="189">
        <f t="shared" si="15"/>
        <v>6.3106524382130477E-2</v>
      </c>
      <c r="J48" s="195">
        <f t="shared" si="16"/>
        <v>4.3251963712363541E-3</v>
      </c>
      <c r="L48" s="194" t="s">
        <v>44</v>
      </c>
      <c r="M48" s="193">
        <f t="shared" si="17"/>
        <v>2715815.4888916109</v>
      </c>
      <c r="N48" s="192">
        <f t="shared" si="18"/>
        <v>3139548.1422071829</v>
      </c>
      <c r="O48" s="191">
        <f t="shared" si="19"/>
        <v>143452.2802509834</v>
      </c>
      <c r="P48" s="190">
        <f t="shared" si="20"/>
        <v>5998815.9113497771</v>
      </c>
      <c r="Q48" s="189">
        <f t="shared" si="21"/>
        <v>3.617378094804749E-2</v>
      </c>
      <c r="S48" s="175"/>
      <c r="T48" s="175"/>
      <c r="U48" s="175"/>
      <c r="V48" s="175"/>
      <c r="W48" s="175"/>
      <c r="X48" s="175"/>
      <c r="Y48" s="175"/>
      <c r="Z48" s="175"/>
    </row>
    <row r="49" spans="1:26">
      <c r="A49" s="194" t="s">
        <v>45</v>
      </c>
      <c r="B49" s="193">
        <v>119215481</v>
      </c>
      <c r="C49" s="192">
        <v>20380807.239999998</v>
      </c>
      <c r="D49" s="198">
        <f t="shared" si="11"/>
        <v>0.17095772351914595</v>
      </c>
      <c r="E49" s="197">
        <f t="shared" si="12"/>
        <v>1.1477313571055676E-2</v>
      </c>
      <c r="F49" s="192">
        <v>19718538</v>
      </c>
      <c r="G49" s="243">
        <f t="shared" si="13"/>
        <v>3.3586122865701284E-2</v>
      </c>
      <c r="H49" s="196">
        <f t="shared" si="14"/>
        <v>3.3586122865701284E-2</v>
      </c>
      <c r="I49" s="189">
        <f t="shared" si="15"/>
        <v>4.322707817835638E-3</v>
      </c>
      <c r="J49" s="195">
        <f t="shared" si="16"/>
        <v>9.4653519962396293E-3</v>
      </c>
      <c r="L49" s="194" t="s">
        <v>45</v>
      </c>
      <c r="M49" s="193">
        <f t="shared" si="17"/>
        <v>951660.14534783899</v>
      </c>
      <c r="N49" s="192">
        <f t="shared" si="18"/>
        <v>215054.61490180352</v>
      </c>
      <c r="O49" s="191">
        <f t="shared" si="19"/>
        <v>313934.02997113834</v>
      </c>
      <c r="P49" s="190">
        <f t="shared" si="20"/>
        <v>1480648.7902207808</v>
      </c>
      <c r="Q49" s="189">
        <f t="shared" si="21"/>
        <v>8.9285395301264558E-3</v>
      </c>
      <c r="S49" s="175"/>
      <c r="T49" s="175"/>
      <c r="U49" s="175"/>
      <c r="V49" s="175"/>
      <c r="W49" s="175"/>
      <c r="X49" s="175"/>
      <c r="Y49" s="175"/>
      <c r="Z49" s="175"/>
    </row>
    <row r="50" spans="1:26">
      <c r="A50" s="194" t="s">
        <v>216</v>
      </c>
      <c r="B50" s="193">
        <v>642295900</v>
      </c>
      <c r="C50" s="192">
        <v>291911120</v>
      </c>
      <c r="D50" s="198">
        <f t="shared" si="11"/>
        <v>0.4544807463351393</v>
      </c>
      <c r="E50" s="197">
        <f t="shared" si="12"/>
        <v>3.0511742495866995E-2</v>
      </c>
      <c r="F50" s="192">
        <v>290272983.67000002</v>
      </c>
      <c r="G50" s="243">
        <f t="shared" si="13"/>
        <v>5.6434336716031375E-3</v>
      </c>
      <c r="H50" s="196">
        <f t="shared" si="14"/>
        <v>5.6434336716031375E-3</v>
      </c>
      <c r="I50" s="189">
        <f t="shared" si="15"/>
        <v>7.2633911777260417E-4</v>
      </c>
      <c r="J50" s="195">
        <f t="shared" si="16"/>
        <v>0.13557075879672301</v>
      </c>
      <c r="L50" s="194" t="s">
        <v>46</v>
      </c>
      <c r="M50" s="193">
        <f t="shared" si="17"/>
        <v>2529930.8168820757</v>
      </c>
      <c r="N50" s="192">
        <f t="shared" si="18"/>
        <v>36135.3544683742</v>
      </c>
      <c r="O50" s="191">
        <f t="shared" si="19"/>
        <v>4496428.09609285</v>
      </c>
      <c r="P50" s="190">
        <f t="shared" si="20"/>
        <v>7062494.2674432993</v>
      </c>
      <c r="Q50" s="189">
        <f t="shared" si="21"/>
        <v>4.2587924742609883E-2</v>
      </c>
      <c r="S50" s="175"/>
      <c r="T50" s="175"/>
      <c r="U50" s="175"/>
      <c r="V50" s="175"/>
      <c r="W50" s="175"/>
      <c r="X50" s="175"/>
      <c r="Y50" s="175"/>
      <c r="Z50" s="175"/>
    </row>
    <row r="51" spans="1:26">
      <c r="A51" s="194" t="s">
        <v>217</v>
      </c>
      <c r="B51" s="193">
        <v>1119704293</v>
      </c>
      <c r="C51" s="192">
        <v>707374780.13</v>
      </c>
      <c r="D51" s="198">
        <f t="shared" si="11"/>
        <v>0.63175142272139162</v>
      </c>
      <c r="E51" s="197">
        <f t="shared" si="12"/>
        <v>4.2412878624474216E-2</v>
      </c>
      <c r="F51" s="192">
        <v>691961660.51999998</v>
      </c>
      <c r="G51" s="243">
        <f t="shared" si="13"/>
        <v>2.227452832923893E-2</v>
      </c>
      <c r="H51" s="196">
        <f t="shared" si="14"/>
        <v>2.227452832923893E-2</v>
      </c>
      <c r="I51" s="189">
        <f t="shared" si="15"/>
        <v>2.8668470645574779E-3</v>
      </c>
      <c r="J51" s="195">
        <f t="shared" si="16"/>
        <v>0.32852237933206935</v>
      </c>
      <c r="L51" s="194" t="s">
        <v>47</v>
      </c>
      <c r="M51" s="193">
        <f t="shared" si="17"/>
        <v>3516732.8997768993</v>
      </c>
      <c r="N51" s="192">
        <f t="shared" si="18"/>
        <v>142625.57578075392</v>
      </c>
      <c r="O51" s="191">
        <f t="shared" si="19"/>
        <v>10895987.230099471</v>
      </c>
      <c r="P51" s="190">
        <f t="shared" si="20"/>
        <v>14555345.705657125</v>
      </c>
      <c r="Q51" s="189">
        <f t="shared" si="21"/>
        <v>8.7770969298018225E-2</v>
      </c>
      <c r="S51" s="175"/>
      <c r="T51" s="175"/>
      <c r="U51" s="175"/>
      <c r="V51" s="175"/>
      <c r="W51" s="175"/>
      <c r="X51" s="175"/>
      <c r="Y51" s="175"/>
      <c r="Z51" s="175"/>
    </row>
    <row r="52" spans="1:26">
      <c r="A52" s="194" t="s">
        <v>48</v>
      </c>
      <c r="B52" s="193">
        <v>274755070</v>
      </c>
      <c r="C52" s="192">
        <v>114179634.2</v>
      </c>
      <c r="D52" s="198">
        <f t="shared" si="11"/>
        <v>0.41556879805712049</v>
      </c>
      <c r="E52" s="197">
        <f t="shared" si="12"/>
        <v>2.7899373643180996E-2</v>
      </c>
      <c r="F52" s="192">
        <v>108456329.03999999</v>
      </c>
      <c r="G52" s="243">
        <f t="shared" si="13"/>
        <v>5.2770596337344156E-2</v>
      </c>
      <c r="H52" s="196">
        <f t="shared" si="14"/>
        <v>5.2770596337344156E-2</v>
      </c>
      <c r="I52" s="189">
        <f t="shared" si="15"/>
        <v>6.791848831477894E-3</v>
      </c>
      <c r="J52" s="195">
        <f t="shared" si="16"/>
        <v>5.3027851928444066E-2</v>
      </c>
      <c r="L52" s="194" t="s">
        <v>48</v>
      </c>
      <c r="M52" s="193">
        <f t="shared" si="17"/>
        <v>2313321.9992647786</v>
      </c>
      <c r="N52" s="192">
        <f t="shared" si="18"/>
        <v>337894.32376118086</v>
      </c>
      <c r="O52" s="191">
        <f t="shared" si="19"/>
        <v>1758756.2790293295</v>
      </c>
      <c r="P52" s="190">
        <f t="shared" si="20"/>
        <v>4409972.6020552889</v>
      </c>
      <c r="Q52" s="189">
        <f t="shared" si="21"/>
        <v>2.659281185672268E-2</v>
      </c>
      <c r="S52" s="175"/>
      <c r="T52" s="175"/>
      <c r="U52" s="175"/>
      <c r="V52" s="175"/>
      <c r="W52" s="175"/>
      <c r="X52" s="175"/>
      <c r="Y52" s="175"/>
      <c r="Z52" s="175"/>
    </row>
    <row r="53" spans="1:26">
      <c r="A53" s="194" t="s">
        <v>49</v>
      </c>
      <c r="B53" s="193">
        <v>175563518</v>
      </c>
      <c r="C53" s="192">
        <v>77757928.799999997</v>
      </c>
      <c r="D53" s="198">
        <f t="shared" si="11"/>
        <v>0.4429048226294941</v>
      </c>
      <c r="E53" s="197">
        <f t="shared" si="12"/>
        <v>2.9734588334537588E-2</v>
      </c>
      <c r="F53" s="192">
        <v>65213950.950000003</v>
      </c>
      <c r="G53" s="243">
        <f t="shared" si="13"/>
        <v>0.19235114062660541</v>
      </c>
      <c r="H53" s="196">
        <f t="shared" si="14"/>
        <v>0.19235114062660541</v>
      </c>
      <c r="I53" s="189">
        <f t="shared" si="15"/>
        <v>2.4756587197665155E-2</v>
      </c>
      <c r="J53" s="195">
        <f t="shared" si="16"/>
        <v>3.611270927218381E-2</v>
      </c>
      <c r="L53" s="194" t="s">
        <v>49</v>
      </c>
      <c r="M53" s="193">
        <f t="shared" si="17"/>
        <v>2465491.8140135328</v>
      </c>
      <c r="N53" s="192">
        <f t="shared" si="18"/>
        <v>1231639.6458973517</v>
      </c>
      <c r="O53" s="191">
        <f t="shared" si="19"/>
        <v>1197737.6392865998</v>
      </c>
      <c r="P53" s="190">
        <f t="shared" si="20"/>
        <v>4894869.0991974846</v>
      </c>
      <c r="Q53" s="189">
        <f t="shared" si="21"/>
        <v>2.9516812181005103E-2</v>
      </c>
      <c r="S53" s="175"/>
      <c r="T53" s="175"/>
      <c r="U53" s="175"/>
      <c r="V53" s="175"/>
      <c r="W53" s="175"/>
      <c r="X53" s="175"/>
      <c r="Y53" s="175"/>
      <c r="Z53" s="175"/>
    </row>
    <row r="54" spans="1:26">
      <c r="A54" s="194" t="s">
        <v>50</v>
      </c>
      <c r="B54" s="193">
        <v>4524382</v>
      </c>
      <c r="C54" s="192">
        <v>1324391</v>
      </c>
      <c r="D54" s="198">
        <f t="shared" si="11"/>
        <v>0.29272307245497836</v>
      </c>
      <c r="E54" s="197">
        <f t="shared" si="12"/>
        <v>1.9652077852290652E-2</v>
      </c>
      <c r="F54" s="192">
        <v>1227159</v>
      </c>
      <c r="G54" s="243">
        <f t="shared" si="13"/>
        <v>7.9233416370657839E-2</v>
      </c>
      <c r="H54" s="196">
        <f t="shared" si="14"/>
        <v>7.9233416370657839E-2</v>
      </c>
      <c r="I54" s="189">
        <f t="shared" si="15"/>
        <v>1.0197750712364558E-2</v>
      </c>
      <c r="J54" s="195">
        <f t="shared" si="16"/>
        <v>6.1508000385031856E-4</v>
      </c>
      <c r="L54" s="194" t="s">
        <v>50</v>
      </c>
      <c r="M54" s="193">
        <f t="shared" si="17"/>
        <v>1629484.038186626</v>
      </c>
      <c r="N54" s="192">
        <f t="shared" si="18"/>
        <v>507337.86430428119</v>
      </c>
      <c r="O54" s="191">
        <f t="shared" si="19"/>
        <v>20400.144066497043</v>
      </c>
      <c r="P54" s="190">
        <f t="shared" si="20"/>
        <v>2157222.0465574046</v>
      </c>
      <c r="Q54" s="189">
        <f t="shared" si="21"/>
        <v>1.3008380140624758E-2</v>
      </c>
      <c r="S54" s="175"/>
      <c r="T54" s="175"/>
      <c r="U54" s="175"/>
      <c r="V54" s="175"/>
      <c r="W54" s="175"/>
      <c r="X54" s="175"/>
      <c r="Y54" s="175"/>
      <c r="Z54" s="175"/>
    </row>
    <row r="55" spans="1:26">
      <c r="A55" s="194" t="s">
        <v>51</v>
      </c>
      <c r="B55" s="193">
        <v>2896776</v>
      </c>
      <c r="C55" s="192">
        <v>606247</v>
      </c>
      <c r="D55" s="198">
        <f t="shared" si="11"/>
        <v>0.20928335501260711</v>
      </c>
      <c r="E55" s="197">
        <f t="shared" si="12"/>
        <v>1.405031981730414E-2</v>
      </c>
      <c r="F55" s="192">
        <v>442199</v>
      </c>
      <c r="G55" s="243">
        <f t="shared" si="13"/>
        <v>0.37098229530143678</v>
      </c>
      <c r="H55" s="196">
        <f t="shared" si="14"/>
        <v>0.37098229530143678</v>
      </c>
      <c r="I55" s="189">
        <f t="shared" si="15"/>
        <v>4.7747341203702991E-2</v>
      </c>
      <c r="J55" s="195">
        <f t="shared" si="16"/>
        <v>2.8155613190835942E-4</v>
      </c>
      <c r="L55" s="194" t="s">
        <v>51</v>
      </c>
      <c r="M55" s="193">
        <f t="shared" si="17"/>
        <v>1165005.1483510537</v>
      </c>
      <c r="N55" s="192">
        <f t="shared" si="18"/>
        <v>2375429.1309674154</v>
      </c>
      <c r="O55" s="191">
        <f t="shared" si="19"/>
        <v>9338.2740745607844</v>
      </c>
      <c r="P55" s="190">
        <f t="shared" si="20"/>
        <v>3549772.5533930301</v>
      </c>
      <c r="Q55" s="189">
        <f t="shared" si="21"/>
        <v>2.1405673496144639E-2</v>
      </c>
      <c r="S55" s="175"/>
      <c r="T55" s="175"/>
      <c r="U55" s="175"/>
      <c r="V55" s="175"/>
      <c r="W55" s="175"/>
      <c r="X55" s="175"/>
      <c r="Y55" s="175"/>
      <c r="Z55" s="175"/>
    </row>
    <row r="56" spans="1:26" ht="13.5" thickBot="1">
      <c r="A56" s="181" t="s">
        <v>52</v>
      </c>
      <c r="B56" s="188">
        <f>SUM(B5:B55)</f>
        <v>4925400302</v>
      </c>
      <c r="C56" s="187">
        <f>SUM(C5:C55)</f>
        <v>2153201196.1199999</v>
      </c>
      <c r="D56" s="186">
        <f>SUM(D5:D55)</f>
        <v>14.895273398322024</v>
      </c>
      <c r="E56" s="185">
        <f>SUM(E5:E55)</f>
        <v>0.99999999999999989</v>
      </c>
      <c r="F56" s="179">
        <f>SUM(F5:F55)</f>
        <v>2063222036.5599999</v>
      </c>
      <c r="G56" s="184"/>
      <c r="H56" s="183">
        <f>SUM(H5:H55)</f>
        <v>7.7696953578781827</v>
      </c>
      <c r="I56" s="176">
        <f>SUM(I5:I55)</f>
        <v>0.99999999999999989</v>
      </c>
      <c r="J56" s="182">
        <f>SUM(J5:J55)</f>
        <v>1</v>
      </c>
      <c r="L56" s="181" t="s">
        <v>52</v>
      </c>
      <c r="M56" s="180">
        <f>SUM(M5:M55)</f>
        <v>82916628.482452959</v>
      </c>
      <c r="N56" s="179">
        <f>SUM(N5:N55)</f>
        <v>49749977.089471765</v>
      </c>
      <c r="O56" s="178">
        <f>SUM(O5:O55)</f>
        <v>33166651.39298119</v>
      </c>
      <c r="P56" s="177">
        <f>SUM(P5:P55)</f>
        <v>165833256.96490592</v>
      </c>
      <c r="Q56" s="176">
        <f>SUM(Q5:Q55)</f>
        <v>1</v>
      </c>
      <c r="S56" s="175"/>
      <c r="T56" s="175"/>
      <c r="U56" s="175"/>
      <c r="V56" s="175"/>
      <c r="W56" s="175"/>
      <c r="X56" s="175"/>
      <c r="Y56" s="175"/>
      <c r="Z56" s="175"/>
    </row>
    <row r="57" spans="1:26" ht="13.5" thickTop="1"/>
    <row r="59" spans="1:26">
      <c r="L59" s="281" t="s">
        <v>164</v>
      </c>
      <c r="M59" s="281"/>
      <c r="N59" s="281"/>
      <c r="O59" s="281"/>
      <c r="P59" s="281"/>
      <c r="Q59" s="281"/>
    </row>
    <row r="60" spans="1:26">
      <c r="L60" s="281"/>
      <c r="M60" s="281"/>
      <c r="N60" s="281"/>
      <c r="O60" s="281"/>
      <c r="P60" s="281"/>
      <c r="Q60" s="281"/>
    </row>
    <row r="61" spans="1:26">
      <c r="L61" s="281"/>
      <c r="M61" s="281"/>
      <c r="N61" s="281"/>
      <c r="O61" s="281"/>
      <c r="P61" s="281"/>
      <c r="Q61" s="281"/>
    </row>
    <row r="62" spans="1:26">
      <c r="L62" s="281"/>
      <c r="M62" s="281"/>
      <c r="N62" s="281"/>
      <c r="O62" s="281"/>
      <c r="P62" s="281"/>
      <c r="Q62" s="281"/>
    </row>
    <row r="63" spans="1:26">
      <c r="L63" s="281"/>
      <c r="M63" s="281"/>
      <c r="N63" s="281"/>
      <c r="O63" s="281"/>
      <c r="P63" s="281"/>
      <c r="Q63" s="281"/>
    </row>
  </sheetData>
  <mergeCells count="4">
    <mergeCell ref="B1:E1"/>
    <mergeCell ref="F1:I1"/>
    <mergeCell ref="L1:Q1"/>
    <mergeCell ref="L59:Q63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70" fitToWidth="2" orientation="landscape" r:id="rId1"/>
  <headerFooter>
    <oddHeader>&amp;LAnexo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9</vt:i4>
      </vt:variant>
    </vt:vector>
  </HeadingPairs>
  <TitlesOfParts>
    <vt:vector size="16" baseType="lpstr">
      <vt:lpstr>PART MES</vt:lpstr>
      <vt:lpstr>DIST MES</vt:lpstr>
      <vt:lpstr>COEF Art 14 F I</vt:lpstr>
      <vt:lpstr>PART PEF2020</vt:lpstr>
      <vt:lpstr>CALCULO GARANTIA</vt:lpstr>
      <vt:lpstr>COEF Art 14 F II</vt:lpstr>
      <vt:lpstr>Art.14 Frac.III</vt:lpstr>
      <vt:lpstr>'Art.14 Frac.III'!Área_de_impresión</vt:lpstr>
      <vt:lpstr>'CALCULO GARANTIA'!Área_de_impresión</vt:lpstr>
      <vt:lpstr>'COEF Art 14 F I'!Área_de_impresión</vt:lpstr>
      <vt:lpstr>'COEF Art 14 F II'!Área_de_impresión</vt:lpstr>
      <vt:lpstr>'DIST MES'!Área_de_impresión</vt:lpstr>
      <vt:lpstr>'PART MES'!Área_de_impresión</vt:lpstr>
      <vt:lpstr>'PART PEF2020'!Área_de_impresión</vt:lpstr>
      <vt:lpstr>'COEF Art 14 F I'!Títulos_a_imprimir</vt:lpstr>
      <vt:lpstr>'DIST MES'!Títulos_a_imprimir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2021-01-15T19:40:41Z</cp:lastPrinted>
  <dcterms:created xsi:type="dcterms:W3CDTF">2009-12-17T23:31:03Z</dcterms:created>
  <dcterms:modified xsi:type="dcterms:W3CDTF">2021-01-27T16:50:33Z</dcterms:modified>
</cp:coreProperties>
</file>