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ACUERDO PART 2020\"/>
    </mc:Choice>
  </mc:AlternateContent>
  <bookViews>
    <workbookView xWindow="0" yWindow="0" windowWidth="28800" windowHeight="12435" activeTab="1"/>
  </bookViews>
  <sheets>
    <sheet name="PART PEF2021" sheetId="43" r:id="rId1"/>
    <sheet name="DIST MES" sheetId="48" r:id="rId2"/>
    <sheet name="COEF Art 14 F I" sheetId="1" r:id="rId3"/>
    <sheet name="CALCULO GARANTIA" sheetId="28" r:id="rId4"/>
    <sheet name="COEF Art 14 F II" sheetId="36" r:id="rId5"/>
    <sheet name="Art.14 Frac.III" sheetId="44" r:id="rId6"/>
    <sheet name="ISAI" sheetId="49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'DIST MES'!#REF!</definedName>
    <definedName name="A_impresión_IM" localSheetId="3">#REF!</definedName>
    <definedName name="A_impresión_IM" localSheetId="4">#REF!</definedName>
    <definedName name="A_impresión_IM" localSheetId="1">#REF!</definedName>
    <definedName name="A_impresión_IM" localSheetId="0">#REF!</definedName>
    <definedName name="A_impresión_IM">#REF!</definedName>
    <definedName name="AJUSTES" localSheetId="3" hidden="1">{"'beneficiarios'!$A$1:$C$7"}</definedName>
    <definedName name="AJUSTES" localSheetId="1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5">'Art.14 Frac.III'!$A$1:$Q$56</definedName>
    <definedName name="_xlnm.Print_Area" localSheetId="3">'CALCULO GARANTIA'!$A$1:$Q$60</definedName>
    <definedName name="_xlnm.Print_Area" localSheetId="2">'COEF Art 14 F I'!$A$3:$AI$60</definedName>
    <definedName name="_xlnm.Print_Area" localSheetId="4">'COEF Art 14 F II'!$A$3:$M$62</definedName>
    <definedName name="_xlnm.Print_Area" localSheetId="1">'DIST MES'!$A$1:$M$59</definedName>
    <definedName name="_xlnm.Print_Area" localSheetId="6">ISAI!$A$1:$D$55</definedName>
    <definedName name="_xlnm.Print_Area" localSheetId="0">'PART PEF2021'!$A$1:$R$13</definedName>
    <definedName name="_xlnm.Database" localSheetId="3">#REF!</definedName>
    <definedName name="_xlnm.Database" localSheetId="4">#REF!</definedName>
    <definedName name="_xlnm.Database" localSheetId="1">#REF!</definedName>
    <definedName name="_xlnm.Database" localSheetId="0">#REF!</definedName>
    <definedName name="_xlnm.Database">#REF!</definedName>
    <definedName name="cierre_2001" localSheetId="4">'[1]deuda c sadm'!#REF!</definedName>
    <definedName name="cierre_2001" localSheetId="1">'[1]deuda c sadm'!#REF!</definedName>
    <definedName name="cierre_2001" localSheetId="0">'[1]deuda c sadm'!#REF!</definedName>
    <definedName name="cierre_2001">'[1]deuda c sadm'!#REF!</definedName>
    <definedName name="deuda" localSheetId="4">'[1]deuda c sadm'!#REF!</definedName>
    <definedName name="deuda" localSheetId="1">'[1]deuda c sadm'!#REF!</definedName>
    <definedName name="deuda" localSheetId="0">'[1]deuda c sadm'!#REF!</definedName>
    <definedName name="deuda">'[1]deuda c sadm'!#REF!</definedName>
    <definedName name="Deuda_ingTot" localSheetId="4">'[1]deuda c sadm'!#REF!</definedName>
    <definedName name="Deuda_ingTot" localSheetId="1">'[1]deuda c sadm'!#REF!</definedName>
    <definedName name="Deuda_ingTot" localSheetId="0">'[1]deuda c sadm'!#REF!</definedName>
    <definedName name="Deuda_ingTot">'[1]deuda c sadm'!#REF!</definedName>
    <definedName name="ENERO" localSheetId="3">#REF!</definedName>
    <definedName name="ENERO" localSheetId="4">#REF!</definedName>
    <definedName name="ENERO" localSheetId="1">#REF!</definedName>
    <definedName name="ENERO" localSheetId="0">#REF!</definedName>
    <definedName name="ENERO">#REF!</definedName>
    <definedName name="ENEROAJUSTE" localSheetId="1">#REF!</definedName>
    <definedName name="ENEROAJUSTE" localSheetId="0">#REF!</definedName>
    <definedName name="ENEROAJUSTE">#REF!</definedName>
    <definedName name="Estado">'[2]Compendio de nombres'!$C$2:$C$33</definedName>
    <definedName name="Estado1" localSheetId="1">#REF!</definedName>
    <definedName name="Estado1">#REF!</definedName>
    <definedName name="Fto_1" localSheetId="3">#REF!</definedName>
    <definedName name="Fto_1" localSheetId="4">#REF!</definedName>
    <definedName name="Fto_1" localSheetId="1">#REF!</definedName>
    <definedName name="Fto_1" localSheetId="0">#REF!</definedName>
    <definedName name="Fto_1">#REF!</definedName>
    <definedName name="HTML_CodePage" hidden="1">1252</definedName>
    <definedName name="HTML_Control" localSheetId="3" hidden="1">{"'beneficiarios'!$A$1:$C$7"}</definedName>
    <definedName name="HTML_Control" localSheetId="1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3" hidden="1">{"'beneficiarios'!$A$1:$C$7"}</definedName>
    <definedName name="INDICADORES" localSheetId="1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3" hidden="1">{"'beneficiarios'!$A$1:$C$7"}</definedName>
    <definedName name="ingresofederales" localSheetId="1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MUNICIPIOS" localSheetId="5">[3]IMPORTE!$A$3:$A$53</definedName>
    <definedName name="MUNICIPIOS" hidden="1">{"'beneficiarios'!$A$1:$C$7"}</definedName>
    <definedName name="Notas_Fto_1" localSheetId="4">#REF!</definedName>
    <definedName name="Notas_Fto_1" localSheetId="1">#REF!</definedName>
    <definedName name="Notas_Fto_1" localSheetId="0">#REF!</definedName>
    <definedName name="Notas_Fto_1">#REF!</definedName>
    <definedName name="Partidas">[4]TECHO!$B$1:$Q$2798</definedName>
    <definedName name="SINAJUSTE" localSheetId="3" hidden="1">{"'beneficiarios'!$A$1:$C$7"}</definedName>
    <definedName name="SINAJUSTE" localSheetId="1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1">#REF!</definedName>
    <definedName name="t" localSheetId="0">#REF!</definedName>
    <definedName name="t">#REF!</definedName>
    <definedName name="_xlnm.Print_Titles" localSheetId="2">'COEF Art 14 F I'!$A:$A,'COEF Art 14 F I'!$3:$3</definedName>
    <definedName name="_xlnm.Print_Titles" localSheetId="1">'DIST MES'!$1:$3</definedName>
    <definedName name="TOT" localSheetId="4">#REF!</definedName>
    <definedName name="TOT" localSheetId="1">#REF!</definedName>
    <definedName name="TOT" localSheetId="0">#REF!</definedName>
    <definedName name="TOT">#REF!</definedName>
    <definedName name="TOTAL" localSheetId="4">#REF!</definedName>
    <definedName name="TOTAL" localSheetId="1">#REF!</definedName>
    <definedName name="TOTAL" localSheetId="0">#REF!</definedName>
    <definedName name="TOTAL">#REF!</definedName>
  </definedNames>
  <calcPr calcId="152510"/>
</workbook>
</file>

<file path=xl/calcChain.xml><?xml version="1.0" encoding="utf-8"?>
<calcChain xmlns="http://schemas.openxmlformats.org/spreadsheetml/2006/main">
  <c r="J7" i="48" l="1"/>
  <c r="J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40" i="48"/>
  <c r="J41" i="48"/>
  <c r="J42" i="48"/>
  <c r="J43" i="48"/>
  <c r="J44" i="48"/>
  <c r="J45" i="48"/>
  <c r="J46" i="48"/>
  <c r="J47" i="48"/>
  <c r="J48" i="48"/>
  <c r="J49" i="48"/>
  <c r="J50" i="48"/>
  <c r="J51" i="48"/>
  <c r="J52" i="48"/>
  <c r="J53" i="48"/>
  <c r="J54" i="48"/>
  <c r="J55" i="48"/>
  <c r="J56" i="48"/>
  <c r="J6" i="48"/>
  <c r="D7" i="48"/>
  <c r="I7" i="48"/>
  <c r="D8" i="48"/>
  <c r="I8" i="48"/>
  <c r="D9" i="48"/>
  <c r="I9" i="48"/>
  <c r="D10" i="48"/>
  <c r="I10" i="48"/>
  <c r="D11" i="48"/>
  <c r="I11" i="48"/>
  <c r="D12" i="48"/>
  <c r="I12" i="48"/>
  <c r="D13" i="48"/>
  <c r="I13" i="48"/>
  <c r="D14" i="48"/>
  <c r="I14" i="48"/>
  <c r="D15" i="48"/>
  <c r="I15" i="48"/>
  <c r="D16" i="48"/>
  <c r="I16" i="48"/>
  <c r="D17" i="48"/>
  <c r="I17" i="48"/>
  <c r="D18" i="48"/>
  <c r="I18" i="48"/>
  <c r="D19" i="48"/>
  <c r="I19" i="48"/>
  <c r="D20" i="48"/>
  <c r="I20" i="48"/>
  <c r="D21" i="48"/>
  <c r="I21" i="48"/>
  <c r="D22" i="48"/>
  <c r="I22" i="48"/>
  <c r="D23" i="48"/>
  <c r="I23" i="48"/>
  <c r="D24" i="48"/>
  <c r="I24" i="48"/>
  <c r="D25" i="48"/>
  <c r="I25" i="48"/>
  <c r="D26" i="48"/>
  <c r="I26" i="48"/>
  <c r="D27" i="48"/>
  <c r="I27" i="48"/>
  <c r="D28" i="48"/>
  <c r="I28" i="48"/>
  <c r="D29" i="48"/>
  <c r="I29" i="48"/>
  <c r="D30" i="48"/>
  <c r="I30" i="48"/>
  <c r="D31" i="48"/>
  <c r="I31" i="48"/>
  <c r="D32" i="48"/>
  <c r="I32" i="48"/>
  <c r="D33" i="48"/>
  <c r="I33" i="48"/>
  <c r="D34" i="48"/>
  <c r="I34" i="48"/>
  <c r="D35" i="48"/>
  <c r="I35" i="48"/>
  <c r="D36" i="48"/>
  <c r="I36" i="48"/>
  <c r="D37" i="48"/>
  <c r="I37" i="48"/>
  <c r="D38" i="48"/>
  <c r="I38" i="48"/>
  <c r="D39" i="48"/>
  <c r="I39" i="48"/>
  <c r="D40" i="48"/>
  <c r="I40" i="48"/>
  <c r="D41" i="48"/>
  <c r="I41" i="48"/>
  <c r="D42" i="48"/>
  <c r="I42" i="48"/>
  <c r="D43" i="48"/>
  <c r="I43" i="48"/>
  <c r="D44" i="48"/>
  <c r="I44" i="48"/>
  <c r="D45" i="48"/>
  <c r="I45" i="48"/>
  <c r="D46" i="48"/>
  <c r="I46" i="48"/>
  <c r="D47" i="48"/>
  <c r="I47" i="48"/>
  <c r="D48" i="48"/>
  <c r="I48" i="48"/>
  <c r="D49" i="48"/>
  <c r="I49" i="48"/>
  <c r="D50" i="48"/>
  <c r="I50" i="48"/>
  <c r="D51" i="48"/>
  <c r="I51" i="48"/>
  <c r="D52" i="48"/>
  <c r="I52" i="48"/>
  <c r="D53" i="48"/>
  <c r="I53" i="48"/>
  <c r="D54" i="48"/>
  <c r="I54" i="48"/>
  <c r="D55" i="48"/>
  <c r="I55" i="48"/>
  <c r="D56" i="48"/>
  <c r="I56" i="48"/>
  <c r="I6" i="48"/>
  <c r="P3" i="44"/>
  <c r="J57" i="4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B58" i="49"/>
  <c r="B55" i="49"/>
  <c r="C54" i="49"/>
  <c r="D54" i="49"/>
  <c r="K56" i="48"/>
  <c r="C20" i="49"/>
  <c r="D14" i="49"/>
  <c r="K16" i="48"/>
  <c r="D26" i="49"/>
  <c r="K28" i="48"/>
  <c r="C15" i="49"/>
  <c r="C39" i="49"/>
  <c r="D9" i="49"/>
  <c r="K11" i="48"/>
  <c r="D21" i="49"/>
  <c r="K23" i="48"/>
  <c r="D27" i="49"/>
  <c r="K29" i="48"/>
  <c r="D39" i="49"/>
  <c r="K41" i="48"/>
  <c r="D45" i="49"/>
  <c r="K47" i="48"/>
  <c r="D51" i="49"/>
  <c r="K53" i="48"/>
  <c r="C7" i="49"/>
  <c r="D7" i="49"/>
  <c r="K9" i="48"/>
  <c r="C19" i="49"/>
  <c r="D19" i="49"/>
  <c r="K21" i="48"/>
  <c r="C31" i="49"/>
  <c r="D31" i="49"/>
  <c r="K33" i="48"/>
  <c r="C43" i="49"/>
  <c r="D43" i="49"/>
  <c r="K45" i="48"/>
  <c r="C14" i="49"/>
  <c r="C21" i="49"/>
  <c r="C33" i="49"/>
  <c r="D33" i="49"/>
  <c r="K35" i="48"/>
  <c r="C51" i="49"/>
  <c r="C4" i="49"/>
  <c r="C22" i="49"/>
  <c r="D22" i="49"/>
  <c r="K24" i="48"/>
  <c r="C34" i="49"/>
  <c r="D34" i="49"/>
  <c r="K36" i="48"/>
  <c r="C40" i="49"/>
  <c r="D40" i="49"/>
  <c r="K42" i="48"/>
  <c r="C46" i="49"/>
  <c r="D46" i="49"/>
  <c r="K48" i="48"/>
  <c r="C52" i="49"/>
  <c r="D52" i="49"/>
  <c r="K54" i="48"/>
  <c r="C13" i="49"/>
  <c r="D13" i="49"/>
  <c r="K15" i="48"/>
  <c r="C25" i="49"/>
  <c r="D25" i="49"/>
  <c r="K27" i="48"/>
  <c r="C37" i="49"/>
  <c r="D37" i="49"/>
  <c r="K39" i="48"/>
  <c r="C49" i="49"/>
  <c r="D49" i="49"/>
  <c r="K51" i="48"/>
  <c r="C8" i="49"/>
  <c r="C26" i="49"/>
  <c r="C32" i="49"/>
  <c r="C38" i="49"/>
  <c r="D38" i="49"/>
  <c r="K40" i="48"/>
  <c r="C44" i="49"/>
  <c r="C50" i="49"/>
  <c r="D50" i="49"/>
  <c r="K52" i="48"/>
  <c r="D8" i="49"/>
  <c r="K10" i="48"/>
  <c r="D20" i="49"/>
  <c r="K22" i="48"/>
  <c r="D32" i="49"/>
  <c r="K34" i="48"/>
  <c r="D44" i="49"/>
  <c r="K46" i="48"/>
  <c r="C9" i="49"/>
  <c r="C27" i="49"/>
  <c r="C45" i="49"/>
  <c r="D15" i="49"/>
  <c r="K17" i="48"/>
  <c r="C10" i="49"/>
  <c r="D10" i="49"/>
  <c r="K12" i="48"/>
  <c r="C16" i="49"/>
  <c r="D16" i="49"/>
  <c r="K18" i="48"/>
  <c r="C28" i="49"/>
  <c r="D28" i="49"/>
  <c r="K30" i="48"/>
  <c r="C5" i="49"/>
  <c r="D5" i="49"/>
  <c r="K7" i="48"/>
  <c r="C11" i="49"/>
  <c r="D11" i="49"/>
  <c r="K13" i="48"/>
  <c r="C17" i="49"/>
  <c r="D17" i="49"/>
  <c r="K19" i="48"/>
  <c r="C23" i="49"/>
  <c r="D23" i="49"/>
  <c r="K25" i="48"/>
  <c r="C29" i="49"/>
  <c r="D29" i="49"/>
  <c r="K31" i="48"/>
  <c r="C35" i="49"/>
  <c r="C41" i="49"/>
  <c r="C47" i="49"/>
  <c r="C53" i="49"/>
  <c r="D53" i="49"/>
  <c r="K55" i="48"/>
  <c r="D35" i="49"/>
  <c r="K37" i="48"/>
  <c r="D41" i="49"/>
  <c r="K43" i="48"/>
  <c r="D47" i="49"/>
  <c r="K49" i="48"/>
  <c r="C6" i="49"/>
  <c r="C12" i="49"/>
  <c r="C18" i="49"/>
  <c r="C24" i="49"/>
  <c r="D24" i="49"/>
  <c r="K26" i="48"/>
  <c r="C30" i="49"/>
  <c r="D30" i="49"/>
  <c r="K32" i="48"/>
  <c r="C36" i="49"/>
  <c r="D36" i="49"/>
  <c r="K38" i="48"/>
  <c r="C42" i="49"/>
  <c r="D42" i="49"/>
  <c r="K44" i="48"/>
  <c r="C48" i="49"/>
  <c r="D48" i="49"/>
  <c r="K50" i="48"/>
  <c r="D6" i="49"/>
  <c r="K8" i="48"/>
  <c r="D12" i="49"/>
  <c r="K14" i="48"/>
  <c r="D18" i="49"/>
  <c r="K20" i="48"/>
  <c r="C55" i="49"/>
  <c r="D4" i="49"/>
  <c r="D55" i="49"/>
  <c r="K6" i="48"/>
  <c r="K57" i="48"/>
  <c r="AH5" i="1"/>
  <c r="I12" i="43"/>
  <c r="J12" i="43"/>
  <c r="K12" i="43"/>
  <c r="L12" i="43"/>
  <c r="M12" i="43"/>
  <c r="N12" i="43"/>
  <c r="B12" i="43"/>
  <c r="C12" i="43"/>
  <c r="D12" i="43"/>
  <c r="E12" i="43"/>
  <c r="F12" i="43"/>
  <c r="G12" i="43"/>
  <c r="M6" i="43"/>
  <c r="L6" i="43"/>
  <c r="K6" i="43"/>
  <c r="J6" i="43"/>
  <c r="N5" i="43"/>
  <c r="N21" i="43"/>
  <c r="N6" i="43"/>
  <c r="M21" i="43"/>
  <c r="M5" i="43"/>
  <c r="L21" i="43"/>
  <c r="L5" i="43"/>
  <c r="K21" i="43"/>
  <c r="K5" i="43"/>
  <c r="J21" i="43"/>
  <c r="J5" i="43"/>
  <c r="I21" i="43"/>
  <c r="I5" i="43"/>
  <c r="G21" i="43"/>
  <c r="G6" i="43"/>
  <c r="F21" i="43"/>
  <c r="F6" i="43"/>
  <c r="E21" i="43"/>
  <c r="E5" i="43"/>
  <c r="D21" i="43"/>
  <c r="D5" i="43"/>
  <c r="C21" i="43"/>
  <c r="C6" i="43"/>
  <c r="C5" i="43"/>
  <c r="B21" i="43"/>
  <c r="B6" i="43"/>
  <c r="B5" i="43"/>
  <c r="G5" i="43"/>
  <c r="F5" i="43"/>
  <c r="I6" i="43"/>
  <c r="D6" i="43"/>
  <c r="E6" i="43"/>
  <c r="O19" i="43"/>
  <c r="P19" i="43"/>
  <c r="P20" i="43"/>
  <c r="H19" i="43"/>
  <c r="P7" i="43"/>
  <c r="P8" i="43"/>
  <c r="P9" i="43"/>
  <c r="P10" i="43"/>
  <c r="P11" i="43"/>
  <c r="P4" i="43"/>
  <c r="O5" i="43"/>
  <c r="O6" i="43"/>
  <c r="O7" i="43"/>
  <c r="O8" i="43"/>
  <c r="O9" i="43"/>
  <c r="O10" i="43"/>
  <c r="O11" i="43"/>
  <c r="O4" i="43"/>
  <c r="H5" i="43"/>
  <c r="H6" i="43"/>
  <c r="H7" i="43"/>
  <c r="H8" i="43"/>
  <c r="H9" i="43"/>
  <c r="H10" i="43"/>
  <c r="H11" i="43"/>
  <c r="H4" i="43"/>
  <c r="P6" i="43"/>
  <c r="P5" i="43"/>
  <c r="Q19" i="43"/>
  <c r="O12" i="43"/>
  <c r="H12" i="43"/>
  <c r="P12" i="43"/>
  <c r="R11" i="43"/>
  <c r="L5" i="36"/>
  <c r="R10" i="43"/>
  <c r="R9" i="43"/>
  <c r="R8" i="43"/>
  <c r="R7" i="43"/>
  <c r="R6" i="43"/>
  <c r="R5" i="43"/>
  <c r="H57" i="28"/>
  <c r="G57" i="28"/>
  <c r="F57" i="28"/>
  <c r="E57" i="28"/>
  <c r="D57" i="28"/>
  <c r="C57" i="28"/>
  <c r="B57" i="28"/>
  <c r="I57" i="28"/>
  <c r="R4" i="43"/>
  <c r="R12" i="43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Y8" i="1"/>
  <c r="Y10" i="1"/>
  <c r="Y12" i="1"/>
  <c r="Y14" i="1"/>
  <c r="Y16" i="1"/>
  <c r="Y18" i="1"/>
  <c r="Y20" i="1"/>
  <c r="Y22" i="1"/>
  <c r="Y24" i="1"/>
  <c r="Y26" i="1"/>
  <c r="Y28" i="1"/>
  <c r="Y30" i="1"/>
  <c r="Y32" i="1"/>
  <c r="Y34" i="1"/>
  <c r="Y36" i="1"/>
  <c r="Y38" i="1"/>
  <c r="Y40" i="1"/>
  <c r="Y42" i="1"/>
  <c r="Y44" i="1"/>
  <c r="Y46" i="1"/>
  <c r="Y48" i="1"/>
  <c r="Y50" i="1"/>
  <c r="Y52" i="1"/>
  <c r="Y54" i="1"/>
  <c r="Y56" i="1"/>
  <c r="Y7" i="1"/>
  <c r="Y9" i="1"/>
  <c r="Y11" i="1"/>
  <c r="Y13" i="1"/>
  <c r="Y15" i="1"/>
  <c r="Y17" i="1"/>
  <c r="Y19" i="1"/>
  <c r="Y21" i="1"/>
  <c r="Y23" i="1"/>
  <c r="Y25" i="1"/>
  <c r="Y27" i="1"/>
  <c r="Y29" i="1"/>
  <c r="Y31" i="1"/>
  <c r="Y33" i="1"/>
  <c r="Y35" i="1"/>
  <c r="Y37" i="1"/>
  <c r="Y39" i="1"/>
  <c r="Y41" i="1"/>
  <c r="Y43" i="1"/>
  <c r="Y45" i="1"/>
  <c r="Y47" i="1"/>
  <c r="Y49" i="1"/>
  <c r="Y51" i="1"/>
  <c r="Y53" i="1"/>
  <c r="Y55" i="1"/>
  <c r="Y57" i="1"/>
  <c r="D5" i="44"/>
  <c r="G5" i="44"/>
  <c r="H5" i="44"/>
  <c r="D6" i="44"/>
  <c r="G6" i="44"/>
  <c r="H6" i="44"/>
  <c r="D7" i="44"/>
  <c r="G7" i="44"/>
  <c r="H7" i="44"/>
  <c r="D8" i="44"/>
  <c r="G8" i="44"/>
  <c r="H8" i="44"/>
  <c r="D9" i="44"/>
  <c r="G9" i="44"/>
  <c r="H9" i="44"/>
  <c r="D10" i="44"/>
  <c r="G10" i="44"/>
  <c r="H10" i="44"/>
  <c r="D11" i="44"/>
  <c r="G11" i="44"/>
  <c r="H11" i="44"/>
  <c r="D12" i="44"/>
  <c r="G12" i="44"/>
  <c r="H12" i="44"/>
  <c r="D13" i="44"/>
  <c r="G13" i="44"/>
  <c r="H13" i="44"/>
  <c r="D14" i="44"/>
  <c r="G14" i="44"/>
  <c r="H14" i="44"/>
  <c r="D15" i="44"/>
  <c r="G15" i="44"/>
  <c r="H15" i="44"/>
  <c r="D16" i="44"/>
  <c r="G16" i="44"/>
  <c r="H16" i="44"/>
  <c r="D17" i="44"/>
  <c r="G17" i="44"/>
  <c r="H17" i="44"/>
  <c r="D18" i="44"/>
  <c r="G18" i="44"/>
  <c r="H18" i="44"/>
  <c r="D19" i="44"/>
  <c r="G19" i="44"/>
  <c r="H19" i="44"/>
  <c r="D20" i="44"/>
  <c r="G20" i="44"/>
  <c r="H20" i="44"/>
  <c r="D21" i="44"/>
  <c r="G21" i="44"/>
  <c r="H21" i="44"/>
  <c r="D22" i="44"/>
  <c r="G22" i="44"/>
  <c r="H22" i="44"/>
  <c r="D23" i="44"/>
  <c r="G23" i="44"/>
  <c r="H23" i="44"/>
  <c r="D24" i="44"/>
  <c r="G24" i="44"/>
  <c r="H24" i="44"/>
  <c r="D25" i="44"/>
  <c r="G25" i="44"/>
  <c r="H25" i="44"/>
  <c r="D26" i="44"/>
  <c r="G26" i="44"/>
  <c r="H26" i="44"/>
  <c r="D27" i="44"/>
  <c r="G27" i="44"/>
  <c r="H27" i="44"/>
  <c r="D28" i="44"/>
  <c r="G28" i="44"/>
  <c r="H28" i="44"/>
  <c r="D29" i="44"/>
  <c r="G29" i="44"/>
  <c r="H29" i="44"/>
  <c r="D30" i="44"/>
  <c r="G30" i="44"/>
  <c r="H30" i="44"/>
  <c r="D31" i="44"/>
  <c r="G31" i="44"/>
  <c r="H31" i="44"/>
  <c r="D32" i="44"/>
  <c r="G32" i="44"/>
  <c r="H32" i="44"/>
  <c r="D33" i="44"/>
  <c r="G33" i="44"/>
  <c r="H33" i="44"/>
  <c r="D34" i="44"/>
  <c r="G34" i="44"/>
  <c r="H34" i="44"/>
  <c r="D35" i="44"/>
  <c r="G35" i="44"/>
  <c r="H35" i="44"/>
  <c r="D36" i="44"/>
  <c r="G36" i="44"/>
  <c r="H36" i="44"/>
  <c r="D37" i="44"/>
  <c r="G37" i="44"/>
  <c r="H37" i="44"/>
  <c r="D38" i="44"/>
  <c r="G38" i="44"/>
  <c r="H38" i="44"/>
  <c r="D39" i="44"/>
  <c r="G39" i="44"/>
  <c r="H39" i="44"/>
  <c r="D40" i="44"/>
  <c r="G40" i="44"/>
  <c r="H40" i="44"/>
  <c r="D41" i="44"/>
  <c r="G41" i="44"/>
  <c r="H41" i="44"/>
  <c r="D42" i="44"/>
  <c r="G42" i="44"/>
  <c r="H42" i="44"/>
  <c r="D43" i="44"/>
  <c r="G43" i="44"/>
  <c r="H43" i="44"/>
  <c r="D44" i="44"/>
  <c r="G44" i="44"/>
  <c r="H44" i="44"/>
  <c r="D45" i="44"/>
  <c r="G45" i="44"/>
  <c r="H45" i="44"/>
  <c r="D46" i="44"/>
  <c r="G46" i="44"/>
  <c r="H46" i="44"/>
  <c r="D47" i="44"/>
  <c r="G47" i="44"/>
  <c r="H47" i="44"/>
  <c r="D48" i="44"/>
  <c r="G48" i="44"/>
  <c r="H48" i="44"/>
  <c r="D49" i="44"/>
  <c r="G49" i="44"/>
  <c r="H49" i="44"/>
  <c r="D50" i="44"/>
  <c r="G50" i="44"/>
  <c r="H50" i="44"/>
  <c r="D51" i="44"/>
  <c r="G51" i="44"/>
  <c r="H51" i="44"/>
  <c r="D52" i="44"/>
  <c r="G52" i="44"/>
  <c r="H52" i="44"/>
  <c r="D53" i="44"/>
  <c r="G53" i="44"/>
  <c r="H53" i="44"/>
  <c r="D54" i="44"/>
  <c r="G54" i="44"/>
  <c r="H54" i="44"/>
  <c r="D55" i="44"/>
  <c r="G55" i="44"/>
  <c r="H55" i="44"/>
  <c r="B56" i="44"/>
  <c r="C56" i="44"/>
  <c r="J55" i="44"/>
  <c r="F56" i="44"/>
  <c r="D56" i="44"/>
  <c r="E54" i="44"/>
  <c r="H56" i="44"/>
  <c r="I54" i="44"/>
  <c r="J54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14" i="44"/>
  <c r="I9" i="44"/>
  <c r="I16" i="44"/>
  <c r="I20" i="44"/>
  <c r="I26" i="44"/>
  <c r="I28" i="44"/>
  <c r="I30" i="44"/>
  <c r="I32" i="44"/>
  <c r="I34" i="44"/>
  <c r="I5" i="44"/>
  <c r="I36" i="44"/>
  <c r="I7" i="44"/>
  <c r="I38" i="44"/>
  <c r="I18" i="44"/>
  <c r="E8" i="44"/>
  <c r="E10" i="44"/>
  <c r="E18" i="44"/>
  <c r="E32" i="44"/>
  <c r="E52" i="44"/>
  <c r="E36" i="44"/>
  <c r="E14" i="44"/>
  <c r="E50" i="44"/>
  <c r="E6" i="44"/>
  <c r="E23" i="44"/>
  <c r="E25" i="44"/>
  <c r="E34" i="44"/>
  <c r="E27" i="44"/>
  <c r="E12" i="44"/>
  <c r="E38" i="44"/>
  <c r="E40" i="44"/>
  <c r="E16" i="44"/>
  <c r="E42" i="44"/>
  <c r="E44" i="44"/>
  <c r="E46" i="44"/>
  <c r="E48" i="44"/>
  <c r="E21" i="44"/>
  <c r="E30" i="44"/>
  <c r="I11" i="44"/>
  <c r="I22" i="44"/>
  <c r="I40" i="44"/>
  <c r="I24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/>
  <c r="E56" i="44"/>
  <c r="M3" i="44"/>
  <c r="O3" i="44"/>
  <c r="N3" i="44"/>
  <c r="O55" i="44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O5" i="44"/>
  <c r="N9" i="44"/>
  <c r="N20" i="44"/>
  <c r="N28" i="44"/>
  <c r="N36" i="44"/>
  <c r="N7" i="44"/>
  <c r="N18" i="44"/>
  <c r="N26" i="44"/>
  <c r="N34" i="44"/>
  <c r="N54" i="44"/>
  <c r="N16" i="44"/>
  <c r="N24" i="44"/>
  <c r="N32" i="44"/>
  <c r="N40" i="44"/>
  <c r="N11" i="44"/>
  <c r="N14" i="44"/>
  <c r="N22" i="44"/>
  <c r="N30" i="44"/>
  <c r="N38" i="44"/>
  <c r="N5" i="44"/>
  <c r="N47" i="44"/>
  <c r="N52" i="44"/>
  <c r="N35" i="44"/>
  <c r="N27" i="44"/>
  <c r="N19" i="44"/>
  <c r="N10" i="44"/>
  <c r="N51" i="44"/>
  <c r="N48" i="44"/>
  <c r="N53" i="44"/>
  <c r="N49" i="44"/>
  <c r="N41" i="44"/>
  <c r="N33" i="44"/>
  <c r="N25" i="44"/>
  <c r="N17" i="44"/>
  <c r="N12" i="44"/>
  <c r="N44" i="44"/>
  <c r="N50" i="44"/>
  <c r="N46" i="44"/>
  <c r="N39" i="44"/>
  <c r="N31" i="44"/>
  <c r="N23" i="44"/>
  <c r="N15" i="44"/>
  <c r="N6" i="44"/>
  <c r="N55" i="44"/>
  <c r="N42" i="44"/>
  <c r="N45" i="44"/>
  <c r="N43" i="44"/>
  <c r="N37" i="44"/>
  <c r="N29" i="44"/>
  <c r="N21" i="44"/>
  <c r="N13" i="44"/>
  <c r="N8" i="44"/>
  <c r="M10" i="44"/>
  <c r="M18" i="44"/>
  <c r="M25" i="44"/>
  <c r="M30" i="44"/>
  <c r="M38" i="44"/>
  <c r="M46" i="44"/>
  <c r="M8" i="44"/>
  <c r="M16" i="44"/>
  <c r="M23" i="44"/>
  <c r="M32" i="44"/>
  <c r="M40" i="44"/>
  <c r="M48" i="44"/>
  <c r="M5" i="44"/>
  <c r="M6" i="44"/>
  <c r="M14" i="44"/>
  <c r="M21" i="44"/>
  <c r="M34" i="44"/>
  <c r="P34" i="44"/>
  <c r="M42" i="44"/>
  <c r="M50" i="44"/>
  <c r="M54" i="44"/>
  <c r="M12" i="44"/>
  <c r="M27" i="44"/>
  <c r="M36" i="44"/>
  <c r="M44" i="44"/>
  <c r="M52" i="44"/>
  <c r="M55" i="44"/>
  <c r="M53" i="44"/>
  <c r="M45" i="44"/>
  <c r="M37" i="44"/>
  <c r="M29" i="44"/>
  <c r="M22" i="44"/>
  <c r="M15" i="44"/>
  <c r="M7" i="44"/>
  <c r="M51" i="44"/>
  <c r="M43" i="44"/>
  <c r="M35" i="44"/>
  <c r="M28" i="44"/>
  <c r="M20" i="44"/>
  <c r="M13" i="44"/>
  <c r="M49" i="44"/>
  <c r="M41" i="44"/>
  <c r="M33" i="44"/>
  <c r="M26" i="44"/>
  <c r="M19" i="44"/>
  <c r="M11" i="44"/>
  <c r="M47" i="44"/>
  <c r="M39" i="44"/>
  <c r="M31" i="44"/>
  <c r="M24" i="44"/>
  <c r="M17" i="44"/>
  <c r="M9" i="44"/>
  <c r="P13" i="44"/>
  <c r="P33" i="44"/>
  <c r="P29" i="44"/>
  <c r="P46" i="44"/>
  <c r="P30" i="44"/>
  <c r="P51" i="44"/>
  <c r="P11" i="44"/>
  <c r="P20" i="44"/>
  <c r="P55" i="44"/>
  <c r="P17" i="44"/>
  <c r="P21" i="44"/>
  <c r="P31" i="44"/>
  <c r="P35" i="44"/>
  <c r="P47" i="44"/>
  <c r="P32" i="44"/>
  <c r="P18" i="44"/>
  <c r="P54" i="44"/>
  <c r="P19" i="44"/>
  <c r="P15" i="44"/>
  <c r="P16" i="44"/>
  <c r="P9" i="44"/>
  <c r="P24" i="44"/>
  <c r="P39" i="44"/>
  <c r="P26" i="44"/>
  <c r="P41" i="44"/>
  <c r="P28" i="44"/>
  <c r="P43" i="44"/>
  <c r="P7" i="44"/>
  <c r="P22" i="44"/>
  <c r="P37" i="44"/>
  <c r="P36" i="44"/>
  <c r="P12" i="44"/>
  <c r="P14" i="44"/>
  <c r="P40" i="44"/>
  <c r="P8" i="44"/>
  <c r="P38" i="44"/>
  <c r="O56" i="44"/>
  <c r="P45" i="44"/>
  <c r="P44" i="44"/>
  <c r="P49" i="44"/>
  <c r="P48" i="44"/>
  <c r="P10" i="44"/>
  <c r="P27" i="44"/>
  <c r="P52" i="44"/>
  <c r="N56" i="44"/>
  <c r="M56" i="44"/>
  <c r="P5" i="44"/>
  <c r="D6" i="48"/>
  <c r="P42" i="44"/>
  <c r="P6" i="44"/>
  <c r="P23" i="44"/>
  <c r="P50" i="44"/>
  <c r="P25" i="44"/>
  <c r="P53" i="44"/>
  <c r="D57" i="48"/>
  <c r="P56" i="44"/>
  <c r="Q23" i="44"/>
  <c r="Q49" i="44"/>
  <c r="Q25" i="44"/>
  <c r="Q52" i="44"/>
  <c r="Q48" i="44"/>
  <c r="Q45" i="44"/>
  <c r="Q10" i="44"/>
  <c r="Q42" i="44"/>
  <c r="Q44" i="44"/>
  <c r="Q27" i="44"/>
  <c r="Q5" i="44"/>
  <c r="Q9" i="44"/>
  <c r="Q17" i="44"/>
  <c r="Q31" i="44"/>
  <c r="Q47" i="44"/>
  <c r="Q19" i="44"/>
  <c r="Q33" i="44"/>
  <c r="Q20" i="44"/>
  <c r="Q35" i="44"/>
  <c r="Q51" i="44"/>
  <c r="Q15" i="44"/>
  <c r="Q29" i="44"/>
  <c r="Q55" i="44"/>
  <c r="Q54" i="44"/>
  <c r="Q21" i="44"/>
  <c r="Q32" i="44"/>
  <c r="Q16" i="44"/>
  <c r="Q46" i="44"/>
  <c r="Q30" i="44"/>
  <c r="Q18" i="44"/>
  <c r="Q24" i="44"/>
  <c r="Q39" i="44"/>
  <c r="Q11" i="44"/>
  <c r="Q26" i="44"/>
  <c r="Q41" i="44"/>
  <c r="Q13" i="44"/>
  <c r="Q28" i="44"/>
  <c r="Q43" i="44"/>
  <c r="Q7" i="44"/>
  <c r="Q22" i="44"/>
  <c r="Q37" i="44"/>
  <c r="Q36" i="44"/>
  <c r="Q12" i="44"/>
  <c r="Q34" i="44"/>
  <c r="Q14" i="44"/>
  <c r="Q40" i="44"/>
  <c r="Q8" i="44"/>
  <c r="Q38" i="44"/>
  <c r="Q6" i="44"/>
  <c r="Q50" i="44"/>
  <c r="Q53" i="44"/>
  <c r="C58" i="1"/>
  <c r="B58" i="1"/>
  <c r="I5" i="36"/>
  <c r="Z53" i="1"/>
  <c r="X51" i="1"/>
  <c r="Z49" i="1"/>
  <c r="X43" i="1"/>
  <c r="X40" i="1"/>
  <c r="X39" i="1"/>
  <c r="Z37" i="1"/>
  <c r="Z34" i="1"/>
  <c r="X31" i="1"/>
  <c r="Z26" i="1"/>
  <c r="Z22" i="1"/>
  <c r="Z57" i="1"/>
  <c r="Z55" i="1"/>
  <c r="Z52" i="1"/>
  <c r="Z50" i="1"/>
  <c r="Z48" i="1"/>
  <c r="Z46" i="1"/>
  <c r="Z44" i="1"/>
  <c r="Z42" i="1"/>
  <c r="Z40" i="1"/>
  <c r="Z38" i="1"/>
  <c r="Z36" i="1"/>
  <c r="Z32" i="1"/>
  <c r="Z30" i="1"/>
  <c r="Z28" i="1"/>
  <c r="Z24" i="1"/>
  <c r="Z20" i="1"/>
  <c r="Z17" i="1"/>
  <c r="Z15" i="1"/>
  <c r="Z12" i="1"/>
  <c r="Z10" i="1"/>
  <c r="X23" i="1"/>
  <c r="X7" i="1"/>
  <c r="D58" i="36"/>
  <c r="E58" i="36"/>
  <c r="B58" i="36"/>
  <c r="C57" i="36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X57" i="1"/>
  <c r="Z56" i="1"/>
  <c r="X56" i="1"/>
  <c r="X55" i="1"/>
  <c r="X53" i="1"/>
  <c r="X52" i="1"/>
  <c r="Z51" i="1"/>
  <c r="X50" i="1"/>
  <c r="X49" i="1"/>
  <c r="X48" i="1"/>
  <c r="Z47" i="1"/>
  <c r="X47" i="1"/>
  <c r="X46" i="1"/>
  <c r="Z45" i="1"/>
  <c r="X45" i="1"/>
  <c r="X44" i="1"/>
  <c r="Z43" i="1"/>
  <c r="X42" i="1"/>
  <c r="Z41" i="1"/>
  <c r="X41" i="1"/>
  <c r="Z39" i="1"/>
  <c r="X38" i="1"/>
  <c r="X37" i="1"/>
  <c r="X36" i="1"/>
  <c r="Z35" i="1"/>
  <c r="X35" i="1"/>
  <c r="X34" i="1"/>
  <c r="Z33" i="1"/>
  <c r="X33" i="1"/>
  <c r="X32" i="1"/>
  <c r="Z31" i="1"/>
  <c r="X30" i="1"/>
  <c r="Z29" i="1"/>
  <c r="X29" i="1"/>
  <c r="X28" i="1"/>
  <c r="Z27" i="1"/>
  <c r="X27" i="1"/>
  <c r="Z25" i="1"/>
  <c r="X25" i="1"/>
  <c r="X24" i="1"/>
  <c r="Z23" i="1"/>
  <c r="X22" i="1"/>
  <c r="Z21" i="1"/>
  <c r="X21" i="1"/>
  <c r="X20" i="1"/>
  <c r="Z19" i="1"/>
  <c r="X19" i="1"/>
  <c r="Z18" i="1"/>
  <c r="X18" i="1"/>
  <c r="X17" i="1"/>
  <c r="Z16" i="1"/>
  <c r="X16" i="1"/>
  <c r="X15" i="1"/>
  <c r="X14" i="1"/>
  <c r="Z13" i="1"/>
  <c r="X13" i="1"/>
  <c r="X12" i="1"/>
  <c r="Z11" i="1"/>
  <c r="X11" i="1"/>
  <c r="X10" i="1"/>
  <c r="Z9" i="1"/>
  <c r="X9" i="1"/>
  <c r="X8" i="1"/>
  <c r="Z7" i="1"/>
  <c r="C11" i="36"/>
  <c r="C7" i="36"/>
  <c r="C26" i="36"/>
  <c r="C8" i="36"/>
  <c r="C16" i="36"/>
  <c r="C33" i="36"/>
  <c r="C17" i="36"/>
  <c r="C21" i="36"/>
  <c r="C25" i="36"/>
  <c r="C29" i="36"/>
  <c r="C34" i="36"/>
  <c r="C38" i="36"/>
  <c r="C46" i="36"/>
  <c r="C39" i="36"/>
  <c r="C48" i="36"/>
  <c r="C56" i="36"/>
  <c r="D7" i="1"/>
  <c r="E7" i="1"/>
  <c r="C47" i="36"/>
  <c r="C51" i="36"/>
  <c r="C55" i="36"/>
  <c r="J58" i="1"/>
  <c r="K10" i="1"/>
  <c r="L10" i="1"/>
  <c r="G58" i="1"/>
  <c r="H10" i="1"/>
  <c r="I10" i="1"/>
  <c r="K26" i="1"/>
  <c r="L26" i="1"/>
  <c r="K13" i="1"/>
  <c r="L13" i="1"/>
  <c r="K9" i="1"/>
  <c r="L9" i="1"/>
  <c r="C24" i="36"/>
  <c r="C43" i="36"/>
  <c r="I43" i="36"/>
  <c r="C12" i="36"/>
  <c r="H28" i="1"/>
  <c r="I28" i="1"/>
  <c r="H13" i="1"/>
  <c r="I13" i="1"/>
  <c r="H30" i="1"/>
  <c r="I30" i="1"/>
  <c r="H40" i="1"/>
  <c r="I40" i="1"/>
  <c r="H16" i="1"/>
  <c r="I16" i="1"/>
  <c r="H22" i="1"/>
  <c r="I22" i="1"/>
  <c r="M22" i="1"/>
  <c r="H48" i="1"/>
  <c r="I48" i="1"/>
  <c r="H33" i="1"/>
  <c r="I33" i="1"/>
  <c r="H38" i="1"/>
  <c r="I38" i="1"/>
  <c r="M38" i="1"/>
  <c r="C50" i="36"/>
  <c r="C13" i="36"/>
  <c r="C35" i="36"/>
  <c r="C30" i="36"/>
  <c r="H24" i="1"/>
  <c r="I24" i="1"/>
  <c r="K34" i="1"/>
  <c r="L34" i="1"/>
  <c r="H25" i="1"/>
  <c r="I25" i="1"/>
  <c r="H51" i="1"/>
  <c r="I51" i="1"/>
  <c r="C53" i="36"/>
  <c r="I53" i="36"/>
  <c r="C49" i="36"/>
  <c r="I49" i="36"/>
  <c r="C52" i="36"/>
  <c r="I52" i="36"/>
  <c r="C45" i="36"/>
  <c r="I45" i="36"/>
  <c r="C41" i="36"/>
  <c r="I41" i="36"/>
  <c r="C54" i="36"/>
  <c r="C42" i="36"/>
  <c r="C36" i="36"/>
  <c r="C32" i="36"/>
  <c r="C40" i="36"/>
  <c r="C31" i="36"/>
  <c r="I31" i="36"/>
  <c r="C27" i="36"/>
  <c r="C23" i="36"/>
  <c r="I23" i="36"/>
  <c r="C19" i="36"/>
  <c r="I19" i="36"/>
  <c r="C44" i="36"/>
  <c r="I44" i="36"/>
  <c r="C28" i="36"/>
  <c r="I28" i="36"/>
  <c r="C20" i="36"/>
  <c r="I20" i="36"/>
  <c r="C14" i="36"/>
  <c r="C10" i="36"/>
  <c r="C37" i="36"/>
  <c r="I37" i="36"/>
  <c r="C18" i="36"/>
  <c r="I18" i="36"/>
  <c r="C9" i="36"/>
  <c r="C15" i="36"/>
  <c r="I15" i="36"/>
  <c r="C22" i="36"/>
  <c r="I22" i="36"/>
  <c r="E7" i="36"/>
  <c r="E16" i="36"/>
  <c r="K11" i="1"/>
  <c r="L11" i="1"/>
  <c r="K15" i="1"/>
  <c r="L15" i="1"/>
  <c r="H18" i="1"/>
  <c r="I18" i="1"/>
  <c r="H26" i="1"/>
  <c r="I26" i="1"/>
  <c r="M26" i="1"/>
  <c r="H34" i="1"/>
  <c r="I34" i="1"/>
  <c r="M34" i="1"/>
  <c r="H8" i="1"/>
  <c r="I8" i="1"/>
  <c r="H41" i="1"/>
  <c r="I41" i="1"/>
  <c r="H50" i="1"/>
  <c r="I50" i="1"/>
  <c r="H20" i="1"/>
  <c r="I20" i="1"/>
  <c r="H36" i="1"/>
  <c r="I36" i="1"/>
  <c r="H44" i="1"/>
  <c r="I44" i="1"/>
  <c r="H56" i="1"/>
  <c r="I56" i="1"/>
  <c r="H47" i="1"/>
  <c r="I47" i="1"/>
  <c r="H9" i="1"/>
  <c r="I9" i="1"/>
  <c r="M9" i="1"/>
  <c r="H54" i="1"/>
  <c r="I54" i="1"/>
  <c r="H46" i="1"/>
  <c r="I46" i="1"/>
  <c r="M46" i="1"/>
  <c r="Z54" i="1"/>
  <c r="X54" i="1"/>
  <c r="K18" i="1"/>
  <c r="L18" i="1"/>
  <c r="K58" i="1"/>
  <c r="K7" i="1"/>
  <c r="L7" i="1"/>
  <c r="K54" i="1"/>
  <c r="L54" i="1"/>
  <c r="K46" i="1"/>
  <c r="L46" i="1"/>
  <c r="K38" i="1"/>
  <c r="L38" i="1"/>
  <c r="K30" i="1"/>
  <c r="L30" i="1"/>
  <c r="M30" i="1"/>
  <c r="K22" i="1"/>
  <c r="L22" i="1"/>
  <c r="K14" i="1"/>
  <c r="L14" i="1"/>
  <c r="K56" i="1"/>
  <c r="L56" i="1"/>
  <c r="M56" i="1"/>
  <c r="K52" i="1"/>
  <c r="L52" i="1"/>
  <c r="K48" i="1"/>
  <c r="L48" i="1"/>
  <c r="K44" i="1"/>
  <c r="L44" i="1"/>
  <c r="K40" i="1"/>
  <c r="L40" i="1"/>
  <c r="K36" i="1"/>
  <c r="L36" i="1"/>
  <c r="K32" i="1"/>
  <c r="L32" i="1"/>
  <c r="K28" i="1"/>
  <c r="L28" i="1"/>
  <c r="M28" i="1"/>
  <c r="K24" i="1"/>
  <c r="L24" i="1"/>
  <c r="M24" i="1"/>
  <c r="K20" i="1"/>
  <c r="L20" i="1"/>
  <c r="M20" i="1"/>
  <c r="K16" i="1"/>
  <c r="L16" i="1"/>
  <c r="M16" i="1"/>
  <c r="K12" i="1"/>
  <c r="L12" i="1"/>
  <c r="K8" i="1"/>
  <c r="L8" i="1"/>
  <c r="K57" i="1"/>
  <c r="L57" i="1"/>
  <c r="K55" i="1"/>
  <c r="L55" i="1"/>
  <c r="K53" i="1"/>
  <c r="L53" i="1"/>
  <c r="K51" i="1"/>
  <c r="L51" i="1"/>
  <c r="K49" i="1"/>
  <c r="L49" i="1"/>
  <c r="K47" i="1"/>
  <c r="L47" i="1"/>
  <c r="K45" i="1"/>
  <c r="L45" i="1"/>
  <c r="K43" i="1"/>
  <c r="L43" i="1"/>
  <c r="K41" i="1"/>
  <c r="L41" i="1"/>
  <c r="M41" i="1"/>
  <c r="K39" i="1"/>
  <c r="L39" i="1"/>
  <c r="K37" i="1"/>
  <c r="L37" i="1"/>
  <c r="K35" i="1"/>
  <c r="L35" i="1"/>
  <c r="K33" i="1"/>
  <c r="L33" i="1"/>
  <c r="M33" i="1"/>
  <c r="K31" i="1"/>
  <c r="L31" i="1"/>
  <c r="K29" i="1"/>
  <c r="L29" i="1"/>
  <c r="K27" i="1"/>
  <c r="L27" i="1"/>
  <c r="K25" i="1"/>
  <c r="L25" i="1"/>
  <c r="K23" i="1"/>
  <c r="L23" i="1"/>
  <c r="K21" i="1"/>
  <c r="L21" i="1"/>
  <c r="K19" i="1"/>
  <c r="L19" i="1"/>
  <c r="K17" i="1"/>
  <c r="L17" i="1"/>
  <c r="K50" i="1"/>
  <c r="L50" i="1"/>
  <c r="M50" i="1"/>
  <c r="M25" i="1"/>
  <c r="M51" i="1"/>
  <c r="M13" i="1"/>
  <c r="M40" i="1"/>
  <c r="K42" i="1"/>
  <c r="L42" i="1"/>
  <c r="X26" i="1"/>
  <c r="Z14" i="1"/>
  <c r="W58" i="1"/>
  <c r="M10" i="1"/>
  <c r="Z8" i="1"/>
  <c r="Q56" i="44"/>
  <c r="E27" i="36"/>
  <c r="E22" i="36"/>
  <c r="E43" i="36"/>
  <c r="E54" i="36"/>
  <c r="E28" i="36"/>
  <c r="E51" i="36"/>
  <c r="E35" i="36"/>
  <c r="E19" i="36"/>
  <c r="E38" i="36"/>
  <c r="E10" i="36"/>
  <c r="E40" i="36"/>
  <c r="E55" i="36"/>
  <c r="E47" i="36"/>
  <c r="E39" i="36"/>
  <c r="E31" i="36"/>
  <c r="E23" i="36"/>
  <c r="E15" i="36"/>
  <c r="E48" i="36"/>
  <c r="E50" i="36"/>
  <c r="E46" i="36"/>
  <c r="E30" i="36"/>
  <c r="E14" i="36"/>
  <c r="E44" i="36"/>
  <c r="E13" i="36"/>
  <c r="E11" i="36"/>
  <c r="E57" i="36"/>
  <c r="E53" i="36"/>
  <c r="E49" i="36"/>
  <c r="E45" i="36"/>
  <c r="E41" i="36"/>
  <c r="E37" i="36"/>
  <c r="E33" i="36"/>
  <c r="E29" i="36"/>
  <c r="E25" i="36"/>
  <c r="E21" i="36"/>
  <c r="E17" i="36"/>
  <c r="E56" i="36"/>
  <c r="E52" i="36"/>
  <c r="E42" i="36"/>
  <c r="E34" i="36"/>
  <c r="E26" i="36"/>
  <c r="E18" i="36"/>
  <c r="E12" i="36"/>
  <c r="E8" i="36"/>
  <c r="E36" i="36"/>
  <c r="E20" i="36"/>
  <c r="E9" i="36"/>
  <c r="E24" i="36"/>
  <c r="E32" i="36"/>
  <c r="H14" i="1"/>
  <c r="I14" i="1"/>
  <c r="H19" i="1"/>
  <c r="I19" i="1"/>
  <c r="H23" i="1"/>
  <c r="I23" i="1"/>
  <c r="M23" i="1"/>
  <c r="H27" i="1"/>
  <c r="I27" i="1"/>
  <c r="H31" i="1"/>
  <c r="I31" i="1"/>
  <c r="H35" i="1"/>
  <c r="I35" i="1"/>
  <c r="H39" i="1"/>
  <c r="I39" i="1"/>
  <c r="M39" i="1"/>
  <c r="H43" i="1"/>
  <c r="I43" i="1"/>
  <c r="H12" i="1"/>
  <c r="I12" i="1"/>
  <c r="M12" i="1"/>
  <c r="H21" i="1"/>
  <c r="I21" i="1"/>
  <c r="H29" i="1"/>
  <c r="I29" i="1"/>
  <c r="M29" i="1"/>
  <c r="H37" i="1"/>
  <c r="I37" i="1"/>
  <c r="H45" i="1"/>
  <c r="I45" i="1"/>
  <c r="H49" i="1"/>
  <c r="I49" i="1"/>
  <c r="H53" i="1"/>
  <c r="I53" i="1"/>
  <c r="M53" i="1"/>
  <c r="H57" i="1"/>
  <c r="I57" i="1"/>
  <c r="H7" i="1"/>
  <c r="H11" i="1"/>
  <c r="I11" i="1"/>
  <c r="M11" i="1"/>
  <c r="H15" i="1"/>
  <c r="I15" i="1"/>
  <c r="M15" i="1"/>
  <c r="H55" i="1"/>
  <c r="I55" i="1"/>
  <c r="H17" i="1"/>
  <c r="I17" i="1"/>
  <c r="M17" i="1"/>
  <c r="H32" i="1"/>
  <c r="I32" i="1"/>
  <c r="H42" i="1"/>
  <c r="I42" i="1"/>
  <c r="H52" i="1"/>
  <c r="I52" i="1"/>
  <c r="I55" i="36"/>
  <c r="I50" i="36"/>
  <c r="I34" i="36"/>
  <c r="I47" i="36"/>
  <c r="I10" i="36"/>
  <c r="I26" i="36"/>
  <c r="I42" i="36"/>
  <c r="I7" i="36"/>
  <c r="I39" i="36"/>
  <c r="AE5" i="1"/>
  <c r="I57" i="36"/>
  <c r="I33" i="36"/>
  <c r="I29" i="36"/>
  <c r="I25" i="36"/>
  <c r="I21" i="36"/>
  <c r="I17" i="36"/>
  <c r="I13" i="36"/>
  <c r="I56" i="36"/>
  <c r="I48" i="36"/>
  <c r="I40" i="36"/>
  <c r="I36" i="36"/>
  <c r="I32" i="36"/>
  <c r="I24" i="36"/>
  <c r="I16" i="36"/>
  <c r="I12" i="36"/>
  <c r="I8" i="36"/>
  <c r="J5" i="36"/>
  <c r="K5" i="36"/>
  <c r="I14" i="36"/>
  <c r="I30" i="36"/>
  <c r="I38" i="36"/>
  <c r="I46" i="36"/>
  <c r="I54" i="36"/>
  <c r="I11" i="36"/>
  <c r="I27" i="36"/>
  <c r="I35" i="36"/>
  <c r="I51" i="36"/>
  <c r="D58" i="1"/>
  <c r="E58" i="1"/>
  <c r="F7" i="1"/>
  <c r="M48" i="1"/>
  <c r="C58" i="36"/>
  <c r="I9" i="36"/>
  <c r="M8" i="1"/>
  <c r="M45" i="1"/>
  <c r="M14" i="1"/>
  <c r="M42" i="1"/>
  <c r="M31" i="1"/>
  <c r="M44" i="1"/>
  <c r="M18" i="1"/>
  <c r="F50" i="1"/>
  <c r="AE50" i="1"/>
  <c r="F48" i="1"/>
  <c r="AE48" i="1"/>
  <c r="F39" i="1"/>
  <c r="AE39" i="1"/>
  <c r="F33" i="1"/>
  <c r="AE33" i="1"/>
  <c r="F31" i="1"/>
  <c r="AE31" i="1"/>
  <c r="F27" i="1"/>
  <c r="AE27" i="1"/>
  <c r="F43" i="1"/>
  <c r="M32" i="1"/>
  <c r="M55" i="1"/>
  <c r="M43" i="1"/>
  <c r="M35" i="1"/>
  <c r="M27" i="1"/>
  <c r="M19" i="1"/>
  <c r="M36" i="1"/>
  <c r="F25" i="1"/>
  <c r="AE25" i="1"/>
  <c r="F17" i="1"/>
  <c r="AE17" i="1"/>
  <c r="F15" i="1"/>
  <c r="AE15" i="1"/>
  <c r="F10" i="1"/>
  <c r="AE10" i="1"/>
  <c r="F8" i="1"/>
  <c r="AE8" i="1"/>
  <c r="F51" i="1"/>
  <c r="AE51" i="1"/>
  <c r="F49" i="1"/>
  <c r="AE49" i="1"/>
  <c r="F45" i="1"/>
  <c r="AE45" i="1"/>
  <c r="F40" i="1"/>
  <c r="AE40" i="1"/>
  <c r="F34" i="1"/>
  <c r="AE34" i="1"/>
  <c r="F32" i="1"/>
  <c r="AE32" i="1"/>
  <c r="F28" i="1"/>
  <c r="AE28" i="1"/>
  <c r="F26" i="1"/>
  <c r="AE26" i="1"/>
  <c r="F18" i="1"/>
  <c r="AE18" i="1"/>
  <c r="F16" i="1"/>
  <c r="AE16" i="1"/>
  <c r="F13" i="1"/>
  <c r="AE13" i="1"/>
  <c r="F9" i="1"/>
  <c r="AE9" i="1"/>
  <c r="M54" i="1"/>
  <c r="M47" i="1"/>
  <c r="L58" i="1"/>
  <c r="M52" i="1"/>
  <c r="M57" i="1"/>
  <c r="M49" i="1"/>
  <c r="M37" i="1"/>
  <c r="M21" i="1"/>
  <c r="X58" i="1"/>
  <c r="Z58" i="1"/>
  <c r="I7" i="1"/>
  <c r="H58" i="1"/>
  <c r="AG5" i="1"/>
  <c r="AF5" i="1"/>
  <c r="AE43" i="1"/>
  <c r="I58" i="36"/>
  <c r="J13" i="36"/>
  <c r="J50" i="36"/>
  <c r="J9" i="36"/>
  <c r="J8" i="36"/>
  <c r="J12" i="36"/>
  <c r="J20" i="36"/>
  <c r="J54" i="36"/>
  <c r="J56" i="36"/>
  <c r="J15" i="36"/>
  <c r="J17" i="36"/>
  <c r="J19" i="36"/>
  <c r="J21" i="36"/>
  <c r="J23" i="36"/>
  <c r="J25" i="36"/>
  <c r="J27" i="36"/>
  <c r="J29" i="36"/>
  <c r="J31" i="36"/>
  <c r="J33" i="36"/>
  <c r="J35" i="36"/>
  <c r="J37" i="36"/>
  <c r="J39" i="36"/>
  <c r="J41" i="36"/>
  <c r="J43" i="36"/>
  <c r="J45" i="36"/>
  <c r="J47" i="36"/>
  <c r="J49" i="36"/>
  <c r="J51" i="36"/>
  <c r="J53" i="36"/>
  <c r="J55" i="36"/>
  <c r="J57" i="36"/>
  <c r="J28" i="36"/>
  <c r="J36" i="36"/>
  <c r="J44" i="36"/>
  <c r="J18" i="36"/>
  <c r="J22" i="36"/>
  <c r="J26" i="36"/>
  <c r="J30" i="36"/>
  <c r="J34" i="36"/>
  <c r="J38" i="36"/>
  <c r="J42" i="36"/>
  <c r="J46" i="36"/>
  <c r="J48" i="36"/>
  <c r="J52" i="36"/>
  <c r="J7" i="36"/>
  <c r="J10" i="36"/>
  <c r="J32" i="36"/>
  <c r="J16" i="36"/>
  <c r="J24" i="36"/>
  <c r="J40" i="36"/>
  <c r="J11" i="36"/>
  <c r="J14" i="36"/>
  <c r="AE7" i="1"/>
  <c r="F57" i="1"/>
  <c r="AE57" i="1"/>
  <c r="F37" i="1"/>
  <c r="AE37" i="1"/>
  <c r="F53" i="1"/>
  <c r="AE53" i="1"/>
  <c r="F21" i="1"/>
  <c r="AE21" i="1"/>
  <c r="F38" i="1"/>
  <c r="AE38" i="1"/>
  <c r="F54" i="1"/>
  <c r="AE54" i="1"/>
  <c r="F42" i="1"/>
  <c r="AE42" i="1"/>
  <c r="F23" i="1"/>
  <c r="AE23" i="1"/>
  <c r="F55" i="1"/>
  <c r="AE55" i="1"/>
  <c r="F46" i="1"/>
  <c r="AE46" i="1"/>
  <c r="F36" i="1"/>
  <c r="AE36" i="1"/>
  <c r="F29" i="1"/>
  <c r="AE29" i="1"/>
  <c r="F14" i="1"/>
  <c r="AE14" i="1"/>
  <c r="F44" i="1"/>
  <c r="AE44" i="1"/>
  <c r="F30" i="1"/>
  <c r="AE30" i="1"/>
  <c r="F20" i="1"/>
  <c r="AE20" i="1"/>
  <c r="F41" i="1"/>
  <c r="AE41" i="1"/>
  <c r="F19" i="1"/>
  <c r="AE19" i="1"/>
  <c r="F22" i="1"/>
  <c r="AE22" i="1"/>
  <c r="F12" i="1"/>
  <c r="AE12" i="1"/>
  <c r="F56" i="1"/>
  <c r="AE56" i="1"/>
  <c r="F52" i="1"/>
  <c r="AE52" i="1"/>
  <c r="F47" i="1"/>
  <c r="AE47" i="1"/>
  <c r="F11" i="1"/>
  <c r="AE11" i="1"/>
  <c r="F24" i="1"/>
  <c r="AE24" i="1"/>
  <c r="F35" i="1"/>
  <c r="AE35" i="1"/>
  <c r="AF36" i="1"/>
  <c r="AA54" i="1"/>
  <c r="AB54" i="1"/>
  <c r="AC54" i="1"/>
  <c r="AG54" i="1"/>
  <c r="AA33" i="1"/>
  <c r="AB33" i="1"/>
  <c r="AC33" i="1"/>
  <c r="AG33" i="1"/>
  <c r="AA25" i="1"/>
  <c r="AB25" i="1"/>
  <c r="AC25" i="1"/>
  <c r="AG25" i="1"/>
  <c r="AA37" i="1"/>
  <c r="AB37" i="1"/>
  <c r="AC37" i="1"/>
  <c r="AG37" i="1"/>
  <c r="AA32" i="1"/>
  <c r="AB32" i="1"/>
  <c r="AC32" i="1"/>
  <c r="AG32" i="1"/>
  <c r="AA52" i="1"/>
  <c r="AB52" i="1"/>
  <c r="AC52" i="1"/>
  <c r="AG52" i="1"/>
  <c r="AA36" i="1"/>
  <c r="AB36" i="1"/>
  <c r="AC36" i="1"/>
  <c r="AA57" i="1"/>
  <c r="AB57" i="1"/>
  <c r="AC57" i="1"/>
  <c r="AG57" i="1"/>
  <c r="AA46" i="1"/>
  <c r="AB46" i="1"/>
  <c r="AC46" i="1"/>
  <c r="AG46" i="1"/>
  <c r="AA28" i="1"/>
  <c r="AB28" i="1"/>
  <c r="AC28" i="1"/>
  <c r="AG28" i="1"/>
  <c r="AA12" i="1"/>
  <c r="AB12" i="1"/>
  <c r="AC12" i="1"/>
  <c r="AG12" i="1"/>
  <c r="AA44" i="1"/>
  <c r="AB44" i="1"/>
  <c r="AC44" i="1"/>
  <c r="AG44" i="1"/>
  <c r="AA51" i="1"/>
  <c r="AB51" i="1"/>
  <c r="AC51" i="1"/>
  <c r="AG51" i="1"/>
  <c r="AA35" i="1"/>
  <c r="AB35" i="1"/>
  <c r="AC35" i="1"/>
  <c r="AG35" i="1"/>
  <c r="AA19" i="1"/>
  <c r="AB19" i="1"/>
  <c r="AC19" i="1"/>
  <c r="AG19" i="1"/>
  <c r="AA14" i="1"/>
  <c r="AB14" i="1"/>
  <c r="AC14" i="1"/>
  <c r="AG14" i="1"/>
  <c r="AA16" i="1"/>
  <c r="AB16" i="1"/>
  <c r="AC16" i="1"/>
  <c r="AG16" i="1"/>
  <c r="AA11" i="1"/>
  <c r="AB11" i="1"/>
  <c r="AC11" i="1"/>
  <c r="AG11" i="1"/>
  <c r="AA43" i="1"/>
  <c r="AB43" i="1"/>
  <c r="AC43" i="1"/>
  <c r="AG43" i="1"/>
  <c r="AA7" i="1"/>
  <c r="AA23" i="1"/>
  <c r="AB23" i="1"/>
  <c r="AC23" i="1"/>
  <c r="AG23" i="1"/>
  <c r="AA39" i="1"/>
  <c r="AB39" i="1"/>
  <c r="AC39" i="1"/>
  <c r="AG39" i="1"/>
  <c r="AA56" i="1"/>
  <c r="AB56" i="1"/>
  <c r="AC56" i="1"/>
  <c r="AG56" i="1"/>
  <c r="AA17" i="1"/>
  <c r="AB17" i="1"/>
  <c r="AC17" i="1"/>
  <c r="AG17" i="1"/>
  <c r="AA26" i="1"/>
  <c r="AB26" i="1"/>
  <c r="AC26" i="1"/>
  <c r="AG26" i="1"/>
  <c r="AA38" i="1"/>
  <c r="AB38" i="1"/>
  <c r="AC38" i="1"/>
  <c r="AG38" i="1"/>
  <c r="AA50" i="1"/>
  <c r="AB50" i="1"/>
  <c r="AC50" i="1"/>
  <c r="AG50" i="1"/>
  <c r="AA9" i="1"/>
  <c r="AB9" i="1"/>
  <c r="AC9" i="1"/>
  <c r="AG9" i="1"/>
  <c r="AA18" i="1"/>
  <c r="AB18" i="1"/>
  <c r="AC18" i="1"/>
  <c r="AG18" i="1"/>
  <c r="AA29" i="1"/>
  <c r="AB29" i="1"/>
  <c r="AC29" i="1"/>
  <c r="AG29" i="1"/>
  <c r="AA45" i="1"/>
  <c r="AB45" i="1"/>
  <c r="AC45" i="1"/>
  <c r="AG45" i="1"/>
  <c r="AA53" i="1"/>
  <c r="AB53" i="1"/>
  <c r="AC53" i="1"/>
  <c r="AG53" i="1"/>
  <c r="AA20" i="1"/>
  <c r="AB20" i="1"/>
  <c r="AC20" i="1"/>
  <c r="AG20" i="1"/>
  <c r="AA40" i="1"/>
  <c r="AB40" i="1"/>
  <c r="AC40" i="1"/>
  <c r="AG40" i="1"/>
  <c r="AA27" i="1"/>
  <c r="AB27" i="1"/>
  <c r="AC27" i="1"/>
  <c r="AG27" i="1"/>
  <c r="AA30" i="1"/>
  <c r="AB30" i="1"/>
  <c r="AC30" i="1"/>
  <c r="AG30" i="1"/>
  <c r="AA31" i="1"/>
  <c r="AB31" i="1"/>
  <c r="AC31" i="1"/>
  <c r="AG31" i="1"/>
  <c r="AA47" i="1"/>
  <c r="AB47" i="1"/>
  <c r="AC47" i="1"/>
  <c r="AG47" i="1"/>
  <c r="AA15" i="1"/>
  <c r="AB15" i="1"/>
  <c r="AC15" i="1"/>
  <c r="AG15" i="1"/>
  <c r="AA22" i="1"/>
  <c r="AB22" i="1"/>
  <c r="AC22" i="1"/>
  <c r="AG22" i="1"/>
  <c r="AA34" i="1"/>
  <c r="AB34" i="1"/>
  <c r="AC34" i="1"/>
  <c r="AG34" i="1"/>
  <c r="AA42" i="1"/>
  <c r="AB42" i="1"/>
  <c r="AC42" i="1"/>
  <c r="AG42" i="1"/>
  <c r="AA55" i="1"/>
  <c r="AB55" i="1"/>
  <c r="AC55" i="1"/>
  <c r="AG55" i="1"/>
  <c r="AA13" i="1"/>
  <c r="AB13" i="1"/>
  <c r="AC13" i="1"/>
  <c r="AG13" i="1"/>
  <c r="AA21" i="1"/>
  <c r="AB21" i="1"/>
  <c r="AC21" i="1"/>
  <c r="AG21" i="1"/>
  <c r="AA41" i="1"/>
  <c r="AB41" i="1"/>
  <c r="AC41" i="1"/>
  <c r="AG41" i="1"/>
  <c r="AA49" i="1"/>
  <c r="AB49" i="1"/>
  <c r="AC49" i="1"/>
  <c r="AG49" i="1"/>
  <c r="AA10" i="1"/>
  <c r="AB10" i="1"/>
  <c r="AC10" i="1"/>
  <c r="AG10" i="1"/>
  <c r="AA24" i="1"/>
  <c r="AB24" i="1"/>
  <c r="AC24" i="1"/>
  <c r="AG24" i="1"/>
  <c r="AA48" i="1"/>
  <c r="AB48" i="1"/>
  <c r="AC48" i="1"/>
  <c r="AG48" i="1"/>
  <c r="AA8" i="1"/>
  <c r="AB8" i="1"/>
  <c r="AC8" i="1"/>
  <c r="AG8" i="1"/>
  <c r="M7" i="1"/>
  <c r="M58" i="1"/>
  <c r="I58" i="1"/>
  <c r="AF54" i="1"/>
  <c r="AF16" i="1"/>
  <c r="AF53" i="1"/>
  <c r="AF24" i="1"/>
  <c r="AF12" i="1"/>
  <c r="AF35" i="1"/>
  <c r="AF48" i="1"/>
  <c r="AF9" i="1"/>
  <c r="AF26" i="1"/>
  <c r="AF15" i="1"/>
  <c r="AF46" i="1"/>
  <c r="AF47" i="1"/>
  <c r="AF21" i="1"/>
  <c r="AF11" i="1"/>
  <c r="AF38" i="1"/>
  <c r="AF34" i="1"/>
  <c r="AF10" i="1"/>
  <c r="AF40" i="1"/>
  <c r="AF22" i="1"/>
  <c r="AF50" i="1"/>
  <c r="AF43" i="1"/>
  <c r="AF8" i="1"/>
  <c r="AF25" i="1"/>
  <c r="AF17" i="1"/>
  <c r="AF51" i="1"/>
  <c r="AF39" i="1"/>
  <c r="AF27" i="1"/>
  <c r="AF30" i="1"/>
  <c r="AF45" i="1"/>
  <c r="AF42" i="1"/>
  <c r="AF19" i="1"/>
  <c r="AF32" i="1"/>
  <c r="AF41" i="1"/>
  <c r="AF20" i="1"/>
  <c r="AF52" i="1"/>
  <c r="AF37" i="1"/>
  <c r="AF44" i="1"/>
  <c r="AF56" i="1"/>
  <c r="AF29" i="1"/>
  <c r="AF55" i="1"/>
  <c r="AF18" i="1"/>
  <c r="AF14" i="1"/>
  <c r="AF49" i="1"/>
  <c r="AF57" i="1"/>
  <c r="AF28" i="1"/>
  <c r="AF23" i="1"/>
  <c r="AF31" i="1"/>
  <c r="AF13" i="1"/>
  <c r="AF33" i="1"/>
  <c r="AG36" i="1"/>
  <c r="J58" i="36"/>
  <c r="F58" i="1"/>
  <c r="AE58" i="1"/>
  <c r="AH36" i="1"/>
  <c r="K35" i="28"/>
  <c r="AF7" i="1"/>
  <c r="AF58" i="1"/>
  <c r="AH46" i="1"/>
  <c r="K45" i="28"/>
  <c r="AH55" i="1"/>
  <c r="K54" i="28"/>
  <c r="AH32" i="1"/>
  <c r="K31" i="28"/>
  <c r="AH37" i="1"/>
  <c r="K36" i="28"/>
  <c r="AH45" i="1"/>
  <c r="K44" i="28"/>
  <c r="AA58" i="1"/>
  <c r="AB7" i="1"/>
  <c r="AH8" i="1"/>
  <c r="K7" i="28"/>
  <c r="AH47" i="1"/>
  <c r="K46" i="28"/>
  <c r="AH54" i="1"/>
  <c r="K53" i="28"/>
  <c r="AH35" i="1"/>
  <c r="K34" i="28"/>
  <c r="AH33" i="1"/>
  <c r="K32" i="28"/>
  <c r="AH11" i="1"/>
  <c r="K10" i="28"/>
  <c r="AH31" i="1"/>
  <c r="K30" i="28"/>
  <c r="AH10" i="1"/>
  <c r="K9" i="28"/>
  <c r="AH21" i="1"/>
  <c r="K20" i="28"/>
  <c r="AH28" i="1"/>
  <c r="K27" i="28"/>
  <c r="AH14" i="1"/>
  <c r="K13" i="28"/>
  <c r="AH56" i="1"/>
  <c r="K55" i="28"/>
  <c r="AH19" i="1"/>
  <c r="K18" i="28"/>
  <c r="AH44" i="1"/>
  <c r="K43" i="28"/>
  <c r="AH20" i="1"/>
  <c r="K19" i="28"/>
  <c r="AH42" i="1"/>
  <c r="K41" i="28"/>
  <c r="AH53" i="1"/>
  <c r="K52" i="28"/>
  <c r="AH27" i="1"/>
  <c r="K26" i="28"/>
  <c r="AH24" i="1"/>
  <c r="K23" i="28"/>
  <c r="AH16" i="1"/>
  <c r="K15" i="28"/>
  <c r="AH41" i="1"/>
  <c r="K40" i="28"/>
  <c r="AH38" i="1"/>
  <c r="K37" i="28"/>
  <c r="AH26" i="1"/>
  <c r="K25" i="28"/>
  <c r="AH12" i="1"/>
  <c r="K11" i="28"/>
  <c r="AH50" i="1"/>
  <c r="K49" i="28"/>
  <c r="AH40" i="1"/>
  <c r="K39" i="28"/>
  <c r="AH34" i="1"/>
  <c r="K33" i="28"/>
  <c r="AH48" i="1"/>
  <c r="K47" i="28"/>
  <c r="AH9" i="1"/>
  <c r="K8" i="28"/>
  <c r="AH23" i="1"/>
  <c r="K22" i="28"/>
  <c r="AH52" i="1"/>
  <c r="K51" i="28"/>
  <c r="AH15" i="1"/>
  <c r="K14" i="28"/>
  <c r="AH17" i="1"/>
  <c r="K16" i="28"/>
  <c r="AH51" i="1"/>
  <c r="K50" i="28"/>
  <c r="AH25" i="1"/>
  <c r="K24" i="28"/>
  <c r="AH22" i="1"/>
  <c r="K21" i="28"/>
  <c r="AH39" i="1"/>
  <c r="K38" i="28"/>
  <c r="AH13" i="1"/>
  <c r="K12" i="28"/>
  <c r="AH49" i="1"/>
  <c r="K48" i="28"/>
  <c r="AH43" i="1"/>
  <c r="K42" i="28"/>
  <c r="AH29" i="1"/>
  <c r="K28" i="28"/>
  <c r="AH18" i="1"/>
  <c r="K17" i="28"/>
  <c r="AH57" i="1"/>
  <c r="K56" i="28"/>
  <c r="AH30" i="1"/>
  <c r="K29" i="28"/>
  <c r="AC7" i="1"/>
  <c r="AB58" i="1"/>
  <c r="AC58" i="1"/>
  <c r="AG7" i="1"/>
  <c r="AH7" i="1"/>
  <c r="K6" i="28"/>
  <c r="AG58" i="1"/>
  <c r="K57" i="28"/>
  <c r="A60" i="28"/>
  <c r="J4" i="28"/>
  <c r="AH58" i="1"/>
  <c r="J55" i="28"/>
  <c r="J28" i="28"/>
  <c r="J26" i="28"/>
  <c r="J44" i="28"/>
  <c r="J8" i="28"/>
  <c r="J10" i="28"/>
  <c r="J13" i="28"/>
  <c r="J34" i="28"/>
  <c r="J15" i="28"/>
  <c r="J19" i="28"/>
  <c r="J21" i="28"/>
  <c r="J23" i="28"/>
  <c r="J35" i="28"/>
  <c r="J49" i="28"/>
  <c r="J39" i="28"/>
  <c r="J53" i="28"/>
  <c r="J43" i="28"/>
  <c r="J56" i="28"/>
  <c r="J47" i="28"/>
  <c r="J52" i="28"/>
  <c r="J30" i="28"/>
  <c r="J48" i="28"/>
  <c r="J22" i="28"/>
  <c r="J18" i="28"/>
  <c r="J40" i="28"/>
  <c r="J9" i="28"/>
  <c r="J14" i="28"/>
  <c r="J36" i="28"/>
  <c r="J11" i="28"/>
  <c r="J7" i="28"/>
  <c r="J17" i="28"/>
  <c r="J32" i="28"/>
  <c r="J31" i="28"/>
  <c r="J25" i="28"/>
  <c r="J29" i="28"/>
  <c r="J37" i="28"/>
  <c r="J27" i="28"/>
  <c r="J45" i="28"/>
  <c r="J24" i="28"/>
  <c r="J54" i="28"/>
  <c r="J20" i="28"/>
  <c r="J50" i="28"/>
  <c r="J6" i="28"/>
  <c r="J42" i="28"/>
  <c r="J16" i="28"/>
  <c r="J12" i="28"/>
  <c r="J41" i="28"/>
  <c r="J46" i="28"/>
  <c r="J38" i="28"/>
  <c r="J51" i="28"/>
  <c r="J33" i="28"/>
  <c r="AI7" i="1"/>
  <c r="AI34" i="1"/>
  <c r="G34" i="36"/>
  <c r="K34" i="36"/>
  <c r="L34" i="36"/>
  <c r="AI44" i="1"/>
  <c r="G44" i="36"/>
  <c r="K44" i="36"/>
  <c r="L44" i="36"/>
  <c r="AI47" i="1"/>
  <c r="G47" i="36"/>
  <c r="K47" i="36"/>
  <c r="L47" i="36"/>
  <c r="AI21" i="1"/>
  <c r="G21" i="36"/>
  <c r="K21" i="36"/>
  <c r="L21" i="36"/>
  <c r="AI36" i="1"/>
  <c r="G36" i="36"/>
  <c r="K36" i="36"/>
  <c r="L36" i="36"/>
  <c r="AI54" i="1"/>
  <c r="G54" i="36"/>
  <c r="K54" i="36"/>
  <c r="L54" i="36"/>
  <c r="AI31" i="1"/>
  <c r="G31" i="36"/>
  <c r="K31" i="36"/>
  <c r="L31" i="36"/>
  <c r="AI48" i="1"/>
  <c r="G48" i="36"/>
  <c r="K48" i="36"/>
  <c r="L48" i="36"/>
  <c r="AI45" i="1"/>
  <c r="G45" i="36"/>
  <c r="K45" i="36"/>
  <c r="L45" i="36"/>
  <c r="AI14" i="1"/>
  <c r="G14" i="36"/>
  <c r="K14" i="36"/>
  <c r="L14" i="36"/>
  <c r="AI46" i="1"/>
  <c r="G46" i="36"/>
  <c r="K46" i="36"/>
  <c r="L46" i="36"/>
  <c r="AI39" i="1"/>
  <c r="G39" i="36"/>
  <c r="K39" i="36"/>
  <c r="L39" i="36"/>
  <c r="AI50" i="1"/>
  <c r="G50" i="36"/>
  <c r="K50" i="36"/>
  <c r="L50" i="36"/>
  <c r="AI51" i="1"/>
  <c r="G51" i="36"/>
  <c r="K51" i="36"/>
  <c r="L51" i="36"/>
  <c r="AI22" i="1"/>
  <c r="G22" i="36"/>
  <c r="K22" i="36"/>
  <c r="L22" i="36"/>
  <c r="AI29" i="1"/>
  <c r="G29" i="36"/>
  <c r="K29" i="36"/>
  <c r="L29" i="36"/>
  <c r="AI8" i="1"/>
  <c r="G8" i="36"/>
  <c r="K8" i="36"/>
  <c r="L8" i="36"/>
  <c r="AI9" i="1"/>
  <c r="G9" i="36"/>
  <c r="K9" i="36"/>
  <c r="L9" i="36"/>
  <c r="AI57" i="1"/>
  <c r="G57" i="36"/>
  <c r="K57" i="36"/>
  <c r="L57" i="36"/>
  <c r="AI56" i="1"/>
  <c r="G56" i="36"/>
  <c r="K56" i="36"/>
  <c r="L56" i="36"/>
  <c r="AI23" i="1"/>
  <c r="G23" i="36"/>
  <c r="K23" i="36"/>
  <c r="L23" i="36"/>
  <c r="AI11" i="1"/>
  <c r="G11" i="36"/>
  <c r="K11" i="36"/>
  <c r="L11" i="36"/>
  <c r="AI17" i="1"/>
  <c r="G17" i="36"/>
  <c r="K17" i="36"/>
  <c r="L17" i="36"/>
  <c r="AI13" i="1"/>
  <c r="G13" i="36"/>
  <c r="K13" i="36"/>
  <c r="L13" i="36"/>
  <c r="AI49" i="1"/>
  <c r="G49" i="36"/>
  <c r="K49" i="36"/>
  <c r="L49" i="36"/>
  <c r="AI10" i="1"/>
  <c r="G10" i="36"/>
  <c r="K10" i="36"/>
  <c r="L10" i="36"/>
  <c r="AI42" i="1"/>
  <c r="G42" i="36"/>
  <c r="K42" i="36"/>
  <c r="L42" i="36"/>
  <c r="AI35" i="1"/>
  <c r="G35" i="36"/>
  <c r="K35" i="36"/>
  <c r="L35" i="36"/>
  <c r="AI16" i="1"/>
  <c r="G16" i="36"/>
  <c r="K16" i="36"/>
  <c r="L16" i="36"/>
  <c r="AI33" i="1"/>
  <c r="G33" i="36"/>
  <c r="K33" i="36"/>
  <c r="L33" i="36"/>
  <c r="AI24" i="1"/>
  <c r="G24" i="36"/>
  <c r="K24" i="36"/>
  <c r="L24" i="36"/>
  <c r="AI19" i="1"/>
  <c r="G19" i="36"/>
  <c r="K19" i="36"/>
  <c r="L19" i="36"/>
  <c r="AI15" i="1"/>
  <c r="G15" i="36"/>
  <c r="K15" i="36"/>
  <c r="L15" i="36"/>
  <c r="AI18" i="1"/>
  <c r="G18" i="36"/>
  <c r="K18" i="36"/>
  <c r="L18" i="36"/>
  <c r="AI53" i="1"/>
  <c r="G53" i="36"/>
  <c r="K53" i="36"/>
  <c r="L53" i="36"/>
  <c r="AI37" i="1"/>
  <c r="G37" i="36"/>
  <c r="K37" i="36"/>
  <c r="L37" i="36"/>
  <c r="AI12" i="1"/>
  <c r="G12" i="36"/>
  <c r="K12" i="36"/>
  <c r="L12" i="36"/>
  <c r="AI25" i="1"/>
  <c r="G25" i="36"/>
  <c r="K25" i="36"/>
  <c r="L25" i="36"/>
  <c r="AI26" i="1"/>
  <c r="G26" i="36"/>
  <c r="K26" i="36"/>
  <c r="L26" i="36"/>
  <c r="AI38" i="1"/>
  <c r="G38" i="36"/>
  <c r="K38" i="36"/>
  <c r="L38" i="36"/>
  <c r="AI41" i="1"/>
  <c r="G41" i="36"/>
  <c r="K41" i="36"/>
  <c r="L41" i="36"/>
  <c r="AI52" i="1"/>
  <c r="G52" i="36"/>
  <c r="K52" i="36"/>
  <c r="L52" i="36"/>
  <c r="AI27" i="1"/>
  <c r="G27" i="36"/>
  <c r="K27" i="36"/>
  <c r="L27" i="36"/>
  <c r="AI32" i="1"/>
  <c r="G32" i="36"/>
  <c r="K32" i="36"/>
  <c r="L32" i="36"/>
  <c r="AI55" i="1"/>
  <c r="G55" i="36"/>
  <c r="K55" i="36"/>
  <c r="L55" i="36"/>
  <c r="AI30" i="1"/>
  <c r="G30" i="36"/>
  <c r="K30" i="36"/>
  <c r="L30" i="36"/>
  <c r="AI20" i="1"/>
  <c r="G20" i="36"/>
  <c r="K20" i="36"/>
  <c r="L20" i="36"/>
  <c r="AI40" i="1"/>
  <c r="G40" i="36"/>
  <c r="K40" i="36"/>
  <c r="L40" i="36"/>
  <c r="AI43" i="1"/>
  <c r="G43" i="36"/>
  <c r="K43" i="36"/>
  <c r="L43" i="36"/>
  <c r="AI28" i="1"/>
  <c r="G28" i="36"/>
  <c r="K28" i="36"/>
  <c r="L28" i="36"/>
  <c r="L21" i="28"/>
  <c r="O21" i="28"/>
  <c r="M21" i="28"/>
  <c r="M25" i="28"/>
  <c r="L25" i="28"/>
  <c r="L46" i="28"/>
  <c r="M46" i="28"/>
  <c r="L30" i="28"/>
  <c r="M30" i="28"/>
  <c r="L15" i="28"/>
  <c r="M15" i="28"/>
  <c r="L23" i="28"/>
  <c r="M23" i="28"/>
  <c r="L42" i="28"/>
  <c r="M42" i="28"/>
  <c r="L32" i="28"/>
  <c r="M32" i="28"/>
  <c r="M52" i="28"/>
  <c r="L52" i="28"/>
  <c r="L34" i="28"/>
  <c r="M34" i="28"/>
  <c r="M22" i="28"/>
  <c r="L22" i="28"/>
  <c r="M6" i="28"/>
  <c r="J57" i="28"/>
  <c r="L6" i="28"/>
  <c r="L17" i="28"/>
  <c r="M17" i="28"/>
  <c r="L47" i="28"/>
  <c r="O47" i="28"/>
  <c r="M47" i="28"/>
  <c r="L13" i="28"/>
  <c r="M13" i="28"/>
  <c r="L19" i="28"/>
  <c r="M19" i="28"/>
  <c r="L50" i="28"/>
  <c r="M50" i="28"/>
  <c r="L7" i="28"/>
  <c r="M7" i="28"/>
  <c r="M56" i="28"/>
  <c r="L56" i="28"/>
  <c r="O56" i="28"/>
  <c r="M10" i="28"/>
  <c r="L10" i="28"/>
  <c r="L20" i="28"/>
  <c r="M20" i="28"/>
  <c r="L11" i="28"/>
  <c r="M11" i="28"/>
  <c r="L43" i="28"/>
  <c r="M43" i="28"/>
  <c r="L8" i="28"/>
  <c r="M8" i="28"/>
  <c r="L29" i="28"/>
  <c r="M29" i="28"/>
  <c r="L54" i="28"/>
  <c r="M54" i="28"/>
  <c r="L36" i="28"/>
  <c r="M36" i="28"/>
  <c r="L53" i="28"/>
  <c r="M53" i="28"/>
  <c r="L44" i="28"/>
  <c r="M44" i="28"/>
  <c r="L18" i="28"/>
  <c r="M18" i="28"/>
  <c r="L41" i="28"/>
  <c r="M41" i="28"/>
  <c r="L31" i="28"/>
  <c r="O31" i="28"/>
  <c r="M31" i="28"/>
  <c r="L33" i="28"/>
  <c r="M33" i="28"/>
  <c r="M24" i="28"/>
  <c r="L24" i="28"/>
  <c r="M14" i="28"/>
  <c r="L14" i="28"/>
  <c r="L39" i="28"/>
  <c r="M39" i="28"/>
  <c r="L26" i="28"/>
  <c r="M26" i="28"/>
  <c r="L37" i="28"/>
  <c r="M37" i="28"/>
  <c r="L48" i="28"/>
  <c r="M48" i="28"/>
  <c r="L51" i="28"/>
  <c r="M51" i="28"/>
  <c r="L45" i="28"/>
  <c r="M45" i="28"/>
  <c r="L9" i="28"/>
  <c r="M9" i="28"/>
  <c r="L49" i="28"/>
  <c r="O49" i="28"/>
  <c r="M49" i="28"/>
  <c r="M28" i="28"/>
  <c r="L28" i="28"/>
  <c r="L12" i="28"/>
  <c r="M12" i="28"/>
  <c r="L16" i="28"/>
  <c r="M16" i="28"/>
  <c r="L38" i="28"/>
  <c r="M38" i="28"/>
  <c r="L27" i="28"/>
  <c r="O27" i="28"/>
  <c r="M27" i="28"/>
  <c r="L40" i="28"/>
  <c r="M40" i="28"/>
  <c r="L35" i="28"/>
  <c r="M35" i="28"/>
  <c r="L55" i="28"/>
  <c r="M55" i="28"/>
  <c r="G7" i="36"/>
  <c r="AI58" i="1"/>
  <c r="P27" i="28"/>
  <c r="P47" i="28"/>
  <c r="M57" i="28"/>
  <c r="P56" i="28"/>
  <c r="P31" i="28"/>
  <c r="P49" i="28"/>
  <c r="O6" i="28"/>
  <c r="L57" i="28"/>
  <c r="P21" i="28"/>
  <c r="K7" i="36"/>
  <c r="G58" i="36"/>
  <c r="N4" i="28"/>
  <c r="P6" i="28"/>
  <c r="L7" i="36"/>
  <c r="L58" i="36"/>
  <c r="K58" i="36"/>
  <c r="N48" i="28"/>
  <c r="O48" i="28"/>
  <c r="N20" i="28"/>
  <c r="O20" i="28"/>
  <c r="N46" i="28"/>
  <c r="O46" i="28"/>
  <c r="N31" i="28"/>
  <c r="N49" i="28"/>
  <c r="N51" i="28"/>
  <c r="O51" i="28"/>
  <c r="P51" i="28"/>
  <c r="N56" i="28"/>
  <c r="N18" i="28"/>
  <c r="O18" i="28"/>
  <c r="P18" i="28"/>
  <c r="N7" i="28"/>
  <c r="O7" i="28"/>
  <c r="P7" i="28"/>
  <c r="N21" i="28"/>
  <c r="N24" i="28"/>
  <c r="O24" i="28"/>
  <c r="P24" i="28"/>
  <c r="N55" i="28"/>
  <c r="O55" i="28"/>
  <c r="P55" i="28"/>
  <c r="N25" i="28"/>
  <c r="O25" i="28"/>
  <c r="N16" i="28"/>
  <c r="O16" i="28"/>
  <c r="N13" i="28"/>
  <c r="O13" i="28"/>
  <c r="P13" i="28"/>
  <c r="N45" i="28"/>
  <c r="O45" i="28"/>
  <c r="P45" i="28"/>
  <c r="N26" i="28"/>
  <c r="O26" i="28"/>
  <c r="P26" i="28"/>
  <c r="N12" i="28"/>
  <c r="O12" i="28"/>
  <c r="N8" i="28"/>
  <c r="O8" i="28"/>
  <c r="N41" i="28"/>
  <c r="O41" i="28"/>
  <c r="P41" i="28"/>
  <c r="N30" i="28"/>
  <c r="O30" i="28"/>
  <c r="N29" i="28"/>
  <c r="O29" i="28"/>
  <c r="N42" i="28"/>
  <c r="O42" i="28"/>
  <c r="P42" i="28"/>
  <c r="N50" i="28"/>
  <c r="O50" i="28"/>
  <c r="N15" i="28"/>
  <c r="O15" i="28"/>
  <c r="N32" i="28"/>
  <c r="O32" i="28"/>
  <c r="P32" i="28"/>
  <c r="N17" i="28"/>
  <c r="O17" i="28"/>
  <c r="P17" i="28"/>
  <c r="N14" i="28"/>
  <c r="O14" i="28"/>
  <c r="P14" i="28"/>
  <c r="N6" i="28"/>
  <c r="N53" i="28"/>
  <c r="O53" i="28"/>
  <c r="P53" i="28"/>
  <c r="N35" i="28"/>
  <c r="O35" i="28"/>
  <c r="N27" i="28"/>
  <c r="N54" i="28"/>
  <c r="O54" i="28"/>
  <c r="N23" i="28"/>
  <c r="O23" i="28"/>
  <c r="N34" i="28"/>
  <c r="O34" i="28"/>
  <c r="P34" i="28"/>
  <c r="N28" i="28"/>
  <c r="O28" i="28"/>
  <c r="N37" i="28"/>
  <c r="O37" i="28"/>
  <c r="P37" i="28"/>
  <c r="N10" i="28"/>
  <c r="O10" i="28"/>
  <c r="P10" i="28"/>
  <c r="N38" i="28"/>
  <c r="O38" i="28"/>
  <c r="P38" i="28"/>
  <c r="N11" i="28"/>
  <c r="O11" i="28"/>
  <c r="N39" i="28"/>
  <c r="O39" i="28"/>
  <c r="N44" i="28"/>
  <c r="O44" i="28"/>
  <c r="N47" i="28"/>
  <c r="N52" i="28"/>
  <c r="O52" i="28"/>
  <c r="N33" i="28"/>
  <c r="O33" i="28"/>
  <c r="N36" i="28"/>
  <c r="O36" i="28"/>
  <c r="N40" i="28"/>
  <c r="O40" i="28"/>
  <c r="N19" i="28"/>
  <c r="O19" i="28"/>
  <c r="P19" i="28"/>
  <c r="N43" i="28"/>
  <c r="O43" i="28"/>
  <c r="P43" i="28"/>
  <c r="N22" i="28"/>
  <c r="O22" i="28"/>
  <c r="P22" i="28"/>
  <c r="N9" i="28"/>
  <c r="O9" i="28"/>
  <c r="M7" i="36"/>
  <c r="M57" i="36"/>
  <c r="M55" i="36"/>
  <c r="M56" i="36"/>
  <c r="M30" i="36"/>
  <c r="M23" i="36"/>
  <c r="M20" i="36"/>
  <c r="M11" i="36"/>
  <c r="M40" i="36"/>
  <c r="M17" i="36"/>
  <c r="M43" i="36"/>
  <c r="M13" i="36"/>
  <c r="M28" i="36"/>
  <c r="M49" i="36"/>
  <c r="M42" i="36"/>
  <c r="M22" i="36"/>
  <c r="M37" i="36"/>
  <c r="M54" i="36"/>
  <c r="M44" i="36"/>
  <c r="M52" i="36"/>
  <c r="M15" i="36"/>
  <c r="M33" i="36"/>
  <c r="M9" i="36"/>
  <c r="M26" i="36"/>
  <c r="M45" i="36"/>
  <c r="M24" i="36"/>
  <c r="M12" i="36"/>
  <c r="M31" i="36"/>
  <c r="M27" i="36"/>
  <c r="M50" i="36"/>
  <c r="M34" i="36"/>
  <c r="M53" i="36"/>
  <c r="M36" i="36"/>
  <c r="M47" i="36"/>
  <c r="M41" i="36"/>
  <c r="M46" i="36"/>
  <c r="M8" i="36"/>
  <c r="M16" i="36"/>
  <c r="M32" i="36"/>
  <c r="M25" i="36"/>
  <c r="M19" i="36"/>
  <c r="M10" i="36"/>
  <c r="M51" i="36"/>
  <c r="M14" i="36"/>
  <c r="M21" i="36"/>
  <c r="M38" i="36"/>
  <c r="M18" i="36"/>
  <c r="M35" i="36"/>
  <c r="M29" i="36"/>
  <c r="M39" i="36"/>
  <c r="M48" i="36"/>
  <c r="I57" i="48"/>
  <c r="P28" i="28"/>
  <c r="P50" i="28"/>
  <c r="P15" i="28"/>
  <c r="P40" i="28"/>
  <c r="P36" i="28"/>
  <c r="P23" i="28"/>
  <c r="P29" i="28"/>
  <c r="P25" i="28"/>
  <c r="P33" i="28"/>
  <c r="P54" i="28"/>
  <c r="P30" i="28"/>
  <c r="P52" i="28"/>
  <c r="P44" i="28"/>
  <c r="P12" i="28"/>
  <c r="P48" i="28"/>
  <c r="P35" i="28"/>
  <c r="P39" i="28"/>
  <c r="N57" i="28"/>
  <c r="P8" i="28"/>
  <c r="O57" i="28"/>
  <c r="Q29" i="28"/>
  <c r="P11" i="28"/>
  <c r="P9" i="28"/>
  <c r="P46" i="28"/>
  <c r="P16" i="28"/>
  <c r="P20" i="28"/>
  <c r="M58" i="36"/>
  <c r="E29" i="48"/>
  <c r="F29" i="48"/>
  <c r="G29" i="48"/>
  <c r="B29" i="48"/>
  <c r="C29" i="48"/>
  <c r="H29" i="48"/>
  <c r="Q11" i="28"/>
  <c r="Q23" i="28"/>
  <c r="Q44" i="28"/>
  <c r="Q20" i="28"/>
  <c r="Q30" i="28"/>
  <c r="Q40" i="28"/>
  <c r="Q39" i="28"/>
  <c r="Q16" i="28"/>
  <c r="Q28" i="28"/>
  <c r="Q54" i="28"/>
  <c r="Q15" i="28"/>
  <c r="Q35" i="28"/>
  <c r="Q46" i="28"/>
  <c r="Q50" i="28"/>
  <c r="Q48" i="28"/>
  <c r="Q25" i="28"/>
  <c r="Q9" i="28"/>
  <c r="Q12" i="28"/>
  <c r="Q19" i="28"/>
  <c r="P57" i="28"/>
  <c r="Q43" i="28"/>
  <c r="Q34" i="28"/>
  <c r="Q27" i="28"/>
  <c r="Q18" i="28"/>
  <c r="Q24" i="28"/>
  <c r="Q38" i="28"/>
  <c r="Q7" i="28"/>
  <c r="Q17" i="28"/>
  <c r="Q56" i="28"/>
  <c r="Q37" i="28"/>
  <c r="Q22" i="28"/>
  <c r="Q47" i="28"/>
  <c r="Q31" i="28"/>
  <c r="Q14" i="28"/>
  <c r="Q10" i="28"/>
  <c r="Q53" i="28"/>
  <c r="Q49" i="28"/>
  <c r="Q13" i="28"/>
  <c r="Q51" i="28"/>
  <c r="Q42" i="28"/>
  <c r="Q45" i="28"/>
  <c r="Q41" i="28"/>
  <c r="Q32" i="28"/>
  <c r="Q21" i="28"/>
  <c r="Q26" i="28"/>
  <c r="Q55" i="28"/>
  <c r="Q6" i="28"/>
  <c r="Q36" i="28"/>
  <c r="Q8" i="28"/>
  <c r="Q52" i="28"/>
  <c r="Q33" i="28"/>
  <c r="C12" i="48"/>
  <c r="B12" i="48"/>
  <c r="E12" i="48"/>
  <c r="G12" i="48"/>
  <c r="F12" i="48"/>
  <c r="H12" i="48"/>
  <c r="C7" i="48"/>
  <c r="E7" i="48"/>
  <c r="G7" i="48"/>
  <c r="F7" i="48"/>
  <c r="H7" i="48"/>
  <c r="B7" i="48"/>
  <c r="B45" i="48"/>
  <c r="C45" i="48"/>
  <c r="E45" i="48"/>
  <c r="F45" i="48"/>
  <c r="G45" i="48"/>
  <c r="H45" i="48"/>
  <c r="B42" i="48"/>
  <c r="C42" i="48"/>
  <c r="F42" i="48"/>
  <c r="E42" i="48"/>
  <c r="G42" i="48"/>
  <c r="H42" i="48"/>
  <c r="B25" i="48"/>
  <c r="E25" i="48"/>
  <c r="H25" i="48"/>
  <c r="F25" i="48"/>
  <c r="G25" i="48"/>
  <c r="C25" i="48"/>
  <c r="C51" i="48"/>
  <c r="B51" i="48"/>
  <c r="E51" i="48"/>
  <c r="F51" i="48"/>
  <c r="G51" i="48"/>
  <c r="H51" i="48"/>
  <c r="E23" i="48"/>
  <c r="G23" i="48"/>
  <c r="H23" i="48"/>
  <c r="B23" i="48"/>
  <c r="C23" i="48"/>
  <c r="F23" i="48"/>
  <c r="E10" i="48"/>
  <c r="F10" i="48"/>
  <c r="G10" i="48"/>
  <c r="H10" i="48"/>
  <c r="B10" i="48"/>
  <c r="C10" i="48"/>
  <c r="G41" i="48"/>
  <c r="C41" i="48"/>
  <c r="B41" i="48"/>
  <c r="E41" i="48"/>
  <c r="F41" i="48"/>
  <c r="H41" i="48"/>
  <c r="E40" i="48"/>
  <c r="G40" i="48"/>
  <c r="H40" i="48"/>
  <c r="F40" i="48"/>
  <c r="B40" i="48"/>
  <c r="C40" i="48"/>
  <c r="F56" i="48"/>
  <c r="H56" i="48"/>
  <c r="G56" i="48"/>
  <c r="C56" i="48"/>
  <c r="B56" i="48"/>
  <c r="E56" i="48"/>
  <c r="B9" i="48"/>
  <c r="C9" i="48"/>
  <c r="E9" i="48"/>
  <c r="F9" i="48"/>
  <c r="G9" i="48"/>
  <c r="H9" i="48"/>
  <c r="E17" i="48"/>
  <c r="G17" i="48"/>
  <c r="B17" i="48"/>
  <c r="C17" i="48"/>
  <c r="F17" i="48"/>
  <c r="H17" i="48"/>
  <c r="H20" i="48"/>
  <c r="G20" i="48"/>
  <c r="B20" i="48"/>
  <c r="C20" i="48"/>
  <c r="E20" i="48"/>
  <c r="F20" i="48"/>
  <c r="B48" i="48"/>
  <c r="C48" i="48"/>
  <c r="E48" i="48"/>
  <c r="F48" i="48"/>
  <c r="G48" i="48"/>
  <c r="H48" i="48"/>
  <c r="B13" i="48"/>
  <c r="C13" i="48"/>
  <c r="E13" i="48"/>
  <c r="G13" i="48"/>
  <c r="F13" i="48"/>
  <c r="H13" i="48"/>
  <c r="E50" i="48"/>
  <c r="G50" i="48"/>
  <c r="B50" i="48"/>
  <c r="C50" i="48"/>
  <c r="H50" i="48"/>
  <c r="F50" i="48"/>
  <c r="E8" i="48"/>
  <c r="F8" i="48"/>
  <c r="G8" i="48"/>
  <c r="H8" i="48"/>
  <c r="B8" i="48"/>
  <c r="C8" i="48"/>
  <c r="C49" i="48"/>
  <c r="E49" i="48"/>
  <c r="H49" i="48"/>
  <c r="F49" i="48"/>
  <c r="G49" i="48"/>
  <c r="B49" i="48"/>
  <c r="C46" i="48"/>
  <c r="E46" i="48"/>
  <c r="G46" i="48"/>
  <c r="H46" i="48"/>
  <c r="F46" i="48"/>
  <c r="B46" i="48"/>
  <c r="E36" i="48"/>
  <c r="B36" i="48"/>
  <c r="C36" i="48"/>
  <c r="F36" i="48"/>
  <c r="G36" i="48"/>
  <c r="H36" i="48"/>
  <c r="E18" i="48"/>
  <c r="B18" i="48"/>
  <c r="C18" i="48"/>
  <c r="F18" i="48"/>
  <c r="G18" i="48"/>
  <c r="H18" i="48"/>
  <c r="C27" i="48"/>
  <c r="F27" i="48"/>
  <c r="B27" i="48"/>
  <c r="G27" i="48"/>
  <c r="E27" i="48"/>
  <c r="H27" i="48"/>
  <c r="B15" i="48"/>
  <c r="C15" i="48"/>
  <c r="E15" i="48"/>
  <c r="F15" i="48"/>
  <c r="G15" i="48"/>
  <c r="H15" i="48"/>
  <c r="E55" i="48"/>
  <c r="F55" i="48"/>
  <c r="H55" i="48"/>
  <c r="G55" i="48"/>
  <c r="B55" i="48"/>
  <c r="C55" i="48"/>
  <c r="C54" i="48"/>
  <c r="B54" i="48"/>
  <c r="E54" i="48"/>
  <c r="F54" i="48"/>
  <c r="G54" i="48"/>
  <c r="H54" i="48"/>
  <c r="C21" i="48"/>
  <c r="F21" i="48"/>
  <c r="B21" i="48"/>
  <c r="E21" i="48"/>
  <c r="G21" i="48"/>
  <c r="H21" i="48"/>
  <c r="B16" i="48"/>
  <c r="E16" i="48"/>
  <c r="G16" i="48"/>
  <c r="F16" i="48"/>
  <c r="H16" i="48"/>
  <c r="C16" i="48"/>
  <c r="E37" i="48"/>
  <c r="G37" i="48"/>
  <c r="F37" i="48"/>
  <c r="H37" i="48"/>
  <c r="B37" i="48"/>
  <c r="C37" i="48"/>
  <c r="C30" i="48"/>
  <c r="E30" i="48"/>
  <c r="B30" i="48"/>
  <c r="F30" i="48"/>
  <c r="G30" i="48"/>
  <c r="H30" i="48"/>
  <c r="F33" i="48"/>
  <c r="B33" i="48"/>
  <c r="C33" i="48"/>
  <c r="E33" i="48"/>
  <c r="G33" i="48"/>
  <c r="H33" i="48"/>
  <c r="H44" i="48"/>
  <c r="F44" i="48"/>
  <c r="C44" i="48"/>
  <c r="B44" i="48"/>
  <c r="E44" i="48"/>
  <c r="G44" i="48"/>
  <c r="B52" i="48"/>
  <c r="C52" i="48"/>
  <c r="E52" i="48"/>
  <c r="F52" i="48"/>
  <c r="G52" i="48"/>
  <c r="H52" i="48"/>
  <c r="E38" i="48"/>
  <c r="F38" i="48"/>
  <c r="G38" i="48"/>
  <c r="B38" i="48"/>
  <c r="C38" i="48"/>
  <c r="H38" i="48"/>
  <c r="C24" i="48"/>
  <c r="G24" i="48"/>
  <c r="B24" i="48"/>
  <c r="E24" i="48"/>
  <c r="F24" i="48"/>
  <c r="H24" i="48"/>
  <c r="E11" i="48"/>
  <c r="G11" i="48"/>
  <c r="H11" i="48"/>
  <c r="C11" i="48"/>
  <c r="B11" i="48"/>
  <c r="F11" i="48"/>
  <c r="H53" i="48"/>
  <c r="B53" i="48"/>
  <c r="C53" i="48"/>
  <c r="E53" i="48"/>
  <c r="F53" i="48"/>
  <c r="G53" i="48"/>
  <c r="F35" i="48"/>
  <c r="G35" i="48"/>
  <c r="C35" i="48"/>
  <c r="B35" i="48"/>
  <c r="H35" i="48"/>
  <c r="E35" i="48"/>
  <c r="B6" i="48"/>
  <c r="H6" i="48"/>
  <c r="G6" i="48"/>
  <c r="F6" i="48"/>
  <c r="E6" i="48"/>
  <c r="C6" i="48"/>
  <c r="E14" i="48"/>
  <c r="G14" i="48"/>
  <c r="H14" i="48"/>
  <c r="C14" i="48"/>
  <c r="B14" i="48"/>
  <c r="F14" i="48"/>
  <c r="C34" i="48"/>
  <c r="E34" i="48"/>
  <c r="G34" i="48"/>
  <c r="F34" i="48"/>
  <c r="H34" i="48"/>
  <c r="B34" i="48"/>
  <c r="E26" i="48"/>
  <c r="G26" i="48"/>
  <c r="B26" i="48"/>
  <c r="C26" i="48"/>
  <c r="F26" i="48"/>
  <c r="H26" i="48"/>
  <c r="E31" i="48"/>
  <c r="F31" i="48"/>
  <c r="G31" i="48"/>
  <c r="H31" i="48"/>
  <c r="B31" i="48"/>
  <c r="C31" i="48"/>
  <c r="B43" i="48"/>
  <c r="C43" i="48"/>
  <c r="E43" i="48"/>
  <c r="G43" i="48"/>
  <c r="F43" i="48"/>
  <c r="H43" i="48"/>
  <c r="E28" i="48"/>
  <c r="H28" i="48"/>
  <c r="F28" i="48"/>
  <c r="G28" i="48"/>
  <c r="B28" i="48"/>
  <c r="C28" i="48"/>
  <c r="F47" i="48"/>
  <c r="B47" i="48"/>
  <c r="C47" i="48"/>
  <c r="H47" i="48"/>
  <c r="E47" i="48"/>
  <c r="G47" i="48"/>
  <c r="E32" i="48"/>
  <c r="F32" i="48"/>
  <c r="G32" i="48"/>
  <c r="H32" i="48"/>
  <c r="B32" i="48"/>
  <c r="C32" i="48"/>
  <c r="B22" i="48"/>
  <c r="C22" i="48"/>
  <c r="E22" i="48"/>
  <c r="F22" i="48"/>
  <c r="G22" i="48"/>
  <c r="H22" i="48"/>
  <c r="B19" i="48"/>
  <c r="E19" i="48"/>
  <c r="H19" i="48"/>
  <c r="F19" i="48"/>
  <c r="G19" i="48"/>
  <c r="C19" i="48"/>
  <c r="B39" i="48"/>
  <c r="C39" i="48"/>
  <c r="E39" i="48"/>
  <c r="F39" i="48"/>
  <c r="G39" i="48"/>
  <c r="H39" i="48"/>
  <c r="L29" i="48"/>
  <c r="Q57" i="28"/>
  <c r="L44" i="48"/>
  <c r="L32" i="48"/>
  <c r="L43" i="48"/>
  <c r="L11" i="48"/>
  <c r="L12" i="48"/>
  <c r="L22" i="48"/>
  <c r="L38" i="48"/>
  <c r="L28" i="48"/>
  <c r="L31" i="48"/>
  <c r="L36" i="48"/>
  <c r="L51" i="48"/>
  <c r="L56" i="48"/>
  <c r="L49" i="48"/>
  <c r="L24" i="48"/>
  <c r="L40" i="48"/>
  <c r="L15" i="48"/>
  <c r="L25" i="48"/>
  <c r="L14" i="48"/>
  <c r="L46" i="48"/>
  <c r="L50" i="48"/>
  <c r="L41" i="48"/>
  <c r="L13" i="48"/>
  <c r="L39" i="48"/>
  <c r="L18" i="48"/>
  <c r="L30" i="48"/>
  <c r="L48" i="48"/>
  <c r="L42" i="48"/>
  <c r="L37" i="48"/>
  <c r="L34" i="48"/>
  <c r="L7" i="48"/>
  <c r="L47" i="48"/>
  <c r="L8" i="48"/>
  <c r="L16" i="48"/>
  <c r="L21" i="48"/>
  <c r="L10" i="48"/>
  <c r="L35" i="48"/>
  <c r="L52" i="48"/>
  <c r="L27" i="48"/>
  <c r="L23" i="48"/>
  <c r="L33" i="48"/>
  <c r="L19" i="48"/>
  <c r="L26" i="48"/>
  <c r="L9" i="48"/>
  <c r="L45" i="48"/>
  <c r="L20" i="48"/>
  <c r="L54" i="48"/>
  <c r="L55" i="48"/>
  <c r="L53" i="48"/>
  <c r="L17" i="48"/>
  <c r="E57" i="48"/>
  <c r="F57" i="48"/>
  <c r="C57" i="48"/>
  <c r="G57" i="48"/>
  <c r="B57" i="48"/>
  <c r="L6" i="48"/>
  <c r="H57" i="48"/>
  <c r="L57" i="48"/>
</calcChain>
</file>

<file path=xl/comments1.xml><?xml version="1.0" encoding="utf-8"?>
<comments xmlns="http://schemas.openxmlformats.org/spreadsheetml/2006/main">
  <authors>
    <author>cesar.rivera</author>
  </authors>
  <commentList>
    <comment ref="L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<sst xmlns="http://schemas.openxmlformats.org/spreadsheetml/2006/main" count="569" uniqueCount="304">
  <si>
    <t>Participaciones Estimadas 2021</t>
  </si>
  <si>
    <t>Fondo del Estado</t>
  </si>
  <si>
    <t>ene</t>
  </si>
  <si>
    <t>feb.</t>
  </si>
  <si>
    <t>mar.</t>
  </si>
  <si>
    <t>abr.</t>
  </si>
  <si>
    <t>may.</t>
  </si>
  <si>
    <t>jun.</t>
  </si>
  <si>
    <t>OBS ENE-JUN</t>
  </si>
  <si>
    <t>jul</t>
  </si>
  <si>
    <t>aug</t>
  </si>
  <si>
    <t>sep</t>
  </si>
  <si>
    <t>oct</t>
  </si>
  <si>
    <t>nov</t>
  </si>
  <si>
    <t>dec</t>
  </si>
  <si>
    <t>PEF JUL-DIC</t>
  </si>
  <si>
    <t>Monto</t>
  </si>
  <si>
    <t>Porcentaje de distribución</t>
  </si>
  <si>
    <t>Monto a distribuir</t>
  </si>
  <si>
    <t>Fondo General de Participaciones (FGP)</t>
  </si>
  <si>
    <t>Fondo de Fomento Municipal (FFM) 70%</t>
  </si>
  <si>
    <t>Fondo de Fomento Municipal (FFM) 30%</t>
  </si>
  <si>
    <t>Impuesto Especial sobre Producción y Servicios (IEPS)</t>
  </si>
  <si>
    <t>Fondo de Fiscalización y Recaudación (FOFIR)</t>
  </si>
  <si>
    <t xml:space="preserve">Impuesto sobre Adquisición de Vehículos Nuevos (ISAN) </t>
  </si>
  <si>
    <t>Fondo de Compensacion ISAN</t>
  </si>
  <si>
    <t>Impuesto sobre la Venta Final de Gasolinas y Diesel (IEPSGD)</t>
  </si>
  <si>
    <t>TOTAL</t>
  </si>
  <si>
    <t>Participaciones federales según acuerdo publicado el 21 de diciembre de 2020</t>
  </si>
  <si>
    <t>Fondo de Fomento Municipal (FFM)</t>
  </si>
  <si>
    <t>parte fija 2013</t>
  </si>
  <si>
    <t>SECRETARÍA DE FINANZAS Y TESORERÍA GENERAL DEL ESTADO</t>
  </si>
  <si>
    <t>SUBSECRETARÍA DE INGRESOS, COORDINACIÓN DE PLANEACIÓN HACENDARIA</t>
  </si>
  <si>
    <t>CÁLCULO DE DISTRIBUCIÓN DE PARTICIPACIONES ESTIMADAS PARA EL EJERCICIO 2021</t>
  </si>
  <si>
    <t>MUNICIPIO</t>
  </si>
  <si>
    <t>FGP</t>
  </si>
  <si>
    <t>70% FFM</t>
  </si>
  <si>
    <t>30% FFM</t>
  </si>
  <si>
    <t>IEPS</t>
  </si>
  <si>
    <t>FOFIR</t>
  </si>
  <si>
    <t>ISAN</t>
  </si>
  <si>
    <t>COMP ISAN</t>
  </si>
  <si>
    <t>IEPSGYD</t>
  </si>
  <si>
    <t>ISR NOM MPAL</t>
  </si>
  <si>
    <t>ISR VEN INMUEBLES</t>
  </si>
  <si>
    <t>ABASOLO</t>
  </si>
  <si>
    <t>AGUALEGUAS</t>
  </si>
  <si>
    <t>LOS ALDAMAS</t>
  </si>
  <si>
    <t>ALLENDE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</si>
  <si>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</si>
  <si>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</si>
  <si>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</si>
  <si>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</si>
  <si>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</si>
  <si>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</si>
  <si>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</si>
  <si>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CHINA</t>
  </si>
  <si>
    <t>CIÉNEGA DE FLORES</t>
  </si>
  <si>
    <t>DOCTOR ARROYO</t>
  </si>
  <si>
    <t>DOCTOR COSS</t>
  </si>
  <si>
    <t>DOCTOR GONZÁLEZ</t>
  </si>
  <si>
    <t>GALEANA</t>
  </si>
  <si>
    <t>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</si>
  <si>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</si>
  <si>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</si>
  <si>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</si>
  <si>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</si>
  <si>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</si>
  <si>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</si>
  <si>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GUADALUPE</t>
  </si>
  <si>
    <t>LOS HERRERAS</t>
  </si>
  <si>
    <t>HIDALGO</t>
  </si>
  <si>
    <t>HIGUERAS</t>
  </si>
  <si>
    <t>HUALAHUISES</t>
  </si>
  <si>
    <t>ITURBIDE</t>
  </si>
  <si>
    <t>JUÁREZ</t>
  </si>
  <si>
    <t>LAMPAZOS DE NARANJO</t>
  </si>
  <si>
    <t>LINARES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</si>
  <si>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</si>
  <si>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</si>
  <si>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</si>
  <si>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</si>
  <si>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</si>
  <si>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</si>
  <si>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</si>
  <si>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</si>
  <si>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</si>
  <si>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</si>
  <si>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</si>
  <si>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</si>
  <si>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</si>
  <si>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 PEDRO GARZA GARCÍA</t>
  </si>
  <si>
    <t>SANTA CATARINA</t>
  </si>
  <si>
    <t>SANTIAGO</t>
  </si>
  <si>
    <t>VALLECILLO</t>
  </si>
  <si>
    <t>VILLALDAMA</t>
  </si>
  <si>
    <t xml:space="preserve">        TOTAL</t>
  </si>
  <si>
    <t>Los montos no incluyen descuentos ni compensación alguna.</t>
  </si>
  <si>
    <t>EFECTIVIDAD RECAUDACIÓN DE PREDIAL</t>
  </si>
  <si>
    <t>POBLACIÓN Y TERRITORIO</t>
  </si>
  <si>
    <t>ÍNDICE MUNICIPAL DE POBREZA</t>
  </si>
  <si>
    <t>COEFICIENTE DE DISTRIBUCIÓN ANTES DE GARANTÍA</t>
  </si>
  <si>
    <t>FACTURACIÓN  2018
(2014-2018)</t>
  </si>
  <si>
    <t>RECAUDACIÓN 2019</t>
  </si>
  <si>
    <t>PROPORCION DE RECAUDACIÓN</t>
  </si>
  <si>
    <t>RECAUDACIÓN PONDERADO POR EFICIENCIA</t>
  </si>
  <si>
    <t>COEFICIENTE EFECTIVIDAD REC PREDIAL</t>
  </si>
  <si>
    <t>POBLACIÓN 2020</t>
  </si>
  <si>
    <t>ESTRUCTURA      %</t>
  </si>
  <si>
    <t>TERRITORIO (KM2)</t>
  </si>
  <si>
    <t>ESTRUCTURA     %</t>
  </si>
  <si>
    <t>COEFICIENTE  POBLACIÓN Y TERRITORIO</t>
  </si>
  <si>
    <t>POB ING &lt; A 2 SALARIOS MIN
2000</t>
  </si>
  <si>
    <t>POB 15 AÑOS O + NO SABE LEER NI ESCRIBIR 2000</t>
  </si>
  <si>
    <t>POBL SIN ACCESO A DRENAJE 2000</t>
  </si>
  <si>
    <t>POB SIN ACCESO A  ELECTRICIDAD 2000</t>
  </si>
  <si>
    <t>COEF CARENCIA SOCIAL
200</t>
  </si>
  <si>
    <t>POB ING &lt; A 2 SALARIOS MIN
2010</t>
  </si>
  <si>
    <t>POB 15 MAS AÑOS NO SABE LEER NI ESCRIBIR
2010</t>
  </si>
  <si>
    <t>POBL SIN ACCESO A DRENAJE
2010</t>
  </si>
  <si>
    <t>POB SIN ACCESO A ELECTRICIDAD
2010</t>
  </si>
  <si>
    <t>COEF  CARENCIA SOCIAL
2010</t>
  </si>
  <si>
    <t>MEJORA SOCIAL 2010 vs 2000</t>
  </si>
  <si>
    <t>APOYO</t>
  </si>
  <si>
    <t>COEF APOYO
MEJORA SOCIAL</t>
  </si>
  <si>
    <t>COEFICIENTE  ÍNDICE MUNICIPAL DE POBREZA</t>
  </si>
  <si>
    <t>DISTRIBUCIÓN POR EFECTIVIDAD RECAUDACIÓN  PREDIAL</t>
  </si>
  <si>
    <t>DISTRIBUCIÓN POR POBLACIÓN Y TERRITORIO</t>
  </si>
  <si>
    <t>DISTRIBUCIÓN POR ÍNDICE DE POBREZA</t>
  </si>
  <si>
    <t>MONTO OBS. + ESTIM. DE PARTICIPACIONES</t>
  </si>
  <si>
    <t>COEFICIENTE DE PARTICIPACIÓN</t>
  </si>
  <si>
    <t>BGt-2</t>
  </si>
  <si>
    <t>RPt-1</t>
  </si>
  <si>
    <t>P=RP/BG</t>
  </si>
  <si>
    <t>ER=P*RP</t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</si>
  <si>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</si>
  <si>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t>PO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</si>
  <si>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</si>
  <si>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</si>
  <si>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t>TE</t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</si>
  <si>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</si>
  <si>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</si>
  <si>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t>CEPT=0.85(PO/∑PO)+0.15(TE/∑TE)</t>
  </si>
  <si>
    <t>R1</t>
  </si>
  <si>
    <t>R2</t>
  </si>
  <si>
    <t>R3</t>
  </si>
  <si>
    <t>R4</t>
  </si>
  <si>
    <t>CS2</t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</si>
  <si>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</si>
  <si>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t>[(CS2-CS1)/CS1]</t>
  </si>
  <si>
    <t>MS</t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</si>
  <si>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</si>
  <si>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</si>
  <si>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CIMP=0.85(CS2/∑CS2)+0.15(MS/∑MS)</t>
  </si>
  <si>
    <t>CER*50%</t>
  </si>
  <si>
    <t>CEPT*25%</t>
  </si>
  <si>
    <t>CIMP*25%</t>
  </si>
  <si>
    <t>MAE1=(CEPT*25%)+(CIMP*25%)+(CER*50%)</t>
  </si>
  <si>
    <t>CEP= MAE1/∑MAE1</t>
  </si>
  <si>
    <t>FUENTE:
Facturación de Predial.- Instituto Registral y Catastral
Recaudación de Predial.- Municipios del Estado
Población.- Censo de Población y Vivienda 2020
Territorio.- INEGI
Vairables de Carencia Social 2000 y 2010.- Censo de población y vivienda, INEGI</t>
  </si>
  <si>
    <t>DETERMINACIÓN  DEL  COEFICIENTE DE PARTICIPACIÓN DE RECURSOS A MUNICIPIOS</t>
  </si>
  <si>
    <t>FFM 70%</t>
  </si>
  <si>
    <t>FEXHI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</si>
  <si>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</si>
  <si>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</si>
  <si>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PARTICIPACIONES ESTIMADAS PTE AÑO</t>
  </si>
  <si>
    <t>MONTO NECESARIO PARA ALCANZAR EL AÑO ANTERIOR</t>
  </si>
  <si>
    <t>MONTO PTE AÑO POR ENCIMA DE AÑO ANT MÁS INFLACIÓN O CRECIMIENTO</t>
  </si>
  <si>
    <t>MONTO A DISMINUIR EN MUNICIPIOS CON INCREMENTO SUPERIOR A AÑO ANT MÁS INFLACIÓN O CREC</t>
  </si>
  <si>
    <t>MONTO A DISTRIBUIR EN PTE AÑO PARA GARANTIZAR AL MENOS EL PAGO DE AÑO ANT MÁS INFLACIÓN O CREC</t>
  </si>
  <si>
    <t>DETERMINACIÓN INCREMENTO PTRE AÑO vs PAGO AÑO ANT MÁS INFLACIÓN O CREC</t>
  </si>
  <si>
    <t>COEFICIENTE 1er SEMESTRE PTE AÑO</t>
  </si>
  <si>
    <t>Art 19 - I</t>
  </si>
  <si>
    <t>Art 19 - III y IV</t>
  </si>
  <si>
    <t>Art 19 - VI</t>
  </si>
  <si>
    <t>Art 19 - VII</t>
  </si>
  <si>
    <t>Art 20</t>
  </si>
  <si>
    <t>INFLACIÓN 2020</t>
  </si>
  <si>
    <t>CRECIMIENTO ESTIMACIÓN DE PARTICIPACIONES 2021 Vs AÑO ANTERIOR</t>
  </si>
  <si>
    <t>DETERMINACIÓN PRELIMINAR DE LOS COEFICIENTES DE PARTICIPACIÓN DE RECURSOS A MUNICIPIOS POR VARIABLE (ARTÍCULO14 FRACC II LCH)</t>
  </si>
  <si>
    <t xml:space="preserve">POBLACIÓN </t>
  </si>
  <si>
    <t>PROYECCIÓN DE POBLACIÓN</t>
  </si>
  <si>
    <t>REGLA I</t>
  </si>
  <si>
    <t>POBLACIÓN  2020</t>
  </si>
  <si>
    <t>COEFICIENTE POBLACIÓN</t>
  </si>
  <si>
    <t>PROYECCIÓN DE POBLACIÓN 2020</t>
  </si>
  <si>
    <t>COEFICIENTE PROYECCIÓN POBLACIÓN</t>
  </si>
  <si>
    <t>COEFICIENTE ESTIMADO DE PARTICIPACIÓN</t>
  </si>
  <si>
    <t>DISTRIBUCIÓN POR POBLACIÓN</t>
  </si>
  <si>
    <t>DISTRIBUCIÓN POR PROYECCIÓN DE POBLACIÓN</t>
  </si>
  <si>
    <t>DISTRIBUCIÓN POR COEFICIENTE REGLA I</t>
  </si>
  <si>
    <t>MONTO OBS + ESTIM DE GASOLINAS</t>
  </si>
  <si>
    <t>PC</t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</si>
  <si>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</si>
  <si>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t>PO*35%</t>
  </si>
  <si>
    <t>PC*35%</t>
  </si>
  <si>
    <t>CEP*30%</t>
  </si>
  <si>
    <t>MAE2=(PI*35%)+(PC*35%)+(CD*30%)</t>
  </si>
  <si>
    <t>CEG=MAE2/∑MAE2</t>
  </si>
  <si>
    <t xml:space="preserve">FUENTE: </t>
  </si>
  <si>
    <t xml:space="preserve">  Población 2020, Censo de Población y Vivienda, INEGI</t>
  </si>
  <si>
    <t xml:space="preserve">  Proyecciones de la Población 2015-2030, CONSEJO NACIONAL DE POBLACIÓN</t>
  </si>
  <si>
    <t xml:space="preserve"> EFICIENCIA RECAUDATORIA</t>
  </si>
  <si>
    <t>CRECIMIENTO RECAUDACION</t>
  </si>
  <si>
    <t>RECAUDACIÓN EN EL IMPUESTO PREDIAL</t>
  </si>
  <si>
    <t>COEFICIENTE DE DISTRIBUCIÓN  30% FFM Art 14 Frac III</t>
  </si>
  <si>
    <t>FACTURACIÓN  2019
(2015-2019)</t>
  </si>
  <si>
    <t>Eficiencia Recaudatoria</t>
  </si>
  <si>
    <t>COEFICIENTE  DE EFICIENCIA RECAUDATORIA</t>
  </si>
  <si>
    <t>RECAUDACIÓN 2018</t>
  </si>
  <si>
    <t xml:space="preserve">TASA DE CRECIMIENTO EN LA RECAUDACIÓN EFECTIVA </t>
  </si>
  <si>
    <t>Tasa&gt;0</t>
  </si>
  <si>
    <t>COHEFICIENTE CRECIMIENTO RECAUDACION</t>
  </si>
  <si>
    <t>COEFICIENTE  POR MONTO DE RECAUDACIÓN EN EL IMPUESTO PREDIAL</t>
  </si>
  <si>
    <t xml:space="preserve">DISTRIBUCIÓN POR EFICIENCIA EN LA RECAUDACIÓN  </t>
  </si>
  <si>
    <t>DISTRIBUCIÓN CRECIMIENTO RECAUDACION</t>
  </si>
  <si>
    <t>DISTRIBUCIÓN POR RECAUDACION</t>
  </si>
  <si>
    <t xml:space="preserve"> ESTIMACIÓN 30% FFM ANUAL</t>
  </si>
  <si>
    <t>BGt-1</t>
  </si>
  <si>
    <t>Ri,t-1</t>
  </si>
  <si>
    <t>ERt-1 = Ri,t-1 / BGi,t-1</t>
  </si>
  <si>
    <t>CERi,t = ERi,t-1 /∑ERi,t-1</t>
  </si>
  <si>
    <t>Ri,t-2</t>
  </si>
  <si>
    <t>CRi,t=(Ri,t-1/Ri,t-2)- 1</t>
  </si>
  <si>
    <t>CCRi,t=CRi,t /∑CRi,t</t>
  </si>
  <si>
    <t>REi,t = Ri,t-1 /∑Ri,t-1</t>
  </si>
  <si>
    <t>50%*CERi,t+20%*REi,t+30%*CCRi,t</t>
  </si>
  <si>
    <t>ALDAMAS, LOS</t>
  </si>
  <si>
    <t>ANAHUAC</t>
  </si>
  <si>
    <t>CADEREYTA JIMENEZ</t>
  </si>
  <si>
    <t>CARMEN</t>
  </si>
  <si>
    <t xml:space="preserve">CERRALVO </t>
  </si>
  <si>
    <t>CIENEGA DE FLORES</t>
  </si>
  <si>
    <t>DOCTOR GONZALEZ</t>
  </si>
  <si>
    <t>GARCIA</t>
  </si>
  <si>
    <t>GENERAL TERAN</t>
  </si>
  <si>
    <t>HERRERAS, LOS</t>
  </si>
  <si>
    <t>JUAREZ</t>
  </si>
  <si>
    <t>MARIN</t>
  </si>
  <si>
    <t>PARAS</t>
  </si>
  <si>
    <t>PESQUERIA</t>
  </si>
  <si>
    <t>RAMONES, LOS</t>
  </si>
  <si>
    <t>SAN NICOLAS DE LOS GARZA</t>
  </si>
  <si>
    <t>SAN PEDRO GARZA GARCIA</t>
  </si>
  <si>
    <t>Las cifras de Recaudación y Facturación del Impuesto Predial fueron actualizadas para el Cálculo de Distribución. La población por Municipio para la entidad</t>
  </si>
  <si>
    <t>FONDO DE ISR POR LA ENAJENACIÓN DE BIENES INMUEBLES</t>
  </si>
  <si>
    <t xml:space="preserve"> MUNICIPIO </t>
  </si>
  <si>
    <t>ISAI 2019</t>
  </si>
  <si>
    <t>COEFICIENTE</t>
  </si>
  <si>
    <t>DISTRIBUCIÓN</t>
  </si>
  <si>
    <t xml:space="preserve"> ABASOLO </t>
  </si>
  <si>
    <t xml:space="preserve"> AGUALEGUAS </t>
  </si>
  <si>
    <t xml:space="preserve"> ALDAMAS, LOS </t>
  </si>
  <si>
    <t xml:space="preserve"> ALLENDE </t>
  </si>
  <si>
    <t xml:space="preserve"> ANAHUAC </t>
  </si>
  <si>
    <t xml:space="preserve"> APODACA </t>
  </si>
  <si>
    <t xml:space="preserve"> ARAMBERRI </t>
  </si>
  <si>
    <t xml:space="preserve"> BUSTAMANTE </t>
  </si>
  <si>
    <t xml:space="preserve"> CADEREYTA JIMENEZ </t>
  </si>
  <si>
    <t xml:space="preserve"> CARMEN </t>
  </si>
  <si>
    <t xml:space="preserve"> CERRALVO  </t>
  </si>
  <si>
    <t xml:space="preserve"> CHINA </t>
  </si>
  <si>
    <t xml:space="preserve"> CIENEGA DE FLORES </t>
  </si>
  <si>
    <t xml:space="preserve"> DOCTOR ARROYO </t>
  </si>
  <si>
    <t xml:space="preserve"> DOCTOR COSS </t>
  </si>
  <si>
    <t xml:space="preserve"> DOCTOR GONZALEZ </t>
  </si>
  <si>
    <t xml:space="preserve"> GALEANA </t>
  </si>
  <si>
    <t xml:space="preserve"> GARCIA </t>
  </si>
  <si>
    <t xml:space="preserve"> GENERAL BRAVO </t>
  </si>
  <si>
    <t xml:space="preserve"> GENERAL ESCOBEDO </t>
  </si>
  <si>
    <t xml:space="preserve"> GENERAL TERAN </t>
  </si>
  <si>
    <t xml:space="preserve"> GENERAL TREVIÑO </t>
  </si>
  <si>
    <t xml:space="preserve"> GENERAL ZARAGOZA </t>
  </si>
  <si>
    <t xml:space="preserve"> GENERAL ZUAZUA </t>
  </si>
  <si>
    <t xml:space="preserve"> GUADALUPE </t>
  </si>
  <si>
    <t xml:space="preserve"> HERRERAS, LOS </t>
  </si>
  <si>
    <t xml:space="preserve"> HIDALGO </t>
  </si>
  <si>
    <t xml:space="preserve"> HIGUERAS </t>
  </si>
  <si>
    <t xml:space="preserve"> HUALAHUISES </t>
  </si>
  <si>
    <t xml:space="preserve"> ITURBIDE </t>
  </si>
  <si>
    <t xml:space="preserve"> JUAREZ </t>
  </si>
  <si>
    <t xml:space="preserve"> LAMPAZOS DE NARANJO </t>
  </si>
  <si>
    <t xml:space="preserve"> LINARES </t>
  </si>
  <si>
    <t xml:space="preserve"> MARIN </t>
  </si>
  <si>
    <t xml:space="preserve"> MELCHOR OCAMPO </t>
  </si>
  <si>
    <t xml:space="preserve"> MIER Y NORIEGA </t>
  </si>
  <si>
    <t xml:space="preserve"> MINA </t>
  </si>
  <si>
    <t xml:space="preserve"> MONTEMORELOS </t>
  </si>
  <si>
    <t xml:space="preserve"> MONTERREY </t>
  </si>
  <si>
    <t xml:space="preserve"> PARAS </t>
  </si>
  <si>
    <t xml:space="preserve"> PESQUERIA </t>
  </si>
  <si>
    <t xml:space="preserve"> RAMONES, LOS </t>
  </si>
  <si>
    <t xml:space="preserve"> RAYONES </t>
  </si>
  <si>
    <t xml:space="preserve"> SABINAS HIDALGO </t>
  </si>
  <si>
    <t xml:space="preserve"> SALINAS VICTORIA </t>
  </si>
  <si>
    <t xml:space="preserve"> SAN NICOLAS DE LOS GARZA </t>
  </si>
  <si>
    <t xml:space="preserve"> SAN PEDRO GARZA GARCIA </t>
  </si>
  <si>
    <t xml:space="preserve"> SANTA CATARINA </t>
  </si>
  <si>
    <t xml:space="preserve"> SANTIAGO </t>
  </si>
  <si>
    <t xml:space="preserve"> VALLECILLO </t>
  </si>
  <si>
    <t xml:space="preserve"> VILLALDAMA </t>
  </si>
  <si>
    <t xml:space="preserve">         TOTAL </t>
  </si>
  <si>
    <t>ISR Venta de Inmuebles</t>
  </si>
  <si>
    <t>20% para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</si>
</sst>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_(* #,##0.000000_);_(* \(#,##0.000000\);_(* &quot;-&quot;??_);_(@_)"/>
    <numFmt numFmtId="173" formatCode="0.00000000%"/>
    <numFmt numFmtId="174" formatCode="_(* #,##0.00000000_);_(* \(#,##0.00000000\);_(* &quot;-&quot;??_);_(@_)"/>
    <numFmt numFmtId="175" formatCode="0.000000"/>
    <numFmt numFmtId="176" formatCode="0.00000000"/>
    <numFmt numFmtId="177" formatCode="0.0000000000"/>
    <numFmt numFmtId="178" formatCode="0.000000000"/>
    <numFmt numFmtId="179" formatCode="0.0000"/>
    <numFmt numFmtId="180" formatCode="#,##0.0000;\-#,##0.0000"/>
    <numFmt numFmtId="181" formatCode="#,##0.00000000000;\-#,##0.00000000000"/>
    <numFmt numFmtId="182" formatCode="0.0000%"/>
    <numFmt numFmtId="183" formatCode="General_)"/>
    <numFmt numFmtId="184" formatCode="_-[$€-2]* #,##0.00_-;\-[$€-2]* #,##0.00_-;_-[$€-2]* &quot;-&quot;??_-"/>
    <numFmt numFmtId="185" formatCode="_-* #,##0_-;\-* #,##0_-;_-* &quot;-&quot;??_-;_-@_-"/>
    <numFmt numFmtId="186" formatCode="_-* #,##0.0000_-;\-* #,##0.0000_-;_-* &quot;-&quot;????_-;_-@_-"/>
    <numFmt numFmtId="187" formatCode="_-* #,##0.0000_-;\-* #,##0.0000_-;_-* &quot;-&quot;_-;_-@_-"/>
    <numFmt numFmtId="188" formatCode="_-* #,##0.0000_-;\-* #,##0.0000_-;_-* &quot;-&quot;??_-;_-@_-"/>
    <numFmt numFmtId="189" formatCode="#,##0.0000_ ;[Red]\-#,##0.0000\ "/>
    <numFmt numFmtId="190" formatCode="#,##0_ ;[Red]\-#,##0\ "/>
    <numFmt numFmtId="191" formatCode="0.00000000000"/>
    <numFmt numFmtId="192" formatCode="_-* #,##0.00000_-;\-* #,##0.00000_-;_-* &quot;-&quot;??_-;_-@_-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006100"/>
      <name val="Arial"/>
      <family val="2"/>
    </font>
    <font>
      <b/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1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69" fontId="5" fillId="0" borderId="0" applyFont="0" applyFill="0" applyBorder="0" applyAlignment="0" applyProtection="0"/>
    <xf numFmtId="0" fontId="19" fillId="3" borderId="0" applyNumberFormat="0" applyBorder="0" applyAlignment="0" applyProtection="0"/>
    <xf numFmtId="164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30" fillId="0" borderId="0"/>
    <xf numFmtId="0" fontId="7" fillId="0" borderId="0"/>
    <xf numFmtId="37" fontId="6" fillId="0" borderId="0"/>
    <xf numFmtId="0" fontId="11" fillId="23" borderId="4" applyNumberFormat="0" applyFont="0" applyAlignment="0" applyProtection="0"/>
    <xf numFmtId="170" fontId="7" fillId="0" borderId="0" applyFont="0" applyFill="0" applyBorder="0" applyAlignment="0" applyProtection="0">
      <alignment horizontal="right"/>
    </xf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171" fontId="8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3" fontId="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84" fontId="5" fillId="0" borderId="0" applyFont="0" applyFill="0" applyBorder="0" applyAlignment="0" applyProtection="0"/>
    <xf numFmtId="0" fontId="19" fillId="3" borderId="0" applyNumberFormat="0" applyBorder="0" applyAlignment="0" applyProtection="0"/>
    <xf numFmtId="41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" fillId="0" borderId="0"/>
    <xf numFmtId="43" fontId="5" fillId="0" borderId="0" applyFont="0" applyFill="0" applyBorder="0" applyAlignment="0" applyProtection="0"/>
    <xf numFmtId="0" fontId="49" fillId="0" borderId="0"/>
    <xf numFmtId="0" fontId="3" fillId="0" borderId="0"/>
    <xf numFmtId="43" fontId="50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54" fillId="0" borderId="0"/>
    <xf numFmtId="43" fontId="5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5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5">
    <xf numFmtId="0" fontId="0" fillId="0" borderId="0" xfId="0"/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5" fillId="0" borderId="11" xfId="37" applyFont="1" applyFill="1" applyBorder="1" applyAlignment="1" applyProtection="1">
      <alignment horizontal="left"/>
      <protection hidden="1"/>
    </xf>
    <xf numFmtId="37" fontId="5" fillId="0" borderId="20" xfId="37" applyFont="1" applyFill="1" applyBorder="1" applyAlignment="1" applyProtection="1">
      <alignment horizontal="right"/>
      <protection hidden="1"/>
    </xf>
    <xf numFmtId="37" fontId="5" fillId="0" borderId="12" xfId="37" applyFont="1" applyFill="1" applyBorder="1" applyAlignment="1" applyProtection="1">
      <alignment horizontal="left"/>
      <protection hidden="1"/>
    </xf>
    <xf numFmtId="37" fontId="5" fillId="0" borderId="22" xfId="37" applyFont="1" applyFill="1" applyBorder="1" applyAlignment="1" applyProtection="1">
      <alignment horizontal="right"/>
      <protection hidden="1"/>
    </xf>
    <xf numFmtId="37" fontId="9" fillId="0" borderId="13" xfId="37" applyFont="1" applyFill="1" applyBorder="1" applyAlignment="1" applyProtection="1">
      <alignment horizontal="left"/>
      <protection hidden="1"/>
    </xf>
    <xf numFmtId="37" fontId="9" fillId="0" borderId="14" xfId="37" applyFont="1" applyFill="1" applyBorder="1" applyAlignment="1" applyProtection="1">
      <alignment horizontal="right"/>
      <protection hidden="1"/>
    </xf>
    <xf numFmtId="37" fontId="9" fillId="0" borderId="10" xfId="37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9" fontId="9" fillId="0" borderId="10" xfId="40" applyFont="1" applyFill="1" applyBorder="1" applyAlignment="1" applyProtection="1">
      <alignment horizontal="center" vertical="center" wrapText="1"/>
      <protection hidden="1"/>
    </xf>
    <xf numFmtId="37" fontId="5" fillId="0" borderId="0" xfId="37" applyFont="1" applyFill="1" applyProtection="1">
      <protection hidden="1"/>
    </xf>
    <xf numFmtId="9" fontId="9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9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5" fillId="0" borderId="0" xfId="37" applyFont="1" applyProtection="1">
      <protection hidden="1"/>
    </xf>
    <xf numFmtId="37" fontId="32" fillId="0" borderId="0" xfId="37" applyFont="1" applyAlignment="1" applyProtection="1">
      <alignment horizontal="center" vertical="center"/>
      <protection hidden="1"/>
    </xf>
    <xf numFmtId="37" fontId="32" fillId="0" borderId="0" xfId="37" applyFont="1" applyFill="1" applyProtection="1">
      <protection hidden="1"/>
    </xf>
    <xf numFmtId="37" fontId="32" fillId="0" borderId="0" xfId="37" applyFont="1" applyProtection="1">
      <protection hidden="1"/>
    </xf>
    <xf numFmtId="37" fontId="37" fillId="0" borderId="0" xfId="37" applyFont="1" applyFill="1" applyBorder="1" applyAlignment="1" applyProtection="1">
      <alignment horizontal="center" vertical="center" wrapText="1"/>
      <protection hidden="1"/>
    </xf>
    <xf numFmtId="37" fontId="37" fillId="0" borderId="0" xfId="37" applyFont="1" applyFill="1" applyProtection="1">
      <protection hidden="1"/>
    </xf>
    <xf numFmtId="175" fontId="37" fillId="0" borderId="0" xfId="37" applyNumberFormat="1" applyFont="1" applyFill="1" applyProtection="1">
      <protection hidden="1"/>
    </xf>
    <xf numFmtId="176" fontId="38" fillId="0" borderId="0" xfId="0" applyNumberFormat="1" applyFont="1" applyFill="1" applyAlignment="1" applyProtection="1">
      <alignment horizontal="center" vertical="center" wrapText="1"/>
      <protection hidden="1"/>
    </xf>
    <xf numFmtId="175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Alignment="1" applyProtection="1">
      <alignment horizontal="center" vertical="center" wrapText="1"/>
      <protection hidden="1"/>
    </xf>
    <xf numFmtId="37" fontId="32" fillId="0" borderId="0" xfId="37" applyFont="1" applyAlignment="1" applyProtection="1">
      <alignment horizontal="center" vertical="center" wrapText="1"/>
      <protection hidden="1"/>
    </xf>
    <xf numFmtId="37" fontId="37" fillId="0" borderId="0" xfId="37" applyFont="1" applyProtection="1">
      <protection hidden="1"/>
    </xf>
    <xf numFmtId="3" fontId="31" fillId="0" borderId="20" xfId="0" applyNumberFormat="1" applyFont="1" applyBorder="1" applyProtection="1">
      <protection hidden="1"/>
    </xf>
    <xf numFmtId="173" fontId="5" fillId="0" borderId="20" xfId="40" applyNumberFormat="1" applyFont="1" applyFill="1" applyBorder="1" applyProtection="1">
      <protection hidden="1"/>
    </xf>
    <xf numFmtId="175" fontId="5" fillId="0" borderId="20" xfId="40" applyNumberFormat="1" applyFont="1" applyFill="1" applyBorder="1" applyProtection="1">
      <protection hidden="1"/>
    </xf>
    <xf numFmtId="165" fontId="5" fillId="0" borderId="20" xfId="33" applyNumberFormat="1" applyFont="1" applyFill="1" applyBorder="1" applyProtection="1">
      <protection hidden="1"/>
    </xf>
    <xf numFmtId="175" fontId="5" fillId="0" borderId="25" xfId="40" applyNumberFormat="1" applyFont="1" applyFill="1" applyBorder="1" applyProtection="1">
      <protection hidden="1"/>
    </xf>
    <xf numFmtId="37" fontId="5" fillId="0" borderId="11" xfId="37" applyFont="1" applyFill="1" applyBorder="1" applyAlignment="1" applyProtection="1">
      <protection hidden="1"/>
    </xf>
    <xf numFmtId="37" fontId="5" fillId="0" borderId="20" xfId="37" applyFont="1" applyFill="1" applyBorder="1" applyAlignment="1" applyProtection="1">
      <protection hidden="1"/>
    </xf>
    <xf numFmtId="173" fontId="31" fillId="0" borderId="20" xfId="40" applyNumberFormat="1" applyFont="1" applyBorder="1" applyProtection="1">
      <protection hidden="1"/>
    </xf>
    <xf numFmtId="1" fontId="40" fillId="0" borderId="20" xfId="40" applyNumberFormat="1" applyFont="1" applyBorder="1" applyProtection="1">
      <protection hidden="1"/>
    </xf>
    <xf numFmtId="175" fontId="31" fillId="0" borderId="20" xfId="40" applyNumberFormat="1" applyFont="1" applyBorder="1" applyProtection="1">
      <protection hidden="1"/>
    </xf>
    <xf numFmtId="172" fontId="5" fillId="0" borderId="20" xfId="33" applyNumberFormat="1" applyFont="1" applyFill="1" applyBorder="1" applyProtection="1">
      <protection hidden="1"/>
    </xf>
    <xf numFmtId="165" fontId="5" fillId="0" borderId="25" xfId="33" applyNumberFormat="1" applyFont="1" applyFill="1" applyBorder="1" applyProtection="1">
      <protection hidden="1"/>
    </xf>
    <xf numFmtId="37" fontId="5" fillId="0" borderId="11" xfId="37" applyFont="1" applyBorder="1" applyProtection="1">
      <protection hidden="1"/>
    </xf>
    <xf numFmtId="37" fontId="5" fillId="0" borderId="20" xfId="37" applyFont="1" applyBorder="1" applyProtection="1">
      <protection hidden="1"/>
    </xf>
    <xf numFmtId="176" fontId="5" fillId="0" borderId="21" xfId="40" applyNumberFormat="1" applyFont="1" applyBorder="1" applyProtection="1">
      <protection hidden="1"/>
    </xf>
    <xf numFmtId="3" fontId="31" fillId="0" borderId="22" xfId="0" applyNumberFormat="1" applyFont="1" applyBorder="1" applyProtection="1">
      <protection hidden="1"/>
    </xf>
    <xf numFmtId="173" fontId="5" fillId="0" borderId="22" xfId="40" applyNumberFormat="1" applyFont="1" applyFill="1" applyBorder="1" applyProtection="1">
      <protection hidden="1"/>
    </xf>
    <xf numFmtId="175" fontId="5" fillId="0" borderId="22" xfId="40" applyNumberFormat="1" applyFont="1" applyFill="1" applyBorder="1" applyProtection="1">
      <protection hidden="1"/>
    </xf>
    <xf numFmtId="165" fontId="5" fillId="0" borderId="22" xfId="33" applyNumberFormat="1" applyFont="1" applyFill="1" applyBorder="1" applyProtection="1">
      <protection hidden="1"/>
    </xf>
    <xf numFmtId="175" fontId="5" fillId="0" borderId="26" xfId="40" applyNumberFormat="1" applyFont="1" applyFill="1" applyBorder="1" applyProtection="1">
      <protection hidden="1"/>
    </xf>
    <xf numFmtId="37" fontId="5" fillId="0" borderId="12" xfId="37" applyFont="1" applyFill="1" applyBorder="1" applyAlignment="1" applyProtection="1">
      <protection hidden="1"/>
    </xf>
    <xf numFmtId="37" fontId="5" fillId="0" borderId="22" xfId="37" applyFont="1" applyFill="1" applyBorder="1" applyAlignment="1" applyProtection="1">
      <protection hidden="1"/>
    </xf>
    <xf numFmtId="173" fontId="31" fillId="0" borderId="22" xfId="40" applyNumberFormat="1" applyFont="1" applyBorder="1" applyProtection="1">
      <protection hidden="1"/>
    </xf>
    <xf numFmtId="1" fontId="40" fillId="0" borderId="22" xfId="40" applyNumberFormat="1" applyFont="1" applyBorder="1" applyProtection="1">
      <protection hidden="1"/>
    </xf>
    <xf numFmtId="175" fontId="31" fillId="0" borderId="22" xfId="40" applyNumberFormat="1" applyFont="1" applyBorder="1" applyProtection="1">
      <protection hidden="1"/>
    </xf>
    <xf numFmtId="172" fontId="5" fillId="0" borderId="22" xfId="33" applyNumberFormat="1" applyFont="1" applyFill="1" applyBorder="1" applyProtection="1">
      <protection hidden="1"/>
    </xf>
    <xf numFmtId="165" fontId="5" fillId="0" borderId="26" xfId="33" applyNumberFormat="1" applyFont="1" applyFill="1" applyBorder="1" applyProtection="1">
      <protection hidden="1"/>
    </xf>
    <xf numFmtId="37" fontId="5" fillId="0" borderId="12" xfId="37" applyFont="1" applyBorder="1" applyProtection="1">
      <protection hidden="1"/>
    </xf>
    <xf numFmtId="37" fontId="5" fillId="0" borderId="22" xfId="37" applyFont="1" applyBorder="1" applyProtection="1">
      <protection hidden="1"/>
    </xf>
    <xf numFmtId="176" fontId="5" fillId="0" borderId="19" xfId="40" applyNumberFormat="1" applyFont="1" applyBorder="1" applyProtection="1">
      <protection hidden="1"/>
    </xf>
    <xf numFmtId="3" fontId="33" fillId="0" borderId="14" xfId="0" applyNumberFormat="1" applyFont="1" applyBorder="1" applyProtection="1">
      <protection hidden="1"/>
    </xf>
    <xf numFmtId="173" fontId="9" fillId="0" borderId="14" xfId="40" applyNumberFormat="1" applyFont="1" applyFill="1" applyBorder="1" applyProtection="1">
      <protection hidden="1"/>
    </xf>
    <xf numFmtId="175" fontId="9" fillId="0" borderId="14" xfId="40" applyNumberFormat="1" applyFont="1" applyFill="1" applyBorder="1" applyProtection="1">
      <protection hidden="1"/>
    </xf>
    <xf numFmtId="165" fontId="9" fillId="0" borderId="14" xfId="33" applyNumberFormat="1" applyFont="1" applyFill="1" applyBorder="1" applyProtection="1">
      <protection hidden="1"/>
    </xf>
    <xf numFmtId="175" fontId="9" fillId="0" borderId="24" xfId="40" applyNumberFormat="1" applyFont="1" applyFill="1" applyBorder="1" applyProtection="1">
      <protection hidden="1"/>
    </xf>
    <xf numFmtId="37" fontId="39" fillId="0" borderId="13" xfId="37" applyFont="1" applyFill="1" applyBorder="1" applyAlignment="1" applyProtection="1">
      <protection hidden="1"/>
    </xf>
    <xf numFmtId="37" fontId="39" fillId="0" borderId="14" xfId="37" applyFont="1" applyFill="1" applyBorder="1" applyAlignment="1" applyProtection="1">
      <protection hidden="1"/>
    </xf>
    <xf numFmtId="173" fontId="33" fillId="0" borderId="14" xfId="40" applyNumberFormat="1" applyFont="1" applyBorder="1" applyProtection="1">
      <protection hidden="1"/>
    </xf>
    <xf numFmtId="1" fontId="41" fillId="0" borderId="14" xfId="40" applyNumberFormat="1" applyFont="1" applyBorder="1" applyProtection="1">
      <protection hidden="1"/>
    </xf>
    <xf numFmtId="175" fontId="33" fillId="0" borderId="14" xfId="40" applyNumberFormat="1" applyFont="1" applyBorder="1" applyProtection="1">
      <protection hidden="1"/>
    </xf>
    <xf numFmtId="168" fontId="9" fillId="0" borderId="14" xfId="40" applyNumberFormat="1" applyFont="1" applyFill="1" applyBorder="1" applyProtection="1">
      <protection hidden="1"/>
    </xf>
    <xf numFmtId="175" fontId="9" fillId="0" borderId="14" xfId="33" applyNumberFormat="1" applyFont="1" applyFill="1" applyBorder="1" applyProtection="1">
      <protection hidden="1"/>
    </xf>
    <xf numFmtId="172" fontId="9" fillId="0" borderId="14" xfId="33" applyNumberFormat="1" applyFont="1" applyFill="1" applyBorder="1" applyProtection="1">
      <protection hidden="1"/>
    </xf>
    <xf numFmtId="165" fontId="9" fillId="0" borderId="24" xfId="40" applyNumberFormat="1" applyFont="1" applyFill="1" applyBorder="1" applyProtection="1">
      <protection hidden="1"/>
    </xf>
    <xf numFmtId="37" fontId="9" fillId="0" borderId="13" xfId="37" applyFont="1" applyBorder="1" applyProtection="1">
      <protection hidden="1"/>
    </xf>
    <xf numFmtId="37" fontId="9" fillId="0" borderId="14" xfId="37" applyFont="1" applyBorder="1" applyProtection="1">
      <protection hidden="1"/>
    </xf>
    <xf numFmtId="176" fontId="9" fillId="0" borderId="15" xfId="40" applyNumberFormat="1" applyFont="1" applyBorder="1" applyProtection="1">
      <protection hidden="1"/>
    </xf>
    <xf numFmtId="175" fontId="5" fillId="0" borderId="0" xfId="37" applyNumberFormat="1" applyFont="1" applyProtection="1">
      <protection hidden="1"/>
    </xf>
    <xf numFmtId="39" fontId="5" fillId="0" borderId="0" xfId="37" applyNumberFormat="1" applyFont="1" applyProtection="1">
      <protection hidden="1"/>
    </xf>
    <xf numFmtId="176" fontId="5" fillId="0" borderId="0" xfId="37" applyNumberFormat="1" applyFont="1" applyProtection="1">
      <protection hidden="1"/>
    </xf>
    <xf numFmtId="166" fontId="5" fillId="0" borderId="0" xfId="40" applyNumberFormat="1" applyFont="1" applyProtection="1">
      <protection hidden="1"/>
    </xf>
    <xf numFmtId="175" fontId="5" fillId="0" borderId="0" xfId="37" applyNumberFormat="1" applyFont="1" applyFill="1" applyProtection="1">
      <protection hidden="1"/>
    </xf>
    <xf numFmtId="176" fontId="5" fillId="0" borderId="0" xfId="37" applyNumberFormat="1" applyFont="1" applyFill="1" applyProtection="1">
      <protection hidden="1"/>
    </xf>
    <xf numFmtId="166" fontId="5" fillId="0" borderId="0" xfId="40" applyNumberFormat="1" applyFont="1" applyFill="1" applyProtection="1">
      <protection hidden="1"/>
    </xf>
    <xf numFmtId="39" fontId="9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39" fontId="32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7" fillId="0" borderId="0" xfId="37" applyNumberFormat="1" applyFont="1" applyFill="1" applyProtection="1">
      <protection hidden="1"/>
    </xf>
    <xf numFmtId="39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5" fillId="0" borderId="11" xfId="37" applyNumberFormat="1" applyFont="1" applyFill="1" applyBorder="1" applyProtection="1">
      <protection hidden="1"/>
    </xf>
    <xf numFmtId="37" fontId="5" fillId="0" borderId="12" xfId="37" applyNumberFormat="1" applyFont="1" applyFill="1" applyBorder="1" applyProtection="1"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37" fontId="44" fillId="0" borderId="0" xfId="37" applyFont="1" applyAlignment="1" applyProtection="1">
      <alignment horizontal="center"/>
      <protection hidden="1"/>
    </xf>
    <xf numFmtId="37" fontId="5" fillId="0" borderId="0" xfId="37" applyFont="1" applyAlignment="1" applyProtection="1">
      <alignment wrapText="1"/>
      <protection hidden="1"/>
    </xf>
    <xf numFmtId="37" fontId="5" fillId="0" borderId="28" xfId="37" applyFont="1" applyBorder="1" applyAlignment="1" applyProtection="1">
      <alignment wrapText="1"/>
      <protection hidden="1"/>
    </xf>
    <xf numFmtId="37" fontId="48" fillId="0" borderId="0" xfId="37" applyFont="1" applyProtection="1">
      <protection hidden="1"/>
    </xf>
    <xf numFmtId="37" fontId="32" fillId="0" borderId="0" xfId="37" applyFont="1" applyFill="1" applyBorder="1" applyAlignment="1" applyProtection="1">
      <alignment horizontal="center" vertical="center" wrapText="1"/>
      <protection hidden="1"/>
    </xf>
    <xf numFmtId="175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176" fontId="32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2" fillId="0" borderId="0" xfId="39" applyFont="1" applyFill="1" applyBorder="1" applyAlignment="1" applyProtection="1">
      <alignment horizontal="center" vertical="center" wrapText="1"/>
      <protection hidden="1"/>
    </xf>
    <xf numFmtId="177" fontId="5" fillId="0" borderId="20" xfId="40" applyNumberFormat="1" applyFont="1" applyFill="1" applyBorder="1" applyProtection="1">
      <protection hidden="1"/>
    </xf>
    <xf numFmtId="177" fontId="5" fillId="0" borderId="22" xfId="40" applyNumberFormat="1" applyFont="1" applyFill="1" applyBorder="1" applyProtection="1">
      <protection hidden="1"/>
    </xf>
    <xf numFmtId="177" fontId="9" fillId="0" borderId="14" xfId="40" applyNumberFormat="1" applyFont="1" applyFill="1" applyBorder="1" applyProtection="1">
      <protection hidden="1"/>
    </xf>
    <xf numFmtId="178" fontId="5" fillId="0" borderId="20" xfId="40" applyNumberFormat="1" applyFont="1" applyFill="1" applyBorder="1" applyProtection="1">
      <protection hidden="1"/>
    </xf>
    <xf numFmtId="178" fontId="5" fillId="0" borderId="22" xfId="40" applyNumberFormat="1" applyFont="1" applyFill="1" applyBorder="1" applyProtection="1">
      <protection hidden="1"/>
    </xf>
    <xf numFmtId="178" fontId="9" fillId="0" borderId="14" xfId="40" applyNumberFormat="1" applyFont="1" applyFill="1" applyBorder="1" applyProtection="1">
      <protection hidden="1"/>
    </xf>
    <xf numFmtId="176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3" fillId="0" borderId="0" xfId="37" applyNumberFormat="1" applyFont="1" applyAlignment="1" applyProtection="1">
      <alignment horizontal="center" vertical="center"/>
      <protection hidden="1"/>
    </xf>
    <xf numFmtId="176" fontId="42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5" fillId="0" borderId="21" xfId="40" applyNumberFormat="1" applyFont="1" applyFill="1" applyBorder="1" applyProtection="1">
      <protection hidden="1"/>
    </xf>
    <xf numFmtId="176" fontId="5" fillId="0" borderId="19" xfId="40" applyNumberFormat="1" applyFont="1" applyFill="1" applyBorder="1" applyProtection="1">
      <protection hidden="1"/>
    </xf>
    <xf numFmtId="176" fontId="9" fillId="0" borderId="15" xfId="40" applyNumberFormat="1" applyFont="1" applyFill="1" applyBorder="1" applyProtection="1">
      <protection hidden="1"/>
    </xf>
    <xf numFmtId="37" fontId="44" fillId="0" borderId="0" xfId="37" applyFont="1" applyAlignment="1" applyProtection="1">
      <protection hidden="1"/>
    </xf>
    <xf numFmtId="0" fontId="42" fillId="0" borderId="10" xfId="0" applyFont="1" applyFill="1" applyBorder="1" applyAlignment="1" applyProtection="1">
      <alignment horizontal="center" vertical="center" wrapText="1"/>
      <protection hidden="1"/>
    </xf>
    <xf numFmtId="165" fontId="33" fillId="0" borderId="14" xfId="33" applyNumberFormat="1" applyFont="1" applyFill="1" applyBorder="1" applyProtection="1">
      <protection hidden="1"/>
    </xf>
    <xf numFmtId="0" fontId="0" fillId="0" borderId="28" xfId="0" applyBorder="1" applyAlignment="1"/>
    <xf numFmtId="37" fontId="32" fillId="0" borderId="0" xfId="37" applyFont="1" applyFill="1" applyAlignment="1" applyProtection="1">
      <alignment horizontal="center" vertical="center"/>
      <protection hidden="1"/>
    </xf>
    <xf numFmtId="176" fontId="32" fillId="0" borderId="0" xfId="37" applyNumberFormat="1" applyFont="1" applyFill="1" applyProtection="1">
      <protection hidden="1"/>
    </xf>
    <xf numFmtId="37" fontId="32" fillId="0" borderId="0" xfId="37" applyFont="1" applyFill="1" applyAlignment="1" applyProtection="1">
      <alignment horizontal="center" vertical="center" wrapText="1"/>
      <protection hidden="1"/>
    </xf>
    <xf numFmtId="176" fontId="32" fillId="0" borderId="0" xfId="37" applyNumberFormat="1" applyFont="1" applyFill="1" applyAlignment="1" applyProtection="1">
      <alignment horizontal="center" vertical="center" wrapText="1"/>
      <protection hidden="1"/>
    </xf>
    <xf numFmtId="3" fontId="31" fillId="0" borderId="20" xfId="0" applyNumberFormat="1" applyFont="1" applyFill="1" applyBorder="1" applyProtection="1">
      <protection hidden="1"/>
    </xf>
    <xf numFmtId="176" fontId="5" fillId="0" borderId="16" xfId="33" applyNumberFormat="1" applyFont="1" applyFill="1" applyBorder="1" applyProtection="1">
      <protection hidden="1"/>
    </xf>
    <xf numFmtId="37" fontId="5" fillId="0" borderId="11" xfId="37" applyFont="1" applyFill="1" applyBorder="1" applyProtection="1">
      <protection hidden="1"/>
    </xf>
    <xf numFmtId="37" fontId="5" fillId="0" borderId="20" xfId="37" applyFont="1" applyFill="1" applyBorder="1" applyProtection="1">
      <protection hidden="1"/>
    </xf>
    <xf numFmtId="176" fontId="5" fillId="0" borderId="21" xfId="37" applyNumberFormat="1" applyFont="1" applyFill="1" applyBorder="1" applyProtection="1">
      <protection hidden="1"/>
    </xf>
    <xf numFmtId="3" fontId="31" fillId="0" borderId="22" xfId="0" applyNumberFormat="1" applyFont="1" applyFill="1" applyBorder="1" applyProtection="1">
      <protection hidden="1"/>
    </xf>
    <xf numFmtId="176" fontId="5" fillId="0" borderId="17" xfId="33" applyNumberFormat="1" applyFont="1" applyFill="1" applyBorder="1" applyProtection="1">
      <protection hidden="1"/>
    </xf>
    <xf numFmtId="37" fontId="5" fillId="0" borderId="12" xfId="37" applyFont="1" applyFill="1" applyBorder="1" applyProtection="1">
      <protection hidden="1"/>
    </xf>
    <xf numFmtId="37" fontId="5" fillId="0" borderId="22" xfId="37" applyFont="1" applyFill="1" applyBorder="1" applyProtection="1">
      <protection hidden="1"/>
    </xf>
    <xf numFmtId="176" fontId="5" fillId="0" borderId="19" xfId="37" applyNumberFormat="1" applyFont="1" applyFill="1" applyBorder="1" applyProtection="1">
      <protection hidden="1"/>
    </xf>
    <xf numFmtId="3" fontId="33" fillId="0" borderId="14" xfId="0" applyNumberFormat="1" applyFont="1" applyFill="1" applyBorder="1" applyProtection="1">
      <protection hidden="1"/>
    </xf>
    <xf numFmtId="37" fontId="9" fillId="0" borderId="13" xfId="37" applyNumberFormat="1" applyFont="1" applyFill="1" applyBorder="1" applyProtection="1">
      <protection hidden="1"/>
    </xf>
    <xf numFmtId="176" fontId="9" fillId="0" borderId="18" xfId="40" applyNumberFormat="1" applyFont="1" applyFill="1" applyBorder="1" applyProtection="1">
      <protection hidden="1"/>
    </xf>
    <xf numFmtId="37" fontId="9" fillId="0" borderId="13" xfId="37" applyFont="1" applyFill="1" applyBorder="1" applyProtection="1">
      <protection hidden="1"/>
    </xf>
    <xf numFmtId="37" fontId="9" fillId="0" borderId="14" xfId="37" applyFont="1" applyFill="1" applyBorder="1" applyProtection="1">
      <protection hidden="1"/>
    </xf>
    <xf numFmtId="176" fontId="9" fillId="0" borderId="15" xfId="37" applyNumberFormat="1" applyFont="1" applyFill="1" applyBorder="1" applyProtection="1">
      <protection hidden="1"/>
    </xf>
    <xf numFmtId="10" fontId="45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53"/>
    <xf numFmtId="0" fontId="5" fillId="0" borderId="0" xfId="53" applyFont="1" applyBorder="1" applyAlignment="1">
      <alignment vertical="center"/>
    </xf>
    <xf numFmtId="3" fontId="5" fillId="0" borderId="0" xfId="53" applyNumberFormat="1" applyBorder="1" applyAlignment="1">
      <alignment horizontal="center" vertical="center"/>
    </xf>
    <xf numFmtId="0" fontId="5" fillId="0" borderId="0" xfId="53" applyBorder="1" applyAlignment="1">
      <alignment horizontal="center" vertical="center"/>
    </xf>
    <xf numFmtId="0" fontId="5" fillId="0" borderId="0" xfId="53" applyFont="1"/>
    <xf numFmtId="185" fontId="0" fillId="0" borderId="0" xfId="51" applyNumberFormat="1" applyFont="1"/>
    <xf numFmtId="185" fontId="5" fillId="0" borderId="0" xfId="51" applyNumberFormat="1" applyFont="1"/>
    <xf numFmtId="185" fontId="9" fillId="0" borderId="33" xfId="51" applyNumberFormat="1" applyFont="1" applyFill="1" applyBorder="1" applyAlignment="1">
      <alignment horizontal="center" vertical="center" wrapText="1"/>
    </xf>
    <xf numFmtId="185" fontId="9" fillId="0" borderId="36" xfId="51" applyNumberFormat="1" applyFont="1" applyFill="1" applyBorder="1"/>
    <xf numFmtId="185" fontId="9" fillId="0" borderId="33" xfId="51" applyNumberFormat="1" applyFont="1" applyFill="1" applyBorder="1"/>
    <xf numFmtId="185" fontId="9" fillId="0" borderId="0" xfId="51" applyNumberFormat="1" applyFont="1" applyFill="1" applyBorder="1"/>
    <xf numFmtId="10" fontId="45" fillId="0" borderId="30" xfId="56" applyNumberFormat="1" applyFont="1" applyFill="1" applyBorder="1" applyAlignment="1" applyProtection="1">
      <alignment horizontal="center" vertical="center" wrapText="1"/>
      <protection hidden="1"/>
    </xf>
    <xf numFmtId="179" fontId="5" fillId="0" borderId="20" xfId="40" applyNumberFormat="1" applyFont="1" applyFill="1" applyBorder="1" applyProtection="1">
      <protection hidden="1"/>
    </xf>
    <xf numFmtId="179" fontId="5" fillId="0" borderId="22" xfId="40" applyNumberFormat="1" applyFont="1" applyFill="1" applyBorder="1" applyProtection="1">
      <protection hidden="1"/>
    </xf>
    <xf numFmtId="179" fontId="9" fillId="0" borderId="14" xfId="40" applyNumberFormat="1" applyFont="1" applyFill="1" applyBorder="1" applyProtection="1">
      <protection hidden="1"/>
    </xf>
    <xf numFmtId="174" fontId="5" fillId="0" borderId="21" xfId="33" applyNumberFormat="1" applyFont="1" applyFill="1" applyBorder="1" applyProtection="1">
      <protection hidden="1"/>
    </xf>
    <xf numFmtId="174" fontId="5" fillId="0" borderId="19" xfId="33" applyNumberFormat="1" applyFont="1" applyFill="1" applyBorder="1" applyProtection="1">
      <protection hidden="1"/>
    </xf>
    <xf numFmtId="174" fontId="9" fillId="0" borderId="15" xfId="33" applyNumberFormat="1" applyFont="1" applyFill="1" applyBorder="1" applyProtection="1">
      <protection hidden="1"/>
    </xf>
    <xf numFmtId="167" fontId="51" fillId="0" borderId="0" xfId="40" applyNumberFormat="1" applyFont="1" applyProtection="1">
      <protection hidden="1"/>
    </xf>
    <xf numFmtId="37" fontId="52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Protection="1">
      <protection hidden="1"/>
    </xf>
    <xf numFmtId="173" fontId="5" fillId="0" borderId="0" xfId="40" applyNumberFormat="1" applyFont="1" applyProtection="1">
      <protection hidden="1"/>
    </xf>
    <xf numFmtId="37" fontId="5" fillId="0" borderId="0" xfId="37" applyFont="1" applyBorder="1" applyProtection="1">
      <protection hidden="1"/>
    </xf>
    <xf numFmtId="164" fontId="5" fillId="0" borderId="0" xfId="33" applyFont="1" applyBorder="1" applyProtection="1">
      <protection hidden="1"/>
    </xf>
    <xf numFmtId="167" fontId="51" fillId="0" borderId="0" xfId="40" applyNumberFormat="1" applyFont="1" applyBorder="1" applyProtection="1">
      <protection hidden="1"/>
    </xf>
    <xf numFmtId="182" fontId="5" fillId="0" borderId="0" xfId="40" applyNumberFormat="1" applyFont="1" applyProtection="1">
      <protection hidden="1"/>
    </xf>
    <xf numFmtId="181" fontId="5" fillId="0" borderId="0" xfId="37" applyNumberFormat="1" applyFont="1" applyProtection="1">
      <protection hidden="1"/>
    </xf>
    <xf numFmtId="180" fontId="5" fillId="0" borderId="0" xfId="37" applyNumberFormat="1" applyFont="1" applyProtection="1">
      <protection hidden="1"/>
    </xf>
    <xf numFmtId="37" fontId="5" fillId="0" borderId="23" xfId="37" applyFont="1" applyFill="1" applyBorder="1" applyAlignment="1" applyProtection="1">
      <protection hidden="1"/>
    </xf>
    <xf numFmtId="3" fontId="5" fillId="0" borderId="0" xfId="53" applyNumberFormat="1"/>
    <xf numFmtId="0" fontId="5" fillId="25" borderId="0" xfId="106" applyFill="1"/>
    <xf numFmtId="185" fontId="0" fillId="25" borderId="0" xfId="51" applyNumberFormat="1" applyFont="1" applyFill="1"/>
    <xf numFmtId="186" fontId="5" fillId="25" borderId="37" xfId="106" applyNumberFormat="1" applyFill="1" applyBorder="1"/>
    <xf numFmtId="41" fontId="5" fillId="25" borderId="40" xfId="106" applyNumberFormat="1" applyFill="1" applyBorder="1"/>
    <xf numFmtId="185" fontId="0" fillId="25" borderId="41" xfId="51" applyNumberFormat="1" applyFont="1" applyFill="1" applyBorder="1"/>
    <xf numFmtId="185" fontId="0" fillId="25" borderId="0" xfId="51" applyNumberFormat="1" applyFont="1" applyFill="1" applyBorder="1"/>
    <xf numFmtId="185" fontId="0" fillId="25" borderId="42" xfId="51" applyNumberFormat="1" applyFont="1" applyFill="1" applyBorder="1"/>
    <xf numFmtId="0" fontId="9" fillId="25" borderId="36" xfId="106" applyFont="1" applyFill="1" applyBorder="1"/>
    <xf numFmtId="187" fontId="5" fillId="25" borderId="40" xfId="106" applyNumberFormat="1" applyFill="1" applyBorder="1"/>
    <xf numFmtId="188" fontId="0" fillId="25" borderId="0" xfId="51" applyNumberFormat="1" applyFont="1" applyFill="1" applyBorder="1"/>
    <xf numFmtId="188" fontId="0" fillId="25" borderId="41" xfId="51" applyNumberFormat="1" applyFont="1" applyFill="1" applyBorder="1"/>
    <xf numFmtId="188" fontId="0" fillId="25" borderId="0" xfId="107" applyNumberFormat="1" applyFont="1" applyFill="1" applyBorder="1"/>
    <xf numFmtId="186" fontId="5" fillId="25" borderId="43" xfId="106" applyNumberFormat="1" applyFill="1" applyBorder="1"/>
    <xf numFmtId="41" fontId="0" fillId="25" borderId="44" xfId="51" applyNumberFormat="1" applyFont="1" applyFill="1" applyBorder="1"/>
    <xf numFmtId="185" fontId="0" fillId="25" borderId="45" xfId="51" applyNumberFormat="1" applyFont="1" applyFill="1" applyBorder="1"/>
    <xf numFmtId="185" fontId="0" fillId="25" borderId="46" xfId="51" applyNumberFormat="1" applyFont="1" applyFill="1" applyBorder="1"/>
    <xf numFmtId="185" fontId="0" fillId="25" borderId="47" xfId="51" applyNumberFormat="1" applyFont="1" applyFill="1" applyBorder="1"/>
    <xf numFmtId="0" fontId="9" fillId="25" borderId="48" xfId="106" applyFont="1" applyFill="1" applyBorder="1"/>
    <xf numFmtId="187" fontId="5" fillId="25" borderId="44" xfId="106" applyNumberFormat="1" applyFill="1" applyBorder="1"/>
    <xf numFmtId="188" fontId="0" fillId="25" borderId="46" xfId="51" applyNumberFormat="1" applyFont="1" applyFill="1" applyBorder="1"/>
    <xf numFmtId="188" fontId="0" fillId="25" borderId="45" xfId="51" applyNumberFormat="1" applyFont="1" applyFill="1" applyBorder="1"/>
    <xf numFmtId="188" fontId="0" fillId="25" borderId="46" xfId="107" applyNumberFormat="1" applyFont="1" applyFill="1" applyBorder="1"/>
    <xf numFmtId="0" fontId="53" fillId="25" borderId="0" xfId="106" applyFont="1" applyFill="1"/>
    <xf numFmtId="9" fontId="53" fillId="25" borderId="0" xfId="107" applyFont="1" applyFill="1" applyAlignment="1">
      <alignment horizontal="center" vertical="center"/>
    </xf>
    <xf numFmtId="0" fontId="9" fillId="25" borderId="0" xfId="106" applyFont="1" applyFill="1"/>
    <xf numFmtId="0" fontId="9" fillId="0" borderId="0" xfId="106" applyFont="1"/>
    <xf numFmtId="185" fontId="53" fillId="25" borderId="0" xfId="51" applyNumberFormat="1" applyFont="1" applyFill="1" applyAlignment="1">
      <alignment horizontal="center" vertical="center"/>
    </xf>
    <xf numFmtId="0" fontId="32" fillId="25" borderId="0" xfId="106" applyFont="1" applyFill="1" applyAlignment="1">
      <alignment horizontal="center" vertical="center" wrapText="1"/>
    </xf>
    <xf numFmtId="0" fontId="9" fillId="25" borderId="35" xfId="106" applyFont="1" applyFill="1" applyBorder="1" applyAlignment="1">
      <alignment horizontal="center" vertical="center" wrapText="1"/>
    </xf>
    <xf numFmtId="0" fontId="9" fillId="25" borderId="49" xfId="106" applyFont="1" applyFill="1" applyBorder="1" applyAlignment="1">
      <alignment horizontal="center" vertical="center" wrapText="1"/>
    </xf>
    <xf numFmtId="0" fontId="9" fillId="25" borderId="50" xfId="106" applyFont="1" applyFill="1" applyBorder="1" applyAlignment="1">
      <alignment horizontal="center" vertical="center" wrapText="1"/>
    </xf>
    <xf numFmtId="0" fontId="9" fillId="25" borderId="34" xfId="106" applyFont="1" applyFill="1" applyBorder="1" applyAlignment="1">
      <alignment horizontal="center" vertical="center" wrapText="1"/>
    </xf>
    <xf numFmtId="0" fontId="9" fillId="25" borderId="51" xfId="106" applyFont="1" applyFill="1" applyBorder="1" applyAlignment="1">
      <alignment horizontal="center" vertical="center" wrapText="1"/>
    </xf>
    <xf numFmtId="0" fontId="9" fillId="25" borderId="33" xfId="106" applyFont="1" applyFill="1" applyBorder="1" applyAlignment="1">
      <alignment horizontal="center" vertical="center"/>
    </xf>
    <xf numFmtId="0" fontId="9" fillId="25" borderId="0" xfId="106" applyFont="1" applyFill="1" applyAlignment="1"/>
    <xf numFmtId="0" fontId="9" fillId="25" borderId="0" xfId="106" applyFont="1" applyFill="1" applyAlignment="1">
      <alignment horizontal="center" vertical="center" wrapText="1"/>
    </xf>
    <xf numFmtId="0" fontId="5" fillId="0" borderId="53" xfId="53" applyFont="1" applyBorder="1" applyAlignment="1">
      <alignment vertical="center" wrapText="1"/>
    </xf>
    <xf numFmtId="43" fontId="9" fillId="0" borderId="34" xfId="51" applyNumberFormat="1" applyFont="1" applyFill="1" applyBorder="1" applyAlignment="1">
      <alignment horizontal="center" vertical="center" wrapText="1"/>
    </xf>
    <xf numFmtId="43" fontId="9" fillId="24" borderId="34" xfId="51" applyNumberFormat="1" applyFont="1" applyFill="1" applyBorder="1" applyAlignment="1">
      <alignment horizontal="center" vertical="center" wrapText="1"/>
    </xf>
    <xf numFmtId="43" fontId="9" fillId="0" borderId="35" xfId="51" applyNumberFormat="1" applyFont="1" applyFill="1" applyBorder="1" applyAlignment="1">
      <alignment horizontal="center" vertical="center"/>
    </xf>
    <xf numFmtId="43" fontId="9" fillId="0" borderId="0" xfId="51" applyNumberFormat="1" applyFont="1" applyFill="1" applyBorder="1"/>
    <xf numFmtId="43" fontId="5" fillId="0" borderId="0" xfId="53" applyNumberFormat="1" applyFont="1"/>
    <xf numFmtId="43" fontId="0" fillId="0" borderId="0" xfId="51" applyNumberFormat="1" applyFont="1"/>
    <xf numFmtId="165" fontId="5" fillId="0" borderId="0" xfId="53" applyNumberFormat="1"/>
    <xf numFmtId="0" fontId="9" fillId="0" borderId="53" xfId="53" applyFont="1" applyBorder="1" applyAlignment="1">
      <alignment horizontal="center" vertical="center" wrapText="1"/>
    </xf>
    <xf numFmtId="165" fontId="5" fillId="0" borderId="53" xfId="33" applyNumberFormat="1" applyFont="1" applyFill="1" applyBorder="1" applyAlignment="1">
      <alignment vertical="center" wrapText="1"/>
    </xf>
    <xf numFmtId="0" fontId="5" fillId="0" borderId="53" xfId="53" applyFont="1" applyBorder="1" applyAlignment="1">
      <alignment horizontal="center" vertical="center" wrapText="1"/>
    </xf>
    <xf numFmtId="3" fontId="5" fillId="0" borderId="53" xfId="53" applyNumberFormat="1" applyFont="1" applyBorder="1" applyAlignment="1">
      <alignment horizontal="center" vertical="center" wrapText="1"/>
    </xf>
    <xf numFmtId="0" fontId="9" fillId="0" borderId="53" xfId="53" applyFont="1" applyBorder="1" applyAlignment="1">
      <alignment horizontal="center" vertical="center"/>
    </xf>
    <xf numFmtId="165" fontId="9" fillId="0" borderId="53" xfId="53" applyNumberFormat="1" applyFont="1" applyBorder="1" applyAlignment="1">
      <alignment horizontal="center" vertical="center"/>
    </xf>
    <xf numFmtId="3" fontId="9" fillId="0" borderId="53" xfId="53" applyNumberFormat="1" applyFont="1" applyBorder="1" applyAlignment="1">
      <alignment horizontal="center" vertical="center"/>
    </xf>
    <xf numFmtId="189" fontId="5" fillId="25" borderId="46" xfId="106" applyNumberFormat="1" applyFill="1" applyBorder="1"/>
    <xf numFmtId="189" fontId="5" fillId="25" borderId="0" xfId="106" applyNumberFormat="1" applyFill="1" applyBorder="1"/>
    <xf numFmtId="190" fontId="0" fillId="0" borderId="0" xfId="51" applyNumberFormat="1" applyFont="1" applyFill="1" applyBorder="1"/>
    <xf numFmtId="165" fontId="5" fillId="0" borderId="53" xfId="33" applyNumberFormat="1" applyFont="1" applyBorder="1" applyAlignment="1">
      <alignment vertical="center" wrapText="1"/>
    </xf>
    <xf numFmtId="176" fontId="42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5" fillId="0" borderId="54" xfId="33" applyNumberFormat="1" applyFont="1" applyFill="1" applyBorder="1" applyProtection="1">
      <protection hidden="1"/>
    </xf>
    <xf numFmtId="176" fontId="9" fillId="0" borderId="54" xfId="40" applyNumberFormat="1" applyFont="1" applyFill="1" applyBorder="1" applyProtection="1">
      <protection hidden="1"/>
    </xf>
    <xf numFmtId="164" fontId="5" fillId="0" borderId="0" xfId="33"/>
    <xf numFmtId="165" fontId="5" fillId="0" borderId="0" xfId="33" applyNumberFormat="1"/>
    <xf numFmtId="43" fontId="5" fillId="0" borderId="0" xfId="53" applyNumberFormat="1"/>
    <xf numFmtId="191" fontId="5" fillId="0" borderId="0" xfId="53" applyNumberFormat="1"/>
    <xf numFmtId="191" fontId="5" fillId="0" borderId="0" xfId="33" applyNumberFormat="1"/>
    <xf numFmtId="178" fontId="5" fillId="0" borderId="0" xfId="53" applyNumberFormat="1"/>
    <xf numFmtId="178" fontId="5" fillId="0" borderId="0" xfId="33" applyNumberFormat="1"/>
    <xf numFmtId="165" fontId="33" fillId="0" borderId="0" xfId="33" applyNumberFormat="1" applyFont="1" applyAlignment="1">
      <alignment horizontal="right" vertical="center"/>
    </xf>
    <xf numFmtId="165" fontId="33" fillId="0" borderId="37" xfId="33" applyNumberFormat="1" applyFont="1" applyBorder="1" applyAlignment="1">
      <alignment horizontal="right" vertical="center"/>
    </xf>
    <xf numFmtId="0" fontId="31" fillId="0" borderId="0" xfId="113" applyFont="1"/>
    <xf numFmtId="0" fontId="33" fillId="0" borderId="55" xfId="113" applyFont="1" applyBorder="1"/>
    <xf numFmtId="43" fontId="33" fillId="0" borderId="56" xfId="114" applyFont="1" applyBorder="1" applyAlignment="1">
      <alignment horizontal="center" vertical="center"/>
    </xf>
    <xf numFmtId="0" fontId="33" fillId="0" borderId="56" xfId="113" applyFont="1" applyBorder="1" applyAlignment="1">
      <alignment horizontal="center"/>
    </xf>
    <xf numFmtId="43" fontId="33" fillId="0" borderId="57" xfId="114" applyFont="1" applyBorder="1" applyAlignment="1">
      <alignment horizontal="center"/>
    </xf>
    <xf numFmtId="0" fontId="31" fillId="0" borderId="58" xfId="113" applyFont="1" applyBorder="1"/>
    <xf numFmtId="43" fontId="31" fillId="0" borderId="22" xfId="114" applyFont="1" applyBorder="1" applyAlignment="1">
      <alignment horizontal="center"/>
    </xf>
    <xf numFmtId="192" fontId="31" fillId="0" borderId="22" xfId="113" applyNumberFormat="1" applyFont="1" applyBorder="1" applyAlignment="1">
      <alignment horizontal="center"/>
    </xf>
    <xf numFmtId="43" fontId="31" fillId="0" borderId="59" xfId="114" applyFont="1" applyBorder="1" applyAlignment="1"/>
    <xf numFmtId="192" fontId="31" fillId="0" borderId="22" xfId="113" applyNumberFormat="1" applyFont="1" applyBorder="1"/>
    <xf numFmtId="43" fontId="31" fillId="0" borderId="59" xfId="114" applyFont="1" applyBorder="1"/>
    <xf numFmtId="0" fontId="31" fillId="0" borderId="58" xfId="113" applyFont="1" applyFill="1" applyBorder="1"/>
    <xf numFmtId="0" fontId="31" fillId="25" borderId="58" xfId="113" applyFont="1" applyFill="1" applyBorder="1"/>
    <xf numFmtId="0" fontId="5" fillId="0" borderId="58" xfId="113" applyFont="1" applyFill="1" applyBorder="1"/>
    <xf numFmtId="0" fontId="33" fillId="0" borderId="60" xfId="113" applyFont="1" applyBorder="1"/>
    <xf numFmtId="43" fontId="33" fillId="0" borderId="61" xfId="114" applyFont="1" applyBorder="1"/>
    <xf numFmtId="192" fontId="31" fillId="0" borderId="61" xfId="113" applyNumberFormat="1" applyFont="1" applyBorder="1"/>
    <xf numFmtId="43" fontId="31" fillId="0" borderId="62" xfId="114" applyFont="1" applyBorder="1"/>
    <xf numFmtId="43" fontId="31" fillId="0" borderId="0" xfId="114" applyFont="1"/>
    <xf numFmtId="0" fontId="31" fillId="0" borderId="31" xfId="113" applyFont="1" applyBorder="1"/>
    <xf numFmtId="43" fontId="31" fillId="0" borderId="32" xfId="114" applyFont="1" applyBorder="1"/>
    <xf numFmtId="0" fontId="31" fillId="0" borderId="63" xfId="113" applyFont="1" applyBorder="1"/>
    <xf numFmtId="43" fontId="31" fillId="0" borderId="64" xfId="114" applyFont="1" applyBorder="1"/>
    <xf numFmtId="190" fontId="9" fillId="0" borderId="37" xfId="51" applyNumberFormat="1" applyFont="1" applyFill="1" applyBorder="1"/>
    <xf numFmtId="190" fontId="9" fillId="0" borderId="34" xfId="51" applyNumberFormat="1" applyFont="1" applyFill="1" applyBorder="1"/>
    <xf numFmtId="190" fontId="9" fillId="0" borderId="35" xfId="51" applyNumberFormat="1" applyFont="1" applyFill="1" applyBorder="1"/>
    <xf numFmtId="10" fontId="5" fillId="0" borderId="0" xfId="40" applyNumberFormat="1" applyFont="1" applyAlignment="1" applyProtection="1">
      <alignment horizontal="center"/>
      <protection hidden="1"/>
    </xf>
    <xf numFmtId="49" fontId="45" fillId="0" borderId="29" xfId="54" applyNumberFormat="1" applyFont="1" applyFill="1" applyBorder="1" applyAlignment="1" applyProtection="1">
      <alignment horizontal="center" vertical="center" wrapText="1"/>
      <protection hidden="1"/>
    </xf>
    <xf numFmtId="0" fontId="9" fillId="0" borderId="53" xfId="0" applyFont="1" applyFill="1" applyBorder="1" applyAlignment="1" applyProtection="1">
      <alignment horizontal="center" vertical="center" wrapText="1"/>
      <protection hidden="1"/>
    </xf>
    <xf numFmtId="176" fontId="9" fillId="0" borderId="53" xfId="0" applyNumberFormat="1" applyFont="1" applyFill="1" applyBorder="1" applyAlignment="1" applyProtection="1">
      <alignment horizontal="center" vertical="center" wrapText="1"/>
      <protection hidden="1"/>
    </xf>
    <xf numFmtId="0" fontId="9" fillId="25" borderId="65" xfId="106" applyFont="1" applyFill="1" applyBorder="1"/>
    <xf numFmtId="185" fontId="9" fillId="25" borderId="66" xfId="51" applyNumberFormat="1" applyFont="1" applyFill="1" applyBorder="1"/>
    <xf numFmtId="185" fontId="9" fillId="25" borderId="67" xfId="51" applyNumberFormat="1" applyFont="1" applyFill="1" applyBorder="1"/>
    <xf numFmtId="188" fontId="9" fillId="25" borderId="67" xfId="107" applyNumberFormat="1" applyFont="1" applyFill="1" applyBorder="1"/>
    <xf numFmtId="188" fontId="9" fillId="25" borderId="68" xfId="51" applyNumberFormat="1" applyFont="1" applyFill="1" applyBorder="1"/>
    <xf numFmtId="185" fontId="9" fillId="25" borderId="67" xfId="106" applyNumberFormat="1" applyFont="1" applyFill="1" applyBorder="1"/>
    <xf numFmtId="188" fontId="9" fillId="25" borderId="67" xfId="106" applyNumberFormat="1" applyFont="1" applyFill="1" applyBorder="1"/>
    <xf numFmtId="188" fontId="9" fillId="25" borderId="67" xfId="51" applyNumberFormat="1" applyFont="1" applyFill="1" applyBorder="1"/>
    <xf numFmtId="186" fontId="9" fillId="25" borderId="69" xfId="106" applyNumberFormat="1" applyFont="1" applyFill="1" applyBorder="1"/>
    <xf numFmtId="187" fontId="9" fillId="25" borderId="70" xfId="106" applyNumberFormat="1" applyFont="1" applyFill="1" applyBorder="1"/>
    <xf numFmtId="185" fontId="9" fillId="25" borderId="66" xfId="106" applyNumberFormat="1" applyFont="1" applyFill="1" applyBorder="1"/>
    <xf numFmtId="185" fontId="9" fillId="25" borderId="68" xfId="106" applyNumberFormat="1" applyFont="1" applyFill="1" applyBorder="1"/>
    <xf numFmtId="185" fontId="9" fillId="25" borderId="70" xfId="51" applyNumberFormat="1" applyFont="1" applyFill="1" applyBorder="1"/>
    <xf numFmtId="0" fontId="9" fillId="0" borderId="0" xfId="53" applyFont="1" applyAlignment="1">
      <alignment horizontal="center" vertical="center"/>
    </xf>
    <xf numFmtId="185" fontId="9" fillId="0" borderId="0" xfId="51" applyNumberFormat="1" applyFont="1" applyAlignment="1">
      <alignment horizontal="center"/>
    </xf>
    <xf numFmtId="185" fontId="5" fillId="0" borderId="52" xfId="51" applyNumberFormat="1" applyFont="1" applyBorder="1" applyAlignment="1">
      <alignment horizontal="center"/>
    </xf>
    <xf numFmtId="37" fontId="5" fillId="0" borderId="0" xfId="37" applyFont="1" applyAlignment="1" applyProtection="1">
      <alignment horizontal="left" vertical="top" wrapText="1"/>
      <protection hidden="1"/>
    </xf>
    <xf numFmtId="0" fontId="43" fillId="0" borderId="28" xfId="0" applyFont="1" applyBorder="1" applyAlignment="1">
      <alignment horizontal="center"/>
    </xf>
    <xf numFmtId="37" fontId="43" fillId="0" borderId="28" xfId="37" applyFont="1" applyBorder="1" applyAlignment="1" applyProtection="1">
      <alignment horizontal="center"/>
      <protection hidden="1"/>
    </xf>
    <xf numFmtId="37" fontId="9" fillId="0" borderId="27" xfId="37" applyFont="1" applyFill="1" applyBorder="1" applyAlignment="1" applyProtection="1">
      <alignment horizontal="center" vertical="center" wrapText="1"/>
      <protection hidden="1"/>
    </xf>
    <xf numFmtId="37" fontId="9" fillId="0" borderId="0" xfId="37" applyFont="1" applyFill="1" applyBorder="1" applyAlignment="1" applyProtection="1">
      <alignment horizontal="center" vertical="center" wrapText="1"/>
      <protection hidden="1"/>
    </xf>
    <xf numFmtId="37" fontId="9" fillId="0" borderId="32" xfId="37" applyFont="1" applyFill="1" applyBorder="1" applyAlignment="1" applyProtection="1">
      <alignment horizontal="center" vertical="center" wrapText="1"/>
      <protection hidden="1"/>
    </xf>
    <xf numFmtId="37" fontId="9" fillId="0" borderId="39" xfId="37" applyFont="1" applyFill="1" applyBorder="1" applyAlignment="1" applyProtection="1">
      <alignment horizontal="center" vertical="center" wrapText="1"/>
      <protection hidden="1"/>
    </xf>
    <xf numFmtId="37" fontId="47" fillId="0" borderId="0" xfId="37" applyFont="1" applyAlignment="1" applyProtection="1">
      <alignment horizontal="center" vertical="center" wrapText="1"/>
      <protection hidden="1"/>
    </xf>
    <xf numFmtId="37" fontId="5" fillId="0" borderId="0" xfId="37" applyFont="1" applyAlignment="1" applyProtection="1">
      <alignment horizontal="center" vertical="center" wrapText="1"/>
      <protection hidden="1"/>
    </xf>
    <xf numFmtId="49" fontId="45" fillId="0" borderId="29" xfId="54" applyNumberFormat="1" applyFont="1" applyFill="1" applyBorder="1" applyAlignment="1" applyProtection="1">
      <alignment horizontal="center" vertical="center" wrapText="1"/>
      <protection hidden="1"/>
    </xf>
    <xf numFmtId="49" fontId="9" fillId="0" borderId="30" xfId="54" applyNumberFormat="1" applyFont="1" applyFill="1" applyBorder="1" applyAlignment="1" applyProtection="1">
      <alignment horizontal="center" vertical="center" wrapText="1"/>
      <protection hidden="1"/>
    </xf>
    <xf numFmtId="37" fontId="9" fillId="0" borderId="29" xfId="37" applyFont="1" applyFill="1" applyBorder="1" applyAlignment="1" applyProtection="1">
      <alignment horizontal="center" vertical="center" wrapText="1"/>
      <protection hidden="1"/>
    </xf>
    <xf numFmtId="37" fontId="9" fillId="0" borderId="30" xfId="37" applyFont="1" applyFill="1" applyBorder="1" applyAlignment="1" applyProtection="1">
      <alignment horizontal="center" vertical="center" wrapText="1"/>
      <protection hidden="1"/>
    </xf>
    <xf numFmtId="49" fontId="45" fillId="0" borderId="30" xfId="54" applyNumberFormat="1" applyFont="1" applyFill="1" applyBorder="1" applyAlignment="1" applyProtection="1">
      <alignment horizontal="center" vertical="center" wrapText="1"/>
      <protection hidden="1"/>
    </xf>
    <xf numFmtId="37" fontId="9" fillId="0" borderId="31" xfId="37" applyFont="1" applyFill="1" applyBorder="1" applyAlignment="1" applyProtection="1">
      <alignment horizontal="center" vertical="center" wrapText="1"/>
      <protection hidden="1"/>
    </xf>
    <xf numFmtId="37" fontId="9" fillId="0" borderId="38" xfId="37" applyFont="1" applyFill="1" applyBorder="1" applyAlignment="1" applyProtection="1">
      <alignment horizontal="center" vertical="center" wrapText="1"/>
      <protection hidden="1"/>
    </xf>
    <xf numFmtId="37" fontId="44" fillId="0" borderId="0" xfId="37" applyFont="1" applyAlignment="1" applyProtection="1">
      <alignment horizontal="center" wrapText="1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3" fillId="0" borderId="28" xfId="37" applyFont="1" applyBorder="1" applyAlignment="1" applyProtection="1">
      <alignment horizontal="center" vertical="center"/>
      <protection hidden="1"/>
    </xf>
    <xf numFmtId="37" fontId="5" fillId="0" borderId="28" xfId="37" applyFont="1" applyBorder="1" applyAlignment="1" applyProtection="1">
      <alignment horizontal="center" vertical="center"/>
      <protection hidden="1"/>
    </xf>
    <xf numFmtId="37" fontId="43" fillId="0" borderId="28" xfId="37" applyFont="1" applyBorder="1" applyAlignment="1" applyProtection="1">
      <alignment horizontal="center" vertical="center" wrapText="1"/>
      <protection hidden="1"/>
    </xf>
    <xf numFmtId="0" fontId="9" fillId="25" borderId="52" xfId="106" applyFont="1" applyFill="1" applyBorder="1" applyAlignment="1">
      <alignment horizontal="center" vertical="center"/>
    </xf>
    <xf numFmtId="0" fontId="9" fillId="25" borderId="52" xfId="106" applyFont="1" applyFill="1" applyBorder="1" applyAlignment="1">
      <alignment horizontal="center"/>
    </xf>
    <xf numFmtId="0" fontId="5" fillId="25" borderId="0" xfId="106" applyFill="1" applyAlignment="1">
      <alignment horizontal="center" vertical="center"/>
    </xf>
    <xf numFmtId="0" fontId="56" fillId="26" borderId="0" xfId="112" applyNumberFormat="1" applyFont="1" applyBorder="1" applyAlignment="1">
      <alignment horizontal="center"/>
    </xf>
    <xf numFmtId="0" fontId="57" fillId="0" borderId="28" xfId="113" applyNumberFormat="1" applyFont="1" applyBorder="1" applyAlignment="1">
      <alignment horizontal="center"/>
    </xf>
  </cellXfs>
  <cellStyles count="115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Buena 3" xfId="112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10"/>
    <cellStyle name="Millares 5" xfId="114"/>
    <cellStyle name="Moneda 2" xfId="111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2 4" xfId="108"/>
    <cellStyle name="Normal 3" xfId="36"/>
    <cellStyle name="Normal 4" xfId="53"/>
    <cellStyle name="Normal 5" xfId="101"/>
    <cellStyle name="Normal 6" xfId="104"/>
    <cellStyle name="Normal 7" xfId="109"/>
    <cellStyle name="Normal 8" xfId="113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ISR%202021%20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/>
      <sheetData sheetId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_Nóm_2020"/>
      <sheetName val="Hoja2"/>
    </sheetNames>
    <sheetDataSet>
      <sheetData sheetId="0"/>
      <sheetData sheetId="1">
        <row r="6">
          <cell r="B6">
            <v>0</v>
          </cell>
        </row>
        <row r="7">
          <cell r="B7">
            <v>636150.982850592</v>
          </cell>
        </row>
        <row r="8">
          <cell r="B8">
            <v>188189.46363349835</v>
          </cell>
        </row>
        <row r="9">
          <cell r="B9">
            <v>10587211.974475123</v>
          </cell>
        </row>
        <row r="10">
          <cell r="B10">
            <v>563354.83883793757</v>
          </cell>
        </row>
        <row r="11">
          <cell r="B11">
            <v>53209440.690800644</v>
          </cell>
        </row>
        <row r="12">
          <cell r="B12">
            <v>1642762.9538976846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3730204.3441897249</v>
          </cell>
        </row>
        <row r="16">
          <cell r="B16">
            <v>274253.77686344757</v>
          </cell>
        </row>
        <row r="17">
          <cell r="B17">
            <v>6494848.7365283854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6554.179946092202</v>
          </cell>
        </row>
        <row r="21">
          <cell r="B21">
            <v>1126819.5465868886</v>
          </cell>
        </row>
        <row r="22">
          <cell r="B22">
            <v>7212330.6801608112</v>
          </cell>
        </row>
        <row r="23">
          <cell r="B23">
            <v>11678613.779384408</v>
          </cell>
        </row>
        <row r="24">
          <cell r="B24">
            <v>0</v>
          </cell>
        </row>
        <row r="25">
          <cell r="B25">
            <v>17637937.472234558</v>
          </cell>
        </row>
        <row r="26">
          <cell r="B26">
            <v>4026871.3788999128</v>
          </cell>
        </row>
        <row r="27">
          <cell r="B27">
            <v>0</v>
          </cell>
        </row>
        <row r="28">
          <cell r="B28">
            <v>372720.29253024946</v>
          </cell>
        </row>
        <row r="29">
          <cell r="B29">
            <v>176889.94553990784</v>
          </cell>
        </row>
        <row r="30">
          <cell r="B30">
            <v>94343480.025325</v>
          </cell>
        </row>
        <row r="31">
          <cell r="B31">
            <v>453898.4356449467</v>
          </cell>
        </row>
        <row r="32">
          <cell r="B32">
            <v>1191941.8465693959</v>
          </cell>
        </row>
        <row r="33">
          <cell r="B33">
            <v>1323960.3300431359</v>
          </cell>
        </row>
        <row r="34">
          <cell r="B34">
            <v>483944.58638227463</v>
          </cell>
        </row>
        <row r="35">
          <cell r="B35">
            <v>443756.53635012504</v>
          </cell>
        </row>
        <row r="36">
          <cell r="B36">
            <v>0</v>
          </cell>
        </row>
        <row r="37">
          <cell r="B37">
            <v>446152.67741849972</v>
          </cell>
        </row>
        <row r="38">
          <cell r="B38">
            <v>12887646.234466085</v>
          </cell>
        </row>
        <row r="39">
          <cell r="B39">
            <v>1953275.4690121284</v>
          </cell>
        </row>
        <row r="40">
          <cell r="B40">
            <v>1335317.7790170792</v>
          </cell>
        </row>
        <row r="41">
          <cell r="B41">
            <v>350510.79157302505</v>
          </cell>
        </row>
        <row r="42">
          <cell r="B42">
            <v>583005.39297683095</v>
          </cell>
        </row>
        <row r="43">
          <cell r="B43">
            <v>9510593.5309468359</v>
          </cell>
        </row>
        <row r="44">
          <cell r="B44">
            <v>196087160.57579407</v>
          </cell>
        </row>
        <row r="45">
          <cell r="B45">
            <v>494389.12458652427</v>
          </cell>
        </row>
        <row r="46">
          <cell r="B46">
            <v>9399735.7997342832</v>
          </cell>
        </row>
        <row r="47">
          <cell r="B47">
            <v>809225.48075348791</v>
          </cell>
        </row>
        <row r="48">
          <cell r="B48">
            <v>0</v>
          </cell>
        </row>
        <row r="49">
          <cell r="B49">
            <v>982351.91668704478</v>
          </cell>
        </row>
        <row r="50">
          <cell r="B50">
            <v>6080568.0313865999</v>
          </cell>
        </row>
        <row r="51">
          <cell r="B51">
            <v>72430099.754680604</v>
          </cell>
        </row>
        <row r="52">
          <cell r="B52">
            <v>136008098.30491543</v>
          </cell>
        </row>
        <row r="53">
          <cell r="B53">
            <v>17372085.670638792</v>
          </cell>
        </row>
        <row r="54">
          <cell r="B54">
            <v>10382456.276677363</v>
          </cell>
        </row>
        <row r="55">
          <cell r="B55">
            <v>242728.39106056609</v>
          </cell>
        </row>
        <row r="56">
          <cell r="B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zoomScaleNormal="100" zoomScaleSheetLayoutView="100" workbookViewId="0">
      <selection activeCell="P8" sqref="P8"/>
    </sheetView>
  </sheetViews>
  <sheetFormatPr baseColWidth="10" defaultColWidth="11.42578125" defaultRowHeight="12.75"/>
  <cols>
    <col min="1" max="1" width="55" style="136" customWidth="1"/>
    <col min="2" max="2" width="14.140625" style="136" hidden="1" customWidth="1"/>
    <col min="3" max="3" width="14.85546875" style="136" hidden="1" customWidth="1"/>
    <col min="4" max="4" width="14.28515625" style="136" hidden="1" customWidth="1"/>
    <col min="5" max="5" width="14.85546875" style="136" hidden="1" customWidth="1"/>
    <col min="6" max="7" width="14.28515625" style="136" hidden="1" customWidth="1"/>
    <col min="8" max="8" width="17.5703125" style="136" hidden="1" customWidth="1"/>
    <col min="9" max="14" width="14.28515625" style="136" hidden="1" customWidth="1"/>
    <col min="15" max="15" width="15.7109375" style="136" hidden="1" customWidth="1"/>
    <col min="16" max="16" width="17.5703125" style="136" customWidth="1"/>
    <col min="17" max="18" width="17.28515625" style="136" customWidth="1"/>
    <col min="19" max="20" width="12.7109375" style="136" bestFit="1" customWidth="1"/>
    <col min="21" max="16384" width="11.42578125" style="136"/>
  </cols>
  <sheetData>
    <row r="1" spans="1:20" ht="18.75" customHeight="1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3" spans="1:20" ht="25.5">
      <c r="A3" s="210" t="s">
        <v>1</v>
      </c>
      <c r="B3" s="210" t="s">
        <v>2</v>
      </c>
      <c r="C3" s="210" t="s">
        <v>3</v>
      </c>
      <c r="D3" s="210" t="s">
        <v>4</v>
      </c>
      <c r="E3" s="210" t="s">
        <v>5</v>
      </c>
      <c r="F3" s="210" t="s">
        <v>6</v>
      </c>
      <c r="G3" s="210" t="s">
        <v>7</v>
      </c>
      <c r="H3" s="210" t="s">
        <v>8</v>
      </c>
      <c r="I3" s="210" t="s">
        <v>9</v>
      </c>
      <c r="J3" s="210" t="s">
        <v>10</v>
      </c>
      <c r="K3" s="210" t="s">
        <v>11</v>
      </c>
      <c r="L3" s="210" t="s">
        <v>12</v>
      </c>
      <c r="M3" s="210" t="s">
        <v>13</v>
      </c>
      <c r="N3" s="210" t="s">
        <v>14</v>
      </c>
      <c r="O3" s="210" t="s">
        <v>15</v>
      </c>
      <c r="P3" s="210" t="s">
        <v>16</v>
      </c>
      <c r="Q3" s="210" t="s">
        <v>17</v>
      </c>
      <c r="R3" s="210" t="s">
        <v>18</v>
      </c>
    </row>
    <row r="4" spans="1:20" ht="25.5" customHeight="1">
      <c r="A4" s="202" t="s">
        <v>19</v>
      </c>
      <c r="B4" s="220">
        <v>2275581399</v>
      </c>
      <c r="C4" s="220">
        <v>3121969912</v>
      </c>
      <c r="D4" s="220">
        <v>2480186551</v>
      </c>
      <c r="E4" s="220">
        <v>3257270238</v>
      </c>
      <c r="F4" s="220">
        <v>2676778826</v>
      </c>
      <c r="G4" s="220">
        <v>2784222592</v>
      </c>
      <c r="H4" s="220">
        <f>SUM(B4:G4)</f>
        <v>16596009518</v>
      </c>
      <c r="I4" s="220">
        <v>2614093305</v>
      </c>
      <c r="J4" s="220">
        <v>2639029143</v>
      </c>
      <c r="K4" s="220">
        <v>2464986019</v>
      </c>
      <c r="L4" s="220">
        <v>2223155958</v>
      </c>
      <c r="M4" s="220">
        <v>2434291051</v>
      </c>
      <c r="N4" s="220">
        <v>2399616947</v>
      </c>
      <c r="O4" s="220">
        <f>SUM(I4:N4)</f>
        <v>14775172423</v>
      </c>
      <c r="P4" s="211">
        <f>+O4+H4</f>
        <v>31371181941</v>
      </c>
      <c r="Q4" s="212">
        <v>20</v>
      </c>
      <c r="R4" s="213">
        <f>+Q4/100*P4</f>
        <v>6274236388.2000008</v>
      </c>
    </row>
    <row r="5" spans="1:20" ht="25.5" customHeight="1">
      <c r="A5" s="202" t="s">
        <v>20</v>
      </c>
      <c r="B5" s="220">
        <f>+ROUND((B21*B22)+B20,0)</f>
        <v>64538346</v>
      </c>
      <c r="C5" s="220">
        <f t="shared" ref="C5:G5" si="0">+ROUND((C21*C22)+C20,0)</f>
        <v>82535263</v>
      </c>
      <c r="D5" s="220">
        <f t="shared" si="0"/>
        <v>68888904</v>
      </c>
      <c r="E5" s="220">
        <f t="shared" si="0"/>
        <v>85412179</v>
      </c>
      <c r="F5" s="220">
        <f t="shared" si="0"/>
        <v>73069082</v>
      </c>
      <c r="G5" s="220">
        <f t="shared" si="0"/>
        <v>75353679</v>
      </c>
      <c r="H5" s="220">
        <f t="shared" ref="H5:H11" si="1">SUM(B5:G5)</f>
        <v>449797453</v>
      </c>
      <c r="I5" s="220">
        <f>+ROUND((I21*I22)+I20,0)</f>
        <v>71736188</v>
      </c>
      <c r="J5" s="220">
        <f>+ROUND((J21*J22)+J20,0)</f>
        <v>72266404</v>
      </c>
      <c r="K5" s="220">
        <f t="shared" ref="K5:N5" si="2">+ROUND((K21*K22)+K20,0)</f>
        <v>68565692</v>
      </c>
      <c r="L5" s="220">
        <f t="shared" si="2"/>
        <v>63423614</v>
      </c>
      <c r="M5" s="220">
        <f t="shared" si="2"/>
        <v>67913019</v>
      </c>
      <c r="N5" s="220">
        <f t="shared" si="2"/>
        <v>67175737</v>
      </c>
      <c r="O5" s="220">
        <f t="shared" ref="O5:O11" si="3">SUM(I5:N5)</f>
        <v>411080654</v>
      </c>
      <c r="P5" s="211">
        <f t="shared" ref="P5:P11" si="4">+O5+H5</f>
        <v>860878107</v>
      </c>
      <c r="Q5" s="212">
        <v>100</v>
      </c>
      <c r="R5" s="213">
        <f t="shared" ref="R5:R11" si="5">+Q5/100*P5</f>
        <v>860878107</v>
      </c>
    </row>
    <row r="6" spans="1:20" ht="25.5" customHeight="1">
      <c r="A6" s="202" t="s">
        <v>21</v>
      </c>
      <c r="B6" s="220">
        <f>+ROUND(B21*B23,0)</f>
        <v>15273822</v>
      </c>
      <c r="C6" s="220">
        <f t="shared" ref="C6:G6" si="6">+ROUND(C21*C23,0)</f>
        <v>27034911</v>
      </c>
      <c r="D6" s="220">
        <f t="shared" si="6"/>
        <v>18116936</v>
      </c>
      <c r="E6" s="220">
        <f t="shared" si="6"/>
        <v>28914993</v>
      </c>
      <c r="F6" s="220">
        <f t="shared" si="6"/>
        <v>20848707</v>
      </c>
      <c r="G6" s="220">
        <f t="shared" si="6"/>
        <v>22341704</v>
      </c>
      <c r="H6" s="220">
        <f t="shared" si="1"/>
        <v>132531073</v>
      </c>
      <c r="I6" s="220">
        <f>+ROUND(I21*I23,0)</f>
        <v>19977653</v>
      </c>
      <c r="J6" s="220">
        <f t="shared" ref="J6:N6" si="7">+ROUND(J21*J23,0)</f>
        <v>20324152</v>
      </c>
      <c r="K6" s="220">
        <f t="shared" si="7"/>
        <v>17905716</v>
      </c>
      <c r="L6" s="220">
        <f t="shared" si="7"/>
        <v>14545338</v>
      </c>
      <c r="M6" s="220">
        <f t="shared" si="7"/>
        <v>17479190</v>
      </c>
      <c r="N6" s="220">
        <f t="shared" si="7"/>
        <v>16997372</v>
      </c>
      <c r="O6" s="220">
        <f t="shared" si="3"/>
        <v>107229421</v>
      </c>
      <c r="P6" s="211">
        <f t="shared" si="4"/>
        <v>239760494</v>
      </c>
      <c r="Q6" s="212">
        <v>100</v>
      </c>
      <c r="R6" s="213">
        <f t="shared" si="5"/>
        <v>239760494</v>
      </c>
    </row>
    <row r="7" spans="1:20" ht="25.5" customHeight="1">
      <c r="A7" s="202" t="s">
        <v>22</v>
      </c>
      <c r="B7" s="202">
        <v>75898437</v>
      </c>
      <c r="C7" s="202">
        <v>108729927</v>
      </c>
      <c r="D7" s="202">
        <v>90590540</v>
      </c>
      <c r="E7" s="202">
        <v>62901926</v>
      </c>
      <c r="F7" s="202">
        <v>72053438</v>
      </c>
      <c r="G7" s="202">
        <v>76737078</v>
      </c>
      <c r="H7" s="220">
        <f t="shared" si="1"/>
        <v>486911346</v>
      </c>
      <c r="I7" s="220">
        <v>78623262</v>
      </c>
      <c r="J7" s="220">
        <v>86231178</v>
      </c>
      <c r="K7" s="220">
        <v>86086395</v>
      </c>
      <c r="L7" s="220">
        <v>75119199</v>
      </c>
      <c r="M7" s="220">
        <v>72114945</v>
      </c>
      <c r="N7" s="220">
        <v>71765639</v>
      </c>
      <c r="O7" s="220">
        <f t="shared" si="3"/>
        <v>469940618</v>
      </c>
      <c r="P7" s="211">
        <f t="shared" si="4"/>
        <v>956851964</v>
      </c>
      <c r="Q7" s="212">
        <v>20</v>
      </c>
      <c r="R7" s="213">
        <f t="shared" si="5"/>
        <v>191370392.80000001</v>
      </c>
    </row>
    <row r="8" spans="1:20" ht="25.5" customHeight="1">
      <c r="A8" s="202" t="s">
        <v>23</v>
      </c>
      <c r="B8" s="202">
        <v>177122685</v>
      </c>
      <c r="C8" s="202">
        <v>75298111</v>
      </c>
      <c r="D8" s="202">
        <v>75298111</v>
      </c>
      <c r="E8" s="202">
        <v>326794880</v>
      </c>
      <c r="F8" s="202">
        <v>75298111</v>
      </c>
      <c r="G8" s="202">
        <v>75298111</v>
      </c>
      <c r="H8" s="220">
        <f t="shared" si="1"/>
        <v>805110009</v>
      </c>
      <c r="I8" s="220">
        <v>311354387</v>
      </c>
      <c r="J8" s="220">
        <v>75298111</v>
      </c>
      <c r="K8" s="220">
        <v>75298111</v>
      </c>
      <c r="L8" s="220">
        <v>226965378</v>
      </c>
      <c r="M8" s="220">
        <v>75298111</v>
      </c>
      <c r="N8" s="220">
        <v>75298111</v>
      </c>
      <c r="O8" s="220">
        <f t="shared" si="3"/>
        <v>839512209</v>
      </c>
      <c r="P8" s="211">
        <f t="shared" si="4"/>
        <v>1644622218</v>
      </c>
      <c r="Q8" s="212">
        <v>20</v>
      </c>
      <c r="R8" s="213">
        <f t="shared" si="5"/>
        <v>328924443.60000002</v>
      </c>
    </row>
    <row r="9" spans="1:20" ht="25.5" customHeight="1">
      <c r="A9" s="202" t="s">
        <v>24</v>
      </c>
      <c r="B9" s="202">
        <v>81136039</v>
      </c>
      <c r="C9" s="202">
        <v>47480657</v>
      </c>
      <c r="D9" s="202">
        <v>37054917</v>
      </c>
      <c r="E9" s="202">
        <v>35961093</v>
      </c>
      <c r="F9" s="202">
        <v>40795333</v>
      </c>
      <c r="G9" s="202">
        <v>36794847</v>
      </c>
      <c r="H9" s="220">
        <f t="shared" si="1"/>
        <v>279222886</v>
      </c>
      <c r="I9" s="220">
        <v>42424593</v>
      </c>
      <c r="J9" s="220">
        <v>46073220</v>
      </c>
      <c r="K9" s="220">
        <v>47641288</v>
      </c>
      <c r="L9" s="220">
        <v>51251669</v>
      </c>
      <c r="M9" s="220">
        <v>51136932</v>
      </c>
      <c r="N9" s="220">
        <v>57600432</v>
      </c>
      <c r="O9" s="220">
        <f t="shared" si="3"/>
        <v>296128134</v>
      </c>
      <c r="P9" s="211">
        <f t="shared" si="4"/>
        <v>575351020</v>
      </c>
      <c r="Q9" s="212">
        <v>20</v>
      </c>
      <c r="R9" s="213">
        <f t="shared" si="5"/>
        <v>115070204</v>
      </c>
      <c r="S9" s="165"/>
    </row>
    <row r="10" spans="1:20" ht="25.5" customHeight="1">
      <c r="A10" s="202" t="s">
        <v>25</v>
      </c>
      <c r="B10" s="202">
        <v>16345374</v>
      </c>
      <c r="C10" s="202">
        <v>16345374</v>
      </c>
      <c r="D10" s="202">
        <v>16345374</v>
      </c>
      <c r="E10" s="202">
        <v>16345374</v>
      </c>
      <c r="F10" s="202">
        <v>16345374</v>
      </c>
      <c r="G10" s="202">
        <v>16345374</v>
      </c>
      <c r="H10" s="220">
        <f t="shared" si="1"/>
        <v>98072244</v>
      </c>
      <c r="I10" s="220">
        <v>16345374</v>
      </c>
      <c r="J10" s="220">
        <v>16345374</v>
      </c>
      <c r="K10" s="220">
        <v>16345374</v>
      </c>
      <c r="L10" s="220">
        <v>16345374</v>
      </c>
      <c r="M10" s="220">
        <v>16345374</v>
      </c>
      <c r="N10" s="220">
        <v>16345374</v>
      </c>
      <c r="O10" s="220">
        <f t="shared" si="3"/>
        <v>98072244</v>
      </c>
      <c r="P10" s="211">
        <f t="shared" si="4"/>
        <v>196144488</v>
      </c>
      <c r="Q10" s="212">
        <v>20</v>
      </c>
      <c r="R10" s="213">
        <f t="shared" si="5"/>
        <v>39228897.600000001</v>
      </c>
    </row>
    <row r="11" spans="1:20" ht="25.5" customHeight="1">
      <c r="A11" s="202" t="s">
        <v>26</v>
      </c>
      <c r="B11" s="202">
        <v>89794909</v>
      </c>
      <c r="C11" s="202">
        <v>95992375</v>
      </c>
      <c r="D11" s="202">
        <v>90353734</v>
      </c>
      <c r="E11" s="202">
        <v>99536664</v>
      </c>
      <c r="F11" s="202">
        <v>98086727</v>
      </c>
      <c r="G11" s="202">
        <v>101648433</v>
      </c>
      <c r="H11" s="220">
        <f t="shared" si="1"/>
        <v>575412842</v>
      </c>
      <c r="I11" s="220">
        <v>95705000</v>
      </c>
      <c r="J11" s="220">
        <v>99353789</v>
      </c>
      <c r="K11" s="220">
        <v>97768873</v>
      </c>
      <c r="L11" s="220">
        <v>89286964</v>
      </c>
      <c r="M11" s="220">
        <v>93963335</v>
      </c>
      <c r="N11" s="220">
        <v>90440817</v>
      </c>
      <c r="O11" s="220">
        <f t="shared" si="3"/>
        <v>566518778</v>
      </c>
      <c r="P11" s="211">
        <f t="shared" si="4"/>
        <v>1141931620</v>
      </c>
      <c r="Q11" s="212">
        <v>20</v>
      </c>
      <c r="R11" s="213">
        <f t="shared" si="5"/>
        <v>228386324</v>
      </c>
      <c r="T11" s="165"/>
    </row>
    <row r="12" spans="1:20" ht="21.75" customHeight="1">
      <c r="A12" s="214" t="s">
        <v>27</v>
      </c>
      <c r="B12" s="215">
        <f t="shared" ref="B12:G12" si="8">SUM(B4:B11)</f>
        <v>2795691011</v>
      </c>
      <c r="C12" s="215">
        <f t="shared" si="8"/>
        <v>3575386530</v>
      </c>
      <c r="D12" s="215">
        <f t="shared" si="8"/>
        <v>2876835067</v>
      </c>
      <c r="E12" s="215">
        <f t="shared" si="8"/>
        <v>3913137347</v>
      </c>
      <c r="F12" s="215">
        <f t="shared" si="8"/>
        <v>3073275598</v>
      </c>
      <c r="G12" s="215">
        <f t="shared" si="8"/>
        <v>3188741818</v>
      </c>
      <c r="H12" s="215">
        <f>SUM(H4:H11)</f>
        <v>19423067371</v>
      </c>
      <c r="I12" s="215">
        <f t="shared" ref="I12" si="9">SUM(I4:I11)</f>
        <v>3250259762</v>
      </c>
      <c r="J12" s="215">
        <f t="shared" ref="J12" si="10">SUM(J4:J11)</f>
        <v>3054921371</v>
      </c>
      <c r="K12" s="215">
        <f t="shared" ref="K12" si="11">SUM(K4:K11)</f>
        <v>2874597468</v>
      </c>
      <c r="L12" s="215">
        <f t="shared" ref="L12" si="12">SUM(L4:L11)</f>
        <v>2760093494</v>
      </c>
      <c r="M12" s="215">
        <f t="shared" ref="M12" si="13">SUM(M4:M11)</f>
        <v>2828541957</v>
      </c>
      <c r="N12" s="215">
        <f t="shared" ref="N12" si="14">SUM(N4:N11)</f>
        <v>2795240429</v>
      </c>
      <c r="O12" s="215">
        <f>SUM(O4:O11)</f>
        <v>17563654481</v>
      </c>
      <c r="P12" s="215">
        <f>SUM(P4:P11)</f>
        <v>36986721852</v>
      </c>
      <c r="Q12" s="214"/>
      <c r="R12" s="216">
        <f>SUM(R4:R11)</f>
        <v>8277855251.2000017</v>
      </c>
      <c r="T12" s="165"/>
    </row>
    <row r="13" spans="1:20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  <c r="Q13" s="139"/>
      <c r="R13" s="138"/>
    </row>
    <row r="14" spans="1:20">
      <c r="A14" s="140" t="s">
        <v>28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</row>
    <row r="19" spans="1:17" hidden="1">
      <c r="A19" s="202" t="s">
        <v>29</v>
      </c>
      <c r="B19" s="225">
        <v>79812168</v>
      </c>
      <c r="C19" s="225">
        <v>109570174</v>
      </c>
      <c r="D19" s="225">
        <v>87005840</v>
      </c>
      <c r="E19" s="225">
        <v>114327172</v>
      </c>
      <c r="F19" s="225">
        <v>93917789</v>
      </c>
      <c r="G19" s="225">
        <v>97695383</v>
      </c>
      <c r="H19" s="225">
        <f>SUM(B19:G19)</f>
        <v>582328526</v>
      </c>
      <c r="I19" s="231">
        <v>91713841</v>
      </c>
      <c r="J19" s="231">
        <v>92590556</v>
      </c>
      <c r="K19" s="231">
        <v>86471408</v>
      </c>
      <c r="L19" s="231">
        <v>77968952</v>
      </c>
      <c r="M19" s="231">
        <v>85392209</v>
      </c>
      <c r="N19" s="232">
        <v>84173109</v>
      </c>
      <c r="O19" s="225">
        <f>SUM(I19:N19)</f>
        <v>518310075</v>
      </c>
      <c r="P19" s="225">
        <f>+O19+H19</f>
        <v>1100638601</v>
      </c>
      <c r="Q19" s="209">
        <f>+P5+P6</f>
        <v>1100638601</v>
      </c>
    </row>
    <row r="20" spans="1:17" hidden="1">
      <c r="A20" s="136" t="s">
        <v>30</v>
      </c>
      <c r="B20" s="225">
        <v>41166217.363846302</v>
      </c>
      <c r="C20" s="225">
        <v>41166217.363846302</v>
      </c>
      <c r="D20" s="225">
        <v>41166217.363846302</v>
      </c>
      <c r="E20" s="225">
        <v>41166217.363846302</v>
      </c>
      <c r="F20" s="225">
        <v>41166217.363846302</v>
      </c>
      <c r="G20" s="225">
        <v>41166217.363846302</v>
      </c>
      <c r="H20" s="209"/>
      <c r="I20" s="225">
        <v>41166217.363846302</v>
      </c>
      <c r="J20" s="225">
        <v>41166217.363846302</v>
      </c>
      <c r="K20" s="225">
        <v>41166217.363846302</v>
      </c>
      <c r="L20" s="225">
        <v>41166217.363846302</v>
      </c>
      <c r="M20" s="225">
        <v>41166217.363846302</v>
      </c>
      <c r="N20" s="225">
        <v>41166217.363846302</v>
      </c>
      <c r="O20" s="165"/>
      <c r="P20" s="136">
        <f>+P19*B20</f>
        <v>4.5309127887805704E+16</v>
      </c>
    </row>
    <row r="21" spans="1:17" hidden="1">
      <c r="B21" s="225">
        <f>+B19-B20</f>
        <v>38645950.636153698</v>
      </c>
      <c r="C21" s="225">
        <f t="shared" ref="C21:G21" si="15">+C19-C20</f>
        <v>68403956.636153698</v>
      </c>
      <c r="D21" s="225">
        <f t="shared" si="15"/>
        <v>45839622.636153698</v>
      </c>
      <c r="E21" s="225">
        <f t="shared" si="15"/>
        <v>73160954.636153698</v>
      </c>
      <c r="F21" s="225">
        <f t="shared" si="15"/>
        <v>52751571.636153698</v>
      </c>
      <c r="G21" s="225">
        <f t="shared" si="15"/>
        <v>56529165.636153698</v>
      </c>
      <c r="H21" s="209"/>
      <c r="I21" s="225">
        <f t="shared" ref="I21:N21" si="16">+I19-I20</f>
        <v>50547623.636153698</v>
      </c>
      <c r="J21" s="225">
        <f t="shared" si="16"/>
        <v>51424338.636153698</v>
      </c>
      <c r="K21" s="225">
        <f t="shared" si="16"/>
        <v>45305190.636153698</v>
      </c>
      <c r="L21" s="225">
        <f t="shared" si="16"/>
        <v>36802734.636153698</v>
      </c>
      <c r="M21" s="225">
        <f t="shared" si="16"/>
        <v>44225991.636153698</v>
      </c>
      <c r="N21" s="225">
        <f t="shared" si="16"/>
        <v>43006891.636153698</v>
      </c>
      <c r="O21" s="165"/>
    </row>
    <row r="22" spans="1:17" hidden="1">
      <c r="A22" s="227"/>
      <c r="B22" s="229">
        <v>0.60477562314103739</v>
      </c>
      <c r="C22" s="229">
        <v>0.60477562314103739</v>
      </c>
      <c r="D22" s="229">
        <v>0.60477562314103739</v>
      </c>
      <c r="E22" s="229">
        <v>0.60477562314103739</v>
      </c>
      <c r="F22" s="229">
        <v>0.60477562314103739</v>
      </c>
      <c r="G22" s="229">
        <v>0.60477562314103739</v>
      </c>
      <c r="H22" s="229"/>
      <c r="I22" s="229">
        <v>0.60477562314103739</v>
      </c>
      <c r="J22" s="229">
        <v>0.60477562314103739</v>
      </c>
      <c r="K22" s="229">
        <v>0.60477562314103739</v>
      </c>
      <c r="L22" s="229">
        <v>0.60477562314103739</v>
      </c>
      <c r="M22" s="229">
        <v>0.60477562314103739</v>
      </c>
      <c r="N22" s="229">
        <v>0.60477562314103739</v>
      </c>
      <c r="O22" s="229"/>
      <c r="P22" s="229"/>
    </row>
    <row r="23" spans="1:17" hidden="1">
      <c r="A23" s="228"/>
      <c r="B23" s="230">
        <v>0.39522437685896272</v>
      </c>
      <c r="C23" s="230">
        <v>0.39522437685896272</v>
      </c>
      <c r="D23" s="230">
        <v>0.39522437685896272</v>
      </c>
      <c r="E23" s="230">
        <v>0.39522437685896272</v>
      </c>
      <c r="F23" s="230">
        <v>0.39522437685896272</v>
      </c>
      <c r="G23" s="230">
        <v>0.39522437685896272</v>
      </c>
      <c r="H23" s="230"/>
      <c r="I23" s="230">
        <v>0.39522437685896272</v>
      </c>
      <c r="J23" s="230">
        <v>0.39522437685896272</v>
      </c>
      <c r="K23" s="230">
        <v>0.39522437685896272</v>
      </c>
      <c r="L23" s="230">
        <v>0.39522437685896272</v>
      </c>
      <c r="M23" s="230">
        <v>0.39522437685896272</v>
      </c>
      <c r="N23" s="230">
        <v>0.39522437685896272</v>
      </c>
      <c r="O23" s="230"/>
      <c r="P23" s="230"/>
    </row>
    <row r="24" spans="1:17" hidden="1">
      <c r="J24" s="224"/>
    </row>
    <row r="25" spans="1:17">
      <c r="B25" s="224"/>
    </row>
    <row r="26" spans="1:17">
      <c r="B26" s="226"/>
    </row>
    <row r="28" spans="1:17"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</row>
    <row r="30" spans="1:17">
      <c r="B30" s="209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tabSelected="1" zoomScale="110" zoomScaleNormal="110" zoomScaleSheetLayoutView="100" workbookViewId="0">
      <selection activeCell="J56" sqref="J56"/>
    </sheetView>
  </sheetViews>
  <sheetFormatPr baseColWidth="10" defaultColWidth="11.42578125" defaultRowHeight="12.75"/>
  <cols>
    <col min="1" max="1" width="28" style="141" customWidth="1"/>
    <col min="2" max="12" width="14.140625" style="208" customWidth="1"/>
    <col min="13" max="16384" width="11.42578125" style="141"/>
  </cols>
  <sheetData>
    <row r="1" spans="1:12">
      <c r="A1" s="277" t="s">
        <v>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>
      <c r="A2" s="277" t="s">
        <v>32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>
      <c r="A3" s="277" t="s">
        <v>33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</row>
    <row r="4" spans="1:12" ht="13.5" customHeight="1" thickBot="1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</row>
    <row r="5" spans="1:12" ht="27" thickTop="1" thickBot="1">
      <c r="A5" s="143" t="s">
        <v>34</v>
      </c>
      <c r="B5" s="203" t="s">
        <v>35</v>
      </c>
      <c r="C5" s="203" t="s">
        <v>36</v>
      </c>
      <c r="D5" s="204" t="s">
        <v>37</v>
      </c>
      <c r="E5" s="203" t="s">
        <v>38</v>
      </c>
      <c r="F5" s="203" t="s">
        <v>39</v>
      </c>
      <c r="G5" s="203" t="s">
        <v>40</v>
      </c>
      <c r="H5" s="203" t="s">
        <v>41</v>
      </c>
      <c r="I5" s="203" t="s">
        <v>42</v>
      </c>
      <c r="J5" s="203" t="s">
        <v>43</v>
      </c>
      <c r="K5" s="203" t="s">
        <v>44</v>
      </c>
      <c r="L5" s="205" t="s">
        <v>27</v>
      </c>
    </row>
    <row r="6" spans="1:12" ht="13.5" thickTop="1">
      <c r="A6" s="144" t="s">
        <v>45</v>
      </c>
      <c r="B6" s="219">
        <f>ROUND('PART PEF2021'!R$4*'CALCULO GARANTIA'!$Q6,2)</f>
        <v>7853584.5300000003</v>
      </c>
      <c r="C6" s="219">
        <f>ROUND('PART PEF2021'!R$5*'CALCULO GARANTIA'!$Q6,2)</f>
        <v>1077577.98</v>
      </c>
      <c r="D6" s="219">
        <f>ROUND(+'Art.14 Frac.III'!P5,2)</f>
        <v>1596543.52</v>
      </c>
      <c r="E6" s="219">
        <f>ROUND('PART PEF2021'!R$7*'CALCULO GARANTIA'!$Q6,2)</f>
        <v>239542.07</v>
      </c>
      <c r="F6" s="219">
        <f>ROUND('PART PEF2021'!R$8*'CALCULO GARANTIA'!$Q6,2)</f>
        <v>411721.17</v>
      </c>
      <c r="G6" s="219">
        <f>ROUND('PART PEF2021'!R$9*'CALCULO GARANTIA'!$Q6,2)</f>
        <v>144035.63</v>
      </c>
      <c r="H6" s="219">
        <f>ROUND('PART PEF2021'!R$10*'CALCULO GARANTIA'!$Q6,2)</f>
        <v>49103.58</v>
      </c>
      <c r="I6" s="219">
        <f>+ROUND('PART PEF2021'!R$11*'COEF Art 14 F II'!M7,2)</f>
        <v>113136.9</v>
      </c>
      <c r="J6" s="219">
        <f>+[5]Hoja2!$B6</f>
        <v>0</v>
      </c>
      <c r="K6" s="219">
        <f>+ISAI!D4</f>
        <v>4466.7339483914966</v>
      </c>
      <c r="L6" s="256">
        <f t="shared" ref="L6:L37" si="0">SUM(B6:K6)</f>
        <v>11489712.113948392</v>
      </c>
    </row>
    <row r="7" spans="1:12">
      <c r="A7" s="144" t="s">
        <v>46</v>
      </c>
      <c r="B7" s="219">
        <f>ROUND('PART PEF2021'!R$4*'CALCULO GARANTIA'!$Q7,2)</f>
        <v>15556202.6</v>
      </c>
      <c r="C7" s="219">
        <f>ROUND('PART PEF2021'!R$5*'CALCULO GARANTIA'!$Q7,2)</f>
        <v>2134442.09</v>
      </c>
      <c r="D7" s="219">
        <f>ROUND(+'Art.14 Frac.III'!P6,2)</f>
        <v>4279789.17</v>
      </c>
      <c r="E7" s="219">
        <f>ROUND('PART PEF2021'!R$7*'CALCULO GARANTIA'!$Q7,2)</f>
        <v>474479.51</v>
      </c>
      <c r="F7" s="219">
        <f>ROUND('PART PEF2021'!R$8*'CALCULO GARANTIA'!$Q7,2)</f>
        <v>815527.97</v>
      </c>
      <c r="G7" s="219">
        <f>ROUND('PART PEF2021'!R$9*'CALCULO GARANTIA'!$Q7,2)</f>
        <v>285302.51</v>
      </c>
      <c r="H7" s="219">
        <f>ROUND('PART PEF2021'!R$10*'CALCULO GARANTIA'!$Q7,2)</f>
        <v>97263.26</v>
      </c>
      <c r="I7" s="219">
        <f>+ROUND('PART PEF2021'!R$11*'COEF Art 14 F II'!M8,2)</f>
        <v>254088.75</v>
      </c>
      <c r="J7" s="219">
        <f>+[5]Hoja2!$B7</f>
        <v>636150.982850592</v>
      </c>
      <c r="K7" s="219">
        <f>+ISAI!D5</f>
        <v>3990.0903178038284</v>
      </c>
      <c r="L7" s="256">
        <f t="shared" si="0"/>
        <v>24537236.9331684</v>
      </c>
    </row>
    <row r="8" spans="1:12">
      <c r="A8" s="144" t="s">
        <v>47</v>
      </c>
      <c r="B8" s="219">
        <f>ROUND('PART PEF2021'!R$4*'CALCULO GARANTIA'!$Q8,2)</f>
        <v>16183041.060000001</v>
      </c>
      <c r="C8" s="219">
        <f>ROUND('PART PEF2021'!R$5*'CALCULO GARANTIA'!$Q8,2)</f>
        <v>2220449.61</v>
      </c>
      <c r="D8" s="219">
        <f>ROUND(+'Art.14 Frac.III'!P7,2)</f>
        <v>3800275.69</v>
      </c>
      <c r="E8" s="219">
        <f>ROUND('PART PEF2021'!R$7*'CALCULO GARANTIA'!$Q8,2)</f>
        <v>493598.7</v>
      </c>
      <c r="F8" s="219">
        <f>ROUND('PART PEF2021'!R$8*'CALCULO GARANTIA'!$Q8,2)</f>
        <v>848389.74</v>
      </c>
      <c r="G8" s="219">
        <f>ROUND('PART PEF2021'!R$9*'CALCULO GARANTIA'!$Q8,2)</f>
        <v>296798.8</v>
      </c>
      <c r="H8" s="219">
        <f>ROUND('PART PEF2021'!R$10*'CALCULO GARANTIA'!$Q8,2)</f>
        <v>101182.49</v>
      </c>
      <c r="I8" s="219">
        <f>+ROUND('PART PEF2021'!R$11*'COEF Art 14 F II'!M9,2)</f>
        <v>223024.66</v>
      </c>
      <c r="J8" s="219">
        <f>+[5]Hoja2!$B8</f>
        <v>188189.46363349835</v>
      </c>
      <c r="K8" s="219">
        <f>+ISAI!D6</f>
        <v>286.10179397489298</v>
      </c>
      <c r="L8" s="256">
        <f t="shared" si="0"/>
        <v>24355236.315427475</v>
      </c>
    </row>
    <row r="9" spans="1:12">
      <c r="A9" s="144" t="s">
        <v>48</v>
      </c>
      <c r="B9" s="219">
        <f>ROUND('PART PEF2021'!R$4*'CALCULO GARANTIA'!$Q9,2)</f>
        <v>44761229.450000003</v>
      </c>
      <c r="C9" s="219">
        <f>ROUND('PART PEF2021'!R$5*'CALCULO GARANTIA'!$Q9,2)</f>
        <v>6141617.9000000004</v>
      </c>
      <c r="D9" s="219">
        <f>ROUND(+'Art.14 Frac.III'!P8,2)</f>
        <v>6144733.6200000001</v>
      </c>
      <c r="E9" s="219">
        <f>ROUND('PART PEF2021'!R$7*'CALCULO GARANTIA'!$Q9,2)</f>
        <v>1365261.61</v>
      </c>
      <c r="F9" s="219">
        <f>ROUND('PART PEF2021'!R$8*'CALCULO GARANTIA'!$Q9,2)</f>
        <v>2346590.34</v>
      </c>
      <c r="G9" s="219">
        <f>ROUND('PART PEF2021'!R$9*'CALCULO GARANTIA'!$Q9,2)</f>
        <v>820926</v>
      </c>
      <c r="H9" s="219">
        <f>ROUND('PART PEF2021'!R$10*'CALCULO GARANTIA'!$Q9,2)</f>
        <v>279864.13</v>
      </c>
      <c r="I9" s="219">
        <f>+ROUND('PART PEF2021'!R$11*'COEF Art 14 F II'!M10,2)</f>
        <v>1580158.88</v>
      </c>
      <c r="J9" s="219">
        <f>+[5]Hoja2!$B9</f>
        <v>10587211.974475123</v>
      </c>
      <c r="K9" s="219">
        <f>+ISAI!D7</f>
        <v>378506.33998416259</v>
      </c>
      <c r="L9" s="256">
        <f t="shared" si="0"/>
        <v>74406100.244459286</v>
      </c>
    </row>
    <row r="10" spans="1:12">
      <c r="A10" s="144" t="s">
        <v>49</v>
      </c>
      <c r="B10" s="219">
        <f>ROUND('PART PEF2021'!R$4*'CALCULO GARANTIA'!$Q10,2)</f>
        <v>56532365.700000003</v>
      </c>
      <c r="C10" s="219">
        <f>ROUND('PART PEF2021'!R$5*'CALCULO GARANTIA'!$Q10,2)</f>
        <v>7756716.9900000002</v>
      </c>
      <c r="D10" s="219">
        <f>ROUND(+'Art.14 Frac.III'!P9,2)</f>
        <v>1419919.81</v>
      </c>
      <c r="E10" s="219">
        <f>ROUND('PART PEF2021'!R$7*'CALCULO GARANTIA'!$Q10,2)</f>
        <v>1724292.86</v>
      </c>
      <c r="F10" s="219">
        <f>ROUND('PART PEF2021'!R$8*'CALCULO GARANTIA'!$Q10,2)</f>
        <v>2963687.66</v>
      </c>
      <c r="G10" s="219">
        <f>ROUND('PART PEF2021'!R$9*'CALCULO GARANTIA'!$Q10,2)</f>
        <v>1036809.97</v>
      </c>
      <c r="H10" s="219">
        <f>ROUND('PART PEF2021'!R$10*'CALCULO GARANTIA'!$Q10,2)</f>
        <v>353461.72</v>
      </c>
      <c r="I10" s="219">
        <f>+ROUND('PART PEF2021'!R$11*'COEF Art 14 F II'!M11,2)</f>
        <v>1023316.61</v>
      </c>
      <c r="J10" s="219">
        <f>+[5]Hoja2!$B10</f>
        <v>563354.83883793757</v>
      </c>
      <c r="K10" s="219">
        <f>+ISAI!D8</f>
        <v>53669.2174568829</v>
      </c>
      <c r="L10" s="256">
        <f t="shared" si="0"/>
        <v>73427595.376294822</v>
      </c>
    </row>
    <row r="11" spans="1:12">
      <c r="A11" s="144" t="s">
        <v>50</v>
      </c>
      <c r="B11" s="219">
        <f>ROUND('PART PEF2021'!R$4*'CALCULO GARANTIA'!$Q11,2)</f>
        <v>385688525.08999997</v>
      </c>
      <c r="C11" s="219">
        <f>ROUND('PART PEF2021'!R$5*'CALCULO GARANTIA'!$Q11,2)</f>
        <v>52919715.93</v>
      </c>
      <c r="D11" s="219">
        <f>ROUND(+'Art.14 Frac.III'!P10,2)</f>
        <v>11004419.470000001</v>
      </c>
      <c r="E11" s="219">
        <f>ROUND('PART PEF2021'!R$7*'CALCULO GARANTIA'!$Q11,2)</f>
        <v>11763880.09</v>
      </c>
      <c r="F11" s="219">
        <f>ROUND('PART PEF2021'!R$8*'CALCULO GARANTIA'!$Q11,2)</f>
        <v>20219573.449999999</v>
      </c>
      <c r="G11" s="219">
        <f>ROUND('PART PEF2021'!R$9*'CALCULO GARANTIA'!$Q11,2)</f>
        <v>7073571.1100000003</v>
      </c>
      <c r="H11" s="219">
        <f>ROUND('PART PEF2021'!R$10*'CALCULO GARANTIA'!$Q11,2)</f>
        <v>2411470.4500000002</v>
      </c>
      <c r="I11" s="219">
        <f>+ROUND('PART PEF2021'!R$11*'COEF Art 14 F II'!M12,2)</f>
        <v>23486751.73</v>
      </c>
      <c r="J11" s="219">
        <f>+[5]Hoja2!$B11</f>
        <v>53209440.690800644</v>
      </c>
      <c r="K11" s="219">
        <f>+ISAI!D9</f>
        <v>8131994.0599820567</v>
      </c>
      <c r="L11" s="256">
        <f t="shared" si="0"/>
        <v>575909342.07078266</v>
      </c>
    </row>
    <row r="12" spans="1:12">
      <c r="A12" s="144" t="s">
        <v>51</v>
      </c>
      <c r="B12" s="219">
        <f>ROUND('PART PEF2021'!R$4*'CALCULO GARANTIA'!$Q12,2)</f>
        <v>64532060.609999999</v>
      </c>
      <c r="C12" s="219">
        <f>ROUND('PART PEF2021'!R$5*'CALCULO GARANTIA'!$Q12,2)</f>
        <v>8854342.5399999991</v>
      </c>
      <c r="D12" s="219">
        <f>ROUND(+'Art.14 Frac.III'!P11,2)</f>
        <v>0</v>
      </c>
      <c r="E12" s="219">
        <f>ROUND('PART PEF2021'!R$7*'CALCULO GARANTIA'!$Q12,2)</f>
        <v>1968291.44</v>
      </c>
      <c r="F12" s="219">
        <f>ROUND('PART PEF2021'!R$8*'CALCULO GARANTIA'!$Q12,2)</f>
        <v>3383068.6</v>
      </c>
      <c r="G12" s="219">
        <f>ROUND('PART PEF2021'!R$9*'CALCULO GARANTIA'!$Q12,2)</f>
        <v>1183525.28</v>
      </c>
      <c r="H12" s="219">
        <f>ROUND('PART PEF2021'!R$10*'CALCULO GARANTIA'!$Q12,2)</f>
        <v>403478.84</v>
      </c>
      <c r="I12" s="219">
        <f>+ROUND('PART PEF2021'!R$11*'COEF Art 14 F II'!M13,2)</f>
        <v>1173924.3600000001</v>
      </c>
      <c r="J12" s="219">
        <f>+[5]Hoja2!$B12</f>
        <v>1642762.9538976846</v>
      </c>
      <c r="K12" s="219">
        <f>+ISAI!D10</f>
        <v>1280.5040536016902</v>
      </c>
      <c r="L12" s="256">
        <f t="shared" si="0"/>
        <v>83142735.127951294</v>
      </c>
    </row>
    <row r="13" spans="1:12">
      <c r="A13" s="144" t="s">
        <v>52</v>
      </c>
      <c r="B13" s="219">
        <f>ROUND('PART PEF2021'!R$4*'CALCULO GARANTIA'!$Q13,2)</f>
        <v>10260939.619999999</v>
      </c>
      <c r="C13" s="219">
        <f>ROUND('PART PEF2021'!R$5*'CALCULO GARANTIA'!$Q13,2)</f>
        <v>1407887.39</v>
      </c>
      <c r="D13" s="219">
        <f>ROUND(+'Art.14 Frac.III'!P12,2)</f>
        <v>5729192.21</v>
      </c>
      <c r="E13" s="219">
        <f>ROUND('PART PEF2021'!R$7*'CALCULO GARANTIA'!$Q13,2)</f>
        <v>312968.77</v>
      </c>
      <c r="F13" s="219">
        <f>ROUND('PART PEF2021'!R$8*'CALCULO GARANTIA'!$Q13,2)</f>
        <v>537925.84</v>
      </c>
      <c r="G13" s="219">
        <f>ROUND('PART PEF2021'!R$9*'CALCULO GARANTIA'!$Q13,2)</f>
        <v>188186.79</v>
      </c>
      <c r="H13" s="219">
        <f>ROUND('PART PEF2021'!R$10*'CALCULO GARANTIA'!$Q13,2)</f>
        <v>64155.27</v>
      </c>
      <c r="I13" s="219">
        <f>+ROUND('PART PEF2021'!R$11*'COEF Art 14 F II'!M14,2)</f>
        <v>207790.63</v>
      </c>
      <c r="J13" s="219">
        <f>+[5]Hoja2!$B13</f>
        <v>0</v>
      </c>
      <c r="K13" s="219">
        <f>+ISAI!D11</f>
        <v>7173.1727595536122</v>
      </c>
      <c r="L13" s="256">
        <f t="shared" si="0"/>
        <v>18716219.692759551</v>
      </c>
    </row>
    <row r="14" spans="1:12">
      <c r="A14" s="144" t="s">
        <v>53</v>
      </c>
      <c r="B14" s="219">
        <f>ROUND('PART PEF2021'!R$4*'CALCULO GARANTIA'!$Q14,2)</f>
        <v>101995747.72</v>
      </c>
      <c r="C14" s="219">
        <f>ROUND('PART PEF2021'!R$5*'CALCULO GARANTIA'!$Q14,2)</f>
        <v>13994676.130000001</v>
      </c>
      <c r="D14" s="219">
        <f>ROUND(+'Art.14 Frac.III'!P13,2)</f>
        <v>3092402.98</v>
      </c>
      <c r="E14" s="219">
        <f>ROUND('PART PEF2021'!R$7*'CALCULO GARANTIA'!$Q14,2)</f>
        <v>3110970.82</v>
      </c>
      <c r="F14" s="219">
        <f>ROUND('PART PEF2021'!R$8*'CALCULO GARANTIA'!$Q14,2)</f>
        <v>5347088.07</v>
      </c>
      <c r="G14" s="219">
        <f>ROUND('PART PEF2021'!R$9*'CALCULO GARANTIA'!$Q14,2)</f>
        <v>1870613.53</v>
      </c>
      <c r="H14" s="219">
        <f>ROUND('PART PEF2021'!R$10*'CALCULO GARANTIA'!$Q14,2)</f>
        <v>637715.97</v>
      </c>
      <c r="I14" s="219">
        <f>+ROUND('PART PEF2021'!R$11*'COEF Art 14 F II'!M15,2)</f>
        <v>4069546.46</v>
      </c>
      <c r="J14" s="219">
        <f>+[5]Hoja2!$B14</f>
        <v>0</v>
      </c>
      <c r="K14" s="219">
        <f>+ISAI!D12</f>
        <v>557576.70310219296</v>
      </c>
      <c r="L14" s="256">
        <f t="shared" si="0"/>
        <v>134676338.38310218</v>
      </c>
    </row>
    <row r="15" spans="1:12">
      <c r="A15" s="144" t="s">
        <v>54</v>
      </c>
      <c r="B15" s="219">
        <f>ROUND('PART PEF2021'!R$4*'CALCULO GARANTIA'!$Q15,2)</f>
        <v>16946472.59</v>
      </c>
      <c r="C15" s="219">
        <f>ROUND('PART PEF2021'!R$5*'CALCULO GARANTIA'!$Q15,2)</f>
        <v>2325198.85</v>
      </c>
      <c r="D15" s="219">
        <f>ROUND(+'Art.14 Frac.III'!P14,2)</f>
        <v>6216260.5199999996</v>
      </c>
      <c r="E15" s="219">
        <f>ROUND('PART PEF2021'!R$7*'CALCULO GARANTIA'!$Q15,2)</f>
        <v>516884.11</v>
      </c>
      <c r="F15" s="219">
        <f>ROUND('PART PEF2021'!R$8*'CALCULO GARANTIA'!$Q15,2)</f>
        <v>888412.35</v>
      </c>
      <c r="G15" s="219">
        <f>ROUND('PART PEF2021'!R$9*'CALCULO GARANTIA'!$Q15,2)</f>
        <v>310800.21999999997</v>
      </c>
      <c r="H15" s="219">
        <f>ROUND('PART PEF2021'!R$10*'CALCULO GARANTIA'!$Q15,2)</f>
        <v>105955.75</v>
      </c>
      <c r="I15" s="219">
        <f>+ROUND('PART PEF2021'!R$11*'COEF Art 14 F II'!M16,2)</f>
        <v>2489044.04</v>
      </c>
      <c r="J15" s="219">
        <f>+[5]Hoja2!$B15</f>
        <v>3730204.3441897249</v>
      </c>
      <c r="K15" s="219">
        <f>+ISAI!D13</f>
        <v>236631.40844622342</v>
      </c>
      <c r="L15" s="256">
        <f t="shared" si="0"/>
        <v>33765864.182635948</v>
      </c>
    </row>
    <row r="16" spans="1:12">
      <c r="A16" s="144" t="s">
        <v>55</v>
      </c>
      <c r="B16" s="219">
        <f>ROUND('PART PEF2021'!R$4*'CALCULO GARANTIA'!$Q16,2)</f>
        <v>24620709.120000001</v>
      </c>
      <c r="C16" s="219">
        <f>ROUND('PART PEF2021'!R$5*'CALCULO GARANTIA'!$Q16,2)</f>
        <v>3378168.78</v>
      </c>
      <c r="D16" s="219">
        <f>ROUND(+'Art.14 Frac.III'!P15,2)</f>
        <v>3240205.6</v>
      </c>
      <c r="E16" s="219">
        <f>ROUND('PART PEF2021'!R$7*'CALCULO GARANTIA'!$Q16,2)</f>
        <v>750955.89</v>
      </c>
      <c r="F16" s="219">
        <f>ROUND('PART PEF2021'!R$8*'CALCULO GARANTIA'!$Q16,2)</f>
        <v>1290731.26</v>
      </c>
      <c r="G16" s="219">
        <f>ROUND('PART PEF2021'!R$9*'CALCULO GARANTIA'!$Q16,2)</f>
        <v>451546.59</v>
      </c>
      <c r="H16" s="219">
        <f>ROUND('PART PEF2021'!R$10*'CALCULO GARANTIA'!$Q16,2)</f>
        <v>153937.98000000001</v>
      </c>
      <c r="I16" s="219">
        <f>+ROUND('PART PEF2021'!R$11*'COEF Art 14 F II'!M17,2)</f>
        <v>428348.77</v>
      </c>
      <c r="J16" s="219">
        <f>+[5]Hoja2!$B16</f>
        <v>274253.77686344757</v>
      </c>
      <c r="K16" s="219">
        <f>+ISAI!D14</f>
        <v>18056.057120397843</v>
      </c>
      <c r="L16" s="256">
        <f t="shared" si="0"/>
        <v>34606913.823983856</v>
      </c>
    </row>
    <row r="17" spans="1:12">
      <c r="A17" s="144" t="s">
        <v>56</v>
      </c>
      <c r="B17" s="219">
        <f>ROUND('PART PEF2021'!R$4*'CALCULO GARANTIA'!$Q17,2)</f>
        <v>51780953.759999998</v>
      </c>
      <c r="C17" s="219">
        <f>ROUND('PART PEF2021'!R$5*'CALCULO GARANTIA'!$Q17,2)</f>
        <v>7104783.2300000004</v>
      </c>
      <c r="D17" s="219">
        <f>ROUND(+'Art.14 Frac.III'!P16,2)</f>
        <v>4556718.5599999996</v>
      </c>
      <c r="E17" s="219">
        <f>ROUND('PART PEF2021'!R$7*'CALCULO GARANTIA'!$Q17,2)</f>
        <v>1579370.12</v>
      </c>
      <c r="F17" s="219">
        <f>ROUND('PART PEF2021'!R$8*'CALCULO GARANTIA'!$Q17,2)</f>
        <v>2714596.7</v>
      </c>
      <c r="G17" s="219">
        <f>ROUND('PART PEF2021'!R$9*'CALCULO GARANTIA'!$Q17,2)</f>
        <v>949668.54</v>
      </c>
      <c r="H17" s="219">
        <f>ROUND('PART PEF2021'!R$10*'CALCULO GARANTIA'!$Q17,2)</f>
        <v>323754.09999999998</v>
      </c>
      <c r="I17" s="219">
        <f>+ROUND('PART PEF2021'!R$11*'COEF Art 14 F II'!M18,2)</f>
        <v>788659.89</v>
      </c>
      <c r="J17" s="219">
        <f>+[5]Hoja2!$B17</f>
        <v>6494848.7365283854</v>
      </c>
      <c r="K17" s="219">
        <f>+ISAI!D15</f>
        <v>31525.047136089623</v>
      </c>
      <c r="L17" s="256">
        <f t="shared" si="0"/>
        <v>76324878.683664456</v>
      </c>
    </row>
    <row r="18" spans="1:12">
      <c r="A18" s="144" t="s">
        <v>57</v>
      </c>
      <c r="B18" s="219">
        <f>ROUND('PART PEF2021'!R$4*'CALCULO GARANTIA'!$Q18,2)</f>
        <v>26346643.899999999</v>
      </c>
      <c r="C18" s="219">
        <f>ROUND('PART PEF2021'!R$5*'CALCULO GARANTIA'!$Q18,2)</f>
        <v>3614981.57</v>
      </c>
      <c r="D18" s="219">
        <f>ROUND(+'Art.14 Frac.III'!P17,2)</f>
        <v>3816088.99</v>
      </c>
      <c r="E18" s="219">
        <f>ROUND('PART PEF2021'!R$7*'CALCULO GARANTIA'!$Q18,2)</f>
        <v>803598.6</v>
      </c>
      <c r="F18" s="219">
        <f>ROUND('PART PEF2021'!R$8*'CALCULO GARANTIA'!$Q18,2)</f>
        <v>1381212.73</v>
      </c>
      <c r="G18" s="219">
        <f>ROUND('PART PEF2021'!R$9*'CALCULO GARANTIA'!$Q18,2)</f>
        <v>483200.42</v>
      </c>
      <c r="H18" s="219">
        <f>ROUND('PART PEF2021'!R$10*'CALCULO GARANTIA'!$Q18,2)</f>
        <v>164729.18</v>
      </c>
      <c r="I18" s="219">
        <f>+ROUND('PART PEF2021'!R$11*'COEF Art 14 F II'!M19,2)</f>
        <v>1997520.22</v>
      </c>
      <c r="J18" s="219">
        <f>+[5]Hoja2!$B18</f>
        <v>0</v>
      </c>
      <c r="K18" s="219">
        <f>+ISAI!D16</f>
        <v>964395.32747976331</v>
      </c>
      <c r="L18" s="256">
        <f t="shared" si="0"/>
        <v>39572370.937479764</v>
      </c>
    </row>
    <row r="19" spans="1:12">
      <c r="A19" s="144" t="s">
        <v>58</v>
      </c>
      <c r="B19" s="219">
        <f>ROUND('PART PEF2021'!R$4*'CALCULO GARANTIA'!$Q19,2)</f>
        <v>144310391.71000001</v>
      </c>
      <c r="C19" s="219">
        <f>ROUND('PART PEF2021'!R$5*'CALCULO GARANTIA'!$Q19,2)</f>
        <v>19800601.879999999</v>
      </c>
      <c r="D19" s="219">
        <f>ROUND(+'Art.14 Frac.III'!P18,2)</f>
        <v>3479544.02</v>
      </c>
      <c r="E19" s="219">
        <f>ROUND('PART PEF2021'!R$7*'CALCULO GARANTIA'!$Q19,2)</f>
        <v>4401609.16</v>
      </c>
      <c r="F19" s="219">
        <f>ROUND('PART PEF2021'!R$8*'CALCULO GARANTIA'!$Q19,2)</f>
        <v>7565417.1100000003</v>
      </c>
      <c r="G19" s="219">
        <f>ROUND('PART PEF2021'!R$9*'CALCULO GARANTIA'!$Q19,2)</f>
        <v>2646668.88</v>
      </c>
      <c r="H19" s="219">
        <f>ROUND('PART PEF2021'!R$10*'CALCULO GARANTIA'!$Q19,2)</f>
        <v>902283.12</v>
      </c>
      <c r="I19" s="219">
        <f>+ROUND('PART PEF2021'!R$11*'COEF Art 14 F II'!M20,2)</f>
        <v>2647525.6</v>
      </c>
      <c r="J19" s="219">
        <f>+[5]Hoja2!$B19</f>
        <v>0</v>
      </c>
      <c r="K19" s="219">
        <f>+ISAI!D17</f>
        <v>4515.9253750884845</v>
      </c>
      <c r="L19" s="256">
        <f t="shared" si="0"/>
        <v>185758557.40537509</v>
      </c>
    </row>
    <row r="20" spans="1:12">
      <c r="A20" s="144" t="s">
        <v>59</v>
      </c>
      <c r="B20" s="219">
        <f>ROUND('PART PEF2021'!R$4*'CALCULO GARANTIA'!$Q20,2)</f>
        <v>18422781.530000001</v>
      </c>
      <c r="C20" s="219">
        <f>ROUND('PART PEF2021'!R$5*'CALCULO GARANTIA'!$Q20,2)</f>
        <v>2527760.88</v>
      </c>
      <c r="D20" s="219">
        <f>ROUND(+'Art.14 Frac.III'!P19,2)</f>
        <v>1777079.29</v>
      </c>
      <c r="E20" s="219">
        <f>ROUND('PART PEF2021'!R$7*'CALCULO GARANTIA'!$Q20,2)</f>
        <v>561912.99</v>
      </c>
      <c r="F20" s="219">
        <f>ROUND('PART PEF2021'!R$8*'CALCULO GARANTIA'!$Q20,2)</f>
        <v>965807.28</v>
      </c>
      <c r="G20" s="219">
        <f>ROUND('PART PEF2021'!R$9*'CALCULO GARANTIA'!$Q20,2)</f>
        <v>337875.89</v>
      </c>
      <c r="H20" s="219">
        <f>ROUND('PART PEF2021'!R$10*'CALCULO GARANTIA'!$Q20,2)</f>
        <v>115186.19</v>
      </c>
      <c r="I20" s="219">
        <f>+ROUND('PART PEF2021'!R$11*'COEF Art 14 F II'!M21,2)</f>
        <v>250659.83</v>
      </c>
      <c r="J20" s="219">
        <f>+[5]Hoja2!$B20</f>
        <v>6554.179946092202</v>
      </c>
      <c r="K20" s="219">
        <f>+ISAI!D18</f>
        <v>1992.8683562980548</v>
      </c>
      <c r="L20" s="256">
        <f t="shared" si="0"/>
        <v>24967610.928302389</v>
      </c>
    </row>
    <row r="21" spans="1:12">
      <c r="A21" s="144" t="s">
        <v>60</v>
      </c>
      <c r="B21" s="219">
        <f>ROUND('PART PEF2021'!R$4*'CALCULO GARANTIA'!$Q21,2)</f>
        <v>12829131.199999999</v>
      </c>
      <c r="C21" s="219">
        <f>ROUND('PART PEF2021'!R$5*'CALCULO GARANTIA'!$Q21,2)</f>
        <v>1760264.92</v>
      </c>
      <c r="D21" s="219">
        <f>ROUND(+'Art.14 Frac.III'!P20,2)</f>
        <v>5439398.3799999999</v>
      </c>
      <c r="E21" s="219">
        <f>ROUND('PART PEF2021'!R$7*'CALCULO GARANTIA'!$Q21,2)</f>
        <v>391301.14</v>
      </c>
      <c r="F21" s="219">
        <f>ROUND('PART PEF2021'!R$8*'CALCULO GARANTIA'!$Q21,2)</f>
        <v>672562.3</v>
      </c>
      <c r="G21" s="219">
        <f>ROUND('PART PEF2021'!R$9*'CALCULO GARANTIA'!$Q21,2)</f>
        <v>235287.72</v>
      </c>
      <c r="H21" s="219">
        <f>ROUND('PART PEF2021'!R$10*'CALCULO GARANTIA'!$Q21,2)</f>
        <v>80212.58</v>
      </c>
      <c r="I21" s="219">
        <f>+ROUND('PART PEF2021'!R$11*'COEF Art 14 F II'!M22,2)</f>
        <v>171113.79</v>
      </c>
      <c r="J21" s="219">
        <f>+[5]Hoja2!$B21</f>
        <v>1126819.5465868886</v>
      </c>
      <c r="K21" s="219">
        <f>+ISAI!D19</f>
        <v>46513.009987922924</v>
      </c>
      <c r="L21" s="256">
        <f t="shared" si="0"/>
        <v>22752604.586574811</v>
      </c>
    </row>
    <row r="22" spans="1:12">
      <c r="A22" s="144" t="s">
        <v>61</v>
      </c>
      <c r="B22" s="219">
        <f>ROUND('PART PEF2021'!R$4*'CALCULO GARANTIA'!$Q22,2)</f>
        <v>112513202.39</v>
      </c>
      <c r="C22" s="219">
        <f>ROUND('PART PEF2021'!R$5*'CALCULO GARANTIA'!$Q22,2)</f>
        <v>15437759.539999999</v>
      </c>
      <c r="D22" s="219">
        <f>ROUND(+'Art.14 Frac.III'!P21,2)</f>
        <v>2745816.62</v>
      </c>
      <c r="E22" s="219">
        <f>ROUND('PART PEF2021'!R$7*'CALCULO GARANTIA'!$Q22,2)</f>
        <v>3431763.55</v>
      </c>
      <c r="F22" s="219">
        <f>ROUND('PART PEF2021'!R$8*'CALCULO GARANTIA'!$Q22,2)</f>
        <v>5898461.6100000003</v>
      </c>
      <c r="G22" s="219">
        <f>ROUND('PART PEF2021'!R$9*'CALCULO GARANTIA'!$Q22,2)</f>
        <v>2063504.84</v>
      </c>
      <c r="H22" s="219">
        <f>ROUND('PART PEF2021'!R$10*'CALCULO GARANTIA'!$Q22,2)</f>
        <v>703475.07</v>
      </c>
      <c r="I22" s="219">
        <f>+ROUND('PART PEF2021'!R$11*'COEF Art 14 F II'!M23,2)</f>
        <v>2394217.0699999998</v>
      </c>
      <c r="J22" s="219">
        <f>+[5]Hoja2!$B22</f>
        <v>7212330.6801608112</v>
      </c>
      <c r="K22" s="219">
        <f>+ISAI!D20</f>
        <v>37704.032410262538</v>
      </c>
      <c r="L22" s="256">
        <f t="shared" si="0"/>
        <v>152438235.40257108</v>
      </c>
    </row>
    <row r="23" spans="1:12">
      <c r="A23" s="144" t="s">
        <v>62</v>
      </c>
      <c r="B23" s="219">
        <f>ROUND('PART PEF2021'!R$4*'CALCULO GARANTIA'!$Q23,2)</f>
        <v>138001306.25999999</v>
      </c>
      <c r="C23" s="219">
        <f>ROUND('PART PEF2021'!R$5*'CALCULO GARANTIA'!$Q23,2)</f>
        <v>18934942.190000001</v>
      </c>
      <c r="D23" s="219">
        <f>ROUND(+'Art.14 Frac.III'!P22,2)</f>
        <v>4438520.5599999996</v>
      </c>
      <c r="E23" s="219">
        <f>ROUND('PART PEF2021'!R$7*'CALCULO GARANTIA'!$Q23,2)</f>
        <v>4209175.83</v>
      </c>
      <c r="F23" s="219">
        <f>ROUND('PART PEF2021'!R$8*'CALCULO GARANTIA'!$Q23,2)</f>
        <v>7234665.71</v>
      </c>
      <c r="G23" s="219">
        <f>ROUND('PART PEF2021'!R$9*'CALCULO GARANTIA'!$Q23,2)</f>
        <v>2530959.54</v>
      </c>
      <c r="H23" s="219">
        <f>ROUND('PART PEF2021'!R$10*'CALCULO GARANTIA'!$Q23,2)</f>
        <v>862836.33</v>
      </c>
      <c r="I23" s="219">
        <f>+ROUND('PART PEF2021'!R$11*'COEF Art 14 F II'!M24,2)</f>
        <v>11728986.68</v>
      </c>
      <c r="J23" s="219">
        <f>+[5]Hoja2!$B23</f>
        <v>11678613.779384408</v>
      </c>
      <c r="K23" s="219">
        <f>+ISAI!D21</f>
        <v>4418510.6992062535</v>
      </c>
      <c r="L23" s="256">
        <f t="shared" si="0"/>
        <v>204038517.57859069</v>
      </c>
    </row>
    <row r="24" spans="1:12">
      <c r="A24" s="144" t="s">
        <v>63</v>
      </c>
      <c r="B24" s="219">
        <f>ROUND('PART PEF2021'!R$4*'CALCULO GARANTIA'!$Q24,2)</f>
        <v>21625076.5</v>
      </c>
      <c r="C24" s="219">
        <f>ROUND('PART PEF2021'!R$5*'CALCULO GARANTIA'!$Q24,2)</f>
        <v>2967142.74</v>
      </c>
      <c r="D24" s="219">
        <f>ROUND(+'Art.14 Frac.III'!P23,2)</f>
        <v>1817261.01</v>
      </c>
      <c r="E24" s="219">
        <f>ROUND('PART PEF2021'!R$7*'CALCULO GARANTIA'!$Q24,2)</f>
        <v>659586.14</v>
      </c>
      <c r="F24" s="219">
        <f>ROUND('PART PEF2021'!R$8*'CALCULO GARANTIA'!$Q24,2)</f>
        <v>1133686.3700000001</v>
      </c>
      <c r="G24" s="219">
        <f>ROUND('PART PEF2021'!R$9*'CALCULO GARANTIA'!$Q24,2)</f>
        <v>396606.35</v>
      </c>
      <c r="H24" s="219">
        <f>ROUND('PART PEF2021'!R$10*'CALCULO GARANTIA'!$Q24,2)</f>
        <v>135208.15</v>
      </c>
      <c r="I24" s="219">
        <f>+ROUND('PART PEF2021'!R$11*'COEF Art 14 F II'!M25,2)</f>
        <v>345136.5</v>
      </c>
      <c r="J24" s="219">
        <f>+[5]Hoja2!$B24</f>
        <v>0</v>
      </c>
      <c r="K24" s="219">
        <f>+ISAI!D22</f>
        <v>5341.2636393449702</v>
      </c>
      <c r="L24" s="256">
        <f t="shared" si="0"/>
        <v>29085045.023639351</v>
      </c>
    </row>
    <row r="25" spans="1:12">
      <c r="A25" s="144" t="s">
        <v>64</v>
      </c>
      <c r="B25" s="219">
        <f>ROUND('PART PEF2021'!R$4*'CALCULO GARANTIA'!$Q25,2)</f>
        <v>295601997.67000002</v>
      </c>
      <c r="C25" s="219">
        <f>ROUND('PART PEF2021'!R$5*'CALCULO GARANTIA'!$Q25,2)</f>
        <v>40559085.189999998</v>
      </c>
      <c r="D25" s="219">
        <f>ROUND(+'Art.14 Frac.III'!P24,2)</f>
        <v>6726109.0999999996</v>
      </c>
      <c r="E25" s="219">
        <f>ROUND('PART PEF2021'!R$7*'CALCULO GARANTIA'!$Q25,2)</f>
        <v>9016152.2300000004</v>
      </c>
      <c r="F25" s="219">
        <f>ROUND('PART PEF2021'!R$8*'CALCULO GARANTIA'!$Q25,2)</f>
        <v>15496821.699999999</v>
      </c>
      <c r="G25" s="219">
        <f>ROUND('PART PEF2021'!R$9*'CALCULO GARANTIA'!$Q25,2)</f>
        <v>5421374.0199999996</v>
      </c>
      <c r="H25" s="219">
        <f>ROUND('PART PEF2021'!R$10*'CALCULO GARANTIA'!$Q25,2)</f>
        <v>1848215.43</v>
      </c>
      <c r="I25" s="219">
        <f>+ROUND('PART PEF2021'!R$11*'COEF Art 14 F II'!M26,2)</f>
        <v>16575004.630000001</v>
      </c>
      <c r="J25" s="219">
        <f>+[5]Hoja2!$B25</f>
        <v>17637937.472234558</v>
      </c>
      <c r="K25" s="219">
        <f>+ISAI!D23</f>
        <v>2147378.1259273151</v>
      </c>
      <c r="L25" s="256">
        <f t="shared" si="0"/>
        <v>411030075.5681619</v>
      </c>
    </row>
    <row r="26" spans="1:12">
      <c r="A26" s="144" t="s">
        <v>65</v>
      </c>
      <c r="B26" s="219">
        <f>ROUND('PART PEF2021'!R$4*'CALCULO GARANTIA'!$Q26,2)</f>
        <v>43644517.670000002</v>
      </c>
      <c r="C26" s="219">
        <f>ROUND('PART PEF2021'!R$5*'CALCULO GARANTIA'!$Q26,2)</f>
        <v>5988395.6299999999</v>
      </c>
      <c r="D26" s="219">
        <f>ROUND(+'Art.14 Frac.III'!P25,2)</f>
        <v>5226809.3600000003</v>
      </c>
      <c r="E26" s="219">
        <f>ROUND('PART PEF2021'!R$7*'CALCULO GARANTIA'!$Q26,2)</f>
        <v>1331200.8</v>
      </c>
      <c r="F26" s="219">
        <f>ROUND('PART PEF2021'!R$8*'CALCULO GARANTIA'!$Q26,2)</f>
        <v>2288047.15</v>
      </c>
      <c r="G26" s="219">
        <f>ROUND('PART PEF2021'!R$9*'CALCULO GARANTIA'!$Q26,2)</f>
        <v>800445.38</v>
      </c>
      <c r="H26" s="219">
        <f>ROUND('PART PEF2021'!R$10*'CALCULO GARANTIA'!$Q26,2)</f>
        <v>272882.02</v>
      </c>
      <c r="I26" s="219">
        <f>+ROUND('PART PEF2021'!R$11*'COEF Art 14 F II'!M27,2)</f>
        <v>864960.14</v>
      </c>
      <c r="J26" s="219">
        <f>+[5]Hoja2!$B26</f>
        <v>4026871.3788999128</v>
      </c>
      <c r="K26" s="219">
        <f>+ISAI!D24</f>
        <v>60308.816620166428</v>
      </c>
      <c r="L26" s="256">
        <f t="shared" si="0"/>
        <v>64504438.345520079</v>
      </c>
    </row>
    <row r="27" spans="1:12">
      <c r="A27" s="144" t="s">
        <v>66</v>
      </c>
      <c r="B27" s="219">
        <f>ROUND('PART PEF2021'!R$4*'CALCULO GARANTIA'!$Q27,2)</f>
        <v>7000599.1399999997</v>
      </c>
      <c r="C27" s="219">
        <f>ROUND('PART PEF2021'!R$5*'CALCULO GARANTIA'!$Q27,2)</f>
        <v>960541.2</v>
      </c>
      <c r="D27" s="219">
        <f>ROUND(+'Art.14 Frac.III'!P26,2)</f>
        <v>6849546.5800000001</v>
      </c>
      <c r="E27" s="219">
        <f>ROUND('PART PEF2021'!R$7*'CALCULO GARANTIA'!$Q27,2)</f>
        <v>213525.17</v>
      </c>
      <c r="F27" s="219">
        <f>ROUND('PART PEF2021'!R$8*'CALCULO GARANTIA'!$Q27,2)</f>
        <v>367003.73</v>
      </c>
      <c r="G27" s="219">
        <f>ROUND('PART PEF2021'!R$9*'CALCULO GARANTIA'!$Q27,2)</f>
        <v>128391.78</v>
      </c>
      <c r="H27" s="219">
        <f>ROUND('PART PEF2021'!R$10*'CALCULO GARANTIA'!$Q27,2)</f>
        <v>43770.39</v>
      </c>
      <c r="I27" s="219">
        <f>+ROUND('PART PEF2021'!R$11*'COEF Art 14 F II'!M28,2)</f>
        <v>81305.2</v>
      </c>
      <c r="J27" s="219">
        <f>+[5]Hoja2!$B27</f>
        <v>0</v>
      </c>
      <c r="K27" s="219">
        <f>+ISAI!D25</f>
        <v>5439.2459002314363</v>
      </c>
      <c r="L27" s="256">
        <f t="shared" si="0"/>
        <v>15650122.435900232</v>
      </c>
    </row>
    <row r="28" spans="1:12">
      <c r="A28" s="144" t="s">
        <v>67</v>
      </c>
      <c r="B28" s="219">
        <f>ROUND('PART PEF2021'!R$4*'CALCULO GARANTIA'!$Q28,2)</f>
        <v>32419715.210000001</v>
      </c>
      <c r="C28" s="219">
        <f>ROUND('PART PEF2021'!R$5*'CALCULO GARANTIA'!$Q28,2)</f>
        <v>4448258.1399999997</v>
      </c>
      <c r="D28" s="219">
        <f>ROUND(+'Art.14 Frac.III'!P27,2)</f>
        <v>0</v>
      </c>
      <c r="E28" s="219">
        <f>ROUND('PART PEF2021'!R$7*'CALCULO GARANTIA'!$Q28,2)</f>
        <v>988833.26</v>
      </c>
      <c r="F28" s="219">
        <f>ROUND('PART PEF2021'!R$8*'CALCULO GARANTIA'!$Q28,2)</f>
        <v>1699591.17</v>
      </c>
      <c r="G28" s="219">
        <f>ROUND('PART PEF2021'!R$9*'CALCULO GARANTIA'!$Q28,2)</f>
        <v>594581.24</v>
      </c>
      <c r="H28" s="219">
        <f>ROUND('PART PEF2021'!R$10*'CALCULO GARANTIA'!$Q28,2)</f>
        <v>202700.31</v>
      </c>
      <c r="I28" s="219">
        <f>+ROUND('PART PEF2021'!R$11*'COEF Art 14 F II'!M29,2)</f>
        <v>535945.52</v>
      </c>
      <c r="J28" s="219">
        <f>+[5]Hoja2!$B28</f>
        <v>372720.29253024946</v>
      </c>
      <c r="K28" s="219">
        <f>+ISAI!D26</f>
        <v>811.1885786194166</v>
      </c>
      <c r="L28" s="256">
        <f t="shared" si="0"/>
        <v>41263156.331108876</v>
      </c>
    </row>
    <row r="29" spans="1:12">
      <c r="A29" s="144" t="s">
        <v>68</v>
      </c>
      <c r="B29" s="219">
        <f>ROUND('PART PEF2021'!R$4*'CALCULO GARANTIA'!$Q29,2)</f>
        <v>31588939.280000001</v>
      </c>
      <c r="C29" s="219">
        <f>ROUND('PART PEF2021'!R$5*'CALCULO GARANTIA'!$Q29,2)</f>
        <v>4334268.68</v>
      </c>
      <c r="D29" s="219">
        <f>ROUND(+'Art.14 Frac.III'!P28,2)</f>
        <v>1121921.8500000001</v>
      </c>
      <c r="E29" s="219">
        <f>ROUND('PART PEF2021'!R$7*'CALCULO GARANTIA'!$Q29,2)</f>
        <v>963493.78</v>
      </c>
      <c r="F29" s="219">
        <f>ROUND('PART PEF2021'!R$8*'CALCULO GARANTIA'!$Q29,2)</f>
        <v>1656038.06</v>
      </c>
      <c r="G29" s="219">
        <f>ROUND('PART PEF2021'!R$9*'CALCULO GARANTIA'!$Q29,2)</f>
        <v>579344.71</v>
      </c>
      <c r="H29" s="219">
        <f>ROUND('PART PEF2021'!R$10*'CALCULO GARANTIA'!$Q29,2)</f>
        <v>197505.99</v>
      </c>
      <c r="I29" s="219">
        <f>+ROUND('PART PEF2021'!R$11*'COEF Art 14 F II'!M30,2)</f>
        <v>3101333.67</v>
      </c>
      <c r="J29" s="219">
        <f>+[5]Hoja2!$B29</f>
        <v>176889.94553990784</v>
      </c>
      <c r="K29" s="219">
        <f>+ISAI!D27</f>
        <v>74981.189653163674</v>
      </c>
      <c r="L29" s="256">
        <f t="shared" si="0"/>
        <v>43794717.155193083</v>
      </c>
    </row>
    <row r="30" spans="1:12">
      <c r="A30" s="144" t="s">
        <v>69</v>
      </c>
      <c r="B30" s="219">
        <f>ROUND('PART PEF2021'!R$4*'CALCULO GARANTIA'!$Q30,2)</f>
        <v>505572419.13999999</v>
      </c>
      <c r="C30" s="219">
        <f>ROUND('PART PEF2021'!R$5*'CALCULO GARANTIA'!$Q30,2)</f>
        <v>69368796.489999995</v>
      </c>
      <c r="D30" s="219">
        <f>ROUND(+'Art.14 Frac.III'!P29,2)</f>
        <v>9890053.9900000002</v>
      </c>
      <c r="E30" s="219">
        <f>ROUND('PART PEF2021'!R$7*'CALCULO GARANTIA'!$Q30,2)</f>
        <v>15420457</v>
      </c>
      <c r="F30" s="219">
        <f>ROUND('PART PEF2021'!R$8*'CALCULO GARANTIA'!$Q30,2)</f>
        <v>26504440.760000002</v>
      </c>
      <c r="G30" s="219">
        <f>ROUND('PART PEF2021'!R$9*'CALCULO GARANTIA'!$Q30,2)</f>
        <v>9272255.2699999996</v>
      </c>
      <c r="H30" s="219">
        <f>ROUND('PART PEF2021'!R$10*'CALCULO GARANTIA'!$Q30,2)</f>
        <v>3161029.87</v>
      </c>
      <c r="I30" s="219">
        <f>+ROUND('PART PEF2021'!R$11*'COEF Art 14 F II'!M31,2)</f>
        <v>24288422.719999999</v>
      </c>
      <c r="J30" s="219">
        <f>+[5]Hoja2!$B30</f>
        <v>94343480.025325</v>
      </c>
      <c r="K30" s="219">
        <f>+ISAI!D28</f>
        <v>4779033.2326680273</v>
      </c>
      <c r="L30" s="256">
        <f t="shared" si="0"/>
        <v>762600388.49799311</v>
      </c>
    </row>
    <row r="31" spans="1:12">
      <c r="A31" s="144" t="s">
        <v>70</v>
      </c>
      <c r="B31" s="219">
        <f>ROUND('PART PEF2021'!R$4*'CALCULO GARANTIA'!$Q31,2)</f>
        <v>13018282.17</v>
      </c>
      <c r="C31" s="219">
        <f>ROUND('PART PEF2021'!R$5*'CALCULO GARANTIA'!$Q31,2)</f>
        <v>1786218.02</v>
      </c>
      <c r="D31" s="219">
        <f>ROUND(+'Art.14 Frac.III'!P30,2)</f>
        <v>5009291.45</v>
      </c>
      <c r="E31" s="219">
        <f>ROUND('PART PEF2021'!R$7*'CALCULO GARANTIA'!$Q31,2)</f>
        <v>397070.43</v>
      </c>
      <c r="F31" s="219">
        <f>ROUND('PART PEF2021'!R$8*'CALCULO GARANTIA'!$Q31,2)</f>
        <v>682478.46</v>
      </c>
      <c r="G31" s="219">
        <f>ROUND('PART PEF2021'!R$9*'CALCULO GARANTIA'!$Q31,2)</f>
        <v>238756.77</v>
      </c>
      <c r="H31" s="219">
        <f>ROUND('PART PEF2021'!R$10*'CALCULO GARANTIA'!$Q31,2)</f>
        <v>81395.22</v>
      </c>
      <c r="I31" s="219">
        <f>+ROUND('PART PEF2021'!R$11*'COEF Art 14 F II'!M32,2)</f>
        <v>150603.18</v>
      </c>
      <c r="J31" s="219">
        <f>+[5]Hoja2!$B31</f>
        <v>453898.4356449467</v>
      </c>
      <c r="K31" s="219">
        <f>+ISAI!D29</f>
        <v>62.494930968740277</v>
      </c>
      <c r="L31" s="256">
        <f t="shared" si="0"/>
        <v>21818056.630575914</v>
      </c>
    </row>
    <row r="32" spans="1:12">
      <c r="A32" s="144" t="s">
        <v>71</v>
      </c>
      <c r="B32" s="219">
        <f>ROUND('PART PEF2021'!R$4*'CALCULO GARANTIA'!$Q32,2)</f>
        <v>22408959.760000002</v>
      </c>
      <c r="C32" s="219">
        <f>ROUND('PART PEF2021'!R$5*'CALCULO GARANTIA'!$Q32,2)</f>
        <v>3074698.12</v>
      </c>
      <c r="D32" s="219">
        <f>ROUND(+'Art.14 Frac.III'!P31,2)</f>
        <v>1672720.43</v>
      </c>
      <c r="E32" s="219">
        <f>ROUND('PART PEF2021'!R$7*'CALCULO GARANTIA'!$Q32,2)</f>
        <v>683495.36</v>
      </c>
      <c r="F32" s="219">
        <f>ROUND('PART PEF2021'!R$8*'CALCULO GARANTIA'!$Q32,2)</f>
        <v>1174781.1499999999</v>
      </c>
      <c r="G32" s="219">
        <f>ROUND('PART PEF2021'!R$9*'CALCULO GARANTIA'!$Q32,2)</f>
        <v>410982.85</v>
      </c>
      <c r="H32" s="219">
        <f>ROUND('PART PEF2021'!R$10*'CALCULO GARANTIA'!$Q32,2)</f>
        <v>140109.29</v>
      </c>
      <c r="I32" s="219">
        <f>+ROUND('PART PEF2021'!R$11*'COEF Art 14 F II'!M33,2)</f>
        <v>669885.93000000005</v>
      </c>
      <c r="J32" s="219">
        <f>+[5]Hoja2!$B32</f>
        <v>1191941.8465693959</v>
      </c>
      <c r="K32" s="219">
        <f>+ISAI!D30</f>
        <v>3887.660917629627</v>
      </c>
      <c r="L32" s="256">
        <f t="shared" si="0"/>
        <v>31431462.397487026</v>
      </c>
    </row>
    <row r="33" spans="1:12">
      <c r="A33" s="144" t="s">
        <v>72</v>
      </c>
      <c r="B33" s="219">
        <f>ROUND('PART PEF2021'!R$4*'CALCULO GARANTIA'!$Q33,2)</f>
        <v>12861036.84</v>
      </c>
      <c r="C33" s="219">
        <f>ROUND('PART PEF2021'!R$5*'CALCULO GARANTIA'!$Q33,2)</f>
        <v>1764642.64</v>
      </c>
      <c r="D33" s="219">
        <f>ROUND(+'Art.14 Frac.III'!P32,2)</f>
        <v>4581965.76</v>
      </c>
      <c r="E33" s="219">
        <f>ROUND('PART PEF2021'!R$7*'CALCULO GARANTIA'!$Q33,2)</f>
        <v>392274.3</v>
      </c>
      <c r="F33" s="219">
        <f>ROUND('PART PEF2021'!R$8*'CALCULO GARANTIA'!$Q33,2)</f>
        <v>674234.94</v>
      </c>
      <c r="G33" s="219">
        <f>ROUND('PART PEF2021'!R$9*'CALCULO GARANTIA'!$Q33,2)</f>
        <v>235872.87</v>
      </c>
      <c r="H33" s="219">
        <f>ROUND('PART PEF2021'!R$10*'CALCULO GARANTIA'!$Q33,2)</f>
        <v>80412.06</v>
      </c>
      <c r="I33" s="219">
        <f>+ROUND('PART PEF2021'!R$11*'COEF Art 14 F II'!M34,2)</f>
        <v>187601.05</v>
      </c>
      <c r="J33" s="219">
        <f>+[5]Hoja2!$B33</f>
        <v>1323960.3300431359</v>
      </c>
      <c r="K33" s="219">
        <f>+ISAI!D31</f>
        <v>2013.087132997935</v>
      </c>
      <c r="L33" s="256">
        <f t="shared" si="0"/>
        <v>22104013.87717614</v>
      </c>
    </row>
    <row r="34" spans="1:12">
      <c r="A34" s="144" t="s">
        <v>73</v>
      </c>
      <c r="B34" s="219">
        <f>ROUND('PART PEF2021'!R$4*'CALCULO GARANTIA'!$Q34,2)</f>
        <v>17939726.469999999</v>
      </c>
      <c r="C34" s="219">
        <f>ROUND('PART PEF2021'!R$5*'CALCULO GARANTIA'!$Q34,2)</f>
        <v>2461481.65</v>
      </c>
      <c r="D34" s="219">
        <f>ROUND(+'Art.14 Frac.III'!P33,2)</f>
        <v>4230186.12</v>
      </c>
      <c r="E34" s="219">
        <f>ROUND('PART PEF2021'!R$7*'CALCULO GARANTIA'!$Q34,2)</f>
        <v>547179.34</v>
      </c>
      <c r="F34" s="219">
        <f>ROUND('PART PEF2021'!R$8*'CALCULO GARANTIA'!$Q34,2)</f>
        <v>940483.3</v>
      </c>
      <c r="G34" s="219">
        <f>ROUND('PART PEF2021'!R$9*'CALCULO GARANTIA'!$Q34,2)</f>
        <v>329016.61</v>
      </c>
      <c r="H34" s="219">
        <f>ROUND('PART PEF2021'!R$10*'CALCULO GARANTIA'!$Q34,2)</f>
        <v>112165.95</v>
      </c>
      <c r="I34" s="219">
        <f>+ROUND('PART PEF2021'!R$11*'COEF Art 14 F II'!M35,2)</f>
        <v>366225.56</v>
      </c>
      <c r="J34" s="219">
        <f>+[5]Hoja2!$B34</f>
        <v>483944.58638227463</v>
      </c>
      <c r="K34" s="219">
        <f>+ISAI!D32</f>
        <v>3976.9207610007861</v>
      </c>
      <c r="L34" s="256">
        <f t="shared" si="0"/>
        <v>27414386.50714327</v>
      </c>
    </row>
    <row r="35" spans="1:12">
      <c r="A35" s="144" t="s">
        <v>74</v>
      </c>
      <c r="B35" s="219">
        <f>ROUND('PART PEF2021'!R$4*'CALCULO GARANTIA'!$Q35,2)</f>
        <v>16885528.120000001</v>
      </c>
      <c r="C35" s="219">
        <f>ROUND('PART PEF2021'!R$5*'CALCULO GARANTIA'!$Q35,2)</f>
        <v>2316836.7599999998</v>
      </c>
      <c r="D35" s="219">
        <f>ROUND(+'Art.14 Frac.III'!P34,2)</f>
        <v>1510939.43</v>
      </c>
      <c r="E35" s="219">
        <f>ROUND('PART PEF2021'!R$7*'CALCULO GARANTIA'!$Q35,2)</f>
        <v>515025.25</v>
      </c>
      <c r="F35" s="219">
        <f>ROUND('PART PEF2021'!R$8*'CALCULO GARANTIA'!$Q35,2)</f>
        <v>885217.36</v>
      </c>
      <c r="G35" s="219">
        <f>ROUND('PART PEF2021'!R$9*'CALCULO GARANTIA'!$Q35,2)</f>
        <v>309682.49</v>
      </c>
      <c r="H35" s="219">
        <f>ROUND('PART PEF2021'!R$10*'CALCULO GARANTIA'!$Q35,2)</f>
        <v>105574.7</v>
      </c>
      <c r="I35" s="219">
        <f>+ROUND('PART PEF2021'!R$11*'COEF Art 14 F II'!M36,2)</f>
        <v>287127.51</v>
      </c>
      <c r="J35" s="219">
        <f>+[5]Hoja2!$B35</f>
        <v>443756.53635012504</v>
      </c>
      <c r="K35" s="219">
        <f>+ISAI!D33</f>
        <v>109.84525699938915</v>
      </c>
      <c r="L35" s="256">
        <f t="shared" si="0"/>
        <v>23259798.001607124</v>
      </c>
    </row>
    <row r="36" spans="1:12">
      <c r="A36" s="144" t="s">
        <v>75</v>
      </c>
      <c r="B36" s="219">
        <f>ROUND('PART PEF2021'!R$4*'CALCULO GARANTIA'!$Q36,2)</f>
        <v>156856687.21000001</v>
      </c>
      <c r="C36" s="219">
        <f>ROUND('PART PEF2021'!R$5*'CALCULO GARANTIA'!$Q36,2)</f>
        <v>21522059.359999999</v>
      </c>
      <c r="D36" s="219">
        <f>ROUND(+'Art.14 Frac.III'!P35,2)</f>
        <v>0</v>
      </c>
      <c r="E36" s="219">
        <f>ROUND('PART PEF2021'!R$7*'CALCULO GARANTIA'!$Q36,2)</f>
        <v>4784283.53</v>
      </c>
      <c r="F36" s="219">
        <f>ROUND('PART PEF2021'!R$8*'CALCULO GARANTIA'!$Q36,2)</f>
        <v>8223151.8499999996</v>
      </c>
      <c r="G36" s="219">
        <f>ROUND('PART PEF2021'!R$9*'CALCULO GARANTIA'!$Q36,2)</f>
        <v>2876769.36</v>
      </c>
      <c r="H36" s="219">
        <f>ROUND('PART PEF2021'!R$10*'CALCULO GARANTIA'!$Q36,2)</f>
        <v>980727.3</v>
      </c>
      <c r="I36" s="219">
        <f>+ROUND('PART PEF2021'!R$11*'COEF Art 14 F II'!M37,2)</f>
        <v>14436114.970000001</v>
      </c>
      <c r="J36" s="219">
        <f>+[5]Hoja2!$B36</f>
        <v>0</v>
      </c>
      <c r="K36" s="219">
        <f>+ISAI!D34</f>
        <v>1327500.6191595658</v>
      </c>
      <c r="L36" s="256">
        <f t="shared" si="0"/>
        <v>211007294.19915959</v>
      </c>
    </row>
    <row r="37" spans="1:12">
      <c r="A37" s="144" t="s">
        <v>76</v>
      </c>
      <c r="B37" s="219">
        <f>ROUND('PART PEF2021'!R$4*'CALCULO GARANTIA'!$Q37,2)</f>
        <v>30567809.739999998</v>
      </c>
      <c r="C37" s="219">
        <f>ROUND('PART PEF2021'!R$5*'CALCULO GARANTIA'!$Q37,2)</f>
        <v>4194161.1</v>
      </c>
      <c r="D37" s="219">
        <f>ROUND(+'Art.14 Frac.III'!P36,2)</f>
        <v>4889960.91</v>
      </c>
      <c r="E37" s="219">
        <f>ROUND('PART PEF2021'!R$7*'CALCULO GARANTIA'!$Q37,2)</f>
        <v>932348.32</v>
      </c>
      <c r="F37" s="219">
        <f>ROUND('PART PEF2021'!R$8*'CALCULO GARANTIA'!$Q37,2)</f>
        <v>1602505.74</v>
      </c>
      <c r="G37" s="219">
        <f>ROUND('PART PEF2021'!R$9*'CALCULO GARANTIA'!$Q37,2)</f>
        <v>560617.07999999996</v>
      </c>
      <c r="H37" s="219">
        <f>ROUND('PART PEF2021'!R$10*'CALCULO GARANTIA'!$Q37,2)</f>
        <v>191121.5</v>
      </c>
      <c r="I37" s="219">
        <f>+ROUND('PART PEF2021'!R$11*'COEF Art 14 F II'!M38,2)</f>
        <v>460836.15</v>
      </c>
      <c r="J37" s="219">
        <f>+[5]Hoja2!$B37</f>
        <v>446152.67741849972</v>
      </c>
      <c r="K37" s="219">
        <f>+ISAI!D35</f>
        <v>10003.356325311877</v>
      </c>
      <c r="L37" s="256">
        <f t="shared" si="0"/>
        <v>43855516.573743813</v>
      </c>
    </row>
    <row r="38" spans="1:12">
      <c r="A38" s="144" t="s">
        <v>77</v>
      </c>
      <c r="B38" s="219">
        <f>ROUND('PART PEF2021'!R$4*'CALCULO GARANTIA'!$Q38,2)</f>
        <v>112074041.84</v>
      </c>
      <c r="C38" s="219">
        <f>ROUND('PART PEF2021'!R$5*'CALCULO GARANTIA'!$Q38,2)</f>
        <v>15377503.02</v>
      </c>
      <c r="D38" s="219">
        <f>ROUND(+'Art.14 Frac.III'!P37,2)</f>
        <v>3258388.41</v>
      </c>
      <c r="E38" s="219">
        <f>ROUND('PART PEF2021'!R$7*'CALCULO GARANTIA'!$Q38,2)</f>
        <v>3418368.72</v>
      </c>
      <c r="F38" s="219">
        <f>ROUND('PART PEF2021'!R$8*'CALCULO GARANTIA'!$Q38,2)</f>
        <v>5875438.79</v>
      </c>
      <c r="G38" s="219">
        <f>ROUND('PART PEF2021'!R$9*'CALCULO GARANTIA'!$Q38,2)</f>
        <v>2055450.59</v>
      </c>
      <c r="H38" s="219">
        <f>ROUND('PART PEF2021'!R$10*'CALCULO GARANTIA'!$Q38,2)</f>
        <v>700729.27</v>
      </c>
      <c r="I38" s="219">
        <f>+ROUND('PART PEF2021'!R$11*'COEF Art 14 F II'!M39,2)</f>
        <v>3589583.19</v>
      </c>
      <c r="J38" s="219">
        <f>+[5]Hoja2!$B38</f>
        <v>12887646.234466085</v>
      </c>
      <c r="K38" s="219">
        <f>+ISAI!D36</f>
        <v>185766.14459930544</v>
      </c>
      <c r="L38" s="256">
        <f t="shared" ref="L38:L56" si="1">SUM(B38:K38)</f>
        <v>159422916.20906541</v>
      </c>
    </row>
    <row r="39" spans="1:12">
      <c r="A39" s="144" t="s">
        <v>78</v>
      </c>
      <c r="B39" s="219">
        <f>ROUND('PART PEF2021'!R$4*'CALCULO GARANTIA'!$Q39,2)</f>
        <v>23912818.199999999</v>
      </c>
      <c r="C39" s="219">
        <f>ROUND('PART PEF2021'!R$5*'CALCULO GARANTIA'!$Q39,2)</f>
        <v>3281040.18</v>
      </c>
      <c r="D39" s="219">
        <f>ROUND(+'Art.14 Frac.III'!P38,2)</f>
        <v>16186588.380000001</v>
      </c>
      <c r="E39" s="219">
        <f>ROUND('PART PEF2021'!R$7*'CALCULO GARANTIA'!$Q39,2)</f>
        <v>729364.52</v>
      </c>
      <c r="F39" s="219">
        <f>ROUND('PART PEF2021'!R$8*'CALCULO GARANTIA'!$Q39,2)</f>
        <v>1253620.3500000001</v>
      </c>
      <c r="G39" s="219">
        <f>ROUND('PART PEF2021'!R$9*'CALCULO GARANTIA'!$Q39,2)</f>
        <v>438563.79</v>
      </c>
      <c r="H39" s="219">
        <f>ROUND('PART PEF2021'!R$10*'CALCULO GARANTIA'!$Q39,2)</f>
        <v>149511.98000000001</v>
      </c>
      <c r="I39" s="219">
        <f>+ROUND('PART PEF2021'!R$11*'COEF Art 14 F II'!M40,2)</f>
        <v>438606.1</v>
      </c>
      <c r="J39" s="219">
        <f>+[5]Hoja2!$B39</f>
        <v>1953275.4690121284</v>
      </c>
      <c r="K39" s="219">
        <f>+ISAI!D37</f>
        <v>48679.166580291909</v>
      </c>
      <c r="L39" s="256">
        <f t="shared" si="1"/>
        <v>48392068.135592416</v>
      </c>
    </row>
    <row r="40" spans="1:12">
      <c r="A40" s="144" t="s">
        <v>79</v>
      </c>
      <c r="B40" s="219">
        <f>ROUND('PART PEF2021'!R$4*'CALCULO GARANTIA'!$Q40,2)</f>
        <v>22985080.239999998</v>
      </c>
      <c r="C40" s="219">
        <f>ROUND('PART PEF2021'!R$5*'CALCULO GARANTIA'!$Q40,2)</f>
        <v>3153746.71</v>
      </c>
      <c r="D40" s="219">
        <f>ROUND(+'Art.14 Frac.III'!P39,2)</f>
        <v>4105174.65</v>
      </c>
      <c r="E40" s="219">
        <f>ROUND('PART PEF2021'!R$7*'CALCULO GARANTIA'!$Q40,2)</f>
        <v>701067.6</v>
      </c>
      <c r="F40" s="219">
        <f>ROUND('PART PEF2021'!R$8*'CALCULO GARANTIA'!$Q40,2)</f>
        <v>1204984.04</v>
      </c>
      <c r="G40" s="219">
        <f>ROUND('PART PEF2021'!R$9*'CALCULO GARANTIA'!$Q40,2)</f>
        <v>421548.97</v>
      </c>
      <c r="H40" s="219">
        <f>ROUND('PART PEF2021'!R$10*'CALCULO GARANTIA'!$Q40,2)</f>
        <v>143711.41</v>
      </c>
      <c r="I40" s="219">
        <f>+ROUND('PART PEF2021'!R$11*'COEF Art 14 F II'!M41,2)</f>
        <v>298016.21000000002</v>
      </c>
      <c r="J40" s="219">
        <f>+[5]Hoja2!$B40</f>
        <v>1335317.7790170792</v>
      </c>
      <c r="K40" s="219">
        <f>+ISAI!D38</f>
        <v>3993.8479296865421</v>
      </c>
      <c r="L40" s="256">
        <f t="shared" si="1"/>
        <v>34352641.45694676</v>
      </c>
    </row>
    <row r="41" spans="1:12">
      <c r="A41" s="144" t="s">
        <v>80</v>
      </c>
      <c r="B41" s="219">
        <f>ROUND('PART PEF2021'!R$4*'CALCULO GARANTIA'!$Q41,2)</f>
        <v>24134055.280000001</v>
      </c>
      <c r="C41" s="219">
        <f>ROUND('PART PEF2021'!R$5*'CALCULO GARANTIA'!$Q41,2)</f>
        <v>3311395.77</v>
      </c>
      <c r="D41" s="219">
        <f>ROUND(+'Art.14 Frac.III'!P40,2)</f>
        <v>754489.63</v>
      </c>
      <c r="E41" s="219">
        <f>ROUND('PART PEF2021'!R$7*'CALCULO GARANTIA'!$Q41,2)</f>
        <v>736112.47</v>
      </c>
      <c r="F41" s="219">
        <f>ROUND('PART PEF2021'!R$8*'CALCULO GARANTIA'!$Q41,2)</f>
        <v>1265218.6200000001</v>
      </c>
      <c r="G41" s="219">
        <f>ROUND('PART PEF2021'!R$9*'CALCULO GARANTIA'!$Q41,2)</f>
        <v>442621.3</v>
      </c>
      <c r="H41" s="219">
        <f>ROUND('PART PEF2021'!R$10*'CALCULO GARANTIA'!$Q41,2)</f>
        <v>150895.24</v>
      </c>
      <c r="I41" s="219">
        <f>+ROUND('PART PEF2021'!R$11*'COEF Art 14 F II'!M42,2)</f>
        <v>476583.67999999999</v>
      </c>
      <c r="J41" s="219">
        <f>+[5]Hoja2!$B41</f>
        <v>350510.79157302505</v>
      </c>
      <c r="K41" s="219">
        <f>+ISAI!D39</f>
        <v>49.246005603367337</v>
      </c>
      <c r="L41" s="256">
        <f t="shared" si="1"/>
        <v>31621932.027578626</v>
      </c>
    </row>
    <row r="42" spans="1:12">
      <c r="A42" s="144" t="s">
        <v>81</v>
      </c>
      <c r="B42" s="219">
        <f>ROUND('PART PEF2021'!R$4*'CALCULO GARANTIA'!$Q42,2)</f>
        <v>33993863.060000002</v>
      </c>
      <c r="C42" s="219">
        <f>ROUND('PART PEF2021'!R$5*'CALCULO GARANTIA'!$Q42,2)</f>
        <v>4664244.49</v>
      </c>
      <c r="D42" s="219">
        <f>ROUND(+'Art.14 Frac.III'!P41,2)</f>
        <v>5790859.4500000002</v>
      </c>
      <c r="E42" s="219">
        <f>ROUND('PART PEF2021'!R$7*'CALCULO GARANTIA'!$Q42,2)</f>
        <v>1036846.32</v>
      </c>
      <c r="F42" s="219">
        <f>ROUND('PART PEF2021'!R$8*'CALCULO GARANTIA'!$Q42,2)</f>
        <v>1782115.27</v>
      </c>
      <c r="G42" s="219">
        <f>ROUND('PART PEF2021'!R$9*'CALCULO GARANTIA'!$Q42,2)</f>
        <v>623451.29</v>
      </c>
      <c r="H42" s="219">
        <f>ROUND('PART PEF2021'!R$10*'CALCULO GARANTIA'!$Q42,2)</f>
        <v>212542.48</v>
      </c>
      <c r="I42" s="219">
        <f>+ROUND('PART PEF2021'!R$11*'COEF Art 14 F II'!M43,2)</f>
        <v>501901.04</v>
      </c>
      <c r="J42" s="219">
        <f>+[5]Hoja2!$B42</f>
        <v>583005.39297683095</v>
      </c>
      <c r="K42" s="219">
        <f>+ISAI!D40</f>
        <v>21165.869671814129</v>
      </c>
      <c r="L42" s="256">
        <f t="shared" si="1"/>
        <v>49209994.662648648</v>
      </c>
    </row>
    <row r="43" spans="1:12">
      <c r="A43" s="144" t="s">
        <v>82</v>
      </c>
      <c r="B43" s="219">
        <f>ROUND('PART PEF2021'!R$4*'CALCULO GARANTIA'!$Q43,2)</f>
        <v>79752741.870000005</v>
      </c>
      <c r="C43" s="219">
        <f>ROUND('PART PEF2021'!R$5*'CALCULO GARANTIA'!$Q43,2)</f>
        <v>10942748.279999999</v>
      </c>
      <c r="D43" s="219">
        <f>ROUND(+'Art.14 Frac.III'!P42,2)</f>
        <v>2493537.31</v>
      </c>
      <c r="E43" s="219">
        <f>ROUND('PART PEF2021'!R$7*'CALCULO GARANTIA'!$Q43,2)</f>
        <v>2432537.2200000002</v>
      </c>
      <c r="F43" s="219">
        <f>ROUND('PART PEF2021'!R$8*'CALCULO GARANTIA'!$Q43,2)</f>
        <v>4181007</v>
      </c>
      <c r="G43" s="219">
        <f>ROUND('PART PEF2021'!R$9*'CALCULO GARANTIA'!$Q43,2)</f>
        <v>1462674.29</v>
      </c>
      <c r="H43" s="219">
        <f>ROUND('PART PEF2021'!R$10*'CALCULO GARANTIA'!$Q43,2)</f>
        <v>498644.29</v>
      </c>
      <c r="I43" s="219">
        <f>+ROUND('PART PEF2021'!R$11*'COEF Art 14 F II'!M44,2)</f>
        <v>2712998.89</v>
      </c>
      <c r="J43" s="219">
        <f>+[5]Hoja2!$B43</f>
        <v>9510593.5309468359</v>
      </c>
      <c r="K43" s="219">
        <f>+ISAI!D41</f>
        <v>429782.38322065456</v>
      </c>
      <c r="L43" s="256">
        <f t="shared" si="1"/>
        <v>114417265.06416751</v>
      </c>
    </row>
    <row r="44" spans="1:12">
      <c r="A44" s="144" t="s">
        <v>83</v>
      </c>
      <c r="B44" s="219">
        <f>ROUND('PART PEF2021'!R$4*'CALCULO GARANTIA'!$Q44,2)</f>
        <v>1650499793.0599999</v>
      </c>
      <c r="C44" s="219">
        <f>ROUND('PART PEF2021'!R$5*'CALCULO GARANTIA'!$Q44,2)</f>
        <v>226462480.78</v>
      </c>
      <c r="D44" s="219">
        <f>ROUND(+'Art.14 Frac.III'!P43,2)</f>
        <v>0</v>
      </c>
      <c r="E44" s="219">
        <f>ROUND('PART PEF2021'!R$7*'CALCULO GARANTIA'!$Q44,2)</f>
        <v>50341870.18</v>
      </c>
      <c r="F44" s="219">
        <f>ROUND('PART PEF2021'!R$8*'CALCULO GARANTIA'!$Q44,2)</f>
        <v>86526820.560000002</v>
      </c>
      <c r="G44" s="219">
        <f>ROUND('PART PEF2021'!R$9*'CALCULO GARANTIA'!$Q44,2)</f>
        <v>30270352.620000001</v>
      </c>
      <c r="H44" s="219">
        <f>ROUND('PART PEF2021'!R$10*'CALCULO GARANTIA'!$Q44,2)</f>
        <v>10319548.609999999</v>
      </c>
      <c r="I44" s="219">
        <f>+ROUND('PART PEF2021'!R$11*'COEF Art 14 F II'!M45,2)</f>
        <v>49578629.829999998</v>
      </c>
      <c r="J44" s="219">
        <f>+[5]Hoja2!$B44</f>
        <v>196087160.57579407</v>
      </c>
      <c r="K44" s="219">
        <f>+ISAI!D42</f>
        <v>16314687.02813765</v>
      </c>
      <c r="L44" s="256">
        <f t="shared" si="1"/>
        <v>2316401343.2439313</v>
      </c>
    </row>
    <row r="45" spans="1:12">
      <c r="A45" s="144" t="s">
        <v>84</v>
      </c>
      <c r="B45" s="219">
        <f>ROUND('PART PEF2021'!R$4*'CALCULO GARANTIA'!$Q45,2)</f>
        <v>8524174.9800000004</v>
      </c>
      <c r="C45" s="219">
        <f>ROUND('PART PEF2021'!R$5*'CALCULO GARANTIA'!$Q45,2)</f>
        <v>1169588.6399999999</v>
      </c>
      <c r="D45" s="219">
        <f>ROUND(+'Art.14 Frac.III'!P44,2)</f>
        <v>2797321.37</v>
      </c>
      <c r="E45" s="219">
        <f>ROUND('PART PEF2021'!R$7*'CALCULO GARANTIA'!$Q45,2)</f>
        <v>259995.74</v>
      </c>
      <c r="F45" s="219">
        <f>ROUND('PART PEF2021'!R$8*'CALCULO GARANTIA'!$Q45,2)</f>
        <v>446876.61</v>
      </c>
      <c r="G45" s="219">
        <f>ROUND('PART PEF2021'!R$9*'CALCULO GARANTIA'!$Q45,2)</f>
        <v>156334.32999999999</v>
      </c>
      <c r="H45" s="219">
        <f>ROUND('PART PEF2021'!R$10*'CALCULO GARANTIA'!$Q45,2)</f>
        <v>53296.36</v>
      </c>
      <c r="I45" s="219">
        <f>+ROUND('PART PEF2021'!R$11*'COEF Art 14 F II'!M46,2)</f>
        <v>98428.75</v>
      </c>
      <c r="J45" s="219">
        <f>+[5]Hoja2!$B45</f>
        <v>494389.12458652427</v>
      </c>
      <c r="K45" s="219">
        <f>+ISAI!D43</f>
        <v>1528.0589741550641</v>
      </c>
      <c r="L45" s="256">
        <f t="shared" si="1"/>
        <v>14001933.96356068</v>
      </c>
    </row>
    <row r="46" spans="1:12">
      <c r="A46" s="144" t="s">
        <v>85</v>
      </c>
      <c r="B46" s="219">
        <f>ROUND('PART PEF2021'!R$4*'CALCULO GARANTIA'!$Q46,2)</f>
        <v>35888730.799999997</v>
      </c>
      <c r="C46" s="219">
        <f>ROUND('PART PEF2021'!R$5*'CALCULO GARANTIA'!$Q46,2)</f>
        <v>4924236.3099999996</v>
      </c>
      <c r="D46" s="219">
        <f>ROUND(+'Art.14 Frac.III'!P45,2)</f>
        <v>1916482.43</v>
      </c>
      <c r="E46" s="219">
        <f>ROUND('PART PEF2021'!R$7*'CALCULO GARANTIA'!$Q46,2)</f>
        <v>1094641.6599999999</v>
      </c>
      <c r="F46" s="219">
        <f>ROUND('PART PEF2021'!R$8*'CALCULO GARANTIA'!$Q46,2)</f>
        <v>1881452.99</v>
      </c>
      <c r="G46" s="219">
        <f>ROUND('PART PEF2021'!R$9*'CALCULO GARANTIA'!$Q46,2)</f>
        <v>658203.38</v>
      </c>
      <c r="H46" s="219">
        <f>ROUND('PART PEF2021'!R$10*'CALCULO GARANTIA'!$Q46,2)</f>
        <v>224389.91</v>
      </c>
      <c r="I46" s="219">
        <f>+ROUND('PART PEF2021'!R$11*'COEF Art 14 F II'!M47,2)</f>
        <v>4220390.59</v>
      </c>
      <c r="J46" s="219">
        <f>+[5]Hoja2!$B46</f>
        <v>9399735.7997342832</v>
      </c>
      <c r="K46" s="219">
        <f>+ISAI!D44</f>
        <v>763052.39528883435</v>
      </c>
      <c r="L46" s="256">
        <f t="shared" si="1"/>
        <v>60971316.265023105</v>
      </c>
    </row>
    <row r="47" spans="1:12">
      <c r="A47" s="144" t="s">
        <v>86</v>
      </c>
      <c r="B47" s="219">
        <f>ROUND('PART PEF2021'!R$4*'CALCULO GARANTIA'!$Q47,2)</f>
        <v>18079516</v>
      </c>
      <c r="C47" s="219">
        <f>ROUND('PART PEF2021'!R$5*'CALCULO GARANTIA'!$Q47,2)</f>
        <v>2480661.96</v>
      </c>
      <c r="D47" s="219">
        <f>ROUND(+'Art.14 Frac.III'!P46,2)</f>
        <v>7034703.6399999997</v>
      </c>
      <c r="E47" s="219">
        <f>ROUND('PART PEF2021'!R$7*'CALCULO GARANTIA'!$Q47,2)</f>
        <v>551443.05000000005</v>
      </c>
      <c r="F47" s="219">
        <f>ROUND('PART PEF2021'!R$8*'CALCULO GARANTIA'!$Q47,2)</f>
        <v>947811.71</v>
      </c>
      <c r="G47" s="219">
        <f>ROUND('PART PEF2021'!R$9*'CALCULO GARANTIA'!$Q47,2)</f>
        <v>331580.37</v>
      </c>
      <c r="H47" s="219">
        <f>ROUND('PART PEF2021'!R$10*'CALCULO GARANTIA'!$Q47,2)</f>
        <v>113039.97</v>
      </c>
      <c r="I47" s="219">
        <f>+ROUND('PART PEF2021'!R$11*'COEF Art 14 F II'!M48,2)</f>
        <v>281580.49</v>
      </c>
      <c r="J47" s="219">
        <f>+[5]Hoja2!$B47</f>
        <v>809225.48075348791</v>
      </c>
      <c r="K47" s="219">
        <f>+ISAI!D45</f>
        <v>21654.303387761924</v>
      </c>
      <c r="L47" s="256">
        <f t="shared" si="1"/>
        <v>30651216.974141251</v>
      </c>
    </row>
    <row r="48" spans="1:12">
      <c r="A48" s="144" t="s">
        <v>87</v>
      </c>
      <c r="B48" s="219">
        <f>ROUND('PART PEF2021'!R$4*'CALCULO GARANTIA'!$Q48,2)</f>
        <v>20259441.710000001</v>
      </c>
      <c r="C48" s="219">
        <f>ROUND('PART PEF2021'!R$5*'CALCULO GARANTIA'!$Q48,2)</f>
        <v>2779766.13</v>
      </c>
      <c r="D48" s="219">
        <f>ROUND(+'Art.14 Frac.III'!P47,2)</f>
        <v>5346604.58</v>
      </c>
      <c r="E48" s="219">
        <f>ROUND('PART PEF2021'!R$7*'CALCULO GARANTIA'!$Q48,2)</f>
        <v>617932.93999999994</v>
      </c>
      <c r="F48" s="219">
        <f>ROUND('PART PEF2021'!R$8*'CALCULO GARANTIA'!$Q48,2)</f>
        <v>1062093.49</v>
      </c>
      <c r="G48" s="219">
        <f>ROUND('PART PEF2021'!R$9*'CALCULO GARANTIA'!$Q48,2)</f>
        <v>371560.45</v>
      </c>
      <c r="H48" s="219">
        <f>ROUND('PART PEF2021'!R$10*'CALCULO GARANTIA'!$Q48,2)</f>
        <v>126669.69</v>
      </c>
      <c r="I48" s="219">
        <f>+ROUND('PART PEF2021'!R$11*'COEF Art 14 F II'!M49,2)</f>
        <v>299075.46000000002</v>
      </c>
      <c r="J48" s="219">
        <f>+[5]Hoja2!$B48</f>
        <v>0</v>
      </c>
      <c r="K48" s="219">
        <f>+ISAI!D46</f>
        <v>35024.263310891329</v>
      </c>
      <c r="L48" s="256">
        <f t="shared" si="1"/>
        <v>30898168.713310894</v>
      </c>
    </row>
    <row r="49" spans="1:12">
      <c r="A49" s="144" t="s">
        <v>88</v>
      </c>
      <c r="B49" s="219">
        <f>ROUND('PART PEF2021'!R$4*'CALCULO GARANTIA'!$Q49,2)</f>
        <v>58289590.479999997</v>
      </c>
      <c r="C49" s="219">
        <f>ROUND('PART PEF2021'!R$5*'CALCULO GARANTIA'!$Q49,2)</f>
        <v>7997823.0300000003</v>
      </c>
      <c r="D49" s="219">
        <f>ROUND(+'Art.14 Frac.III'!P48,2)</f>
        <v>8673043.5899999999</v>
      </c>
      <c r="E49" s="219">
        <f>ROUND('PART PEF2021'!R$7*'CALCULO GARANTIA'!$Q49,2)</f>
        <v>1777889.95</v>
      </c>
      <c r="F49" s="219">
        <f>ROUND('PART PEF2021'!R$8*'CALCULO GARANTIA'!$Q49,2)</f>
        <v>3055809.49</v>
      </c>
      <c r="G49" s="219">
        <f>ROUND('PART PEF2021'!R$9*'CALCULO GARANTIA'!$Q49,2)</f>
        <v>1069037.67</v>
      </c>
      <c r="H49" s="219">
        <f>ROUND('PART PEF2021'!R$10*'CALCULO GARANTIA'!$Q49,2)</f>
        <v>364448.55</v>
      </c>
      <c r="I49" s="219">
        <f>+ROUND('PART PEF2021'!R$11*'COEF Art 14 F II'!M50,2)</f>
        <v>1453784.66</v>
      </c>
      <c r="J49" s="219">
        <f>+[5]Hoja2!$B49</f>
        <v>982351.91668704478</v>
      </c>
      <c r="K49" s="219">
        <f>+ISAI!D47</f>
        <v>79104.851845142053</v>
      </c>
      <c r="L49" s="256">
        <f t="shared" si="1"/>
        <v>83742884.188532174</v>
      </c>
    </row>
    <row r="50" spans="1:12">
      <c r="A50" s="144" t="s">
        <v>89</v>
      </c>
      <c r="B50" s="219">
        <f>ROUND('PART PEF2021'!R$4*'CALCULO GARANTIA'!$Q50,2)</f>
        <v>50161248.520000003</v>
      </c>
      <c r="C50" s="219">
        <f>ROUND('PART PEF2021'!R$5*'CALCULO GARANTIA'!$Q50,2)</f>
        <v>6882546.0199999996</v>
      </c>
      <c r="D50" s="219">
        <f>ROUND(+'Art.14 Frac.III'!P49,2)</f>
        <v>2140711.0499999998</v>
      </c>
      <c r="E50" s="219">
        <f>ROUND('PART PEF2021'!R$7*'CALCULO GARANTIA'!$Q50,2)</f>
        <v>1529967.51</v>
      </c>
      <c r="F50" s="219">
        <f>ROUND('PART PEF2021'!R$8*'CALCULO GARANTIA'!$Q50,2)</f>
        <v>2629684.27</v>
      </c>
      <c r="G50" s="219">
        <f>ROUND('PART PEF2021'!R$9*'CALCULO GARANTIA'!$Q50,2)</f>
        <v>919962.96</v>
      </c>
      <c r="H50" s="219">
        <f>ROUND('PART PEF2021'!R$10*'CALCULO GARANTIA'!$Q50,2)</f>
        <v>313627.09000000003</v>
      </c>
      <c r="I50" s="219">
        <f>+ROUND('PART PEF2021'!R$11*'COEF Art 14 F II'!M51,2)</f>
        <v>2694321.61</v>
      </c>
      <c r="J50" s="219">
        <f>+[5]Hoja2!$B50</f>
        <v>6080568.0313865999</v>
      </c>
      <c r="K50" s="219">
        <f>+ISAI!D48</f>
        <v>434722.864992849</v>
      </c>
      <c r="L50" s="256">
        <f t="shared" si="1"/>
        <v>73787359.926379457</v>
      </c>
    </row>
    <row r="51" spans="1:12">
      <c r="A51" s="144" t="s">
        <v>90</v>
      </c>
      <c r="B51" s="219">
        <f>ROUND('PART PEF2021'!R$4*'CALCULO GARANTIA'!$Q51,2)</f>
        <v>453886576.23000002</v>
      </c>
      <c r="C51" s="219">
        <f>ROUND('PART PEF2021'!R$5*'CALCULO GARANTIA'!$Q51,2)</f>
        <v>62277063.270000003</v>
      </c>
      <c r="D51" s="219">
        <f>ROUND(+'Art.14 Frac.III'!P50,2)</f>
        <v>10210901.869999999</v>
      </c>
      <c r="E51" s="219">
        <f>ROUND('PART PEF2021'!R$7*'CALCULO GARANTIA'!$Q51,2)</f>
        <v>13843987.859999999</v>
      </c>
      <c r="F51" s="219">
        <f>ROUND('PART PEF2021'!R$8*'CALCULO GARANTIA'!$Q51,2)</f>
        <v>23794830.210000001</v>
      </c>
      <c r="G51" s="219">
        <f>ROUND('PART PEF2021'!R$9*'CALCULO GARANTIA'!$Q51,2)</f>
        <v>8324331.0700000003</v>
      </c>
      <c r="H51" s="219">
        <f>ROUND('PART PEF2021'!R$10*'CALCULO GARANTIA'!$Q51,2)</f>
        <v>2837870.45</v>
      </c>
      <c r="I51" s="219">
        <f>+ROUND('PART PEF2021'!R$11*'COEF Art 14 F II'!M52,2)</f>
        <v>16760851.4</v>
      </c>
      <c r="J51" s="219">
        <f>+[5]Hoja2!$B51</f>
        <v>72430099.754680604</v>
      </c>
      <c r="K51" s="219">
        <f>+ISAI!D49</f>
        <v>2704104.0724102948</v>
      </c>
      <c r="L51" s="256">
        <f t="shared" si="1"/>
        <v>667070616.18709111</v>
      </c>
    </row>
    <row r="52" spans="1:12">
      <c r="A52" s="144" t="s">
        <v>91</v>
      </c>
      <c r="B52" s="219">
        <f>ROUND('PART PEF2021'!R$4*'CALCULO GARANTIA'!$Q52,2)</f>
        <v>877024539.16999996</v>
      </c>
      <c r="C52" s="219">
        <f>ROUND('PART PEF2021'!R$5*'CALCULO GARANTIA'!$Q52,2)</f>
        <v>120335157.68000001</v>
      </c>
      <c r="D52" s="219">
        <f>ROUND(+'Art.14 Frac.III'!P51,2)</f>
        <v>21044010.960000001</v>
      </c>
      <c r="E52" s="219">
        <f>ROUND('PART PEF2021'!R$7*'CALCULO GARANTIA'!$Q52,2)</f>
        <v>26750112.710000001</v>
      </c>
      <c r="F52" s="219">
        <f>ROUND('PART PEF2021'!R$8*'CALCULO GARANTIA'!$Q52,2)</f>
        <v>45977676.119999997</v>
      </c>
      <c r="G52" s="219">
        <f>ROUND('PART PEF2021'!R$9*'CALCULO GARANTIA'!$Q52,2)</f>
        <v>16084729.1</v>
      </c>
      <c r="H52" s="219">
        <f>ROUND('PART PEF2021'!R$10*'CALCULO GARANTIA'!$Q52,2)</f>
        <v>5483488.9400000004</v>
      </c>
      <c r="I52" s="219">
        <f>+ROUND('PART PEF2021'!R$11*'COEF Art 14 F II'!M53,2)</f>
        <v>13612694.65</v>
      </c>
      <c r="J52" s="219">
        <f>+[5]Hoja2!$B52</f>
        <v>136008098.30491543</v>
      </c>
      <c r="K52" s="219">
        <f>+ISAI!D50</f>
        <v>11587707.040041478</v>
      </c>
      <c r="L52" s="256">
        <f t="shared" si="1"/>
        <v>1273908214.6749568</v>
      </c>
    </row>
    <row r="53" spans="1:12">
      <c r="A53" s="144" t="s">
        <v>92</v>
      </c>
      <c r="B53" s="219">
        <f>ROUND('PART PEF2021'!R$4*'CALCULO GARANTIA'!$Q53,2)</f>
        <v>236327261.09999999</v>
      </c>
      <c r="C53" s="219">
        <f>ROUND('PART PEF2021'!R$5*'CALCULO GARANTIA'!$Q53,2)</f>
        <v>32426091.809999999</v>
      </c>
      <c r="D53" s="219">
        <f>ROUND(+'Art.14 Frac.III'!P52,2)</f>
        <v>6375905.71</v>
      </c>
      <c r="E53" s="219">
        <f>ROUND('PART PEF2021'!R$7*'CALCULO GARANTIA'!$Q53,2)</f>
        <v>7208214.3499999996</v>
      </c>
      <c r="F53" s="219">
        <f>ROUND('PART PEF2021'!R$8*'CALCULO GARANTIA'!$Q53,2)</f>
        <v>12389366.300000001</v>
      </c>
      <c r="G53" s="219">
        <f>ROUND('PART PEF2021'!R$9*'CALCULO GARANTIA'!$Q53,2)</f>
        <v>4334268.66</v>
      </c>
      <c r="H53" s="219">
        <f>ROUND('PART PEF2021'!R$10*'CALCULO GARANTIA'!$Q53,2)</f>
        <v>1477607.37</v>
      </c>
      <c r="I53" s="219">
        <f>+ROUND('PART PEF2021'!R$11*'COEF Art 14 F II'!M54,2)</f>
        <v>11248250.140000001</v>
      </c>
      <c r="J53" s="219">
        <f>+[5]Hoja2!$B53</f>
        <v>17372085.670638792</v>
      </c>
      <c r="K53" s="219">
        <f>+ISAI!D51</f>
        <v>4008945.228253372</v>
      </c>
      <c r="L53" s="256">
        <f t="shared" si="1"/>
        <v>333167996.33889216</v>
      </c>
    </row>
    <row r="54" spans="1:12">
      <c r="A54" s="144" t="s">
        <v>93</v>
      </c>
      <c r="B54" s="219">
        <f>ROUND('PART PEF2021'!R$4*'CALCULO GARANTIA'!$Q54,2)</f>
        <v>75328568.969999999</v>
      </c>
      <c r="C54" s="219">
        <f>ROUND('PART PEF2021'!R$5*'CALCULO GARANTIA'!$Q54,2)</f>
        <v>10335714.470000001</v>
      </c>
      <c r="D54" s="219">
        <f>ROUND(+'Art.14 Frac.III'!P53,2)</f>
        <v>7076965.4699999997</v>
      </c>
      <c r="E54" s="219">
        <f>ROUND('PART PEF2021'!R$7*'CALCULO GARANTIA'!$Q54,2)</f>
        <v>2297595.59</v>
      </c>
      <c r="F54" s="219">
        <f>ROUND('PART PEF2021'!R$8*'CALCULO GARANTIA'!$Q54,2)</f>
        <v>3949071.43</v>
      </c>
      <c r="G54" s="219">
        <f>ROUND('PART PEF2021'!R$9*'CALCULO GARANTIA'!$Q54,2)</f>
        <v>1381534.46</v>
      </c>
      <c r="H54" s="219">
        <f>ROUND('PART PEF2021'!R$10*'CALCULO GARANTIA'!$Q54,2)</f>
        <v>470982.69</v>
      </c>
      <c r="I54" s="219">
        <f>+ROUND('PART PEF2021'!R$11*'COEF Art 14 F II'!M55,2)</f>
        <v>2375137.94</v>
      </c>
      <c r="J54" s="219">
        <f>+[5]Hoja2!$B54</f>
        <v>10382456.276677363</v>
      </c>
      <c r="K54" s="219">
        <f>+ISAI!D52</f>
        <v>2019347.4089701984</v>
      </c>
      <c r="L54" s="256">
        <f t="shared" si="1"/>
        <v>115617374.70564754</v>
      </c>
    </row>
    <row r="55" spans="1:12">
      <c r="A55" s="144" t="s">
        <v>94</v>
      </c>
      <c r="B55" s="219">
        <f>ROUND('PART PEF2021'!R$4*'CALCULO GARANTIA'!$Q55,2)</f>
        <v>15135465.039999999</v>
      </c>
      <c r="C55" s="219">
        <f>ROUND('PART PEF2021'!R$5*'CALCULO GARANTIA'!$Q55,2)</f>
        <v>2076713.35</v>
      </c>
      <c r="D55" s="219">
        <f>ROUND(+'Art.14 Frac.III'!P54,2)</f>
        <v>3118895.65</v>
      </c>
      <c r="E55" s="219">
        <f>ROUND('PART PEF2021'!R$7*'CALCULO GARANTIA'!$Q55,2)</f>
        <v>461646.6</v>
      </c>
      <c r="F55" s="219">
        <f>ROUND('PART PEF2021'!R$8*'CALCULO GARANTIA'!$Q55,2)</f>
        <v>793470.97</v>
      </c>
      <c r="G55" s="219">
        <f>ROUND('PART PEF2021'!R$9*'CALCULO GARANTIA'!$Q55,2)</f>
        <v>277586.14</v>
      </c>
      <c r="H55" s="219">
        <f>ROUND('PART PEF2021'!R$10*'CALCULO GARANTIA'!$Q55,2)</f>
        <v>94632.65</v>
      </c>
      <c r="I55" s="219">
        <f>+ROUND('PART PEF2021'!R$11*'COEF Art 14 F II'!M56,2)</f>
        <v>170077.5</v>
      </c>
      <c r="J55" s="219">
        <f>+[5]Hoja2!$B55</f>
        <v>242728.39106056609</v>
      </c>
      <c r="K55" s="219">
        <f>+ISAI!D53</f>
        <v>11561.166427987482</v>
      </c>
      <c r="L55" s="256">
        <f t="shared" si="1"/>
        <v>22382777.457488552</v>
      </c>
    </row>
    <row r="56" spans="1:12" ht="13.5" thickBot="1">
      <c r="A56" s="144" t="s">
        <v>95</v>
      </c>
      <c r="B56" s="219">
        <f>ROUND('PART PEF2021'!R$4*'CALCULO GARANTIA'!$Q56,2)</f>
        <v>20852297.899999999</v>
      </c>
      <c r="C56" s="219">
        <f>ROUND('PART PEF2021'!R$5*'CALCULO GARANTIA'!$Q56,2)</f>
        <v>2861111</v>
      </c>
      <c r="D56" s="219">
        <f>ROUND(+'Art.14 Frac.III'!P55,2)</f>
        <v>5132234.8499999996</v>
      </c>
      <c r="E56" s="219">
        <f>ROUND('PART PEF2021'!R$7*'CALCULO GARANTIA'!$Q56,2)</f>
        <v>636015.63</v>
      </c>
      <c r="F56" s="219">
        <f>ROUND('PART PEF2021'!R$8*'CALCULO GARANTIA'!$Q56,2)</f>
        <v>1093173.74</v>
      </c>
      <c r="G56" s="219">
        <f>ROUND('PART PEF2021'!R$9*'CALCULO GARANTIA'!$Q56,2)</f>
        <v>382433.5</v>
      </c>
      <c r="H56" s="219">
        <f>ROUND('PART PEF2021'!R$10*'CALCULO GARANTIA'!$Q56,2)</f>
        <v>130376.45</v>
      </c>
      <c r="I56" s="219">
        <f>+ROUND('PART PEF2021'!R$11*'COEF Art 14 F II'!M57,2)</f>
        <v>197094.23</v>
      </c>
      <c r="J56" s="219">
        <f>+[5]Hoja2!$B56</f>
        <v>0</v>
      </c>
      <c r="K56" s="219">
        <f>+ISAI!D54</f>
        <v>9490.3135637636478</v>
      </c>
      <c r="L56" s="256">
        <f t="shared" si="1"/>
        <v>31294227.613563761</v>
      </c>
    </row>
    <row r="57" spans="1:12" ht="14.25" thickTop="1" thickBot="1">
      <c r="A57" s="145" t="s">
        <v>96</v>
      </c>
      <c r="B57" s="257">
        <f t="shared" ref="B57:E57" si="2">SUM(B6:B56)</f>
        <v>6274236388.2099991</v>
      </c>
      <c r="C57" s="257">
        <f t="shared" si="2"/>
        <v>860878107.01999962</v>
      </c>
      <c r="D57" s="257">
        <f t="shared" si="2"/>
        <v>239760494.00000006</v>
      </c>
      <c r="E57" s="257">
        <f t="shared" si="2"/>
        <v>191370392.78999996</v>
      </c>
      <c r="F57" s="257">
        <f>SUM(F6:F56)</f>
        <v>328924443.59000009</v>
      </c>
      <c r="G57" s="257">
        <f t="shared" ref="G57:L57" si="3">SUM(G6:G56)</f>
        <v>115070203.97999999</v>
      </c>
      <c r="H57" s="257">
        <f t="shared" si="3"/>
        <v>39228897.589999996</v>
      </c>
      <c r="I57" s="257">
        <f t="shared" si="3"/>
        <v>228386323.96000007</v>
      </c>
      <c r="J57" s="257">
        <f t="shared" si="3"/>
        <v>695161538.00000012</v>
      </c>
      <c r="K57" s="257">
        <f t="shared" si="3"/>
        <v>61999999.999999993</v>
      </c>
      <c r="L57" s="258">
        <f t="shared" si="3"/>
        <v>9035016789.1400013</v>
      </c>
    </row>
    <row r="58" spans="1:12" ht="13.5" thickTop="1">
      <c r="A58" s="14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</row>
    <row r="59" spans="1:12" ht="16.5" customHeight="1">
      <c r="A59" s="140" t="s">
        <v>97</v>
      </c>
      <c r="B59" s="207"/>
      <c r="C59" s="207"/>
      <c r="D59" s="207"/>
      <c r="E59" s="207"/>
    </row>
    <row r="60" spans="1:12">
      <c r="A60" s="142"/>
    </row>
    <row r="61" spans="1:12">
      <c r="A61" s="142"/>
    </row>
    <row r="62" spans="1:12" ht="16.5" customHeight="1"/>
  </sheetData>
  <mergeCells count="4">
    <mergeCell ref="A1:L1"/>
    <mergeCell ref="A2:L2"/>
    <mergeCell ref="A3:L3"/>
    <mergeCell ref="A4:L4"/>
  </mergeCells>
  <printOptions horizontalCentered="1"/>
  <pageMargins left="0.19685039370078741" right="0.19685039370078741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showGridLines="0" topLeftCell="A4" zoomScale="106" zoomScaleNormal="106" workbookViewId="0">
      <pane xSplit="1" ySplit="1" topLeftCell="B5" activePane="bottomRight" state="frozen"/>
      <selection activeCell="A4" sqref="A4"/>
      <selection pane="topRight" activeCell="B4" sqref="B4"/>
      <selection pane="bottomLeft" activeCell="A6" sqref="A6"/>
      <selection pane="bottomRight" activeCell="B60" sqref="B60:F60"/>
    </sheetView>
  </sheetViews>
  <sheetFormatPr baseColWidth="10" defaultColWidth="9.7109375" defaultRowHeight="12.75"/>
  <cols>
    <col min="1" max="1" width="28.855468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3" customWidth="1"/>
    <col min="10" max="10" width="12.28515625" style="14" customWidth="1"/>
    <col min="11" max="11" width="15.5703125" style="14" customWidth="1"/>
    <col min="12" max="12" width="12" style="73" customWidth="1"/>
    <col min="13" max="13" width="17.7109375" style="75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6.140625" style="14" customWidth="1"/>
    <col min="19" max="19" width="13.140625" style="14" customWidth="1"/>
    <col min="20" max="20" width="14" style="14" customWidth="1"/>
    <col min="21" max="21" width="12.85546875" style="14" customWidth="1"/>
    <col min="22" max="22" width="14.42578125" style="14" customWidth="1"/>
    <col min="23" max="23" width="16.85546875" style="14" customWidth="1"/>
    <col min="24" max="24" width="14.140625" style="73" customWidth="1"/>
    <col min="25" max="25" width="18.42578125" style="14" bestFit="1" customWidth="1"/>
    <col min="26" max="26" width="16.85546875" style="14" bestFit="1" customWidth="1"/>
    <col min="27" max="27" width="13.85546875" style="73" customWidth="1"/>
    <col min="28" max="28" width="15.140625" style="73" customWidth="1"/>
    <col min="29" max="29" width="17.5703125" style="75" customWidth="1"/>
    <col min="30" max="30" width="3.7109375" style="11" customWidth="1"/>
    <col min="31" max="33" width="18.42578125" style="14" customWidth="1"/>
    <col min="34" max="34" width="20.140625" style="14" customWidth="1"/>
    <col min="35" max="35" width="16.140625" style="14" bestFit="1" customWidth="1"/>
    <col min="36" max="16384" width="9.7109375" style="14"/>
  </cols>
  <sheetData>
    <row r="1" spans="1:35" ht="33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35" ht="26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</row>
    <row r="3" spans="1:35" ht="18.75" thickBot="1">
      <c r="B3" s="280" t="s">
        <v>98</v>
      </c>
      <c r="C3" s="280"/>
      <c r="D3" s="280"/>
      <c r="E3" s="280"/>
      <c r="F3" s="280"/>
      <c r="G3" s="281" t="s">
        <v>99</v>
      </c>
      <c r="H3" s="281"/>
      <c r="I3" s="281"/>
      <c r="J3" s="281"/>
      <c r="K3" s="281"/>
      <c r="L3" s="281"/>
      <c r="M3" s="281"/>
      <c r="N3" s="281" t="s">
        <v>100</v>
      </c>
      <c r="O3" s="281"/>
      <c r="P3" s="281"/>
      <c r="Q3" s="281"/>
      <c r="R3" s="281"/>
      <c r="S3" s="281"/>
      <c r="T3" s="281"/>
      <c r="U3" s="281"/>
      <c r="V3" s="114"/>
      <c r="W3" s="281"/>
      <c r="X3" s="281"/>
      <c r="Y3" s="280" t="s">
        <v>100</v>
      </c>
      <c r="Z3" s="280"/>
      <c r="AA3" s="280"/>
      <c r="AB3" s="280"/>
      <c r="AC3" s="280"/>
      <c r="AE3" s="280" t="s">
        <v>101</v>
      </c>
      <c r="AF3" s="280"/>
      <c r="AG3" s="280"/>
      <c r="AH3" s="280"/>
      <c r="AI3" s="280"/>
    </row>
    <row r="4" spans="1:35" ht="64.5" thickBot="1">
      <c r="A4" s="8" t="s">
        <v>34</v>
      </c>
      <c r="B4" s="9" t="s">
        <v>102</v>
      </c>
      <c r="C4" s="8" t="s">
        <v>103</v>
      </c>
      <c r="D4" s="9" t="s">
        <v>104</v>
      </c>
      <c r="E4" s="12" t="s">
        <v>105</v>
      </c>
      <c r="F4" s="112" t="s">
        <v>106</v>
      </c>
      <c r="G4" s="8" t="s">
        <v>107</v>
      </c>
      <c r="H4" s="9" t="s">
        <v>108</v>
      </c>
      <c r="I4" s="10">
        <v>0.85</v>
      </c>
      <c r="J4" s="8" t="s">
        <v>109</v>
      </c>
      <c r="K4" s="9" t="s">
        <v>110</v>
      </c>
      <c r="L4" s="10">
        <v>0.15</v>
      </c>
      <c r="M4" s="107" t="s">
        <v>111</v>
      </c>
      <c r="N4" s="8" t="s">
        <v>112</v>
      </c>
      <c r="O4" s="8" t="s">
        <v>113</v>
      </c>
      <c r="P4" s="8" t="s">
        <v>114</v>
      </c>
      <c r="Q4" s="8" t="s">
        <v>115</v>
      </c>
      <c r="R4" s="8" t="s">
        <v>116</v>
      </c>
      <c r="S4" s="8" t="s">
        <v>117</v>
      </c>
      <c r="T4" s="8" t="s">
        <v>118</v>
      </c>
      <c r="U4" s="8" t="s">
        <v>119</v>
      </c>
      <c r="V4" s="8" t="s">
        <v>120</v>
      </c>
      <c r="W4" s="8" t="s">
        <v>121</v>
      </c>
      <c r="X4" s="10">
        <v>0.85</v>
      </c>
      <c r="Y4" s="8" t="s">
        <v>122</v>
      </c>
      <c r="Z4" s="12" t="s">
        <v>123</v>
      </c>
      <c r="AA4" s="13" t="s">
        <v>124</v>
      </c>
      <c r="AB4" s="10">
        <v>0.15</v>
      </c>
      <c r="AC4" s="107" t="s">
        <v>125</v>
      </c>
      <c r="AE4" s="261" t="s">
        <v>126</v>
      </c>
      <c r="AF4" s="261" t="s">
        <v>127</v>
      </c>
      <c r="AG4" s="261" t="s">
        <v>128</v>
      </c>
      <c r="AH4" s="261" t="s">
        <v>129</v>
      </c>
      <c r="AI4" s="261" t="s">
        <v>130</v>
      </c>
    </row>
    <row r="5" spans="1:35" s="17" customFormat="1" ht="22.5">
      <c r="A5" s="93"/>
      <c r="B5" s="97" t="s">
        <v>131</v>
      </c>
      <c r="C5" s="88" t="s">
        <v>132</v>
      </c>
      <c r="D5" s="88" t="s">
        <v>133</v>
      </c>
      <c r="E5" s="88" t="s">
        <v>134</v>
      </c>
      <c r="F5" s="98" t="s">
        <v>135</v>
      </c>
      <c r="G5" s="93" t="s">
        <v>136</v>
      </c>
      <c r="H5" s="88" t="s">
        <v>137</v>
      </c>
      <c r="I5" s="94" t="s">
        <v>138</v>
      </c>
      <c r="J5" s="15" t="s">
        <v>139</v>
      </c>
      <c r="K5" s="88" t="s">
        <v>140</v>
      </c>
      <c r="L5" s="94" t="s">
        <v>141</v>
      </c>
      <c r="M5" s="95" t="s">
        <v>142</v>
      </c>
      <c r="N5" s="15" t="s">
        <v>143</v>
      </c>
      <c r="O5" s="15" t="s">
        <v>144</v>
      </c>
      <c r="P5" s="15" t="s">
        <v>145</v>
      </c>
      <c r="Q5" s="15" t="s">
        <v>146</v>
      </c>
      <c r="R5" s="93"/>
      <c r="S5" s="15" t="s">
        <v>143</v>
      </c>
      <c r="T5" s="15" t="s">
        <v>144</v>
      </c>
      <c r="U5" s="15" t="s">
        <v>145</v>
      </c>
      <c r="V5" s="15" t="s">
        <v>146</v>
      </c>
      <c r="W5" s="88" t="s">
        <v>147</v>
      </c>
      <c r="X5" s="94" t="s">
        <v>148</v>
      </c>
      <c r="Y5" s="88" t="s">
        <v>149</v>
      </c>
      <c r="Z5" s="88" t="s">
        <v>150</v>
      </c>
      <c r="AA5" s="94" t="s">
        <v>151</v>
      </c>
      <c r="AB5" s="94" t="s">
        <v>152</v>
      </c>
      <c r="AC5" s="96" t="s">
        <v>153</v>
      </c>
      <c r="AD5" s="16"/>
      <c r="AE5" s="15">
        <f>+AH5*0.5</f>
        <v>3904854216.6000009</v>
      </c>
      <c r="AF5" s="15">
        <f>+AH5*0.25</f>
        <v>1952427108.3000004</v>
      </c>
      <c r="AG5" s="15">
        <f>+AH5*0.25</f>
        <v>1952427108.3000004</v>
      </c>
      <c r="AH5" s="15">
        <f>+'PART PEF2021'!R4+'PART PEF2021'!R5+'PART PEF2021'!R7+'PART PEF2021'!R8+'PART PEF2021'!R9+'PART PEF2021'!R10</f>
        <v>7809708433.2000017</v>
      </c>
    </row>
    <row r="6" spans="1:35" s="25" customFormat="1" ht="23.25" customHeight="1" thickBot="1">
      <c r="A6" s="18"/>
      <c r="B6" s="19"/>
      <c r="C6" s="19"/>
      <c r="D6" s="19"/>
      <c r="E6" s="19"/>
      <c r="F6" s="23"/>
      <c r="G6" s="18"/>
      <c r="H6" s="19"/>
      <c r="I6" s="20"/>
      <c r="J6" s="19"/>
      <c r="K6" s="19"/>
      <c r="L6" s="20"/>
      <c r="M6" s="21"/>
      <c r="N6" s="15"/>
      <c r="O6" s="15"/>
      <c r="P6" s="15"/>
      <c r="Q6" s="15"/>
      <c r="R6" s="18"/>
      <c r="S6" s="15"/>
      <c r="T6" s="15"/>
      <c r="U6" s="15"/>
      <c r="V6" s="15"/>
      <c r="W6" s="19"/>
      <c r="X6" s="22"/>
      <c r="Y6" s="19"/>
      <c r="Z6" s="19"/>
      <c r="AA6" s="20"/>
      <c r="AB6" s="20"/>
      <c r="AC6" s="21"/>
      <c r="AD6" s="19"/>
      <c r="AE6" s="15" t="s">
        <v>154</v>
      </c>
      <c r="AF6" s="15" t="s">
        <v>155</v>
      </c>
      <c r="AG6" s="15" t="s">
        <v>156</v>
      </c>
      <c r="AH6" s="24" t="s">
        <v>157</v>
      </c>
      <c r="AI6" s="24" t="s">
        <v>158</v>
      </c>
    </row>
    <row r="7" spans="1:35" ht="15" thickTop="1">
      <c r="A7" s="2" t="s">
        <v>45</v>
      </c>
      <c r="B7" s="29">
        <v>501046</v>
      </c>
      <c r="C7" s="29">
        <v>110684</v>
      </c>
      <c r="D7" s="36">
        <f t="shared" ref="D7:D38" si="0">+C7/B7</f>
        <v>0.22090586493056527</v>
      </c>
      <c r="E7" s="37">
        <f>+D7*C7</f>
        <v>24450.744753974686</v>
      </c>
      <c r="F7" s="108">
        <f t="shared" ref="F7:F38" si="1">+E7/E$58</f>
        <v>1.4058873788201117E-5</v>
      </c>
      <c r="G7" s="26">
        <v>2974</v>
      </c>
      <c r="H7" s="102">
        <f t="shared" ref="H7:H38" si="2">+G7/$G$58</f>
        <v>5.141377508841821E-4</v>
      </c>
      <c r="I7" s="28">
        <f>+H7*I$4</f>
        <v>4.3701708825155477E-4</v>
      </c>
      <c r="J7" s="29">
        <v>47.45</v>
      </c>
      <c r="K7" s="99">
        <f t="shared" ref="K7:K38" si="3">+J7/$J$58</f>
        <v>7.3886478603129777E-4</v>
      </c>
      <c r="L7" s="30">
        <f>+K7*L$4</f>
        <v>1.1082971790469465E-4</v>
      </c>
      <c r="M7" s="108">
        <f>+L7+I7</f>
        <v>5.4784680615624945E-4</v>
      </c>
      <c r="N7" s="31">
        <v>334</v>
      </c>
      <c r="O7" s="32">
        <v>78</v>
      </c>
      <c r="P7" s="32">
        <v>539</v>
      </c>
      <c r="Q7" s="32">
        <v>28</v>
      </c>
      <c r="R7" s="33">
        <f t="shared" ref="R7:R38" si="4">(0.25*(N7/N$58))+(0.25*(O7/O$58))+(0.25*(P7/P$58))+(0.25*(Q7/Q$58))</f>
        <v>9.9915696601149016E-4</v>
      </c>
      <c r="S7" s="34">
        <v>194.999999997044</v>
      </c>
      <c r="T7" s="34">
        <v>51</v>
      </c>
      <c r="U7" s="34">
        <v>69</v>
      </c>
      <c r="V7" s="34">
        <v>52</v>
      </c>
      <c r="W7" s="33">
        <f t="shared" ref="W7:W38" si="5">(0.25*(S7/S$58))+(0.25*(T7/T$58))+(0.25*(U7/U$58))+(0.25*(V7/V$58))</f>
        <v>1.4146606123147524E-3</v>
      </c>
      <c r="X7" s="35">
        <f t="shared" ref="X7:X38" si="6">+W7*X$4</f>
        <v>1.2024615204675394E-3</v>
      </c>
      <c r="Y7" s="27">
        <f t="shared" ref="Y7:Y38" si="7">+(W7-R7)/R7</f>
        <v>0.415854225549666</v>
      </c>
      <c r="Z7" s="27">
        <f t="shared" ref="Z7:Z57" si="8">IF(Y7&gt;0,0,Y7)</f>
        <v>0</v>
      </c>
      <c r="AA7" s="28">
        <f>+Z7/Z$58</f>
        <v>0</v>
      </c>
      <c r="AB7" s="28">
        <f t="shared" ref="AB7:AB38" si="9">+AA7*AB$4</f>
        <v>0</v>
      </c>
      <c r="AC7" s="108">
        <f t="shared" ref="AC7:AC57" si="10">+AB7+X7</f>
        <v>1.2024615204675394E-3</v>
      </c>
      <c r="AE7" s="38">
        <f t="shared" ref="AE7:AE38" si="11">+F7*AE$5</f>
        <v>54897.852592504358</v>
      </c>
      <c r="AF7" s="39">
        <f t="shared" ref="AF7:AF38" si="12">+M7*AF$5</f>
        <v>1069630.955535037</v>
      </c>
      <c r="AG7" s="39">
        <f t="shared" ref="AG7:AG38" si="13">+AC7*AG$5</f>
        <v>2347718.4692484597</v>
      </c>
      <c r="AH7" s="39">
        <f>SUM(AE7:AG7)</f>
        <v>3472247.2773760008</v>
      </c>
      <c r="AI7" s="40">
        <f>+AH7/AH$58</f>
        <v>4.446065185500478E-4</v>
      </c>
    </row>
    <row r="8" spans="1:35" ht="14.25">
      <c r="A8" s="4" t="s">
        <v>46</v>
      </c>
      <c r="B8" s="44">
        <v>2275034</v>
      </c>
      <c r="C8" s="44">
        <v>953414</v>
      </c>
      <c r="D8" s="51">
        <f t="shared" si="0"/>
        <v>0.41907681379706851</v>
      </c>
      <c r="E8" s="52">
        <f t="shared" ref="E8:E57" si="14">+D8*C8</f>
        <v>399553.70134951826</v>
      </c>
      <c r="F8" s="109">
        <f t="shared" si="1"/>
        <v>2.2973840328394666E-4</v>
      </c>
      <c r="G8" s="41">
        <v>3382</v>
      </c>
      <c r="H8" s="103">
        <f t="shared" si="2"/>
        <v>5.8467177992276519E-4</v>
      </c>
      <c r="I8" s="43">
        <f t="shared" ref="I8:I57" si="15">+H8*I$4</f>
        <v>4.9697101293435045E-4</v>
      </c>
      <c r="J8" s="44">
        <v>978.99</v>
      </c>
      <c r="K8" s="100">
        <f t="shared" si="3"/>
        <v>1.524428317970032E-2</v>
      </c>
      <c r="L8" s="45">
        <f t="shared" ref="L8:L57" si="16">+K8*L$4</f>
        <v>2.2866424769550477E-3</v>
      </c>
      <c r="M8" s="109">
        <f t="shared" ref="M8:M57" si="17">+L8+I8</f>
        <v>2.783613489889398E-3</v>
      </c>
      <c r="N8" s="46">
        <v>768</v>
      </c>
      <c r="O8" s="47">
        <v>191</v>
      </c>
      <c r="P8" s="47">
        <v>961</v>
      </c>
      <c r="Q8" s="47">
        <v>102</v>
      </c>
      <c r="R8" s="48">
        <f t="shared" si="4"/>
        <v>2.3625109877890441E-3</v>
      </c>
      <c r="S8" s="49">
        <v>468.99999999269994</v>
      </c>
      <c r="T8" s="49">
        <v>120</v>
      </c>
      <c r="U8" s="49">
        <v>175</v>
      </c>
      <c r="V8" s="49">
        <v>44</v>
      </c>
      <c r="W8" s="48">
        <f t="shared" si="5"/>
        <v>1.9352079794187835E-3</v>
      </c>
      <c r="X8" s="50">
        <f t="shared" si="6"/>
        <v>1.644926782505966E-3</v>
      </c>
      <c r="Y8" s="42">
        <f t="shared" si="7"/>
        <v>-0.1808681570493571</v>
      </c>
      <c r="Z8" s="42">
        <f t="shared" si="8"/>
        <v>-0.1808681570493571</v>
      </c>
      <c r="AA8" s="43">
        <f t="shared" ref="AA8:AA57" si="18">+Z8/Z$58</f>
        <v>3.3703048799913031E-2</v>
      </c>
      <c r="AB8" s="43">
        <f t="shared" si="9"/>
        <v>5.0554573199869546E-3</v>
      </c>
      <c r="AC8" s="109">
        <f t="shared" si="10"/>
        <v>6.7003841024929206E-3</v>
      </c>
      <c r="AE8" s="53">
        <f t="shared" si="11"/>
        <v>897094.9727782706</v>
      </c>
      <c r="AF8" s="54">
        <f t="shared" si="12"/>
        <v>5434802.4366896302</v>
      </c>
      <c r="AG8" s="54">
        <f t="shared" si="13"/>
        <v>13082011.557729546</v>
      </c>
      <c r="AH8" s="54">
        <f t="shared" ref="AH8:AH57" si="19">SUM(AE8:AG8)</f>
        <v>19413908.967197448</v>
      </c>
      <c r="AI8" s="55">
        <f t="shared" ref="AI8:AI57" si="20">+AH8/AH$58</f>
        <v>2.4858685997375535E-3</v>
      </c>
    </row>
    <row r="9" spans="1:35" ht="14.25">
      <c r="A9" s="4" t="s">
        <v>47</v>
      </c>
      <c r="B9" s="44">
        <v>1068579</v>
      </c>
      <c r="C9" s="44">
        <v>293401</v>
      </c>
      <c r="D9" s="51">
        <f t="shared" si="0"/>
        <v>0.27457118285124449</v>
      </c>
      <c r="E9" s="52">
        <f t="shared" si="14"/>
        <v>80559.459619737987</v>
      </c>
      <c r="F9" s="109">
        <f t="shared" si="1"/>
        <v>4.6320686205497708E-5</v>
      </c>
      <c r="G9" s="41">
        <v>1407</v>
      </c>
      <c r="H9" s="103">
        <f t="shared" si="2"/>
        <v>2.4323867366981983E-4</v>
      </c>
      <c r="I9" s="43">
        <f t="shared" si="15"/>
        <v>2.0675287261934686E-4</v>
      </c>
      <c r="J9" s="44">
        <v>696.75</v>
      </c>
      <c r="K9" s="100">
        <f t="shared" si="3"/>
        <v>1.0849400203736705E-2</v>
      </c>
      <c r="L9" s="45">
        <f t="shared" si="16"/>
        <v>1.6274100305605057E-3</v>
      </c>
      <c r="M9" s="109">
        <f t="shared" si="17"/>
        <v>1.8341629031798526E-3</v>
      </c>
      <c r="N9" s="46">
        <v>363</v>
      </c>
      <c r="O9" s="47">
        <v>91</v>
      </c>
      <c r="P9" s="47">
        <v>728</v>
      </c>
      <c r="Q9" s="47">
        <v>81</v>
      </c>
      <c r="R9" s="48">
        <f t="shared" si="4"/>
        <v>1.5329909308086662E-3</v>
      </c>
      <c r="S9" s="49">
        <v>209.00000000199</v>
      </c>
      <c r="T9" s="49">
        <v>60</v>
      </c>
      <c r="U9" s="49">
        <v>193</v>
      </c>
      <c r="V9" s="49">
        <v>19</v>
      </c>
      <c r="W9" s="48">
        <f t="shared" si="5"/>
        <v>1.107137155609233E-3</v>
      </c>
      <c r="X9" s="50">
        <f t="shared" si="6"/>
        <v>9.4106658226784804E-4</v>
      </c>
      <c r="Y9" s="42">
        <f t="shared" si="7"/>
        <v>-0.27779275574369616</v>
      </c>
      <c r="Z9" s="42">
        <f t="shared" si="8"/>
        <v>-0.27779275574369616</v>
      </c>
      <c r="AA9" s="43">
        <f t="shared" si="18"/>
        <v>5.1764019470476444E-2</v>
      </c>
      <c r="AB9" s="43">
        <f t="shared" si="9"/>
        <v>7.7646029205714661E-3</v>
      </c>
      <c r="AC9" s="109">
        <f t="shared" si="10"/>
        <v>8.7056695028393145E-3</v>
      </c>
      <c r="AE9" s="53">
        <f t="shared" si="11"/>
        <v>180875.52684534321</v>
      </c>
      <c r="AF9" s="54">
        <f t="shared" si="12"/>
        <v>3581069.3732065731</v>
      </c>
      <c r="AG9" s="54">
        <f t="shared" si="13"/>
        <v>16997185.133244064</v>
      </c>
      <c r="AH9" s="54">
        <f t="shared" si="19"/>
        <v>20759130.033295982</v>
      </c>
      <c r="AI9" s="55">
        <f t="shared" si="20"/>
        <v>2.658118444607541E-3</v>
      </c>
    </row>
    <row r="10" spans="1:35" ht="13.5" customHeight="1">
      <c r="A10" s="4" t="s">
        <v>48</v>
      </c>
      <c r="B10" s="44">
        <v>34304269</v>
      </c>
      <c r="C10" s="44">
        <v>18200124</v>
      </c>
      <c r="D10" s="51">
        <f t="shared" si="0"/>
        <v>0.53054982748648571</v>
      </c>
      <c r="E10" s="52">
        <f t="shared" si="14"/>
        <v>9656072.6484326478</v>
      </c>
      <c r="F10" s="109">
        <f t="shared" si="1"/>
        <v>5.5521215414899598E-3</v>
      </c>
      <c r="G10" s="41">
        <v>35289</v>
      </c>
      <c r="H10" s="103">
        <f t="shared" si="2"/>
        <v>6.1006748792709828E-3</v>
      </c>
      <c r="I10" s="43">
        <f t="shared" si="15"/>
        <v>5.1855736473803348E-3</v>
      </c>
      <c r="J10" s="44">
        <v>190.52</v>
      </c>
      <c r="K10" s="100">
        <f t="shared" si="3"/>
        <v>2.9666705802883636E-3</v>
      </c>
      <c r="L10" s="45">
        <f t="shared" si="16"/>
        <v>4.4500058704325453E-4</v>
      </c>
      <c r="M10" s="109">
        <f t="shared" si="17"/>
        <v>5.6305742344235892E-3</v>
      </c>
      <c r="N10" s="46">
        <v>3420</v>
      </c>
      <c r="O10" s="47">
        <v>773</v>
      </c>
      <c r="P10" s="47">
        <v>6993</v>
      </c>
      <c r="Q10" s="47">
        <v>216</v>
      </c>
      <c r="R10" s="48">
        <f t="shared" si="4"/>
        <v>1.080919807213418E-2</v>
      </c>
      <c r="S10" s="49">
        <v>2055.0000000045479</v>
      </c>
      <c r="T10" s="49">
        <v>629</v>
      </c>
      <c r="U10" s="49">
        <v>1238</v>
      </c>
      <c r="V10" s="49">
        <v>59</v>
      </c>
      <c r="W10" s="48">
        <f t="shared" si="5"/>
        <v>7.3516705304182165E-3</v>
      </c>
      <c r="X10" s="50">
        <f t="shared" si="6"/>
        <v>6.2489199508554841E-3</v>
      </c>
      <c r="Y10" s="42">
        <f t="shared" si="7"/>
        <v>-0.31986901513345156</v>
      </c>
      <c r="Z10" s="42">
        <f t="shared" si="8"/>
        <v>-0.31986901513345156</v>
      </c>
      <c r="AA10" s="43">
        <f t="shared" si="18"/>
        <v>5.9604527422043294E-2</v>
      </c>
      <c r="AB10" s="43">
        <f t="shared" si="9"/>
        <v>8.9406791133064944E-3</v>
      </c>
      <c r="AC10" s="109">
        <f t="shared" si="10"/>
        <v>1.5189599064161979E-2</v>
      </c>
      <c r="AE10" s="53">
        <f t="shared" si="11"/>
        <v>21680225.212362766</v>
      </c>
      <c r="AF10" s="54">
        <f t="shared" si="12"/>
        <v>10993285.770584136</v>
      </c>
      <c r="AG10" s="54">
        <f t="shared" si="13"/>
        <v>29656584.977078166</v>
      </c>
      <c r="AH10" s="54">
        <f t="shared" si="19"/>
        <v>62330095.960025072</v>
      </c>
      <c r="AI10" s="55">
        <f t="shared" si="20"/>
        <v>7.9811040953913729E-3</v>
      </c>
    </row>
    <row r="11" spans="1:35" ht="14.25">
      <c r="A11" s="4" t="s">
        <v>49</v>
      </c>
      <c r="B11" s="44">
        <v>10108332</v>
      </c>
      <c r="C11" s="44">
        <v>1756976</v>
      </c>
      <c r="D11" s="51">
        <f t="shared" si="0"/>
        <v>0.17381463133581287</v>
      </c>
      <c r="E11" s="52">
        <f t="shared" si="14"/>
        <v>305388.13570587116</v>
      </c>
      <c r="F11" s="109">
        <f t="shared" si="1"/>
        <v>1.7559437552939751E-4</v>
      </c>
      <c r="G11" s="41">
        <v>18030</v>
      </c>
      <c r="H11" s="103">
        <f t="shared" si="2"/>
        <v>3.1169817244256232E-3</v>
      </c>
      <c r="I11" s="43">
        <f t="shared" si="15"/>
        <v>2.6494344657617798E-3</v>
      </c>
      <c r="J11" s="44">
        <v>4572.87</v>
      </c>
      <c r="K11" s="100">
        <f t="shared" si="3"/>
        <v>7.1206166788175776E-2</v>
      </c>
      <c r="L11" s="45">
        <f t="shared" si="16"/>
        <v>1.0680925018226366E-2</v>
      </c>
      <c r="M11" s="109">
        <f t="shared" si="17"/>
        <v>1.3330359483988145E-2</v>
      </c>
      <c r="N11" s="46">
        <v>3207</v>
      </c>
      <c r="O11" s="47">
        <v>706</v>
      </c>
      <c r="P11" s="47">
        <v>5696</v>
      </c>
      <c r="Q11" s="47">
        <v>1464</v>
      </c>
      <c r="R11" s="48">
        <f t="shared" si="4"/>
        <v>1.749446911165152E-2</v>
      </c>
      <c r="S11" s="49">
        <v>2802.0000000077798</v>
      </c>
      <c r="T11" s="49">
        <v>510</v>
      </c>
      <c r="U11" s="49">
        <v>1865</v>
      </c>
      <c r="V11" s="49">
        <v>534</v>
      </c>
      <c r="W11" s="48">
        <f t="shared" si="5"/>
        <v>1.7457626250445064E-2</v>
      </c>
      <c r="X11" s="50">
        <f t="shared" si="6"/>
        <v>1.4838982312878304E-2</v>
      </c>
      <c r="Y11" s="42">
        <f t="shared" si="7"/>
        <v>-2.1059719486953626E-3</v>
      </c>
      <c r="Z11" s="42">
        <f t="shared" si="8"/>
        <v>-2.1059719486953626E-3</v>
      </c>
      <c r="AA11" s="43">
        <f t="shared" si="18"/>
        <v>3.9242770267603632E-4</v>
      </c>
      <c r="AB11" s="43">
        <f t="shared" si="9"/>
        <v>5.8864155401405446E-5</v>
      </c>
      <c r="AC11" s="109">
        <f t="shared" si="10"/>
        <v>1.4897846468279709E-2</v>
      </c>
      <c r="AE11" s="53">
        <f t="shared" si="11"/>
        <v>685670.43769721186</v>
      </c>
      <c r="AF11" s="54">
        <f t="shared" si="12"/>
        <v>26026555.219922461</v>
      </c>
      <c r="AG11" s="54">
        <f t="shared" si="13"/>
        <v>29086959.299960729</v>
      </c>
      <c r="AH11" s="54">
        <f t="shared" si="19"/>
        <v>55799184.957580402</v>
      </c>
      <c r="AI11" s="55">
        <f t="shared" si="20"/>
        <v>7.1448486758316637E-3</v>
      </c>
    </row>
    <row r="12" spans="1:35" ht="14.25">
      <c r="A12" s="4" t="s">
        <v>50</v>
      </c>
      <c r="B12" s="44">
        <v>653982108</v>
      </c>
      <c r="C12" s="44">
        <v>292840828.44</v>
      </c>
      <c r="D12" s="51">
        <f t="shared" si="0"/>
        <v>0.44778110113067499</v>
      </c>
      <c r="E12" s="52">
        <f t="shared" si="14"/>
        <v>131128588.61488228</v>
      </c>
      <c r="F12" s="109">
        <f t="shared" si="1"/>
        <v>7.5397305722636324E-2</v>
      </c>
      <c r="G12" s="41">
        <v>656464</v>
      </c>
      <c r="H12" s="103">
        <f t="shared" si="2"/>
        <v>0.11348786970290306</v>
      </c>
      <c r="I12" s="43">
        <f t="shared" si="15"/>
        <v>9.6464689247467594E-2</v>
      </c>
      <c r="J12" s="44">
        <v>238.03</v>
      </c>
      <c r="K12" s="100">
        <f t="shared" si="3"/>
        <v>3.7064696526665922E-3</v>
      </c>
      <c r="L12" s="45">
        <f t="shared" si="16"/>
        <v>5.5597044789998883E-4</v>
      </c>
      <c r="M12" s="109">
        <f t="shared" si="17"/>
        <v>9.7020659695367578E-2</v>
      </c>
      <c r="N12" s="46">
        <v>27572</v>
      </c>
      <c r="O12" s="47">
        <v>4134</v>
      </c>
      <c r="P12" s="47">
        <v>4960</v>
      </c>
      <c r="Q12" s="47">
        <v>1244</v>
      </c>
      <c r="R12" s="48">
        <f t="shared" si="4"/>
        <v>3.9529532272485512E-2</v>
      </c>
      <c r="S12" s="49">
        <v>34239.000000084088</v>
      </c>
      <c r="T12" s="49">
        <v>3826</v>
      </c>
      <c r="U12" s="49">
        <v>1071</v>
      </c>
      <c r="V12" s="49">
        <v>267</v>
      </c>
      <c r="W12" s="48">
        <f t="shared" si="5"/>
        <v>4.7025042297749592E-2</v>
      </c>
      <c r="X12" s="50">
        <f t="shared" si="6"/>
        <v>3.9971285953087153E-2</v>
      </c>
      <c r="Y12" s="42">
        <f t="shared" si="7"/>
        <v>0.18961797912497236</v>
      </c>
      <c r="Z12" s="42">
        <f t="shared" si="8"/>
        <v>0</v>
      </c>
      <c r="AA12" s="43">
        <f t="shared" si="18"/>
        <v>0</v>
      </c>
      <c r="AB12" s="43">
        <f t="shared" si="9"/>
        <v>0</v>
      </c>
      <c r="AC12" s="109">
        <f t="shared" si="10"/>
        <v>3.9971285953087153E-2</v>
      </c>
      <c r="AE12" s="53">
        <f t="shared" si="11"/>
        <v>294415487.17131585</v>
      </c>
      <c r="AF12" s="54">
        <f t="shared" si="12"/>
        <v>189425766.05438492</v>
      </c>
      <c r="AG12" s="54">
        <f t="shared" si="13"/>
        <v>78041022.248418376</v>
      </c>
      <c r="AH12" s="54">
        <f t="shared" si="19"/>
        <v>561882275.47411907</v>
      </c>
      <c r="AI12" s="55">
        <f t="shared" si="20"/>
        <v>7.1946639273431853E-2</v>
      </c>
    </row>
    <row r="13" spans="1:35" ht="14.25">
      <c r="A13" s="4" t="s">
        <v>51</v>
      </c>
      <c r="B13" s="44">
        <v>1436942</v>
      </c>
      <c r="C13" s="44">
        <v>785811.45</v>
      </c>
      <c r="D13" s="51">
        <f t="shared" si="0"/>
        <v>0.54686372170901809</v>
      </c>
      <c r="E13" s="52">
        <f t="shared" si="14"/>
        <v>429731.77410855994</v>
      </c>
      <c r="F13" s="109">
        <f t="shared" si="1"/>
        <v>2.4709041936196605E-4</v>
      </c>
      <c r="G13" s="41">
        <v>14992</v>
      </c>
      <c r="H13" s="103">
        <f t="shared" si="2"/>
        <v>2.5917798121236242E-3</v>
      </c>
      <c r="I13" s="43">
        <f t="shared" si="15"/>
        <v>2.2030128403050806E-3</v>
      </c>
      <c r="J13" s="44">
        <v>2664.8</v>
      </c>
      <c r="K13" s="100">
        <f t="shared" si="3"/>
        <v>4.149477095503061E-2</v>
      </c>
      <c r="L13" s="45">
        <f t="shared" si="16"/>
        <v>6.224215643254591E-3</v>
      </c>
      <c r="M13" s="109">
        <f t="shared" si="17"/>
        <v>8.4272284835596716E-3</v>
      </c>
      <c r="N13" s="46">
        <v>3888</v>
      </c>
      <c r="O13" s="47">
        <v>1372</v>
      </c>
      <c r="P13" s="47">
        <v>11340</v>
      </c>
      <c r="Q13" s="47">
        <v>3122</v>
      </c>
      <c r="R13" s="48">
        <f t="shared" si="4"/>
        <v>3.4598234920911047E-2</v>
      </c>
      <c r="S13" s="49">
        <v>3560.0000000065597</v>
      </c>
      <c r="T13" s="49">
        <v>1140</v>
      </c>
      <c r="U13" s="49">
        <v>7405</v>
      </c>
      <c r="V13" s="49">
        <v>920</v>
      </c>
      <c r="W13" s="48">
        <f t="shared" si="5"/>
        <v>3.8484178834662916E-2</v>
      </c>
      <c r="X13" s="50">
        <f t="shared" si="6"/>
        <v>3.2711552009463477E-2</v>
      </c>
      <c r="Y13" s="42">
        <f t="shared" si="7"/>
        <v>0.11231624742229894</v>
      </c>
      <c r="Z13" s="42">
        <f t="shared" si="8"/>
        <v>0</v>
      </c>
      <c r="AA13" s="43">
        <f t="shared" si="18"/>
        <v>0</v>
      </c>
      <c r="AB13" s="43">
        <f t="shared" si="9"/>
        <v>0</v>
      </c>
      <c r="AC13" s="109">
        <f t="shared" si="10"/>
        <v>3.2711552009463477E-2</v>
      </c>
      <c r="AE13" s="53">
        <f t="shared" si="11"/>
        <v>964852.06592703564</v>
      </c>
      <c r="AF13" s="54">
        <f t="shared" si="12"/>
        <v>16453549.339139808</v>
      </c>
      <c r="AG13" s="54">
        <f t="shared" si="13"/>
        <v>63866920.897841841</v>
      </c>
      <c r="AH13" s="54">
        <f t="shared" si="19"/>
        <v>81285322.302908689</v>
      </c>
      <c r="AI13" s="55">
        <f t="shared" si="20"/>
        <v>1.0408240332936771E-2</v>
      </c>
    </row>
    <row r="14" spans="1:35" ht="14.25">
      <c r="A14" s="4" t="s">
        <v>52</v>
      </c>
      <c r="B14" s="44">
        <v>2146802</v>
      </c>
      <c r="C14" s="44">
        <v>927656</v>
      </c>
      <c r="D14" s="51">
        <f t="shared" si="0"/>
        <v>0.43211064644061259</v>
      </c>
      <c r="E14" s="52">
        <f t="shared" si="14"/>
        <v>400850.03383451293</v>
      </c>
      <c r="F14" s="109">
        <f t="shared" si="1"/>
        <v>2.3048377832169973E-4</v>
      </c>
      <c r="G14" s="41">
        <v>3661</v>
      </c>
      <c r="H14" s="103">
        <f t="shared" si="2"/>
        <v>6.329046086035611E-4</v>
      </c>
      <c r="I14" s="43">
        <f t="shared" si="15"/>
        <v>5.3796891731302697E-4</v>
      </c>
      <c r="J14" s="44">
        <v>465.62</v>
      </c>
      <c r="K14" s="100">
        <f t="shared" si="3"/>
        <v>7.2503734809671837E-3</v>
      </c>
      <c r="L14" s="45">
        <f t="shared" si="16"/>
        <v>1.0875560221450776E-3</v>
      </c>
      <c r="M14" s="109">
        <f t="shared" si="17"/>
        <v>1.6255249394581046E-3</v>
      </c>
      <c r="N14" s="46">
        <v>739</v>
      </c>
      <c r="O14" s="47">
        <v>153</v>
      </c>
      <c r="P14" s="47">
        <v>789</v>
      </c>
      <c r="Q14" s="47">
        <v>57</v>
      </c>
      <c r="R14" s="48">
        <f t="shared" si="4"/>
        <v>1.8214399438062257E-3</v>
      </c>
      <c r="S14" s="49">
        <v>518.99999999744</v>
      </c>
      <c r="T14" s="49">
        <v>104</v>
      </c>
      <c r="U14" s="49">
        <v>89</v>
      </c>
      <c r="V14" s="49">
        <v>41</v>
      </c>
      <c r="W14" s="48">
        <f t="shared" si="5"/>
        <v>1.6906448867138209E-3</v>
      </c>
      <c r="X14" s="50">
        <f t="shared" si="6"/>
        <v>1.4370481537067476E-3</v>
      </c>
      <c r="Y14" s="42">
        <f t="shared" si="7"/>
        <v>-7.1808602604313709E-2</v>
      </c>
      <c r="Z14" s="42">
        <f t="shared" si="8"/>
        <v>-7.1808602604313709E-2</v>
      </c>
      <c r="AA14" s="43">
        <f t="shared" si="18"/>
        <v>1.3380845347842557E-2</v>
      </c>
      <c r="AB14" s="43">
        <f t="shared" si="9"/>
        <v>2.0071268021763836E-3</v>
      </c>
      <c r="AC14" s="109">
        <f t="shared" si="10"/>
        <v>3.4441749558831313E-3</v>
      </c>
      <c r="AE14" s="53">
        <f t="shared" si="11"/>
        <v>900005.55363738909</v>
      </c>
      <c r="AF14" s="54">
        <f t="shared" si="12"/>
        <v>3173718.9570157202</v>
      </c>
      <c r="AG14" s="54">
        <f t="shared" si="13"/>
        <v>6724500.5495941835</v>
      </c>
      <c r="AH14" s="54">
        <f t="shared" si="19"/>
        <v>10798225.060247293</v>
      </c>
      <c r="AI14" s="55">
        <f t="shared" si="20"/>
        <v>1.382666862996159E-3</v>
      </c>
    </row>
    <row r="15" spans="1:35" ht="14.25">
      <c r="A15" s="4" t="s">
        <v>53</v>
      </c>
      <c r="B15" s="44">
        <v>98384121</v>
      </c>
      <c r="C15" s="44">
        <v>28519495.5</v>
      </c>
      <c r="D15" s="51">
        <f t="shared" si="0"/>
        <v>0.28987904968932943</v>
      </c>
      <c r="E15" s="52">
        <f t="shared" si="14"/>
        <v>8267204.2531591067</v>
      </c>
      <c r="F15" s="109">
        <f t="shared" si="1"/>
        <v>4.7535395075256155E-3</v>
      </c>
      <c r="G15" s="41">
        <v>122337</v>
      </c>
      <c r="H15" s="103">
        <f t="shared" si="2"/>
        <v>2.1149317427679282E-2</v>
      </c>
      <c r="I15" s="43">
        <f t="shared" si="15"/>
        <v>1.7976919813527389E-2</v>
      </c>
      <c r="J15" s="44">
        <v>1140.97</v>
      </c>
      <c r="K15" s="100">
        <f t="shared" si="3"/>
        <v>1.7766544887631817E-2</v>
      </c>
      <c r="L15" s="45">
        <f t="shared" si="16"/>
        <v>2.6649817331447726E-3</v>
      </c>
      <c r="M15" s="109">
        <f t="shared" si="17"/>
        <v>2.0641901546672163E-2</v>
      </c>
      <c r="N15" s="46">
        <v>6662</v>
      </c>
      <c r="O15" s="47">
        <v>2055</v>
      </c>
      <c r="P15" s="47">
        <v>14558</v>
      </c>
      <c r="Q15" s="47">
        <v>683</v>
      </c>
      <c r="R15" s="48">
        <f t="shared" si="4"/>
        <v>2.4992050690700995E-2</v>
      </c>
      <c r="S15" s="49">
        <v>5056.9999999440479</v>
      </c>
      <c r="T15" s="49">
        <v>1587</v>
      </c>
      <c r="U15" s="49">
        <v>3489</v>
      </c>
      <c r="V15" s="49">
        <v>461</v>
      </c>
      <c r="W15" s="48">
        <f t="shared" si="5"/>
        <v>2.4875384301981683E-2</v>
      </c>
      <c r="X15" s="50">
        <f t="shared" si="6"/>
        <v>2.114407665668443E-2</v>
      </c>
      <c r="Y15" s="42">
        <f t="shared" si="7"/>
        <v>-4.6681398882853836E-3</v>
      </c>
      <c r="Z15" s="42">
        <f t="shared" si="8"/>
        <v>-4.6681398882853836E-3</v>
      </c>
      <c r="AA15" s="43">
        <f t="shared" si="18"/>
        <v>8.6986315903450563E-4</v>
      </c>
      <c r="AB15" s="43">
        <f t="shared" si="9"/>
        <v>1.3047947385517585E-4</v>
      </c>
      <c r="AC15" s="109">
        <f t="shared" si="10"/>
        <v>2.1274556130539607E-2</v>
      </c>
      <c r="AE15" s="53">
        <f t="shared" si="11"/>
        <v>18561878.789736092</v>
      </c>
      <c r="AF15" s="54">
        <f t="shared" si="12"/>
        <v>40301808.14658244</v>
      </c>
      <c r="AG15" s="54">
        <f t="shared" si="13"/>
        <v>41537020.106315494</v>
      </c>
      <c r="AH15" s="54">
        <f t="shared" si="19"/>
        <v>100400707.04263403</v>
      </c>
      <c r="AI15" s="55">
        <f t="shared" si="20"/>
        <v>1.2855884173065752E-2</v>
      </c>
    </row>
    <row r="16" spans="1:35" ht="14.25">
      <c r="A16" s="4" t="s">
        <v>54</v>
      </c>
      <c r="B16" s="44">
        <v>21304607</v>
      </c>
      <c r="C16" s="44">
        <v>6103961.7199999997</v>
      </c>
      <c r="D16" s="51">
        <f t="shared" si="0"/>
        <v>0.28650900342822561</v>
      </c>
      <c r="E16" s="52">
        <f t="shared" si="14"/>
        <v>1748839.9893612377</v>
      </c>
      <c r="F16" s="109">
        <f t="shared" si="1"/>
        <v>1.0055612184243113E-3</v>
      </c>
      <c r="G16" s="41">
        <v>104478</v>
      </c>
      <c r="H16" s="103">
        <f t="shared" si="2"/>
        <v>1.8061897759541888E-2</v>
      </c>
      <c r="I16" s="43">
        <f t="shared" si="15"/>
        <v>1.5352613095610604E-2</v>
      </c>
      <c r="J16" s="44">
        <v>102.38</v>
      </c>
      <c r="K16" s="100">
        <f t="shared" si="3"/>
        <v>1.5942039366466652E-3</v>
      </c>
      <c r="L16" s="45">
        <f t="shared" si="16"/>
        <v>2.3913059049699976E-4</v>
      </c>
      <c r="M16" s="109">
        <f t="shared" si="17"/>
        <v>1.5591743686107603E-2</v>
      </c>
      <c r="N16" s="46">
        <v>981</v>
      </c>
      <c r="O16" s="47">
        <v>219</v>
      </c>
      <c r="P16" s="47">
        <v>1075</v>
      </c>
      <c r="Q16" s="47">
        <v>108</v>
      </c>
      <c r="R16" s="48">
        <f t="shared" si="4"/>
        <v>2.6902734400869759E-3</v>
      </c>
      <c r="S16" s="49">
        <v>716.99999998365001</v>
      </c>
      <c r="T16" s="49">
        <v>253</v>
      </c>
      <c r="U16" s="49">
        <v>273</v>
      </c>
      <c r="V16" s="49">
        <v>153</v>
      </c>
      <c r="W16" s="48">
        <f t="shared" si="5"/>
        <v>4.7685085778216962E-3</v>
      </c>
      <c r="X16" s="50">
        <f t="shared" si="6"/>
        <v>4.0532322911484417E-3</v>
      </c>
      <c r="Y16" s="42">
        <f t="shared" si="7"/>
        <v>0.77249959307762084</v>
      </c>
      <c r="Z16" s="42">
        <f t="shared" si="8"/>
        <v>0</v>
      </c>
      <c r="AA16" s="43">
        <f t="shared" si="18"/>
        <v>0</v>
      </c>
      <c r="AB16" s="43">
        <f t="shared" si="9"/>
        <v>0</v>
      </c>
      <c r="AC16" s="109">
        <f t="shared" si="10"/>
        <v>4.0532322911484417E-3</v>
      </c>
      <c r="AE16" s="53">
        <f t="shared" si="11"/>
        <v>3926569.9638136062</v>
      </c>
      <c r="AF16" s="54">
        <f t="shared" si="12"/>
        <v>30441743.038421858</v>
      </c>
      <c r="AG16" s="54">
        <f t="shared" si="13"/>
        <v>7913640.6014751373</v>
      </c>
      <c r="AH16" s="54">
        <f t="shared" si="19"/>
        <v>42281953.603710599</v>
      </c>
      <c r="AI16" s="55">
        <f t="shared" si="20"/>
        <v>5.4140246035261673E-3</v>
      </c>
    </row>
    <row r="17" spans="1:35" ht="14.25">
      <c r="A17" s="4" t="s">
        <v>55</v>
      </c>
      <c r="B17" s="44">
        <v>2970608</v>
      </c>
      <c r="C17" s="44">
        <v>826855</v>
      </c>
      <c r="D17" s="51">
        <f t="shared" si="0"/>
        <v>0.27834537576146029</v>
      </c>
      <c r="E17" s="52">
        <f t="shared" si="14"/>
        <v>230151.26567524223</v>
      </c>
      <c r="F17" s="109">
        <f t="shared" si="1"/>
        <v>1.3233411206409112E-4</v>
      </c>
      <c r="G17" s="41">
        <v>7340</v>
      </c>
      <c r="H17" s="103">
        <f t="shared" si="2"/>
        <v>1.2689210126058832E-3</v>
      </c>
      <c r="I17" s="43">
        <f t="shared" si="15"/>
        <v>1.0785828607150008E-3</v>
      </c>
      <c r="J17" s="44">
        <v>1006.89</v>
      </c>
      <c r="K17" s="100">
        <f t="shared" si="3"/>
        <v>1.5678726331023254E-2</v>
      </c>
      <c r="L17" s="45">
        <f t="shared" si="16"/>
        <v>2.3518089496534882E-3</v>
      </c>
      <c r="M17" s="109">
        <f t="shared" si="17"/>
        <v>3.430391810368489E-3</v>
      </c>
      <c r="N17" s="46">
        <v>1343</v>
      </c>
      <c r="O17" s="47">
        <v>344</v>
      </c>
      <c r="P17" s="47">
        <v>1532</v>
      </c>
      <c r="Q17" s="47">
        <v>359</v>
      </c>
      <c r="R17" s="48">
        <f t="shared" si="4"/>
        <v>5.2022887779602407E-3</v>
      </c>
      <c r="S17" s="49">
        <v>655.00000000354908</v>
      </c>
      <c r="T17" s="49">
        <v>319</v>
      </c>
      <c r="U17" s="49">
        <v>345</v>
      </c>
      <c r="V17" s="49">
        <v>110</v>
      </c>
      <c r="W17" s="48">
        <f t="shared" si="5"/>
        <v>4.3080466935839033E-3</v>
      </c>
      <c r="X17" s="50">
        <f t="shared" si="6"/>
        <v>3.6618396895463177E-3</v>
      </c>
      <c r="Y17" s="42">
        <f t="shared" si="7"/>
        <v>-0.17189397254624528</v>
      </c>
      <c r="Z17" s="42">
        <f t="shared" si="8"/>
        <v>-0.17189397254624528</v>
      </c>
      <c r="AA17" s="43">
        <f t="shared" si="18"/>
        <v>3.2030795468082691E-2</v>
      </c>
      <c r="AB17" s="43">
        <f t="shared" si="9"/>
        <v>4.8046193202124039E-3</v>
      </c>
      <c r="AC17" s="109">
        <f t="shared" si="10"/>
        <v>8.4664590097587207E-3</v>
      </c>
      <c r="AE17" s="53">
        <f t="shared" si="11"/>
        <v>516745.41549348325</v>
      </c>
      <c r="AF17" s="54">
        <f t="shared" si="12"/>
        <v>6697589.9626537524</v>
      </c>
      <c r="AG17" s="54">
        <f t="shared" si="13"/>
        <v>16530144.081963705</v>
      </c>
      <c r="AH17" s="54">
        <f t="shared" si="19"/>
        <v>23744479.46011094</v>
      </c>
      <c r="AI17" s="55">
        <f t="shared" si="20"/>
        <v>3.0403797610638484E-3</v>
      </c>
    </row>
    <row r="18" spans="1:35" ht="14.25">
      <c r="A18" s="4" t="s">
        <v>56</v>
      </c>
      <c r="B18" s="44">
        <v>4274726</v>
      </c>
      <c r="C18" s="44">
        <v>1648610</v>
      </c>
      <c r="D18" s="51">
        <f t="shared" si="0"/>
        <v>0.38566448469445763</v>
      </c>
      <c r="E18" s="52">
        <f t="shared" si="14"/>
        <v>635810.32611212984</v>
      </c>
      <c r="F18" s="109">
        <f t="shared" si="1"/>
        <v>3.6558302080317402E-4</v>
      </c>
      <c r="G18" s="41">
        <v>9930</v>
      </c>
      <c r="H18" s="103">
        <f t="shared" si="2"/>
        <v>1.7166737949831634E-3</v>
      </c>
      <c r="I18" s="43">
        <f t="shared" si="15"/>
        <v>1.4591727257356889E-3</v>
      </c>
      <c r="J18" s="44">
        <v>4292.05</v>
      </c>
      <c r="K18" s="100">
        <f t="shared" si="3"/>
        <v>6.6833395255756198E-2</v>
      </c>
      <c r="L18" s="45">
        <f t="shared" si="16"/>
        <v>1.002500928836343E-2</v>
      </c>
      <c r="M18" s="109">
        <f t="shared" si="17"/>
        <v>1.1484182014099118E-2</v>
      </c>
      <c r="N18" s="46">
        <v>2046</v>
      </c>
      <c r="O18" s="47">
        <v>494</v>
      </c>
      <c r="P18" s="47">
        <v>4758</v>
      </c>
      <c r="Q18" s="47">
        <v>898</v>
      </c>
      <c r="R18" s="48">
        <f t="shared" si="4"/>
        <v>1.1896172975626618E-2</v>
      </c>
      <c r="S18" s="49">
        <v>787.99999998764804</v>
      </c>
      <c r="T18" s="49">
        <v>378</v>
      </c>
      <c r="U18" s="49">
        <v>1925</v>
      </c>
      <c r="V18" s="49">
        <v>123</v>
      </c>
      <c r="W18" s="48">
        <f t="shared" si="5"/>
        <v>8.0591670203057422E-3</v>
      </c>
      <c r="X18" s="50">
        <f t="shared" si="6"/>
        <v>6.8502919672598804E-3</v>
      </c>
      <c r="Y18" s="42">
        <f t="shared" si="7"/>
        <v>-0.32254120406472697</v>
      </c>
      <c r="Z18" s="42">
        <f t="shared" si="8"/>
        <v>-0.32254120406472697</v>
      </c>
      <c r="AA18" s="43">
        <f t="shared" si="18"/>
        <v>6.0102464236475396E-2</v>
      </c>
      <c r="AB18" s="43">
        <f t="shared" si="9"/>
        <v>9.0153696354713098E-3</v>
      </c>
      <c r="AC18" s="109">
        <f t="shared" si="10"/>
        <v>1.5865661602731191E-2</v>
      </c>
      <c r="AE18" s="53">
        <f t="shared" si="11"/>
        <v>1427548.4003006399</v>
      </c>
      <c r="AF18" s="54">
        <f t="shared" si="12"/>
        <v>22422028.280978415</v>
      </c>
      <c r="AG18" s="54">
        <f t="shared" si="13"/>
        <v>30976547.804286808</v>
      </c>
      <c r="AH18" s="54">
        <f t="shared" si="19"/>
        <v>54826124.485565864</v>
      </c>
      <c r="AI18" s="55">
        <f t="shared" si="20"/>
        <v>7.020252414609165E-3</v>
      </c>
    </row>
    <row r="19" spans="1:35" ht="14.25">
      <c r="A19" s="4" t="s">
        <v>57</v>
      </c>
      <c r="B19" s="44">
        <v>41956827</v>
      </c>
      <c r="C19" s="44">
        <v>14225141</v>
      </c>
      <c r="D19" s="51">
        <f t="shared" si="0"/>
        <v>0.33904234464631944</v>
      </c>
      <c r="E19" s="52">
        <f t="shared" si="14"/>
        <v>4822925.1575644892</v>
      </c>
      <c r="F19" s="109">
        <f t="shared" si="1"/>
        <v>2.7731219135612157E-3</v>
      </c>
      <c r="G19" s="41">
        <v>68747</v>
      </c>
      <c r="H19" s="103">
        <f t="shared" si="2"/>
        <v>1.1884811015479108E-2</v>
      </c>
      <c r="I19" s="43">
        <f t="shared" si="15"/>
        <v>1.0102089363157242E-2</v>
      </c>
      <c r="J19" s="44">
        <v>146.56</v>
      </c>
      <c r="K19" s="100">
        <f t="shared" si="3"/>
        <v>2.2821501167702212E-3</v>
      </c>
      <c r="L19" s="45">
        <f t="shared" si="16"/>
        <v>3.4232251751553319E-4</v>
      </c>
      <c r="M19" s="109">
        <f t="shared" si="17"/>
        <v>1.0444411880672775E-2</v>
      </c>
      <c r="N19" s="46">
        <v>1162</v>
      </c>
      <c r="O19" s="47">
        <v>349</v>
      </c>
      <c r="P19" s="47">
        <v>489</v>
      </c>
      <c r="Q19" s="47">
        <v>43</v>
      </c>
      <c r="R19" s="48">
        <f t="shared" si="4"/>
        <v>2.3119536336203231E-3</v>
      </c>
      <c r="S19" s="49">
        <v>2032.9999999577099</v>
      </c>
      <c r="T19" s="49">
        <v>358</v>
      </c>
      <c r="U19" s="49">
        <v>131</v>
      </c>
      <c r="V19" s="49">
        <v>31</v>
      </c>
      <c r="W19" s="48">
        <f t="shared" si="5"/>
        <v>3.6514914876276086E-3</v>
      </c>
      <c r="X19" s="50">
        <f t="shared" si="6"/>
        <v>3.1037677644834673E-3</v>
      </c>
      <c r="Y19" s="42">
        <f t="shared" si="7"/>
        <v>0.57939650455259473</v>
      </c>
      <c r="Z19" s="42">
        <f t="shared" si="8"/>
        <v>0</v>
      </c>
      <c r="AA19" s="43">
        <f t="shared" si="18"/>
        <v>0</v>
      </c>
      <c r="AB19" s="43">
        <f t="shared" si="9"/>
        <v>0</v>
      </c>
      <c r="AC19" s="109">
        <f t="shared" si="10"/>
        <v>3.1037677644834673E-3</v>
      </c>
      <c r="AE19" s="53">
        <f t="shared" si="11"/>
        <v>10828636.797315376</v>
      </c>
      <c r="AF19" s="54">
        <f t="shared" si="12"/>
        <v>20391952.886076115</v>
      </c>
      <c r="AG19" s="54">
        <f t="shared" si="13"/>
        <v>6059880.321245213</v>
      </c>
      <c r="AH19" s="54">
        <f t="shared" si="19"/>
        <v>37280470.004636705</v>
      </c>
      <c r="AI19" s="55">
        <f t="shared" si="20"/>
        <v>4.7736058680696693E-3</v>
      </c>
    </row>
    <row r="20" spans="1:35" ht="14.25">
      <c r="A20" s="4" t="s">
        <v>58</v>
      </c>
      <c r="B20" s="44">
        <v>6139487</v>
      </c>
      <c r="C20" s="44">
        <v>766514</v>
      </c>
      <c r="D20" s="51">
        <f t="shared" si="0"/>
        <v>0.12484984494632857</v>
      </c>
      <c r="E20" s="52">
        <f t="shared" si="14"/>
        <v>95699.154049190096</v>
      </c>
      <c r="F20" s="109">
        <f t="shared" si="1"/>
        <v>5.5025821992455631E-5</v>
      </c>
      <c r="G20" s="41">
        <v>36088</v>
      </c>
      <c r="H20" s="103">
        <f t="shared" si="2"/>
        <v>6.2388040194715413E-3</v>
      </c>
      <c r="I20" s="43">
        <f t="shared" si="15"/>
        <v>5.3029834165508102E-3</v>
      </c>
      <c r="J20" s="44">
        <v>5091.18</v>
      </c>
      <c r="K20" s="100">
        <f t="shared" si="3"/>
        <v>7.9276999396139566E-2</v>
      </c>
      <c r="L20" s="45">
        <f t="shared" si="16"/>
        <v>1.1891549909420934E-2</v>
      </c>
      <c r="M20" s="109">
        <f t="shared" si="17"/>
        <v>1.7194533325971744E-2</v>
      </c>
      <c r="N20" s="46">
        <v>7369</v>
      </c>
      <c r="O20" s="47">
        <v>3474</v>
      </c>
      <c r="P20" s="47">
        <v>27910</v>
      </c>
      <c r="Q20" s="47">
        <v>2988</v>
      </c>
      <c r="R20" s="48">
        <f t="shared" si="4"/>
        <v>5.4151178076420683E-2</v>
      </c>
      <c r="S20" s="49">
        <v>7387.0000000238397</v>
      </c>
      <c r="T20" s="49">
        <v>3170</v>
      </c>
      <c r="U20" s="49">
        <v>23798</v>
      </c>
      <c r="V20" s="49">
        <v>1385</v>
      </c>
      <c r="W20" s="48">
        <f t="shared" si="5"/>
        <v>9.0180106426097695E-2</v>
      </c>
      <c r="X20" s="50">
        <f t="shared" si="6"/>
        <v>7.6653090462183035E-2</v>
      </c>
      <c r="Y20" s="42">
        <f t="shared" si="7"/>
        <v>0.66533969582030694</v>
      </c>
      <c r="Z20" s="42">
        <f t="shared" si="8"/>
        <v>0</v>
      </c>
      <c r="AA20" s="43">
        <f t="shared" si="18"/>
        <v>0</v>
      </c>
      <c r="AB20" s="43">
        <f t="shared" si="9"/>
        <v>0</v>
      </c>
      <c r="AC20" s="109">
        <f t="shared" si="10"/>
        <v>7.6653090462183035E-2</v>
      </c>
      <c r="AE20" s="53">
        <f t="shared" si="11"/>
        <v>214867.81302912143</v>
      </c>
      <c r="AF20" s="54">
        <f t="shared" si="12"/>
        <v>33571072.980195001</v>
      </c>
      <c r="AG20" s="54">
        <f t="shared" si="13"/>
        <v>149659571.75333837</v>
      </c>
      <c r="AH20" s="54">
        <f t="shared" si="19"/>
        <v>183445512.54656249</v>
      </c>
      <c r="AI20" s="55">
        <f t="shared" si="20"/>
        <v>2.3489418858034926E-2</v>
      </c>
    </row>
    <row r="21" spans="1:35" ht="14.25">
      <c r="A21" s="4" t="s">
        <v>59</v>
      </c>
      <c r="B21" s="44">
        <v>1456249</v>
      </c>
      <c r="C21" s="44">
        <v>328496</v>
      </c>
      <c r="D21" s="51">
        <f t="shared" si="0"/>
        <v>0.2255768072630436</v>
      </c>
      <c r="E21" s="52">
        <f t="shared" si="14"/>
        <v>74101.078878680768</v>
      </c>
      <c r="F21" s="109">
        <f t="shared" si="1"/>
        <v>4.2607197695095084E-5</v>
      </c>
      <c r="G21" s="41">
        <v>1360</v>
      </c>
      <c r="H21" s="103">
        <f t="shared" si="2"/>
        <v>2.351134301286105E-4</v>
      </c>
      <c r="I21" s="43">
        <f t="shared" si="15"/>
        <v>1.9984641560931893E-4</v>
      </c>
      <c r="J21" s="44">
        <v>720.74</v>
      </c>
      <c r="K21" s="100">
        <f t="shared" si="3"/>
        <v>1.1222959028117967E-2</v>
      </c>
      <c r="L21" s="45">
        <f t="shared" si="16"/>
        <v>1.683443854217695E-3</v>
      </c>
      <c r="M21" s="109">
        <f t="shared" si="17"/>
        <v>1.883290269827014E-3</v>
      </c>
      <c r="N21" s="46">
        <v>381</v>
      </c>
      <c r="O21" s="47">
        <v>111</v>
      </c>
      <c r="P21" s="47">
        <v>881</v>
      </c>
      <c r="Q21" s="47">
        <v>100</v>
      </c>
      <c r="R21" s="48">
        <f t="shared" si="4"/>
        <v>1.8361963451452015E-3</v>
      </c>
      <c r="S21" s="49">
        <v>157.99999999728001</v>
      </c>
      <c r="T21" s="49">
        <v>83</v>
      </c>
      <c r="U21" s="49">
        <v>189</v>
      </c>
      <c r="V21" s="49">
        <v>25</v>
      </c>
      <c r="W21" s="48">
        <f t="shared" si="5"/>
        <v>1.2466935297393157E-3</v>
      </c>
      <c r="X21" s="50">
        <f t="shared" si="6"/>
        <v>1.0596895002784182E-3</v>
      </c>
      <c r="Y21" s="42">
        <f t="shared" si="7"/>
        <v>-0.32104563162022282</v>
      </c>
      <c r="Z21" s="42">
        <f t="shared" si="8"/>
        <v>-0.32104563162022282</v>
      </c>
      <c r="AA21" s="43">
        <f t="shared" si="18"/>
        <v>5.982377863529921E-2</v>
      </c>
      <c r="AB21" s="43">
        <f t="shared" si="9"/>
        <v>8.9735667952948808E-3</v>
      </c>
      <c r="AC21" s="109">
        <f t="shared" si="10"/>
        <v>1.0033256295573299E-2</v>
      </c>
      <c r="AE21" s="53">
        <f t="shared" si="11"/>
        <v>166374.89557720188</v>
      </c>
      <c r="AF21" s="54">
        <f t="shared" si="12"/>
        <v>3676986.9756078846</v>
      </c>
      <c r="AG21" s="54">
        <f t="shared" si="13"/>
        <v>19589201.575998951</v>
      </c>
      <c r="AH21" s="54">
        <f t="shared" si="19"/>
        <v>23432563.447184037</v>
      </c>
      <c r="AI21" s="55">
        <f t="shared" si="20"/>
        <v>3.0004402401976262E-3</v>
      </c>
    </row>
    <row r="22" spans="1:35" ht="14.25">
      <c r="A22" s="4" t="s">
        <v>60</v>
      </c>
      <c r="B22" s="44">
        <v>2045528</v>
      </c>
      <c r="C22" s="44">
        <v>704192</v>
      </c>
      <c r="D22" s="51">
        <f t="shared" si="0"/>
        <v>0.34425928171112791</v>
      </c>
      <c r="E22" s="52">
        <f t="shared" si="14"/>
        <v>242424.63210672259</v>
      </c>
      <c r="F22" s="109">
        <f t="shared" si="1"/>
        <v>1.3939114494193331E-4</v>
      </c>
      <c r="G22" s="41">
        <v>3256</v>
      </c>
      <c r="H22" s="103">
        <f t="shared" si="2"/>
        <v>5.6288921213143808E-4</v>
      </c>
      <c r="I22" s="43">
        <f t="shared" si="15"/>
        <v>4.7845583031172234E-4</v>
      </c>
      <c r="J22" s="44">
        <v>615.78</v>
      </c>
      <c r="K22" s="100">
        <f t="shared" si="3"/>
        <v>9.5885807785532663E-3</v>
      </c>
      <c r="L22" s="45">
        <f t="shared" si="16"/>
        <v>1.4382871167829899E-3</v>
      </c>
      <c r="M22" s="109">
        <f t="shared" si="17"/>
        <v>1.9167429470947123E-3</v>
      </c>
      <c r="N22" s="46">
        <v>519</v>
      </c>
      <c r="O22" s="47">
        <v>176</v>
      </c>
      <c r="P22" s="47">
        <v>1034</v>
      </c>
      <c r="Q22" s="47">
        <v>145</v>
      </c>
      <c r="R22" s="48">
        <f t="shared" si="4"/>
        <v>2.5035278635428637E-3</v>
      </c>
      <c r="S22" s="49">
        <v>277.00000000287605</v>
      </c>
      <c r="T22" s="49">
        <v>136</v>
      </c>
      <c r="U22" s="49">
        <v>317</v>
      </c>
      <c r="V22" s="49">
        <v>84</v>
      </c>
      <c r="W22" s="48">
        <f t="shared" si="5"/>
        <v>2.8557104435277978E-3</v>
      </c>
      <c r="X22" s="50">
        <f t="shared" si="6"/>
        <v>2.4273538769986279E-3</v>
      </c>
      <c r="Y22" s="42">
        <f t="shared" si="7"/>
        <v>0.14067451979006276</v>
      </c>
      <c r="Z22" s="42">
        <f t="shared" si="8"/>
        <v>0</v>
      </c>
      <c r="AA22" s="43">
        <f t="shared" si="18"/>
        <v>0</v>
      </c>
      <c r="AB22" s="43">
        <f t="shared" si="9"/>
        <v>0</v>
      </c>
      <c r="AC22" s="109">
        <f t="shared" si="10"/>
        <v>2.4273538769986279E-3</v>
      </c>
      <c r="AE22" s="53">
        <f t="shared" si="11"/>
        <v>544302.10008321016</v>
      </c>
      <c r="AF22" s="54">
        <f t="shared" si="12"/>
        <v>3742300.8895505499</v>
      </c>
      <c r="AG22" s="54">
        <f t="shared" si="13"/>
        <v>4739231.5108892256</v>
      </c>
      <c r="AH22" s="54">
        <f t="shared" si="19"/>
        <v>9025834.5005229861</v>
      </c>
      <c r="AI22" s="55">
        <f t="shared" si="20"/>
        <v>1.1557197784943019E-3</v>
      </c>
    </row>
    <row r="23" spans="1:35" ht="14.25">
      <c r="A23" s="4" t="s">
        <v>61</v>
      </c>
      <c r="B23" s="44">
        <v>9607239</v>
      </c>
      <c r="C23" s="44">
        <v>1253081</v>
      </c>
      <c r="D23" s="51">
        <f t="shared" si="0"/>
        <v>0.13043091776940285</v>
      </c>
      <c r="E23" s="52">
        <f t="shared" si="14"/>
        <v>163440.50486940111</v>
      </c>
      <c r="F23" s="109">
        <f t="shared" si="1"/>
        <v>9.3976255241274564E-5</v>
      </c>
      <c r="G23" s="41">
        <v>40903</v>
      </c>
      <c r="H23" s="103">
        <f t="shared" si="2"/>
        <v>7.0712092886401146E-3</v>
      </c>
      <c r="I23" s="43">
        <f t="shared" si="15"/>
        <v>6.0105278953440974E-3</v>
      </c>
      <c r="J23" s="44">
        <v>7010.79</v>
      </c>
      <c r="K23" s="100">
        <f t="shared" si="3"/>
        <v>0.1091680896366778</v>
      </c>
      <c r="L23" s="45">
        <f t="shared" si="16"/>
        <v>1.637521344550167E-2</v>
      </c>
      <c r="M23" s="109">
        <f t="shared" si="17"/>
        <v>2.2385741340845769E-2</v>
      </c>
      <c r="N23" s="46">
        <v>6824</v>
      </c>
      <c r="O23" s="47">
        <v>2866</v>
      </c>
      <c r="P23" s="47">
        <v>26645</v>
      </c>
      <c r="Q23" s="47">
        <v>2369</v>
      </c>
      <c r="R23" s="48">
        <f t="shared" si="4"/>
        <v>4.7204442280875711E-2</v>
      </c>
      <c r="S23" s="49">
        <v>7532.9999999958</v>
      </c>
      <c r="T23" s="49">
        <v>2466</v>
      </c>
      <c r="U23" s="49">
        <v>13627</v>
      </c>
      <c r="V23" s="49">
        <v>715</v>
      </c>
      <c r="W23" s="48">
        <f t="shared" si="5"/>
        <v>5.5035533032423221E-2</v>
      </c>
      <c r="X23" s="50">
        <f t="shared" si="6"/>
        <v>4.6780203077559736E-2</v>
      </c>
      <c r="Y23" s="42">
        <f t="shared" si="7"/>
        <v>0.16589732603874402</v>
      </c>
      <c r="Z23" s="42">
        <f t="shared" si="8"/>
        <v>0</v>
      </c>
      <c r="AA23" s="43">
        <f t="shared" si="18"/>
        <v>0</v>
      </c>
      <c r="AB23" s="43">
        <f t="shared" si="9"/>
        <v>0</v>
      </c>
      <c r="AC23" s="109">
        <f t="shared" si="10"/>
        <v>4.6780203077559736E-2</v>
      </c>
      <c r="AE23" s="53">
        <f t="shared" si="11"/>
        <v>366963.57653916889</v>
      </c>
      <c r="AF23" s="54">
        <f t="shared" si="12"/>
        <v>43706528.233259276</v>
      </c>
      <c r="AG23" s="54">
        <f t="shared" si="13"/>
        <v>91334936.620406732</v>
      </c>
      <c r="AH23" s="54">
        <f t="shared" si="19"/>
        <v>135408428.43020517</v>
      </c>
      <c r="AI23" s="55">
        <f t="shared" si="20"/>
        <v>1.7338474232222012E-2</v>
      </c>
    </row>
    <row r="24" spans="1:35" ht="14.25">
      <c r="A24" s="4" t="s">
        <v>62</v>
      </c>
      <c r="B24" s="44">
        <v>354652384</v>
      </c>
      <c r="C24" s="44">
        <v>89654721.319999993</v>
      </c>
      <c r="D24" s="51">
        <f t="shared" si="0"/>
        <v>0.25279604865140282</v>
      </c>
      <c r="E24" s="52">
        <f t="shared" si="14"/>
        <v>22664359.292638678</v>
      </c>
      <c r="F24" s="109">
        <f t="shared" si="1"/>
        <v>1.3031724390883974E-2</v>
      </c>
      <c r="G24" s="41">
        <v>397205</v>
      </c>
      <c r="H24" s="103">
        <f t="shared" si="2"/>
        <v>6.8667816186937305E-2</v>
      </c>
      <c r="I24" s="43">
        <f t="shared" si="15"/>
        <v>5.8367643758896706E-2</v>
      </c>
      <c r="J24" s="44">
        <v>1040.01</v>
      </c>
      <c r="K24" s="100">
        <f t="shared" si="3"/>
        <v>1.6194452394529189E-2</v>
      </c>
      <c r="L24" s="45">
        <f t="shared" si="16"/>
        <v>2.4291678591793781E-3</v>
      </c>
      <c r="M24" s="109">
        <f t="shared" si="17"/>
        <v>6.0796811618076083E-2</v>
      </c>
      <c r="N24" s="46">
        <v>3671</v>
      </c>
      <c r="O24" s="47">
        <v>1263</v>
      </c>
      <c r="P24" s="47">
        <v>9334</v>
      </c>
      <c r="Q24" s="47">
        <v>932</v>
      </c>
      <c r="R24" s="48">
        <f t="shared" si="4"/>
        <v>1.8673316452561674E-2</v>
      </c>
      <c r="S24" s="49">
        <v>8688.9999999445354</v>
      </c>
      <c r="T24" s="49">
        <v>1809</v>
      </c>
      <c r="U24" s="49">
        <v>2369</v>
      </c>
      <c r="V24" s="49">
        <v>783</v>
      </c>
      <c r="W24" s="48">
        <f t="shared" si="5"/>
        <v>3.2080092269919827E-2</v>
      </c>
      <c r="X24" s="50">
        <f t="shared" si="6"/>
        <v>2.7268078429431852E-2</v>
      </c>
      <c r="Y24" s="42">
        <f t="shared" si="7"/>
        <v>0.71796436650217865</v>
      </c>
      <c r="Z24" s="42">
        <f t="shared" si="8"/>
        <v>0</v>
      </c>
      <c r="AA24" s="43">
        <f t="shared" si="18"/>
        <v>0</v>
      </c>
      <c r="AB24" s="43">
        <f t="shared" si="9"/>
        <v>0</v>
      </c>
      <c r="AC24" s="109">
        <f t="shared" si="10"/>
        <v>2.7268078429431852E-2</v>
      </c>
      <c r="AE24" s="53">
        <f t="shared" si="11"/>
        <v>50886983.937312365</v>
      </c>
      <c r="AF24" s="54">
        <f t="shared" si="12"/>
        <v>118701343.10134016</v>
      </c>
      <c r="AG24" s="54">
        <f t="shared" si="13"/>
        <v>53238935.516873248</v>
      </c>
      <c r="AH24" s="54">
        <f t="shared" si="19"/>
        <v>222827262.55552578</v>
      </c>
      <c r="AI24" s="55">
        <f t="shared" si="20"/>
        <v>2.8532084707318977E-2</v>
      </c>
    </row>
    <row r="25" spans="1:35" ht="14.25">
      <c r="A25" s="4" t="s">
        <v>63</v>
      </c>
      <c r="B25" s="44">
        <v>4705374</v>
      </c>
      <c r="C25" s="44">
        <v>1101010</v>
      </c>
      <c r="D25" s="51">
        <f t="shared" si="0"/>
        <v>0.23398990175913753</v>
      </c>
      <c r="E25" s="52">
        <f t="shared" si="14"/>
        <v>257625.221735828</v>
      </c>
      <c r="F25" s="109">
        <f t="shared" si="1"/>
        <v>1.4813129471046306E-4</v>
      </c>
      <c r="G25" s="41">
        <v>5506</v>
      </c>
      <c r="H25" s="103">
        <f t="shared" si="2"/>
        <v>9.5186363697656574E-4</v>
      </c>
      <c r="I25" s="43">
        <f t="shared" si="15"/>
        <v>8.0908409143008091E-4</v>
      </c>
      <c r="J25" s="44">
        <v>1894.8</v>
      </c>
      <c r="K25" s="100">
        <f t="shared" si="3"/>
        <v>2.9504762836082252E-2</v>
      </c>
      <c r="L25" s="45">
        <f t="shared" si="16"/>
        <v>4.425714425412338E-3</v>
      </c>
      <c r="M25" s="109">
        <f t="shared" si="17"/>
        <v>5.2347985168424193E-3</v>
      </c>
      <c r="N25" s="46">
        <v>814</v>
      </c>
      <c r="O25" s="47">
        <v>270</v>
      </c>
      <c r="P25" s="47">
        <v>1738</v>
      </c>
      <c r="Q25" s="47">
        <v>531</v>
      </c>
      <c r="R25" s="48">
        <f t="shared" si="4"/>
        <v>5.9353068366605382E-3</v>
      </c>
      <c r="S25" s="49">
        <v>320.00000000721394</v>
      </c>
      <c r="T25" s="49">
        <v>216</v>
      </c>
      <c r="U25" s="49">
        <v>671</v>
      </c>
      <c r="V25" s="49">
        <v>199</v>
      </c>
      <c r="W25" s="48">
        <f t="shared" si="5"/>
        <v>5.9759951440321521E-3</v>
      </c>
      <c r="X25" s="50">
        <f t="shared" si="6"/>
        <v>5.0795958724273293E-3</v>
      </c>
      <c r="Y25" s="42">
        <f t="shared" si="7"/>
        <v>6.8552997328284624E-3</v>
      </c>
      <c r="Z25" s="42">
        <f t="shared" si="8"/>
        <v>0</v>
      </c>
      <c r="AA25" s="43">
        <f t="shared" si="18"/>
        <v>0</v>
      </c>
      <c r="AB25" s="43">
        <f t="shared" si="9"/>
        <v>0</v>
      </c>
      <c r="AC25" s="109">
        <f t="shared" si="10"/>
        <v>5.0795958724273293E-3</v>
      </c>
      <c r="AE25" s="53">
        <f t="shared" si="11"/>
        <v>578431.11076056911</v>
      </c>
      <c r="AF25" s="54">
        <f t="shared" si="12"/>
        <v>10220562.530771775</v>
      </c>
      <c r="AG25" s="54">
        <f t="shared" si="13"/>
        <v>9917540.6805359088</v>
      </c>
      <c r="AH25" s="54">
        <f t="shared" si="19"/>
        <v>20716534.322068252</v>
      </c>
      <c r="AI25" s="55">
        <f t="shared" si="20"/>
        <v>2.6526642446726687E-3</v>
      </c>
    </row>
    <row r="26" spans="1:35" ht="14.25">
      <c r="A26" s="4" t="s">
        <v>64</v>
      </c>
      <c r="B26" s="44">
        <v>422301629</v>
      </c>
      <c r="C26" s="44">
        <v>149244141.31999999</v>
      </c>
      <c r="D26" s="51">
        <f t="shared" si="0"/>
        <v>0.35340650158846532</v>
      </c>
      <c r="E26" s="52">
        <f t="shared" si="14"/>
        <v>52743849.866475716</v>
      </c>
      <c r="F26" s="109">
        <f t="shared" si="1"/>
        <v>3.0327056939894226E-2</v>
      </c>
      <c r="G26" s="41">
        <v>481213</v>
      </c>
      <c r="H26" s="103">
        <f t="shared" si="2"/>
        <v>8.3190911067999293E-2</v>
      </c>
      <c r="I26" s="43">
        <f t="shared" si="15"/>
        <v>7.0712274407799397E-2</v>
      </c>
      <c r="J26" s="44">
        <v>151.27000000000001</v>
      </c>
      <c r="K26" s="100">
        <f t="shared" si="3"/>
        <v>2.3554915950043079E-3</v>
      </c>
      <c r="L26" s="45">
        <f t="shared" si="16"/>
        <v>3.5332373925064616E-4</v>
      </c>
      <c r="M26" s="109">
        <f t="shared" si="17"/>
        <v>7.1065598147050046E-2</v>
      </c>
      <c r="N26" s="46">
        <v>25525</v>
      </c>
      <c r="O26" s="47">
        <v>4815</v>
      </c>
      <c r="P26" s="47">
        <v>33044</v>
      </c>
      <c r="Q26" s="47">
        <v>5258</v>
      </c>
      <c r="R26" s="48">
        <f t="shared" si="4"/>
        <v>8.6919519735553008E-2</v>
      </c>
      <c r="S26" s="49">
        <v>20136.00000070727</v>
      </c>
      <c r="T26" s="49">
        <v>4791</v>
      </c>
      <c r="U26" s="49">
        <v>5994</v>
      </c>
      <c r="V26" s="49">
        <v>875</v>
      </c>
      <c r="W26" s="48">
        <f t="shared" si="5"/>
        <v>6.0297942215401121E-2</v>
      </c>
      <c r="X26" s="50">
        <f t="shared" si="6"/>
        <v>5.1253250883090955E-2</v>
      </c>
      <c r="Y26" s="42">
        <f t="shared" si="7"/>
        <v>-0.30627847002774872</v>
      </c>
      <c r="Z26" s="42">
        <f t="shared" si="8"/>
        <v>-0.30627847002774872</v>
      </c>
      <c r="AA26" s="43">
        <f t="shared" si="18"/>
        <v>5.7072059505151061E-2</v>
      </c>
      <c r="AB26" s="43">
        <f t="shared" si="9"/>
        <v>8.5608089257726595E-3</v>
      </c>
      <c r="AC26" s="109">
        <f t="shared" si="10"/>
        <v>5.9814059808863618E-2</v>
      </c>
      <c r="AE26" s="53">
        <f t="shared" si="11"/>
        <v>118422736.16881429</v>
      </c>
      <c r="AF26" s="54">
        <f t="shared" si="12"/>
        <v>138750400.28985479</v>
      </c>
      <c r="AG26" s="54">
        <f t="shared" si="13"/>
        <v>116782591.82830288</v>
      </c>
      <c r="AH26" s="54">
        <f t="shared" si="19"/>
        <v>373955728.28697193</v>
      </c>
      <c r="AI26" s="55">
        <f t="shared" si="20"/>
        <v>4.7883442958925534E-2</v>
      </c>
    </row>
    <row r="27" spans="1:35" ht="14.25">
      <c r="A27" s="4" t="s">
        <v>65</v>
      </c>
      <c r="B27" s="44">
        <v>12413879</v>
      </c>
      <c r="C27" s="44">
        <v>4417747</v>
      </c>
      <c r="D27" s="51">
        <f t="shared" si="0"/>
        <v>0.35587160145511326</v>
      </c>
      <c r="E27" s="52">
        <f t="shared" si="14"/>
        <v>1572150.6997135223</v>
      </c>
      <c r="F27" s="109">
        <f t="shared" si="1"/>
        <v>9.0396707690106244E-4</v>
      </c>
      <c r="G27" s="41">
        <v>14109</v>
      </c>
      <c r="H27" s="103">
        <f t="shared" si="2"/>
        <v>2.4391289600621804E-3</v>
      </c>
      <c r="I27" s="43">
        <f t="shared" si="15"/>
        <v>2.0732596160528533E-3</v>
      </c>
      <c r="J27" s="44">
        <v>2479.16</v>
      </c>
      <c r="K27" s="100">
        <f t="shared" si="3"/>
        <v>3.8604088997625963E-2</v>
      </c>
      <c r="L27" s="45">
        <f t="shared" si="16"/>
        <v>5.7906133496438946E-3</v>
      </c>
      <c r="M27" s="109">
        <f t="shared" si="17"/>
        <v>7.8638729656967474E-3</v>
      </c>
      <c r="N27" s="46">
        <v>3166</v>
      </c>
      <c r="O27" s="47">
        <v>724</v>
      </c>
      <c r="P27" s="47">
        <v>6502</v>
      </c>
      <c r="Q27" s="47">
        <v>971</v>
      </c>
      <c r="R27" s="48">
        <f t="shared" si="4"/>
        <v>1.4976056308358143E-2</v>
      </c>
      <c r="S27" s="49">
        <v>1684.0000000044001</v>
      </c>
      <c r="T27" s="49">
        <v>572</v>
      </c>
      <c r="U27" s="49">
        <v>3480</v>
      </c>
      <c r="V27" s="49">
        <v>459</v>
      </c>
      <c r="W27" s="48">
        <f t="shared" si="5"/>
        <v>1.8703392153060629E-2</v>
      </c>
      <c r="X27" s="50">
        <f t="shared" si="6"/>
        <v>1.5897883330101534E-2</v>
      </c>
      <c r="Y27" s="42">
        <f t="shared" si="7"/>
        <v>0.24888634016568562</v>
      </c>
      <c r="Z27" s="42">
        <f t="shared" si="8"/>
        <v>0</v>
      </c>
      <c r="AA27" s="43">
        <f t="shared" si="18"/>
        <v>0</v>
      </c>
      <c r="AB27" s="43">
        <f t="shared" si="9"/>
        <v>0</v>
      </c>
      <c r="AC27" s="109">
        <f t="shared" si="10"/>
        <v>1.5897883330101534E-2</v>
      </c>
      <c r="AE27" s="53">
        <f t="shared" si="11"/>
        <v>3529859.651904691</v>
      </c>
      <c r="AF27" s="54">
        <f t="shared" si="12"/>
        <v>15353638.754453849</v>
      </c>
      <c r="AG27" s="54">
        <f t="shared" si="13"/>
        <v>31039458.378280919</v>
      </c>
      <c r="AH27" s="54">
        <f t="shared" si="19"/>
        <v>49922956.784639463</v>
      </c>
      <c r="AI27" s="55">
        <f t="shared" si="20"/>
        <v>6.3924226124001029E-3</v>
      </c>
    </row>
    <row r="28" spans="1:35" ht="14.25">
      <c r="A28" s="4" t="s">
        <v>66</v>
      </c>
      <c r="B28" s="44">
        <v>784275</v>
      </c>
      <c r="C28" s="44">
        <v>320606.25</v>
      </c>
      <c r="D28" s="51">
        <f t="shared" si="0"/>
        <v>0.40879315291192503</v>
      </c>
      <c r="E28" s="52">
        <f t="shared" si="14"/>
        <v>131061.63978076886</v>
      </c>
      <c r="F28" s="109">
        <f t="shared" si="1"/>
        <v>7.5358810976626001E-5</v>
      </c>
      <c r="G28" s="41">
        <v>1808</v>
      </c>
      <c r="H28" s="103">
        <f t="shared" si="2"/>
        <v>3.1256256005332924E-4</v>
      </c>
      <c r="I28" s="43">
        <f t="shared" si="15"/>
        <v>2.6567817604532983E-4</v>
      </c>
      <c r="J28" s="44">
        <v>388.05</v>
      </c>
      <c r="K28" s="100">
        <f t="shared" si="3"/>
        <v>6.0424969487765032E-3</v>
      </c>
      <c r="L28" s="45">
        <f t="shared" si="16"/>
        <v>9.0637454231647541E-4</v>
      </c>
      <c r="M28" s="109">
        <f t="shared" si="17"/>
        <v>1.1720527183618052E-3</v>
      </c>
      <c r="N28" s="46">
        <v>248</v>
      </c>
      <c r="O28" s="47">
        <v>63</v>
      </c>
      <c r="P28" s="47">
        <v>357</v>
      </c>
      <c r="Q28" s="47">
        <v>74</v>
      </c>
      <c r="R28" s="48">
        <f t="shared" si="4"/>
        <v>1.0638412639101531E-3</v>
      </c>
      <c r="S28" s="49">
        <v>138</v>
      </c>
      <c r="T28" s="49">
        <v>45</v>
      </c>
      <c r="U28" s="49">
        <v>165</v>
      </c>
      <c r="V28" s="49">
        <v>30</v>
      </c>
      <c r="W28" s="48">
        <f t="shared" si="5"/>
        <v>1.1435907453274151E-3</v>
      </c>
      <c r="X28" s="50">
        <f t="shared" si="6"/>
        <v>9.7205213352830283E-4</v>
      </c>
      <c r="Y28" s="42">
        <f t="shared" si="7"/>
        <v>7.4963703818126448E-2</v>
      </c>
      <c r="Z28" s="42">
        <f t="shared" si="8"/>
        <v>0</v>
      </c>
      <c r="AA28" s="43">
        <f t="shared" si="18"/>
        <v>0</v>
      </c>
      <c r="AB28" s="43">
        <f t="shared" si="9"/>
        <v>0</v>
      </c>
      <c r="AC28" s="109">
        <f t="shared" si="10"/>
        <v>9.7205213352830283E-4</v>
      </c>
      <c r="AE28" s="53">
        <f t="shared" si="11"/>
        <v>294265.17080004048</v>
      </c>
      <c r="AF28" s="54">
        <f t="shared" si="12"/>
        <v>2288347.4996862942</v>
      </c>
      <c r="AG28" s="54">
        <f t="shared" si="13"/>
        <v>1897860.9361815101</v>
      </c>
      <c r="AH28" s="54">
        <f t="shared" si="19"/>
        <v>4480473.6066678446</v>
      </c>
      <c r="AI28" s="55">
        <f t="shared" si="20"/>
        <v>5.7370561846084003E-4</v>
      </c>
    </row>
    <row r="29" spans="1:35" ht="14.25">
      <c r="A29" s="4" t="s">
        <v>67</v>
      </c>
      <c r="B29" s="44">
        <v>1405117</v>
      </c>
      <c r="C29" s="44">
        <v>194672</v>
      </c>
      <c r="D29" s="51">
        <f t="shared" si="0"/>
        <v>0.13854504642673884</v>
      </c>
      <c r="E29" s="52">
        <f t="shared" si="14"/>
        <v>26970.841277986103</v>
      </c>
      <c r="F29" s="109">
        <f t="shared" si="1"/>
        <v>1.5507897910846766E-5</v>
      </c>
      <c r="G29" s="41">
        <v>6282</v>
      </c>
      <c r="H29" s="103">
        <f t="shared" si="2"/>
        <v>1.0860165941675964E-3</v>
      </c>
      <c r="I29" s="43">
        <f t="shared" si="15"/>
        <v>9.2311410504245688E-4</v>
      </c>
      <c r="J29" s="44">
        <v>1314.52</v>
      </c>
      <c r="K29" s="100">
        <f t="shared" si="3"/>
        <v>2.0468968146129852E-2</v>
      </c>
      <c r="L29" s="45">
        <f t="shared" si="16"/>
        <v>3.0703452219194775E-3</v>
      </c>
      <c r="M29" s="109">
        <f t="shared" si="17"/>
        <v>3.9934593269619345E-3</v>
      </c>
      <c r="N29" s="46">
        <v>1391</v>
      </c>
      <c r="O29" s="47">
        <v>407</v>
      </c>
      <c r="P29" s="47">
        <v>3581</v>
      </c>
      <c r="Q29" s="47">
        <v>1264</v>
      </c>
      <c r="R29" s="48">
        <f t="shared" si="4"/>
        <v>1.2722731945209571E-2</v>
      </c>
      <c r="S29" s="49">
        <v>1108.99999999377</v>
      </c>
      <c r="T29" s="49">
        <v>288</v>
      </c>
      <c r="U29" s="49">
        <v>3319</v>
      </c>
      <c r="V29" s="49">
        <v>607</v>
      </c>
      <c r="W29" s="48">
        <f t="shared" si="5"/>
        <v>1.9650472199698121E-2</v>
      </c>
      <c r="X29" s="50">
        <f t="shared" si="6"/>
        <v>1.6702901369743402E-2</v>
      </c>
      <c r="Y29" s="42">
        <f t="shared" si="7"/>
        <v>0.54451671891877107</v>
      </c>
      <c r="Z29" s="42">
        <f t="shared" si="8"/>
        <v>0</v>
      </c>
      <c r="AA29" s="43">
        <f t="shared" si="18"/>
        <v>0</v>
      </c>
      <c r="AB29" s="43">
        <f t="shared" si="9"/>
        <v>0</v>
      </c>
      <c r="AC29" s="109">
        <f t="shared" si="10"/>
        <v>1.6702901369743402E-2</v>
      </c>
      <c r="AE29" s="53">
        <f t="shared" si="11"/>
        <v>60556.080547772341</v>
      </c>
      <c r="AF29" s="54">
        <f t="shared" si="12"/>
        <v>7796938.2458539559</v>
      </c>
      <c r="AG29" s="54">
        <f t="shared" si="13"/>
        <v>32611197.421548225</v>
      </c>
      <c r="AH29" s="54">
        <f t="shared" si="19"/>
        <v>40468691.74794995</v>
      </c>
      <c r="AI29" s="55">
        <f t="shared" si="20"/>
        <v>5.1818441231317579E-3</v>
      </c>
    </row>
    <row r="30" spans="1:35" ht="14.25">
      <c r="A30" s="4" t="s">
        <v>68</v>
      </c>
      <c r="B30" s="44">
        <v>58791281</v>
      </c>
      <c r="C30" s="44">
        <v>7133102</v>
      </c>
      <c r="D30" s="51">
        <f t="shared" si="0"/>
        <v>0.1213292494851405</v>
      </c>
      <c r="E30" s="52">
        <f t="shared" si="14"/>
        <v>865453.91216095467</v>
      </c>
      <c r="F30" s="109">
        <f t="shared" si="1"/>
        <v>4.9762522340338338E-4</v>
      </c>
      <c r="G30" s="41">
        <v>102149</v>
      </c>
      <c r="H30" s="103">
        <f t="shared" si="2"/>
        <v>1.7659266010446643E-2</v>
      </c>
      <c r="I30" s="43">
        <f t="shared" si="15"/>
        <v>1.5010376108879647E-2</v>
      </c>
      <c r="J30" s="44">
        <v>184.87</v>
      </c>
      <c r="K30" s="100">
        <f t="shared" si="3"/>
        <v>2.8786919492856905E-3</v>
      </c>
      <c r="L30" s="45">
        <f t="shared" si="16"/>
        <v>4.3180379239285356E-4</v>
      </c>
      <c r="M30" s="109">
        <f t="shared" si="17"/>
        <v>1.5442179901272501E-2</v>
      </c>
      <c r="N30" s="46">
        <v>870</v>
      </c>
      <c r="O30" s="47">
        <v>295</v>
      </c>
      <c r="P30" s="47">
        <v>1873</v>
      </c>
      <c r="Q30" s="47">
        <v>57</v>
      </c>
      <c r="R30" s="48">
        <f t="shared" si="4"/>
        <v>3.1127641837955201E-3</v>
      </c>
      <c r="S30" s="49">
        <v>2629.9999999954803</v>
      </c>
      <c r="T30" s="49">
        <v>513</v>
      </c>
      <c r="U30" s="49">
        <v>350</v>
      </c>
      <c r="V30" s="49">
        <v>123</v>
      </c>
      <c r="W30" s="48">
        <f t="shared" si="5"/>
        <v>6.770433865754372E-3</v>
      </c>
      <c r="X30" s="50">
        <f t="shared" si="6"/>
        <v>5.7548687858912165E-3</v>
      </c>
      <c r="Y30" s="42">
        <f t="shared" si="7"/>
        <v>1.1750551811794834</v>
      </c>
      <c r="Z30" s="42">
        <f t="shared" si="8"/>
        <v>0</v>
      </c>
      <c r="AA30" s="43">
        <f t="shared" si="18"/>
        <v>0</v>
      </c>
      <c r="AB30" s="43">
        <f t="shared" si="9"/>
        <v>0</v>
      </c>
      <c r="AC30" s="109">
        <f t="shared" si="10"/>
        <v>5.7548687858912165E-3</v>
      </c>
      <c r="AE30" s="53">
        <f t="shared" si="11"/>
        <v>1943153.951893219</v>
      </c>
      <c r="AF30" s="54">
        <f t="shared" si="12"/>
        <v>30149730.650489856</v>
      </c>
      <c r="AG30" s="54">
        <f t="shared" si="13"/>
        <v>11235961.822283521</v>
      </c>
      <c r="AH30" s="54">
        <f t="shared" si="19"/>
        <v>43328846.424666598</v>
      </c>
      <c r="AI30" s="55">
        <f t="shared" si="20"/>
        <v>5.5480747834926224E-3</v>
      </c>
    </row>
    <row r="31" spans="1:35" ht="14.25">
      <c r="A31" s="4" t="s">
        <v>69</v>
      </c>
      <c r="B31" s="44">
        <v>531696647</v>
      </c>
      <c r="C31" s="44">
        <v>259353547.03</v>
      </c>
      <c r="D31" s="51">
        <f t="shared" si="0"/>
        <v>0.48778480829878168</v>
      </c>
      <c r="E31" s="52">
        <f t="shared" si="14"/>
        <v>126508720.2196376</v>
      </c>
      <c r="F31" s="109">
        <f t="shared" si="1"/>
        <v>7.2740938919073586E-2</v>
      </c>
      <c r="G31" s="41">
        <v>643143</v>
      </c>
      <c r="H31" s="103">
        <f t="shared" si="2"/>
        <v>0.11118496823029775</v>
      </c>
      <c r="I31" s="43">
        <f t="shared" si="15"/>
        <v>9.4507222995753079E-2</v>
      </c>
      <c r="J31" s="44">
        <v>117.79</v>
      </c>
      <c r="K31" s="100">
        <f t="shared" si="3"/>
        <v>1.8341598134167874E-3</v>
      </c>
      <c r="L31" s="45">
        <f t="shared" si="16"/>
        <v>2.7512397201251811E-4</v>
      </c>
      <c r="M31" s="109">
        <f t="shared" si="17"/>
        <v>9.4782346967765593E-2</v>
      </c>
      <c r="N31" s="46">
        <v>69698</v>
      </c>
      <c r="O31" s="47">
        <v>12447</v>
      </c>
      <c r="P31" s="47">
        <v>14729</v>
      </c>
      <c r="Q31" s="47">
        <v>1417</v>
      </c>
      <c r="R31" s="48">
        <f t="shared" si="4"/>
        <v>9.6205301106005142E-2</v>
      </c>
      <c r="S31" s="49">
        <v>32769.999999791457</v>
      </c>
      <c r="T31" s="49">
        <v>9468</v>
      </c>
      <c r="U31" s="49">
        <v>3881</v>
      </c>
      <c r="V31" s="49">
        <v>299</v>
      </c>
      <c r="W31" s="48">
        <f t="shared" si="5"/>
        <v>7.1416637155423596E-2</v>
      </c>
      <c r="X31" s="50">
        <f t="shared" si="6"/>
        <v>6.0704141582110058E-2</v>
      </c>
      <c r="Y31" s="42">
        <f t="shared" si="7"/>
        <v>-0.25766422084441909</v>
      </c>
      <c r="Z31" s="42">
        <f t="shared" si="8"/>
        <v>-0.25766422084441909</v>
      </c>
      <c r="AA31" s="43">
        <f t="shared" si="18"/>
        <v>4.80132597732017E-2</v>
      </c>
      <c r="AB31" s="43">
        <f t="shared" si="9"/>
        <v>7.2019889659802544E-3</v>
      </c>
      <c r="AC31" s="109">
        <f t="shared" si="10"/>
        <v>6.7906130548090318E-2</v>
      </c>
      <c r="AE31" s="53">
        <f t="shared" si="11"/>
        <v>284042762.05758762</v>
      </c>
      <c r="AF31" s="54">
        <f t="shared" si="12"/>
        <v>185055623.6081619</v>
      </c>
      <c r="AG31" s="54">
        <f t="shared" si="13"/>
        <v>132581770.1018503</v>
      </c>
      <c r="AH31" s="54">
        <f t="shared" si="19"/>
        <v>601680155.76759982</v>
      </c>
      <c r="AI31" s="55">
        <f t="shared" si="20"/>
        <v>7.7042588838500778E-2</v>
      </c>
    </row>
    <row r="32" spans="1:35" ht="14.25">
      <c r="A32" s="4" t="s">
        <v>70</v>
      </c>
      <c r="B32" s="44">
        <v>818878</v>
      </c>
      <c r="C32" s="44">
        <v>294751</v>
      </c>
      <c r="D32" s="51">
        <f t="shared" si="0"/>
        <v>0.35994494906445162</v>
      </c>
      <c r="E32" s="52">
        <f t="shared" si="14"/>
        <v>106094.13368169618</v>
      </c>
      <c r="F32" s="109">
        <f t="shared" si="1"/>
        <v>6.1002805849381612E-5</v>
      </c>
      <c r="G32" s="41">
        <v>1959</v>
      </c>
      <c r="H32" s="103">
        <f t="shared" si="2"/>
        <v>3.3866706589849116E-4</v>
      </c>
      <c r="I32" s="43">
        <f t="shared" si="15"/>
        <v>2.8786700601371749E-4</v>
      </c>
      <c r="J32" s="44">
        <v>497.27</v>
      </c>
      <c r="K32" s="100">
        <f t="shared" si="3"/>
        <v>7.743209528973307E-3</v>
      </c>
      <c r="L32" s="45">
        <f t="shared" si="16"/>
        <v>1.1614814293459961E-3</v>
      </c>
      <c r="M32" s="109">
        <f t="shared" si="17"/>
        <v>1.4493484353597136E-3</v>
      </c>
      <c r="N32" s="46">
        <v>525</v>
      </c>
      <c r="O32" s="47">
        <v>111</v>
      </c>
      <c r="P32" s="47">
        <v>654</v>
      </c>
      <c r="Q32" s="47">
        <v>69</v>
      </c>
      <c r="R32" s="48">
        <f t="shared" si="4"/>
        <v>1.5525523861855471E-3</v>
      </c>
      <c r="S32" s="49">
        <v>374.99999999594002</v>
      </c>
      <c r="T32" s="49">
        <v>98</v>
      </c>
      <c r="U32" s="49">
        <v>163</v>
      </c>
      <c r="V32" s="49">
        <v>24</v>
      </c>
      <c r="W32" s="48">
        <f t="shared" si="5"/>
        <v>1.397547272996221E-3</v>
      </c>
      <c r="X32" s="50">
        <f t="shared" si="6"/>
        <v>1.1879151820467877E-3</v>
      </c>
      <c r="Y32" s="42">
        <f t="shared" si="7"/>
        <v>-9.983889404862975E-2</v>
      </c>
      <c r="Z32" s="42">
        <f t="shared" si="8"/>
        <v>-9.983889404862975E-2</v>
      </c>
      <c r="AA32" s="43">
        <f t="shared" si="18"/>
        <v>1.8604021698148197E-2</v>
      </c>
      <c r="AB32" s="43">
        <f t="shared" si="9"/>
        <v>2.7906032547222294E-3</v>
      </c>
      <c r="AC32" s="109">
        <f t="shared" si="10"/>
        <v>3.9785184367690171E-3</v>
      </c>
      <c r="AE32" s="53">
        <f t="shared" si="11"/>
        <v>238207.06364538899</v>
      </c>
      <c r="AF32" s="54">
        <f t="shared" si="12"/>
        <v>2829747.1745684957</v>
      </c>
      <c r="AG32" s="54">
        <f t="shared" si="13"/>
        <v>7767767.2468191702</v>
      </c>
      <c r="AH32" s="54">
        <f t="shared" si="19"/>
        <v>10835721.485033054</v>
      </c>
      <c r="AI32" s="55">
        <f t="shared" si="20"/>
        <v>1.3874681209568736E-3</v>
      </c>
    </row>
    <row r="33" spans="1:35" ht="14.25">
      <c r="A33" s="4" t="s">
        <v>71</v>
      </c>
      <c r="B33" s="44">
        <v>2180533</v>
      </c>
      <c r="C33" s="44">
        <v>501704</v>
      </c>
      <c r="D33" s="51">
        <f t="shared" si="0"/>
        <v>0.23008319525547194</v>
      </c>
      <c r="E33" s="52">
        <f t="shared" si="14"/>
        <v>115433.6593924513</v>
      </c>
      <c r="F33" s="109">
        <f t="shared" si="1"/>
        <v>6.6372916843150873E-5</v>
      </c>
      <c r="G33" s="41">
        <v>16086</v>
      </c>
      <c r="H33" s="103">
        <f t="shared" si="2"/>
        <v>2.7809078213594327E-3</v>
      </c>
      <c r="I33" s="43">
        <f t="shared" si="15"/>
        <v>2.3637716481555177E-3</v>
      </c>
      <c r="J33" s="44">
        <v>170.12</v>
      </c>
      <c r="K33" s="100">
        <f t="shared" si="3"/>
        <v>2.6490132223318096E-3</v>
      </c>
      <c r="L33" s="45">
        <f t="shared" si="16"/>
        <v>3.9735198334977145E-4</v>
      </c>
      <c r="M33" s="109">
        <f t="shared" si="17"/>
        <v>2.7611236315052893E-3</v>
      </c>
      <c r="N33" s="46">
        <v>1777</v>
      </c>
      <c r="O33" s="47">
        <v>482</v>
      </c>
      <c r="P33" s="47">
        <v>1571</v>
      </c>
      <c r="Q33" s="47">
        <v>193</v>
      </c>
      <c r="R33" s="48">
        <f t="shared" si="4"/>
        <v>4.8172617237070628E-3</v>
      </c>
      <c r="S33" s="49">
        <v>887.9999999826681</v>
      </c>
      <c r="T33" s="49">
        <v>349</v>
      </c>
      <c r="U33" s="49">
        <v>145</v>
      </c>
      <c r="V33" s="49">
        <v>79</v>
      </c>
      <c r="W33" s="48">
        <f t="shared" si="5"/>
        <v>3.6229504163855729E-3</v>
      </c>
      <c r="X33" s="50">
        <f t="shared" si="6"/>
        <v>3.0795078539277371E-3</v>
      </c>
      <c r="Y33" s="42">
        <f t="shared" si="7"/>
        <v>-0.24792327588180588</v>
      </c>
      <c r="Z33" s="42">
        <f t="shared" si="8"/>
        <v>-0.24792327588180588</v>
      </c>
      <c r="AA33" s="43">
        <f t="shared" si="18"/>
        <v>4.6198127973397771E-2</v>
      </c>
      <c r="AB33" s="43">
        <f t="shared" si="9"/>
        <v>6.9297191960096651E-3</v>
      </c>
      <c r="AC33" s="109">
        <f t="shared" si="10"/>
        <v>1.0009227049937402E-2</v>
      </c>
      <c r="AE33" s="53">
        <f t="shared" si="11"/>
        <v>259176.5642030189</v>
      </c>
      <c r="AF33" s="54">
        <f t="shared" si="12"/>
        <v>5390892.6275186678</v>
      </c>
      <c r="AG33" s="54">
        <f t="shared" si="13"/>
        <v>19542286.225427426</v>
      </c>
      <c r="AH33" s="54">
        <f t="shared" si="19"/>
        <v>25192355.417149112</v>
      </c>
      <c r="AI33" s="55">
        <f t="shared" si="20"/>
        <v>3.2257741287822486E-3</v>
      </c>
    </row>
    <row r="34" spans="1:35" ht="14.25">
      <c r="A34" s="4" t="s">
        <v>72</v>
      </c>
      <c r="B34" s="44">
        <v>678268</v>
      </c>
      <c r="C34" s="44">
        <v>314751</v>
      </c>
      <c r="D34" s="51">
        <f t="shared" si="0"/>
        <v>0.46405108305271664</v>
      </c>
      <c r="E34" s="52">
        <f t="shared" si="14"/>
        <v>146060.54244192562</v>
      </c>
      <c r="F34" s="109">
        <f t="shared" si="1"/>
        <v>8.3982993249864866E-5</v>
      </c>
      <c r="G34" s="41">
        <v>1386</v>
      </c>
      <c r="H34" s="103">
        <f t="shared" si="2"/>
        <v>2.3960824570459864E-4</v>
      </c>
      <c r="I34" s="43">
        <f t="shared" si="15"/>
        <v>2.0366700884890884E-4</v>
      </c>
      <c r="J34" s="44">
        <v>444.11</v>
      </c>
      <c r="K34" s="100">
        <f t="shared" si="3"/>
        <v>6.9154318255924057E-3</v>
      </c>
      <c r="L34" s="45">
        <f t="shared" si="16"/>
        <v>1.0373147738388607E-3</v>
      </c>
      <c r="M34" s="109">
        <f t="shared" si="17"/>
        <v>1.2409817826877696E-3</v>
      </c>
      <c r="N34" s="46">
        <v>236</v>
      </c>
      <c r="O34" s="47">
        <v>70</v>
      </c>
      <c r="P34" s="47">
        <v>392</v>
      </c>
      <c r="Q34" s="47">
        <v>106</v>
      </c>
      <c r="R34" s="48">
        <f t="shared" si="4"/>
        <v>1.3072873655381025E-3</v>
      </c>
      <c r="S34" s="49">
        <v>156.00000000186</v>
      </c>
      <c r="T34" s="49">
        <v>60</v>
      </c>
      <c r="U34" s="49">
        <v>117</v>
      </c>
      <c r="V34" s="49">
        <v>25</v>
      </c>
      <c r="W34" s="48">
        <f t="shared" si="5"/>
        <v>1.0204101512400637E-3</v>
      </c>
      <c r="X34" s="50">
        <f t="shared" si="6"/>
        <v>8.6734862855405406E-4</v>
      </c>
      <c r="Y34" s="42">
        <f t="shared" si="7"/>
        <v>-0.21944464687758616</v>
      </c>
      <c r="Z34" s="42">
        <f t="shared" si="8"/>
        <v>-0.21944464687758616</v>
      </c>
      <c r="AA34" s="43">
        <f t="shared" si="18"/>
        <v>4.0891408212760681E-2</v>
      </c>
      <c r="AB34" s="43">
        <f t="shared" si="9"/>
        <v>6.1337112319141017E-3</v>
      </c>
      <c r="AC34" s="109">
        <f t="shared" si="10"/>
        <v>7.0010598604681555E-3</v>
      </c>
      <c r="AE34" s="53">
        <f t="shared" si="11"/>
        <v>327941.34531442425</v>
      </c>
      <c r="AF34" s="54">
        <f t="shared" si="12"/>
        <v>2422926.4734260617</v>
      </c>
      <c r="AG34" s="54">
        <f t="shared" si="13"/>
        <v>13669059.058409045</v>
      </c>
      <c r="AH34" s="54">
        <f t="shared" si="19"/>
        <v>16419926.87714953</v>
      </c>
      <c r="AI34" s="55">
        <f t="shared" si="20"/>
        <v>2.1025019074139136E-3</v>
      </c>
    </row>
    <row r="35" spans="1:35" ht="14.25">
      <c r="A35" s="4" t="s">
        <v>73</v>
      </c>
      <c r="B35" s="44">
        <v>1784944</v>
      </c>
      <c r="C35" s="44">
        <v>586273</v>
      </c>
      <c r="D35" s="51">
        <f t="shared" si="0"/>
        <v>0.32845456215993329</v>
      </c>
      <c r="E35" s="52">
        <f t="shared" si="14"/>
        <v>192564.04152119058</v>
      </c>
      <c r="F35" s="109">
        <f t="shared" si="1"/>
        <v>1.1072192618804598E-4</v>
      </c>
      <c r="G35" s="41">
        <v>7026</v>
      </c>
      <c r="H35" s="103">
        <f t="shared" si="2"/>
        <v>1.2146374706497186E-3</v>
      </c>
      <c r="I35" s="43">
        <f t="shared" si="15"/>
        <v>1.0324418500522608E-3</v>
      </c>
      <c r="J35" s="44">
        <v>127.8</v>
      </c>
      <c r="K35" s="100">
        <f t="shared" si="3"/>
        <v>1.990029918963116E-3</v>
      </c>
      <c r="L35" s="45">
        <f t="shared" si="16"/>
        <v>2.9850448784446741E-4</v>
      </c>
      <c r="M35" s="109">
        <f t="shared" si="17"/>
        <v>1.3309463378967283E-3</v>
      </c>
      <c r="N35" s="46">
        <v>1201</v>
      </c>
      <c r="O35" s="47">
        <v>234</v>
      </c>
      <c r="P35" s="47">
        <v>2745</v>
      </c>
      <c r="Q35" s="47">
        <v>176</v>
      </c>
      <c r="R35" s="48">
        <f t="shared" si="4"/>
        <v>4.5454949869131846E-3</v>
      </c>
      <c r="S35" s="49">
        <v>649.99999999475995</v>
      </c>
      <c r="T35" s="49">
        <v>185</v>
      </c>
      <c r="U35" s="49">
        <v>941</v>
      </c>
      <c r="V35" s="49">
        <v>42</v>
      </c>
      <c r="W35" s="48">
        <f t="shared" si="5"/>
        <v>3.8184418521229071E-3</v>
      </c>
      <c r="X35" s="50">
        <f t="shared" si="6"/>
        <v>3.2456755743044711E-3</v>
      </c>
      <c r="Y35" s="42">
        <f t="shared" si="7"/>
        <v>-0.15995026655700142</v>
      </c>
      <c r="Z35" s="42">
        <f t="shared" si="8"/>
        <v>-0.15995026655700142</v>
      </c>
      <c r="AA35" s="43">
        <f t="shared" si="18"/>
        <v>2.9805200247927655E-2</v>
      </c>
      <c r="AB35" s="43">
        <f t="shared" si="9"/>
        <v>4.4707800371891482E-3</v>
      </c>
      <c r="AC35" s="109">
        <f t="shared" si="10"/>
        <v>7.7164556114936193E-3</v>
      </c>
      <c r="AE35" s="53">
        <f t="shared" si="11"/>
        <v>432352.98034546536</v>
      </c>
      <c r="AF35" s="54">
        <f t="shared" si="12"/>
        <v>2598575.7098021847</v>
      </c>
      <c r="AG35" s="54">
        <f t="shared" si="13"/>
        <v>15065817.115873799</v>
      </c>
      <c r="AH35" s="54">
        <f t="shared" si="19"/>
        <v>18096745.806021448</v>
      </c>
      <c r="AI35" s="55">
        <f t="shared" si="20"/>
        <v>2.3172114504416102E-3</v>
      </c>
    </row>
    <row r="36" spans="1:35" ht="14.25">
      <c r="A36" s="4" t="s">
        <v>74</v>
      </c>
      <c r="B36" s="44">
        <v>550784</v>
      </c>
      <c r="C36" s="44">
        <v>107675</v>
      </c>
      <c r="D36" s="51">
        <f t="shared" si="0"/>
        <v>0.1954940593771787</v>
      </c>
      <c r="E36" s="52">
        <f t="shared" si="14"/>
        <v>21049.822843437716</v>
      </c>
      <c r="F36" s="109">
        <f t="shared" si="1"/>
        <v>1.2103386035788396E-5</v>
      </c>
      <c r="G36" s="41">
        <v>3298</v>
      </c>
      <c r="H36" s="103">
        <f t="shared" si="2"/>
        <v>5.7015006806188052E-4</v>
      </c>
      <c r="I36" s="43">
        <f t="shared" si="15"/>
        <v>4.8462755785259843E-4</v>
      </c>
      <c r="J36" s="44">
        <v>561.88</v>
      </c>
      <c r="K36" s="100">
        <f t="shared" si="3"/>
        <v>8.7492802102268827E-3</v>
      </c>
      <c r="L36" s="45">
        <f t="shared" si="16"/>
        <v>1.3123920315340324E-3</v>
      </c>
      <c r="M36" s="109">
        <f t="shared" si="17"/>
        <v>1.7970195893866308E-3</v>
      </c>
      <c r="N36" s="46">
        <v>779</v>
      </c>
      <c r="O36" s="47">
        <v>226</v>
      </c>
      <c r="P36" s="47">
        <v>2400</v>
      </c>
      <c r="Q36" s="47">
        <v>462</v>
      </c>
      <c r="R36" s="48">
        <f t="shared" si="4"/>
        <v>5.8444587616490332E-3</v>
      </c>
      <c r="S36" s="49">
        <v>671.99999999645991</v>
      </c>
      <c r="T36" s="49">
        <v>188</v>
      </c>
      <c r="U36" s="49">
        <v>1437</v>
      </c>
      <c r="V36" s="49">
        <v>355</v>
      </c>
      <c r="W36" s="48">
        <f t="shared" si="5"/>
        <v>1.0554024016422515E-2</v>
      </c>
      <c r="X36" s="50">
        <f t="shared" si="6"/>
        <v>8.9709204139591381E-3</v>
      </c>
      <c r="Y36" s="42">
        <f t="shared" si="7"/>
        <v>0.80581717603644487</v>
      </c>
      <c r="Z36" s="42">
        <f t="shared" si="8"/>
        <v>0</v>
      </c>
      <c r="AA36" s="43">
        <f t="shared" si="18"/>
        <v>0</v>
      </c>
      <c r="AB36" s="43">
        <f t="shared" si="9"/>
        <v>0</v>
      </c>
      <c r="AC36" s="109">
        <f t="shared" si="10"/>
        <v>8.9709204139591381E-3</v>
      </c>
      <c r="AE36" s="53">
        <f t="shared" si="11"/>
        <v>47261.957996985882</v>
      </c>
      <c r="AF36" s="54">
        <f t="shared" si="12"/>
        <v>3508549.7604645938</v>
      </c>
      <c r="AG36" s="54">
        <f t="shared" si="13"/>
        <v>17515068.202615682</v>
      </c>
      <c r="AH36" s="54">
        <f t="shared" si="19"/>
        <v>21070879.921077263</v>
      </c>
      <c r="AI36" s="55">
        <f t="shared" si="20"/>
        <v>2.6980366938543368E-3</v>
      </c>
    </row>
    <row r="37" spans="1:35" ht="14.25">
      <c r="A37" s="4" t="s">
        <v>75</v>
      </c>
      <c r="B37" s="44">
        <v>229270347</v>
      </c>
      <c r="C37" s="44">
        <v>81896056.420000002</v>
      </c>
      <c r="D37" s="51">
        <f t="shared" si="0"/>
        <v>0.35720300288113577</v>
      </c>
      <c r="E37" s="52">
        <f t="shared" si="14"/>
        <v>29253517.277346916</v>
      </c>
      <c r="F37" s="109">
        <f t="shared" si="1"/>
        <v>1.682040818802974E-2</v>
      </c>
      <c r="G37" s="41">
        <v>471523</v>
      </c>
      <c r="H37" s="103">
        <f t="shared" si="2"/>
        <v>8.1515727878332944E-2</v>
      </c>
      <c r="I37" s="43">
        <f t="shared" si="15"/>
        <v>6.9288368696583003E-2</v>
      </c>
      <c r="J37" s="44">
        <v>247</v>
      </c>
      <c r="K37" s="100">
        <f t="shared" si="3"/>
        <v>3.8461454615327825E-3</v>
      </c>
      <c r="L37" s="45">
        <f t="shared" si="16"/>
        <v>5.769218192299174E-4</v>
      </c>
      <c r="M37" s="109">
        <f t="shared" si="17"/>
        <v>6.9865290515812917E-2</v>
      </c>
      <c r="N37" s="46">
        <v>7826</v>
      </c>
      <c r="O37" s="47">
        <v>1628</v>
      </c>
      <c r="P37" s="47">
        <v>22499</v>
      </c>
      <c r="Q37" s="47">
        <v>705</v>
      </c>
      <c r="R37" s="48">
        <f t="shared" si="4"/>
        <v>3.0541785709629822E-2</v>
      </c>
      <c r="S37" s="49">
        <v>16068.000000124277</v>
      </c>
      <c r="T37" s="49">
        <v>2619</v>
      </c>
      <c r="U37" s="49">
        <v>3702</v>
      </c>
      <c r="V37" s="49">
        <v>260</v>
      </c>
      <c r="W37" s="48">
        <f t="shared" si="5"/>
        <v>3.3829305636440522E-2</v>
      </c>
      <c r="X37" s="50">
        <f t="shared" si="6"/>
        <v>2.8754909790974444E-2</v>
      </c>
      <c r="Y37" s="42">
        <f t="shared" si="7"/>
        <v>0.10764006918476104</v>
      </c>
      <c r="Z37" s="42">
        <f t="shared" si="8"/>
        <v>0</v>
      </c>
      <c r="AA37" s="43">
        <f t="shared" si="18"/>
        <v>0</v>
      </c>
      <c r="AB37" s="43">
        <f t="shared" si="9"/>
        <v>0</v>
      </c>
      <c r="AC37" s="109">
        <f t="shared" si="10"/>
        <v>2.8754909790974444E-2</v>
      </c>
      <c r="AE37" s="53">
        <f t="shared" si="11"/>
        <v>65681241.837961107</v>
      </c>
      <c r="AF37" s="54">
        <f t="shared" si="12"/>
        <v>136406887.13232806</v>
      </c>
      <c r="AG37" s="54">
        <f t="shared" si="13"/>
        <v>56141865.372619607</v>
      </c>
      <c r="AH37" s="54">
        <f t="shared" si="19"/>
        <v>258229994.34290877</v>
      </c>
      <c r="AI37" s="55">
        <f t="shared" si="20"/>
        <v>3.3065254170711711E-2</v>
      </c>
    </row>
    <row r="38" spans="1:35" ht="14.25">
      <c r="A38" s="4" t="s">
        <v>76</v>
      </c>
      <c r="B38" s="44">
        <v>3683050</v>
      </c>
      <c r="C38" s="44">
        <v>1383880</v>
      </c>
      <c r="D38" s="51">
        <f t="shared" si="0"/>
        <v>0.37574293045166368</v>
      </c>
      <c r="E38" s="52">
        <f t="shared" si="14"/>
        <v>519983.12659344834</v>
      </c>
      <c r="F38" s="109">
        <f t="shared" si="1"/>
        <v>2.9898382328755554E-4</v>
      </c>
      <c r="G38" s="41">
        <v>5351</v>
      </c>
      <c r="H38" s="103">
        <f t="shared" si="2"/>
        <v>9.2506762104279034E-4</v>
      </c>
      <c r="I38" s="43">
        <f t="shared" si="15"/>
        <v>7.8630747788637173E-4</v>
      </c>
      <c r="J38" s="44">
        <v>3428.68</v>
      </c>
      <c r="K38" s="100">
        <f t="shared" si="3"/>
        <v>5.3389481866591988E-2</v>
      </c>
      <c r="L38" s="45">
        <f t="shared" si="16"/>
        <v>8.0084222799887972E-3</v>
      </c>
      <c r="M38" s="109">
        <f t="shared" si="17"/>
        <v>8.7947297578751683E-3</v>
      </c>
      <c r="N38" s="46">
        <v>900</v>
      </c>
      <c r="O38" s="47">
        <v>209</v>
      </c>
      <c r="P38" s="47">
        <v>2198</v>
      </c>
      <c r="Q38" s="47">
        <v>203</v>
      </c>
      <c r="R38" s="48">
        <f t="shared" si="4"/>
        <v>4.0615571082199316E-3</v>
      </c>
      <c r="S38" s="49">
        <v>711.99999999240003</v>
      </c>
      <c r="T38" s="49">
        <v>170</v>
      </c>
      <c r="U38" s="49">
        <v>749</v>
      </c>
      <c r="V38" s="49">
        <v>32</v>
      </c>
      <c r="W38" s="48">
        <f t="shared" si="5"/>
        <v>3.2439902600152671E-3</v>
      </c>
      <c r="X38" s="50">
        <f t="shared" si="6"/>
        <v>2.7573917210129768E-3</v>
      </c>
      <c r="Y38" s="42">
        <f t="shared" si="7"/>
        <v>-0.20129394378083273</v>
      </c>
      <c r="Z38" s="42">
        <f t="shared" si="8"/>
        <v>-0.20129394378083273</v>
      </c>
      <c r="AA38" s="43">
        <f t="shared" si="18"/>
        <v>3.7509198529186154E-2</v>
      </c>
      <c r="AB38" s="43">
        <f t="shared" si="9"/>
        <v>5.6263797793779232E-3</v>
      </c>
      <c r="AC38" s="109">
        <f t="shared" si="10"/>
        <v>8.3837715003909005E-3</v>
      </c>
      <c r="AE38" s="53">
        <f t="shared" si="11"/>
        <v>1167488.2430596007</v>
      </c>
      <c r="AF38" s="54">
        <f t="shared" si="12"/>
        <v>17171068.789448179</v>
      </c>
      <c r="AG38" s="54">
        <f t="shared" si="13"/>
        <v>16368702.747156162</v>
      </c>
      <c r="AH38" s="54">
        <f t="shared" si="19"/>
        <v>34707259.779663943</v>
      </c>
      <c r="AI38" s="55">
        <f t="shared" si="20"/>
        <v>4.4441172262102962E-3</v>
      </c>
    </row>
    <row r="39" spans="1:35" ht="14.25">
      <c r="A39" s="4" t="s">
        <v>77</v>
      </c>
      <c r="B39" s="44">
        <v>38008782</v>
      </c>
      <c r="C39" s="44">
        <v>10865396</v>
      </c>
      <c r="D39" s="51">
        <f t="shared" ref="D39:D58" si="21">+C39/B39</f>
        <v>0.28586540868370897</v>
      </c>
      <c r="E39" s="52">
        <f t="shared" si="14"/>
        <v>3106040.8680503368</v>
      </c>
      <c r="F39" s="109">
        <f t="shared" ref="F39:F57" si="22">+E39/E$58</f>
        <v>1.7859348246566514E-3</v>
      </c>
      <c r="G39" s="41">
        <v>84666</v>
      </c>
      <c r="H39" s="103">
        <f t="shared" ref="H39:H57" si="23">+G39/$G$58</f>
        <v>1.4636848290638924E-2</v>
      </c>
      <c r="I39" s="43">
        <f t="shared" si="15"/>
        <v>1.2441321047043085E-2</v>
      </c>
      <c r="J39" s="44">
        <v>2539.67</v>
      </c>
      <c r="K39" s="100">
        <f t="shared" ref="K39:K58" si="24">+J39/$J$58</f>
        <v>3.9546316778505917E-2</v>
      </c>
      <c r="L39" s="45">
        <f t="shared" si="16"/>
        <v>5.9319475167758876E-3</v>
      </c>
      <c r="M39" s="109">
        <f t="shared" si="17"/>
        <v>1.8373268563818972E-2</v>
      </c>
      <c r="N39" s="46">
        <v>12929</v>
      </c>
      <c r="O39" s="47">
        <v>2053</v>
      </c>
      <c r="P39" s="47">
        <v>23315</v>
      </c>
      <c r="Q39" s="47">
        <v>2592</v>
      </c>
      <c r="R39" s="48">
        <f t="shared" ref="R39:R57" si="25">(0.25*(N39/N$58))+(0.25*(O39/O$58))+(0.25*(P39/P$58))+(0.25*(Q39/Q$58))</f>
        <v>4.7396376278714986E-2</v>
      </c>
      <c r="S39" s="49">
        <v>10671.999999957041</v>
      </c>
      <c r="T39" s="49">
        <v>1702</v>
      </c>
      <c r="U39" s="49">
        <v>11424</v>
      </c>
      <c r="V39" s="49">
        <v>888</v>
      </c>
      <c r="W39" s="48">
        <f t="shared" ref="W39:W57" si="26">(0.25*(S39/S$58))+(0.25*(T39/T$58))+(0.25*(U39/U$58))+(0.25*(V39/V$58))</f>
        <v>5.3573985057324913E-2</v>
      </c>
      <c r="X39" s="50">
        <f t="shared" ref="X39:X57" si="27">+W39*X$4</f>
        <v>4.5537887298726175E-2</v>
      </c>
      <c r="Y39" s="42">
        <f t="shared" ref="Y39:Y57" si="28">+(W39-R39)/R39</f>
        <v>0.13033926353952507</v>
      </c>
      <c r="Z39" s="42">
        <f t="shared" si="8"/>
        <v>0</v>
      </c>
      <c r="AA39" s="43">
        <f t="shared" si="18"/>
        <v>0</v>
      </c>
      <c r="AB39" s="43">
        <f t="shared" ref="AB39:AB57" si="29">+AA39*AB$4</f>
        <v>0</v>
      </c>
      <c r="AC39" s="109">
        <f t="shared" si="10"/>
        <v>4.5537887298726175E-2</v>
      </c>
      <c r="AE39" s="53">
        <f t="shared" ref="AE39:AE57" si="30">+F39*AE$5</f>
        <v>6973815.1306333086</v>
      </c>
      <c r="AF39" s="54">
        <f t="shared" ref="AF39:AF57" si="31">+M39*AF$5</f>
        <v>35872467.612076379</v>
      </c>
      <c r="AG39" s="54">
        <f t="shared" ref="AG39:AG57" si="32">+AC39*AG$5</f>
        <v>88909405.616743267</v>
      </c>
      <c r="AH39" s="54">
        <f t="shared" si="19"/>
        <v>131755688.35945296</v>
      </c>
      <c r="AI39" s="55">
        <f t="shared" si="20"/>
        <v>1.6870756377964615E-2</v>
      </c>
    </row>
    <row r="40" spans="1:35" ht="14.25">
      <c r="A40" s="4" t="s">
        <v>78</v>
      </c>
      <c r="B40" s="44">
        <v>1478492</v>
      </c>
      <c r="C40" s="44">
        <v>1126052</v>
      </c>
      <c r="D40" s="51">
        <f t="shared" si="21"/>
        <v>0.76162197698736278</v>
      </c>
      <c r="E40" s="52">
        <f t="shared" si="14"/>
        <v>857625.95043057378</v>
      </c>
      <c r="F40" s="109">
        <f t="shared" si="22"/>
        <v>4.9312424287728291E-4</v>
      </c>
      <c r="G40" s="41">
        <v>5119</v>
      </c>
      <c r="H40" s="103">
        <f t="shared" si="23"/>
        <v>8.8496003590320376E-4</v>
      </c>
      <c r="I40" s="43">
        <f t="shared" si="15"/>
        <v>7.5221603051772322E-4</v>
      </c>
      <c r="J40" s="44">
        <v>264.23</v>
      </c>
      <c r="K40" s="100">
        <f t="shared" si="24"/>
        <v>4.114441357493147E-3</v>
      </c>
      <c r="L40" s="45">
        <f t="shared" si="16"/>
        <v>6.1716620362397201E-4</v>
      </c>
      <c r="M40" s="109">
        <f t="shared" si="17"/>
        <v>1.3693822341416953E-3</v>
      </c>
      <c r="N40" s="46">
        <v>549</v>
      </c>
      <c r="O40" s="47">
        <v>170</v>
      </c>
      <c r="P40" s="47">
        <v>368</v>
      </c>
      <c r="Q40" s="47">
        <v>141</v>
      </c>
      <c r="R40" s="48">
        <f t="shared" si="25"/>
        <v>1.9801145257961881E-3</v>
      </c>
      <c r="S40" s="49">
        <v>273.99999999933596</v>
      </c>
      <c r="T40" s="49">
        <v>118</v>
      </c>
      <c r="U40" s="49">
        <v>143</v>
      </c>
      <c r="V40" s="49">
        <v>8</v>
      </c>
      <c r="W40" s="48">
        <f t="shared" si="26"/>
        <v>1.0543512714151413E-3</v>
      </c>
      <c r="X40" s="50">
        <f t="shared" si="27"/>
        <v>8.9619858070287008E-4</v>
      </c>
      <c r="Y40" s="42">
        <f t="shared" si="28"/>
        <v>-0.46753015662505931</v>
      </c>
      <c r="Z40" s="42">
        <f t="shared" si="8"/>
        <v>-0.46753015662505931</v>
      </c>
      <c r="AA40" s="43">
        <f t="shared" si="18"/>
        <v>8.7119766913229382E-2</v>
      </c>
      <c r="AB40" s="43">
        <f t="shared" si="29"/>
        <v>1.3067965036984408E-2</v>
      </c>
      <c r="AC40" s="109">
        <f t="shared" si="10"/>
        <v>1.3964163617687278E-2</v>
      </c>
      <c r="AE40" s="53">
        <f t="shared" si="30"/>
        <v>1925578.2791070412</v>
      </c>
      <c r="AF40" s="54">
        <f t="shared" si="31"/>
        <v>2673618.9955626642</v>
      </c>
      <c r="AG40" s="54">
        <f t="shared" si="32"/>
        <v>27264011.591909245</v>
      </c>
      <c r="AH40" s="54">
        <f t="shared" si="19"/>
        <v>31863208.866578951</v>
      </c>
      <c r="AI40" s="55">
        <f t="shared" si="20"/>
        <v>4.0799485843958858E-3</v>
      </c>
    </row>
    <row r="41" spans="1:35" ht="14.25">
      <c r="A41" s="4" t="s">
        <v>79</v>
      </c>
      <c r="B41" s="44">
        <v>737314</v>
      </c>
      <c r="C41" s="44">
        <v>319251</v>
      </c>
      <c r="D41" s="51">
        <f t="shared" si="21"/>
        <v>0.43299191389285974</v>
      </c>
      <c r="E41" s="52">
        <f t="shared" si="14"/>
        <v>138233.10150220938</v>
      </c>
      <c r="F41" s="109">
        <f t="shared" si="22"/>
        <v>7.9482312171912E-5</v>
      </c>
      <c r="G41" s="41">
        <v>1483</v>
      </c>
      <c r="H41" s="103">
        <f t="shared" si="23"/>
        <v>2.5637736535347747E-4</v>
      </c>
      <c r="I41" s="43">
        <f t="shared" si="15"/>
        <v>2.1792076055045584E-4</v>
      </c>
      <c r="J41" s="44">
        <v>207.92</v>
      </c>
      <c r="K41" s="100">
        <f t="shared" si="24"/>
        <v>3.2376136208983647E-3</v>
      </c>
      <c r="L41" s="45">
        <f t="shared" si="16"/>
        <v>4.8564204313475466E-4</v>
      </c>
      <c r="M41" s="109">
        <f t="shared" si="17"/>
        <v>7.0356280368521053E-4</v>
      </c>
      <c r="N41" s="46">
        <v>166</v>
      </c>
      <c r="O41" s="47">
        <v>24</v>
      </c>
      <c r="P41" s="47">
        <v>127</v>
      </c>
      <c r="Q41" s="47">
        <v>48</v>
      </c>
      <c r="R41" s="48">
        <f t="shared" si="25"/>
        <v>5.668842439924349E-4</v>
      </c>
      <c r="S41" s="49">
        <v>122.00000000265999</v>
      </c>
      <c r="T41" s="49">
        <v>28</v>
      </c>
      <c r="U41" s="49">
        <v>16</v>
      </c>
      <c r="V41" s="49">
        <v>3</v>
      </c>
      <c r="W41" s="48">
        <f t="shared" si="26"/>
        <v>2.7865285037301604E-4</v>
      </c>
      <c r="X41" s="50">
        <f t="shared" si="27"/>
        <v>2.3685492281706362E-4</v>
      </c>
      <c r="Y41" s="42">
        <f t="shared" si="28"/>
        <v>-0.50844841195350865</v>
      </c>
      <c r="Z41" s="42">
        <f t="shared" si="8"/>
        <v>-0.50844841195350865</v>
      </c>
      <c r="AA41" s="43">
        <f t="shared" si="18"/>
        <v>9.474449189876509E-2</v>
      </c>
      <c r="AB41" s="43">
        <f t="shared" si="29"/>
        <v>1.4211673784814763E-2</v>
      </c>
      <c r="AC41" s="109">
        <f t="shared" si="10"/>
        <v>1.4448528707631827E-2</v>
      </c>
      <c r="AE41" s="53">
        <f t="shared" si="30"/>
        <v>310366.84182960814</v>
      </c>
      <c r="AF41" s="54">
        <f t="shared" si="31"/>
        <v>1373655.0903065566</v>
      </c>
      <c r="AG41" s="54">
        <f t="shared" si="32"/>
        <v>28209699.123831149</v>
      </c>
      <c r="AH41" s="54">
        <f t="shared" si="19"/>
        <v>29893721.055967312</v>
      </c>
      <c r="AI41" s="55">
        <f t="shared" si="20"/>
        <v>3.8277640339152157E-3</v>
      </c>
    </row>
    <row r="42" spans="1:35" ht="14.25">
      <c r="A42" s="4" t="s">
        <v>80</v>
      </c>
      <c r="B42" s="44">
        <v>752319</v>
      </c>
      <c r="C42" s="44">
        <v>69817</v>
      </c>
      <c r="D42" s="51">
        <f t="shared" si="21"/>
        <v>9.2802388348559584E-2</v>
      </c>
      <c r="E42" s="52">
        <f t="shared" si="14"/>
        <v>6479.1843473313847</v>
      </c>
      <c r="F42" s="109">
        <f t="shared" si="22"/>
        <v>3.7254503249768157E-6</v>
      </c>
      <c r="G42" s="41">
        <v>7652</v>
      </c>
      <c r="H42" s="103">
        <f t="shared" si="23"/>
        <v>1.322858799517741E-3</v>
      </c>
      <c r="I42" s="43">
        <f t="shared" si="15"/>
        <v>1.1244299795900798E-3</v>
      </c>
      <c r="J42" s="44">
        <v>1006.78</v>
      </c>
      <c r="K42" s="100">
        <f t="shared" si="24"/>
        <v>1.5677013472720547E-2</v>
      </c>
      <c r="L42" s="45">
        <f t="shared" si="16"/>
        <v>2.3515520209080819E-3</v>
      </c>
      <c r="M42" s="109">
        <f t="shared" si="17"/>
        <v>3.4759820004981617E-3</v>
      </c>
      <c r="N42" s="46">
        <v>1457</v>
      </c>
      <c r="O42" s="47">
        <v>857</v>
      </c>
      <c r="P42" s="47">
        <v>6591</v>
      </c>
      <c r="Q42" s="47">
        <v>540</v>
      </c>
      <c r="R42" s="48">
        <f t="shared" si="25"/>
        <v>1.1668536705942888E-2</v>
      </c>
      <c r="S42" s="49">
        <v>1103.9999999949041</v>
      </c>
      <c r="T42" s="49">
        <v>656</v>
      </c>
      <c r="U42" s="49">
        <v>3161</v>
      </c>
      <c r="V42" s="49">
        <v>242</v>
      </c>
      <c r="W42" s="48">
        <f t="shared" si="26"/>
        <v>1.3933846759870267E-2</v>
      </c>
      <c r="X42" s="50">
        <f t="shared" si="27"/>
        <v>1.1843769745889727E-2</v>
      </c>
      <c r="Y42" s="42">
        <f t="shared" si="28"/>
        <v>0.19413831494172162</v>
      </c>
      <c r="Z42" s="42">
        <f t="shared" si="8"/>
        <v>0</v>
      </c>
      <c r="AA42" s="43">
        <f t="shared" si="18"/>
        <v>0</v>
      </c>
      <c r="AB42" s="43">
        <f t="shared" si="29"/>
        <v>0</v>
      </c>
      <c r="AC42" s="109">
        <f t="shared" si="10"/>
        <v>1.1843769745889727E-2</v>
      </c>
      <c r="AE42" s="53">
        <f t="shared" si="30"/>
        <v>14547.340410219562</v>
      </c>
      <c r="AF42" s="54">
        <f t="shared" si="31"/>
        <v>6786601.4857354769</v>
      </c>
      <c r="AG42" s="54">
        <f t="shared" si="32"/>
        <v>23124097.11633851</v>
      </c>
      <c r="AH42" s="54">
        <f t="shared" si="19"/>
        <v>29925245.942484207</v>
      </c>
      <c r="AI42" s="55">
        <f t="shared" si="20"/>
        <v>3.8318006617594613E-3</v>
      </c>
    </row>
    <row r="43" spans="1:35" ht="14.25">
      <c r="A43" s="4" t="s">
        <v>81</v>
      </c>
      <c r="B43" s="44">
        <v>4368244</v>
      </c>
      <c r="C43" s="44">
        <v>875732</v>
      </c>
      <c r="D43" s="51">
        <f t="shared" si="21"/>
        <v>0.20047689643710379</v>
      </c>
      <c r="E43" s="52">
        <f t="shared" si="14"/>
        <v>175564.03347065777</v>
      </c>
      <c r="F43" s="109">
        <f t="shared" si="22"/>
        <v>1.0094713323242479E-4</v>
      </c>
      <c r="G43" s="41">
        <v>6048</v>
      </c>
      <c r="H43" s="103">
        <f t="shared" si="23"/>
        <v>1.0455632539837032E-3</v>
      </c>
      <c r="I43" s="43">
        <f t="shared" si="15"/>
        <v>8.8872876588614767E-4</v>
      </c>
      <c r="J43" s="44">
        <v>3872.26</v>
      </c>
      <c r="K43" s="100">
        <f t="shared" si="24"/>
        <v>6.0296660829453175E-2</v>
      </c>
      <c r="L43" s="45">
        <f t="shared" si="16"/>
        <v>9.0444991244179752E-3</v>
      </c>
      <c r="M43" s="109">
        <f t="shared" si="17"/>
        <v>9.9332278903041232E-3</v>
      </c>
      <c r="N43" s="46">
        <v>871</v>
      </c>
      <c r="O43" s="47">
        <v>298</v>
      </c>
      <c r="P43" s="47">
        <v>2364</v>
      </c>
      <c r="Q43" s="47">
        <v>407</v>
      </c>
      <c r="R43" s="48">
        <f t="shared" si="25"/>
        <v>5.7246757457106359E-3</v>
      </c>
      <c r="S43" s="49">
        <v>541.99999999184001</v>
      </c>
      <c r="T43" s="49">
        <v>247</v>
      </c>
      <c r="U43" s="49">
        <v>493</v>
      </c>
      <c r="V43" s="49">
        <v>128</v>
      </c>
      <c r="W43" s="48">
        <f t="shared" si="26"/>
        <v>4.6017900390551651E-3</v>
      </c>
      <c r="X43" s="50">
        <f t="shared" si="27"/>
        <v>3.9115215331968906E-3</v>
      </c>
      <c r="Y43" s="42">
        <f t="shared" si="28"/>
        <v>-0.19614835084708904</v>
      </c>
      <c r="Z43" s="42">
        <f t="shared" si="8"/>
        <v>-0.19614835084708904</v>
      </c>
      <c r="AA43" s="43">
        <f t="shared" si="18"/>
        <v>3.655036656794089E-2</v>
      </c>
      <c r="AB43" s="43">
        <f t="shared" si="29"/>
        <v>5.4825549851911333E-3</v>
      </c>
      <c r="AC43" s="109">
        <f t="shared" si="10"/>
        <v>9.3940765183880247E-3</v>
      </c>
      <c r="AE43" s="53">
        <f t="shared" si="30"/>
        <v>394183.838856316</v>
      </c>
      <c r="AF43" s="54">
        <f t="shared" si="31"/>
        <v>19393903.405951392</v>
      </c>
      <c r="AG43" s="54">
        <f t="shared" si="32"/>
        <v>18341249.651945267</v>
      </c>
      <c r="AH43" s="54">
        <f t="shared" si="19"/>
        <v>38129336.896752976</v>
      </c>
      <c r="AI43" s="55">
        <f t="shared" si="20"/>
        <v>4.8822996687892502E-3</v>
      </c>
    </row>
    <row r="44" spans="1:35" ht="14.25">
      <c r="A44" s="4" t="s">
        <v>82</v>
      </c>
      <c r="B44" s="44">
        <v>54997682</v>
      </c>
      <c r="C44" s="44">
        <v>15135193.17</v>
      </c>
      <c r="D44" s="51">
        <f t="shared" si="21"/>
        <v>0.27519692866328438</v>
      </c>
      <c r="E44" s="52">
        <f t="shared" si="14"/>
        <v>4165158.6751095192</v>
      </c>
      <c r="F44" s="109">
        <f t="shared" si="22"/>
        <v>2.3949143762451927E-3</v>
      </c>
      <c r="G44" s="41">
        <v>67428</v>
      </c>
      <c r="H44" s="103">
        <f t="shared" si="23"/>
        <v>1.1656785563758786E-2</v>
      </c>
      <c r="I44" s="43">
        <f t="shared" si="15"/>
        <v>9.9082677291949667E-3</v>
      </c>
      <c r="J44" s="44">
        <v>1869.3</v>
      </c>
      <c r="K44" s="100">
        <f t="shared" si="24"/>
        <v>2.9107691138636562E-2</v>
      </c>
      <c r="L44" s="45">
        <f t="shared" si="16"/>
        <v>4.3661536707954845E-3</v>
      </c>
      <c r="M44" s="109">
        <f t="shared" si="17"/>
        <v>1.4274421399990451E-2</v>
      </c>
      <c r="N44" s="46">
        <v>9097</v>
      </c>
      <c r="O44" s="47">
        <v>1608</v>
      </c>
      <c r="P44" s="47">
        <v>18077</v>
      </c>
      <c r="Q44" s="47">
        <v>1611</v>
      </c>
      <c r="R44" s="48">
        <f t="shared" si="25"/>
        <v>3.3705765227310995E-2</v>
      </c>
      <c r="S44" s="49">
        <v>5867.9999999965466</v>
      </c>
      <c r="T44" s="49">
        <v>1434</v>
      </c>
      <c r="U44" s="49">
        <v>7372</v>
      </c>
      <c r="V44" s="49">
        <v>494</v>
      </c>
      <c r="W44" s="48">
        <f t="shared" si="26"/>
        <v>3.3476855698049306E-2</v>
      </c>
      <c r="X44" s="50">
        <f t="shared" si="27"/>
        <v>2.8455327343341909E-2</v>
      </c>
      <c r="Y44" s="42">
        <f t="shared" si="28"/>
        <v>-6.7914057941698752E-3</v>
      </c>
      <c r="Z44" s="42">
        <f t="shared" si="8"/>
        <v>-6.7914057941698752E-3</v>
      </c>
      <c r="AA44" s="43">
        <f t="shared" si="18"/>
        <v>1.2655134249997214E-3</v>
      </c>
      <c r="AB44" s="43">
        <f t="shared" si="29"/>
        <v>1.898270137499582E-4</v>
      </c>
      <c r="AC44" s="109">
        <f t="shared" si="10"/>
        <v>2.8645154357091869E-2</v>
      </c>
      <c r="AE44" s="53">
        <f t="shared" si="30"/>
        <v>9351791.5004770011</v>
      </c>
      <c r="AF44" s="54">
        <f t="shared" si="31"/>
        <v>27869767.296638999</v>
      </c>
      <c r="AG44" s="54">
        <f t="shared" si="32"/>
        <v>55927575.888224036</v>
      </c>
      <c r="AH44" s="54">
        <f t="shared" si="19"/>
        <v>93149134.685340032</v>
      </c>
      <c r="AI44" s="55">
        <f t="shared" si="20"/>
        <v>1.1927351127393177E-2</v>
      </c>
    </row>
    <row r="45" spans="1:35" ht="14.25">
      <c r="A45" s="4" t="s">
        <v>83</v>
      </c>
      <c r="B45" s="44">
        <v>2401041388</v>
      </c>
      <c r="C45" s="44">
        <v>1234436745.76</v>
      </c>
      <c r="D45" s="51">
        <f t="shared" si="21"/>
        <v>0.51412555898848999</v>
      </c>
      <c r="E45" s="52">
        <f t="shared" si="14"/>
        <v>634655481.9497925</v>
      </c>
      <c r="F45" s="109">
        <f t="shared" si="22"/>
        <v>0.3649189997892251</v>
      </c>
      <c r="G45" s="41">
        <v>1142994</v>
      </c>
      <c r="H45" s="103">
        <f t="shared" si="23"/>
        <v>0.19759797055619194</v>
      </c>
      <c r="I45" s="43">
        <f t="shared" si="15"/>
        <v>0.16795827497276314</v>
      </c>
      <c r="J45" s="44">
        <v>323.60000000000002</v>
      </c>
      <c r="K45" s="100">
        <f t="shared" si="24"/>
        <v>5.0389176977814112E-3</v>
      </c>
      <c r="L45" s="45">
        <f t="shared" si="16"/>
        <v>7.558376546672117E-4</v>
      </c>
      <c r="M45" s="109">
        <f t="shared" si="17"/>
        <v>0.16871411262743036</v>
      </c>
      <c r="N45" s="46">
        <v>123398</v>
      </c>
      <c r="O45" s="47">
        <v>25536</v>
      </c>
      <c r="P45" s="47">
        <v>28126</v>
      </c>
      <c r="Q45" s="47">
        <v>2378</v>
      </c>
      <c r="R45" s="48">
        <f t="shared" si="25"/>
        <v>0.18097080651961275</v>
      </c>
      <c r="S45" s="49">
        <v>88873.999998769097</v>
      </c>
      <c r="T45" s="49">
        <v>19246</v>
      </c>
      <c r="U45" s="49">
        <v>4982</v>
      </c>
      <c r="V45" s="49">
        <v>694</v>
      </c>
      <c r="W45" s="48">
        <f t="shared" si="26"/>
        <v>0.15834621423966655</v>
      </c>
      <c r="X45" s="50">
        <f t="shared" si="27"/>
        <v>0.13459428210371657</v>
      </c>
      <c r="Y45" s="42">
        <f t="shared" si="28"/>
        <v>-0.12501791153532965</v>
      </c>
      <c r="Z45" s="42">
        <f t="shared" si="8"/>
        <v>-0.12501791153532965</v>
      </c>
      <c r="AA45" s="43">
        <f t="shared" si="18"/>
        <v>2.329589045455142E-2</v>
      </c>
      <c r="AB45" s="43">
        <f t="shared" si="29"/>
        <v>3.4943835681827129E-3</v>
      </c>
      <c r="AC45" s="109">
        <f t="shared" si="10"/>
        <v>0.13808866567189929</v>
      </c>
      <c r="AE45" s="53">
        <f t="shared" si="30"/>
        <v>1424955495.0444105</v>
      </c>
      <c r="AF45" s="54">
        <f t="shared" si="31"/>
        <v>329402007.04657441</v>
      </c>
      <c r="AG45" s="54">
        <f t="shared" si="32"/>
        <v>269608054.20679188</v>
      </c>
      <c r="AH45" s="54">
        <f t="shared" si="19"/>
        <v>2023965556.2977767</v>
      </c>
      <c r="AI45" s="55">
        <f t="shared" si="20"/>
        <v>0.25916019446944499</v>
      </c>
    </row>
    <row r="46" spans="1:35" ht="14.25">
      <c r="A46" s="4" t="s">
        <v>84</v>
      </c>
      <c r="B46" s="44">
        <v>1283549</v>
      </c>
      <c r="C46" s="44">
        <v>468889</v>
      </c>
      <c r="D46" s="51">
        <f t="shared" si="21"/>
        <v>0.36530666145195861</v>
      </c>
      <c r="E46" s="52">
        <f t="shared" si="14"/>
        <v>171288.27518154742</v>
      </c>
      <c r="F46" s="109">
        <f t="shared" si="22"/>
        <v>9.8488625455246117E-5</v>
      </c>
      <c r="G46" s="41">
        <v>906</v>
      </c>
      <c r="H46" s="103">
        <f t="shared" si="23"/>
        <v>1.5662703507097141E-4</v>
      </c>
      <c r="I46" s="43">
        <f t="shared" si="15"/>
        <v>1.331329798103257E-4</v>
      </c>
      <c r="J46" s="44">
        <v>1172.6600000000001</v>
      </c>
      <c r="K46" s="100">
        <f t="shared" si="24"/>
        <v>1.8260003793202563E-2</v>
      </c>
      <c r="L46" s="45">
        <f t="shared" si="16"/>
        <v>2.7390005689803842E-3</v>
      </c>
      <c r="M46" s="109">
        <f t="shared" si="17"/>
        <v>2.8721335487907097E-3</v>
      </c>
      <c r="N46" s="46">
        <v>244</v>
      </c>
      <c r="O46" s="47">
        <v>60</v>
      </c>
      <c r="P46" s="47">
        <v>375</v>
      </c>
      <c r="Q46" s="47">
        <v>47</v>
      </c>
      <c r="R46" s="48">
        <f t="shared" si="25"/>
        <v>8.9400030637785065E-4</v>
      </c>
      <c r="S46" s="49">
        <v>95.999999999399989</v>
      </c>
      <c r="T46" s="49">
        <v>43</v>
      </c>
      <c r="U46" s="49">
        <v>84</v>
      </c>
      <c r="V46" s="49">
        <v>27</v>
      </c>
      <c r="W46" s="48">
        <f t="shared" si="26"/>
        <v>8.8461266524612078E-4</v>
      </c>
      <c r="X46" s="50">
        <f t="shared" si="27"/>
        <v>7.5192076545920264E-4</v>
      </c>
      <c r="Y46" s="42">
        <f t="shared" si="28"/>
        <v>-1.0500713550943872E-2</v>
      </c>
      <c r="Z46" s="42">
        <f t="shared" si="8"/>
        <v>-1.0500713550943872E-2</v>
      </c>
      <c r="AA46" s="43">
        <f t="shared" si="18"/>
        <v>1.9567073995495625E-3</v>
      </c>
      <c r="AB46" s="43">
        <f t="shared" si="29"/>
        <v>2.9350610993243438E-4</v>
      </c>
      <c r="AC46" s="109">
        <f t="shared" si="10"/>
        <v>1.0454268753916371E-3</v>
      </c>
      <c r="AE46" s="53">
        <f t="shared" si="30"/>
        <v>384583.72439605597</v>
      </c>
      <c r="AF46" s="54">
        <f t="shared" si="31"/>
        <v>5607631.3993168632</v>
      </c>
      <c r="AG46" s="54">
        <f t="shared" si="32"/>
        <v>2041119.7712599989</v>
      </c>
      <c r="AH46" s="54">
        <f t="shared" si="19"/>
        <v>8033334.8949729176</v>
      </c>
      <c r="AI46" s="55">
        <f t="shared" si="20"/>
        <v>1.0286344187732097E-3</v>
      </c>
    </row>
    <row r="47" spans="1:35" ht="14.25">
      <c r="A47" s="4" t="s">
        <v>85</v>
      </c>
      <c r="B47" s="44">
        <v>73375379</v>
      </c>
      <c r="C47" s="44">
        <v>15857010</v>
      </c>
      <c r="D47" s="51">
        <f t="shared" si="21"/>
        <v>0.21610804899556293</v>
      </c>
      <c r="E47" s="52">
        <f t="shared" si="14"/>
        <v>3426827.4940031315</v>
      </c>
      <c r="F47" s="109">
        <f t="shared" si="22"/>
        <v>1.97038314034569E-3</v>
      </c>
      <c r="G47" s="41">
        <v>147624</v>
      </c>
      <c r="H47" s="103">
        <f t="shared" si="23"/>
        <v>2.5520871330372057E-2</v>
      </c>
      <c r="I47" s="43">
        <f t="shared" si="15"/>
        <v>2.1692740630816248E-2</v>
      </c>
      <c r="J47" s="44">
        <v>308.89</v>
      </c>
      <c r="K47" s="100">
        <f t="shared" si="24"/>
        <v>4.8098618283921504E-3</v>
      </c>
      <c r="L47" s="45">
        <f t="shared" si="16"/>
        <v>7.2147927425882249E-4</v>
      </c>
      <c r="M47" s="109">
        <f t="shared" si="17"/>
        <v>2.241421990507507E-2</v>
      </c>
      <c r="N47" s="46">
        <v>1423</v>
      </c>
      <c r="O47" s="47">
        <v>462</v>
      </c>
      <c r="P47" s="47">
        <v>3867</v>
      </c>
      <c r="Q47" s="47">
        <v>358</v>
      </c>
      <c r="R47" s="48">
        <f t="shared" si="25"/>
        <v>7.3252944690219944E-3</v>
      </c>
      <c r="S47" s="49">
        <v>502.9999955589883</v>
      </c>
      <c r="T47" s="49">
        <v>435</v>
      </c>
      <c r="U47" s="49">
        <v>1115</v>
      </c>
      <c r="V47" s="49">
        <v>155</v>
      </c>
      <c r="W47" s="48">
        <f t="shared" si="26"/>
        <v>6.9676301349024189E-3</v>
      </c>
      <c r="X47" s="50">
        <f t="shared" si="27"/>
        <v>5.9224856146670559E-3</v>
      </c>
      <c r="Y47" s="42">
        <f t="shared" si="28"/>
        <v>-4.8825932613645158E-2</v>
      </c>
      <c r="Z47" s="42">
        <f t="shared" si="8"/>
        <v>-4.8825932613645158E-2</v>
      </c>
      <c r="AA47" s="43">
        <f t="shared" si="18"/>
        <v>9.0982449117888945E-3</v>
      </c>
      <c r="AB47" s="43">
        <f t="shared" si="29"/>
        <v>1.3647367367683341E-3</v>
      </c>
      <c r="AC47" s="109">
        <f t="shared" si="10"/>
        <v>7.2872223514353898E-3</v>
      </c>
      <c r="AE47" s="53">
        <f t="shared" si="30"/>
        <v>7694058.9138964191</v>
      </c>
      <c r="AF47" s="54">
        <f t="shared" si="31"/>
        <v>43762130.554066025</v>
      </c>
      <c r="AG47" s="54">
        <f t="shared" si="32"/>
        <v>14227770.463152127</v>
      </c>
      <c r="AH47" s="54">
        <f t="shared" si="19"/>
        <v>65683959.931114569</v>
      </c>
      <c r="AI47" s="55">
        <f t="shared" si="20"/>
        <v>8.4105521343004596E-3</v>
      </c>
    </row>
    <row r="48" spans="1:35" ht="14.25">
      <c r="A48" s="4" t="s">
        <v>86</v>
      </c>
      <c r="B48" s="44">
        <v>5999815</v>
      </c>
      <c r="C48" s="44">
        <v>1139783</v>
      </c>
      <c r="D48" s="51">
        <f t="shared" si="21"/>
        <v>0.18996969073213091</v>
      </c>
      <c r="E48" s="52">
        <f t="shared" si="14"/>
        <v>216524.22401174036</v>
      </c>
      <c r="F48" s="109">
        <f t="shared" si="22"/>
        <v>1.2449873278295133E-4</v>
      </c>
      <c r="G48" s="41">
        <v>5389</v>
      </c>
      <c r="H48" s="103">
        <f t="shared" si="23"/>
        <v>9.3163696688461914E-4</v>
      </c>
      <c r="I48" s="43">
        <f t="shared" si="15"/>
        <v>7.918914218519263E-4</v>
      </c>
      <c r="J48" s="44">
        <v>1341.58</v>
      </c>
      <c r="K48" s="100">
        <f t="shared" si="24"/>
        <v>2.089033128859575E-2</v>
      </c>
      <c r="L48" s="45">
        <f t="shared" si="16"/>
        <v>3.1335496932893623E-3</v>
      </c>
      <c r="M48" s="109">
        <f t="shared" si="17"/>
        <v>3.9254411151412889E-3</v>
      </c>
      <c r="N48" s="46">
        <v>1104</v>
      </c>
      <c r="O48" s="47">
        <v>274</v>
      </c>
      <c r="P48" s="47">
        <v>2326</v>
      </c>
      <c r="Q48" s="47">
        <v>140</v>
      </c>
      <c r="R48" s="48">
        <f t="shared" si="25"/>
        <v>4.0589985343422721E-3</v>
      </c>
      <c r="S48" s="49">
        <v>511.00000000414997</v>
      </c>
      <c r="T48" s="49">
        <v>264</v>
      </c>
      <c r="U48" s="49">
        <v>999</v>
      </c>
      <c r="V48" s="49">
        <v>49</v>
      </c>
      <c r="W48" s="48">
        <f t="shared" si="26"/>
        <v>4.2240475772149242E-3</v>
      </c>
      <c r="X48" s="50">
        <f t="shared" si="27"/>
        <v>3.5904404406326856E-3</v>
      </c>
      <c r="Y48" s="42">
        <f t="shared" si="28"/>
        <v>4.066250368809185E-2</v>
      </c>
      <c r="Z48" s="42">
        <f t="shared" si="8"/>
        <v>0</v>
      </c>
      <c r="AA48" s="43">
        <f t="shared" si="18"/>
        <v>0</v>
      </c>
      <c r="AB48" s="43">
        <f t="shared" si="29"/>
        <v>0</v>
      </c>
      <c r="AC48" s="109">
        <f t="shared" si="10"/>
        <v>3.5904404406326856E-3</v>
      </c>
      <c r="AE48" s="53">
        <f t="shared" si="30"/>
        <v>486149.40166886424</v>
      </c>
      <c r="AF48" s="54">
        <f t="shared" si="31"/>
        <v>7664137.6452372354</v>
      </c>
      <c r="AG48" s="54">
        <f t="shared" si="32"/>
        <v>7010073.2470278535</v>
      </c>
      <c r="AH48" s="54">
        <f t="shared" si="19"/>
        <v>15160360.293933954</v>
      </c>
      <c r="AI48" s="55">
        <f t="shared" si="20"/>
        <v>1.9412197553349696E-3</v>
      </c>
    </row>
    <row r="49" spans="1:35" ht="14.25">
      <c r="A49" s="4" t="s">
        <v>87</v>
      </c>
      <c r="B49" s="44">
        <v>1019262</v>
      </c>
      <c r="C49" s="44">
        <v>622808</v>
      </c>
      <c r="D49" s="51">
        <f t="shared" si="21"/>
        <v>0.6110381825281429</v>
      </c>
      <c r="E49" s="52">
        <f t="shared" si="14"/>
        <v>380559.46838398761</v>
      </c>
      <c r="F49" s="109">
        <f t="shared" si="22"/>
        <v>2.1881695583303925E-4</v>
      </c>
      <c r="G49" s="41">
        <v>2377</v>
      </c>
      <c r="H49" s="103">
        <f t="shared" si="23"/>
        <v>4.1092987015860824E-4</v>
      </c>
      <c r="I49" s="43">
        <f t="shared" si="15"/>
        <v>3.4929038963481702E-4</v>
      </c>
      <c r="J49" s="44">
        <v>673.76</v>
      </c>
      <c r="K49" s="100">
        <f t="shared" si="24"/>
        <v>1.0491412818470961E-2</v>
      </c>
      <c r="L49" s="45">
        <f t="shared" si="16"/>
        <v>1.5737119227706442E-3</v>
      </c>
      <c r="M49" s="109">
        <f t="shared" si="17"/>
        <v>1.9230023124054611E-3</v>
      </c>
      <c r="N49" s="46">
        <v>671</v>
      </c>
      <c r="O49" s="47">
        <v>247</v>
      </c>
      <c r="P49" s="47">
        <v>1766</v>
      </c>
      <c r="Q49" s="47">
        <v>574</v>
      </c>
      <c r="R49" s="48">
        <f t="shared" si="25"/>
        <v>6.0819008342956988E-3</v>
      </c>
      <c r="S49" s="49">
        <v>600.99999999995009</v>
      </c>
      <c r="T49" s="49">
        <v>212</v>
      </c>
      <c r="U49" s="49">
        <v>872</v>
      </c>
      <c r="V49" s="49">
        <v>90</v>
      </c>
      <c r="W49" s="48">
        <f t="shared" si="26"/>
        <v>4.6062067684282618E-3</v>
      </c>
      <c r="X49" s="50">
        <f t="shared" si="27"/>
        <v>3.9152757531640226E-3</v>
      </c>
      <c r="Y49" s="42">
        <f t="shared" si="28"/>
        <v>-0.24263698242924844</v>
      </c>
      <c r="Z49" s="42">
        <f t="shared" si="8"/>
        <v>-0.24263698242924844</v>
      </c>
      <c r="AA49" s="43">
        <f t="shared" si="18"/>
        <v>4.5213077818031917E-2</v>
      </c>
      <c r="AB49" s="43">
        <f t="shared" si="29"/>
        <v>6.7819616727047873E-3</v>
      </c>
      <c r="AC49" s="109">
        <f t="shared" si="10"/>
        <v>1.0697237425868811E-2</v>
      </c>
      <c r="AE49" s="53">
        <f t="shared" si="30"/>
        <v>854448.31264821952</v>
      </c>
      <c r="AF49" s="54">
        <f t="shared" si="31"/>
        <v>3754521.8440640084</v>
      </c>
      <c r="AG49" s="54">
        <f t="shared" si="32"/>
        <v>20885576.334187582</v>
      </c>
      <c r="AH49" s="54">
        <f t="shared" si="19"/>
        <v>25494546.490899809</v>
      </c>
      <c r="AI49" s="55">
        <f t="shared" si="20"/>
        <v>3.2644684124850877E-3</v>
      </c>
    </row>
    <row r="50" spans="1:35" ht="14.25">
      <c r="A50" s="4" t="s">
        <v>88</v>
      </c>
      <c r="B50" s="44">
        <v>18416508</v>
      </c>
      <c r="C50" s="44">
        <v>9313018</v>
      </c>
      <c r="D50" s="51">
        <f t="shared" si="21"/>
        <v>0.50568859199583327</v>
      </c>
      <c r="E50" s="52">
        <f t="shared" si="14"/>
        <v>4709486.9596518511</v>
      </c>
      <c r="F50" s="109">
        <f t="shared" si="22"/>
        <v>2.7078963622227227E-3</v>
      </c>
      <c r="G50" s="41">
        <v>34709</v>
      </c>
      <c r="H50" s="103">
        <f t="shared" si="23"/>
        <v>6.0004059164220159E-3</v>
      </c>
      <c r="I50" s="43">
        <f t="shared" si="15"/>
        <v>5.1003450289587131E-3</v>
      </c>
      <c r="J50" s="44">
        <v>1542.15</v>
      </c>
      <c r="K50" s="100">
        <f t="shared" si="24"/>
        <v>2.4013494831995066E-2</v>
      </c>
      <c r="L50" s="45">
        <f t="shared" si="16"/>
        <v>3.6020242247992596E-3</v>
      </c>
      <c r="M50" s="109">
        <f t="shared" si="17"/>
        <v>8.7023692537579727E-3</v>
      </c>
      <c r="N50" s="46">
        <v>4789</v>
      </c>
      <c r="O50" s="47">
        <v>909</v>
      </c>
      <c r="P50" s="47">
        <v>4749</v>
      </c>
      <c r="Q50" s="47">
        <v>258</v>
      </c>
      <c r="R50" s="48">
        <f t="shared" si="25"/>
        <v>1.0585387582953843E-2</v>
      </c>
      <c r="S50" s="49">
        <v>3480.0000000606401</v>
      </c>
      <c r="T50" s="49">
        <v>841</v>
      </c>
      <c r="U50" s="49">
        <v>1534</v>
      </c>
      <c r="V50" s="49">
        <v>182</v>
      </c>
      <c r="W50" s="48">
        <f t="shared" si="26"/>
        <v>1.2037345123968266E-2</v>
      </c>
      <c r="X50" s="50">
        <f t="shared" si="27"/>
        <v>1.0231743355373026E-2</v>
      </c>
      <c r="Y50" s="42">
        <f t="shared" si="28"/>
        <v>0.1371662142397676</v>
      </c>
      <c r="Z50" s="42">
        <f t="shared" si="8"/>
        <v>0</v>
      </c>
      <c r="AA50" s="43">
        <f t="shared" si="18"/>
        <v>0</v>
      </c>
      <c r="AB50" s="43">
        <f t="shared" si="29"/>
        <v>0</v>
      </c>
      <c r="AC50" s="109">
        <f t="shared" si="10"/>
        <v>1.0231743355373026E-2</v>
      </c>
      <c r="AE50" s="53">
        <f t="shared" si="30"/>
        <v>10573940.528141202</v>
      </c>
      <c r="AF50" s="54">
        <f t="shared" si="31"/>
        <v>16990741.637473512</v>
      </c>
      <c r="AG50" s="54">
        <f t="shared" si="32"/>
        <v>19976733.0921987</v>
      </c>
      <c r="AH50" s="54">
        <f t="shared" si="19"/>
        <v>47541415.257813416</v>
      </c>
      <c r="AI50" s="55">
        <f t="shared" si="20"/>
        <v>6.0874763333941123E-3</v>
      </c>
    </row>
    <row r="51" spans="1:35" ht="14.25">
      <c r="A51" s="4" t="s">
        <v>89</v>
      </c>
      <c r="B51" s="44">
        <v>345400602</v>
      </c>
      <c r="C51" s="44">
        <v>20380807.239999998</v>
      </c>
      <c r="D51" s="51">
        <f t="shared" si="21"/>
        <v>5.9006287545497672E-2</v>
      </c>
      <c r="E51" s="52">
        <f t="shared" si="14"/>
        <v>1202595.7724128007</v>
      </c>
      <c r="F51" s="109">
        <f t="shared" si="22"/>
        <v>6.9147759516925927E-4</v>
      </c>
      <c r="G51" s="41">
        <v>86766</v>
      </c>
      <c r="H51" s="103">
        <f t="shared" si="23"/>
        <v>1.4999891087161044E-2</v>
      </c>
      <c r="I51" s="43">
        <f t="shared" si="15"/>
        <v>1.2749907424086887E-2</v>
      </c>
      <c r="J51" s="44">
        <v>1658.08</v>
      </c>
      <c r="K51" s="100">
        <f t="shared" si="24"/>
        <v>2.5818691768656987E-2</v>
      </c>
      <c r="L51" s="45">
        <f t="shared" si="16"/>
        <v>3.8728037652985478E-3</v>
      </c>
      <c r="M51" s="109">
        <f t="shared" si="17"/>
        <v>1.6622711189385436E-2</v>
      </c>
      <c r="N51" s="46">
        <v>2382</v>
      </c>
      <c r="O51" s="47">
        <v>572</v>
      </c>
      <c r="P51" s="47">
        <v>6969</v>
      </c>
      <c r="Q51" s="47">
        <v>1381</v>
      </c>
      <c r="R51" s="48">
        <f t="shared" si="25"/>
        <v>1.7053640702108089E-2</v>
      </c>
      <c r="S51" s="49">
        <v>1795.99999997852</v>
      </c>
      <c r="T51" s="49">
        <v>775</v>
      </c>
      <c r="U51" s="49">
        <v>2276</v>
      </c>
      <c r="V51" s="49">
        <v>675</v>
      </c>
      <c r="W51" s="48">
        <f t="shared" si="26"/>
        <v>2.09736755298758E-2</v>
      </c>
      <c r="X51" s="50">
        <f t="shared" si="27"/>
        <v>1.782762420039443E-2</v>
      </c>
      <c r="Y51" s="42">
        <f t="shared" si="28"/>
        <v>0.22986498286451734</v>
      </c>
      <c r="Z51" s="42">
        <f t="shared" si="8"/>
        <v>0</v>
      </c>
      <c r="AA51" s="43">
        <f t="shared" si="18"/>
        <v>0</v>
      </c>
      <c r="AB51" s="43">
        <f t="shared" si="29"/>
        <v>0</v>
      </c>
      <c r="AC51" s="109">
        <f t="shared" si="10"/>
        <v>1.782762420039443E-2</v>
      </c>
      <c r="AE51" s="53">
        <f t="shared" si="30"/>
        <v>2700119.2031811103</v>
      </c>
      <c r="AF51" s="54">
        <f t="shared" si="31"/>
        <v>32454631.939597867</v>
      </c>
      <c r="AG51" s="54">
        <f t="shared" si="32"/>
        <v>34807136.765435204</v>
      </c>
      <c r="AH51" s="54">
        <f t="shared" si="19"/>
        <v>69961887.908214182</v>
      </c>
      <c r="AI51" s="55">
        <f t="shared" si="20"/>
        <v>8.9583226450295969E-3</v>
      </c>
    </row>
    <row r="52" spans="1:35" ht="14.25">
      <c r="A52" s="4" t="s">
        <v>90</v>
      </c>
      <c r="B52" s="44">
        <v>628178081</v>
      </c>
      <c r="C52" s="44">
        <v>291911120</v>
      </c>
      <c r="D52" s="51">
        <f t="shared" si="21"/>
        <v>0.46469485139517308</v>
      </c>
      <c r="E52" s="52">
        <f t="shared" si="14"/>
        <v>135649594.52899852</v>
      </c>
      <c r="F52" s="109">
        <f t="shared" si="22"/>
        <v>7.7996827830523807E-2</v>
      </c>
      <c r="G52" s="41">
        <v>412199</v>
      </c>
      <c r="H52" s="103">
        <f t="shared" si="23"/>
        <v>7.125994175410523E-2</v>
      </c>
      <c r="I52" s="43">
        <f t="shared" si="15"/>
        <v>6.0570950490989442E-2</v>
      </c>
      <c r="J52" s="44">
        <v>60.1</v>
      </c>
      <c r="K52" s="100">
        <f t="shared" si="24"/>
        <v>9.3584349084259205E-4</v>
      </c>
      <c r="L52" s="45">
        <f t="shared" si="16"/>
        <v>1.403765236263888E-4</v>
      </c>
      <c r="M52" s="109">
        <f t="shared" si="17"/>
        <v>6.0711327014615832E-2</v>
      </c>
      <c r="N52" s="46">
        <v>40580</v>
      </c>
      <c r="O52" s="47">
        <v>5745</v>
      </c>
      <c r="P52" s="47">
        <v>2165</v>
      </c>
      <c r="Q52" s="47">
        <v>472</v>
      </c>
      <c r="R52" s="48">
        <f t="shared" si="25"/>
        <v>4.4692892588453548E-2</v>
      </c>
      <c r="S52" s="49">
        <v>18155.999999995089</v>
      </c>
      <c r="T52" s="49">
        <v>4217</v>
      </c>
      <c r="U52" s="49">
        <v>161</v>
      </c>
      <c r="V52" s="49">
        <v>91</v>
      </c>
      <c r="W52" s="48">
        <f t="shared" si="26"/>
        <v>3.0657492440983779E-2</v>
      </c>
      <c r="X52" s="50">
        <f t="shared" si="27"/>
        <v>2.6058868574836212E-2</v>
      </c>
      <c r="Y52" s="42">
        <f t="shared" si="28"/>
        <v>-0.3140409880540117</v>
      </c>
      <c r="Z52" s="42">
        <f t="shared" si="8"/>
        <v>-0.3140409880540117</v>
      </c>
      <c r="AA52" s="43">
        <f t="shared" si="18"/>
        <v>5.8518530393766088E-2</v>
      </c>
      <c r="AB52" s="43">
        <f t="shared" si="29"/>
        <v>8.7777795590649136E-3</v>
      </c>
      <c r="AC52" s="109">
        <f t="shared" si="10"/>
        <v>3.4836648133901124E-2</v>
      </c>
      <c r="AE52" s="53">
        <f t="shared" si="30"/>
        <v>304566242.03544521</v>
      </c>
      <c r="AF52" s="54">
        <f t="shared" si="31"/>
        <v>118534440.64420208</v>
      </c>
      <c r="AG52" s="54">
        <f t="shared" si="32"/>
        <v>68016016.178937182</v>
      </c>
      <c r="AH52" s="54">
        <f t="shared" si="19"/>
        <v>491116698.85858452</v>
      </c>
      <c r="AI52" s="55">
        <f t="shared" si="20"/>
        <v>6.2885407702391163E-2</v>
      </c>
    </row>
    <row r="53" spans="1:35" ht="14.25">
      <c r="A53" s="4" t="s">
        <v>91</v>
      </c>
      <c r="B53" s="44">
        <v>1066601268</v>
      </c>
      <c r="C53" s="44">
        <v>707374780.13</v>
      </c>
      <c r="D53" s="51">
        <f t="shared" si="21"/>
        <v>0.66320451826989579</v>
      </c>
      <c r="E53" s="52">
        <f t="shared" si="14"/>
        <v>469134150.29239011</v>
      </c>
      <c r="F53" s="109">
        <f t="shared" si="22"/>
        <v>0.2697462950539995</v>
      </c>
      <c r="G53" s="41">
        <v>132169</v>
      </c>
      <c r="H53" s="103">
        <f t="shared" si="23"/>
        <v>2.2849049225491413E-2</v>
      </c>
      <c r="I53" s="43">
        <f t="shared" si="15"/>
        <v>1.9421691841667702E-2</v>
      </c>
      <c r="J53" s="44">
        <v>72.010000000000005</v>
      </c>
      <c r="K53" s="100">
        <f t="shared" si="24"/>
        <v>1.1212993307084037E-3</v>
      </c>
      <c r="L53" s="45">
        <f t="shared" si="16"/>
        <v>1.6819489960626053E-4</v>
      </c>
      <c r="M53" s="109">
        <f t="shared" si="17"/>
        <v>1.9589886741273963E-2</v>
      </c>
      <c r="N53" s="46">
        <v>9903</v>
      </c>
      <c r="O53" s="47">
        <v>1776</v>
      </c>
      <c r="P53" s="47">
        <v>642</v>
      </c>
      <c r="Q53" s="47">
        <v>85</v>
      </c>
      <c r="R53" s="48">
        <f t="shared" si="25"/>
        <v>1.186193507945096E-2</v>
      </c>
      <c r="S53" s="49">
        <v>4908.0000000006539</v>
      </c>
      <c r="T53" s="49">
        <v>1283</v>
      </c>
      <c r="U53" s="49">
        <v>140</v>
      </c>
      <c r="V53" s="49">
        <v>21</v>
      </c>
      <c r="W53" s="48">
        <f t="shared" si="26"/>
        <v>8.9060598463427572E-3</v>
      </c>
      <c r="X53" s="50">
        <f t="shared" si="27"/>
        <v>7.5701508693913431E-3</v>
      </c>
      <c r="Y53" s="42">
        <f t="shared" si="28"/>
        <v>-0.24918996886341233</v>
      </c>
      <c r="Z53" s="42">
        <f t="shared" si="8"/>
        <v>-0.24918996886341233</v>
      </c>
      <c r="AA53" s="43">
        <f t="shared" si="18"/>
        <v>4.6434164078757868E-2</v>
      </c>
      <c r="AB53" s="43">
        <f t="shared" si="29"/>
        <v>6.9651246118136801E-3</v>
      </c>
      <c r="AC53" s="109">
        <f t="shared" si="10"/>
        <v>1.4535275481205024E-2</v>
      </c>
      <c r="AE53" s="53">
        <f t="shared" si="30"/>
        <v>1053319957.6538379</v>
      </c>
      <c r="AF53" s="54">
        <f t="shared" si="31"/>
        <v>38247825.92219004</v>
      </c>
      <c r="AG53" s="54">
        <f t="shared" si="32"/>
        <v>28379065.876113024</v>
      </c>
      <c r="AH53" s="54">
        <f t="shared" si="19"/>
        <v>1119946849.4521408</v>
      </c>
      <c r="AI53" s="55">
        <f t="shared" si="20"/>
        <v>0.14340443808261949</v>
      </c>
    </row>
    <row r="54" spans="1:35" ht="14.25">
      <c r="A54" s="4" t="s">
        <v>92</v>
      </c>
      <c r="B54" s="44">
        <v>260271541</v>
      </c>
      <c r="C54" s="44">
        <v>114179634.2</v>
      </c>
      <c r="D54" s="51">
        <f t="shared" si="21"/>
        <v>0.4386942719949547</v>
      </c>
      <c r="E54" s="52">
        <f t="shared" si="14"/>
        <v>50089951.502019234</v>
      </c>
      <c r="F54" s="109">
        <f t="shared" si="22"/>
        <v>2.8801098425009244E-2</v>
      </c>
      <c r="G54" s="41">
        <v>306322</v>
      </c>
      <c r="H54" s="103">
        <f t="shared" si="23"/>
        <v>5.2956188341070756E-2</v>
      </c>
      <c r="I54" s="43">
        <f t="shared" si="15"/>
        <v>4.5012760089910141E-2</v>
      </c>
      <c r="J54" s="44">
        <v>885.01</v>
      </c>
      <c r="K54" s="100">
        <f t="shared" si="24"/>
        <v>1.3780879331624E-2</v>
      </c>
      <c r="L54" s="45">
        <f t="shared" si="16"/>
        <v>2.0671318997435998E-3</v>
      </c>
      <c r="M54" s="109">
        <f t="shared" si="17"/>
        <v>4.707989198965374E-2</v>
      </c>
      <c r="N54" s="46">
        <v>25924</v>
      </c>
      <c r="O54" s="47">
        <v>5313</v>
      </c>
      <c r="P54" s="47">
        <v>11983</v>
      </c>
      <c r="Q54" s="47">
        <v>721</v>
      </c>
      <c r="R54" s="48">
        <f t="shared" si="25"/>
        <v>4.3831533381636548E-2</v>
      </c>
      <c r="S54" s="49">
        <v>21053.000000219407</v>
      </c>
      <c r="T54" s="49">
        <v>4306</v>
      </c>
      <c r="U54" s="49">
        <v>2328</v>
      </c>
      <c r="V54" s="49">
        <v>359</v>
      </c>
      <c r="W54" s="48">
        <f t="shared" si="26"/>
        <v>4.2521238623903848E-2</v>
      </c>
      <c r="X54" s="50">
        <f t="shared" si="27"/>
        <v>3.6143052830318267E-2</v>
      </c>
      <c r="Y54" s="42">
        <f t="shared" si="28"/>
        <v>-2.9893883618537846E-2</v>
      </c>
      <c r="Z54" s="42">
        <f t="shared" si="8"/>
        <v>-2.9893883618537846E-2</v>
      </c>
      <c r="AA54" s="43">
        <f t="shared" si="18"/>
        <v>5.5704389034027758E-3</v>
      </c>
      <c r="AB54" s="43">
        <f t="shared" si="29"/>
        <v>8.3556583551041631E-4</v>
      </c>
      <c r="AC54" s="109">
        <f t="shared" si="10"/>
        <v>3.6978618665828682E-2</v>
      </c>
      <c r="AE54" s="53">
        <f t="shared" si="30"/>
        <v>112464090.62760898</v>
      </c>
      <c r="AF54" s="54">
        <f t="shared" si="31"/>
        <v>91920057.37643601</v>
      </c>
      <c r="AG54" s="54">
        <f t="shared" si="32"/>
        <v>72198057.510652319</v>
      </c>
      <c r="AH54" s="54">
        <f t="shared" si="19"/>
        <v>276582205.51469731</v>
      </c>
      <c r="AI54" s="55">
        <f t="shared" si="20"/>
        <v>3.5415176876375229E-2</v>
      </c>
    </row>
    <row r="55" spans="1:35" ht="14.25">
      <c r="A55" s="4" t="s">
        <v>93</v>
      </c>
      <c r="B55" s="44">
        <v>164659580</v>
      </c>
      <c r="C55" s="44">
        <v>77757928.799999997</v>
      </c>
      <c r="D55" s="51">
        <f t="shared" si="21"/>
        <v>0.47223446579907463</v>
      </c>
      <c r="E55" s="52">
        <f t="shared" si="14"/>
        <v>36719973.968510479</v>
      </c>
      <c r="F55" s="109">
        <f t="shared" si="22"/>
        <v>2.1113527817814205E-2</v>
      </c>
      <c r="G55" s="41">
        <v>46784</v>
      </c>
      <c r="H55" s="103">
        <f t="shared" si="23"/>
        <v>8.0879019964242016E-3</v>
      </c>
      <c r="I55" s="43">
        <f t="shared" si="15"/>
        <v>6.8747166969605712E-3</v>
      </c>
      <c r="J55" s="44">
        <v>746.48</v>
      </c>
      <c r="K55" s="100">
        <f t="shared" si="24"/>
        <v>1.1623767870951384E-2</v>
      </c>
      <c r="L55" s="45">
        <f t="shared" si="16"/>
        <v>1.7435651806427075E-3</v>
      </c>
      <c r="M55" s="109">
        <f t="shared" si="17"/>
        <v>8.6182818776032784E-3</v>
      </c>
      <c r="N55" s="46">
        <v>4577</v>
      </c>
      <c r="O55" s="47">
        <v>1003</v>
      </c>
      <c r="P55" s="47">
        <v>3403</v>
      </c>
      <c r="Q55" s="47">
        <v>757</v>
      </c>
      <c r="R55" s="48">
        <f t="shared" si="25"/>
        <v>1.2908414603821229E-2</v>
      </c>
      <c r="S55" s="49">
        <v>2792.0000000464884</v>
      </c>
      <c r="T55" s="49">
        <v>666</v>
      </c>
      <c r="U55" s="49">
        <v>1225</v>
      </c>
      <c r="V55" s="49">
        <v>325</v>
      </c>
      <c r="W55" s="48">
        <f t="shared" si="26"/>
        <v>1.2876011255505039E-2</v>
      </c>
      <c r="X55" s="50">
        <f t="shared" si="27"/>
        <v>1.0944609567179282E-2</v>
      </c>
      <c r="Y55" s="42">
        <f t="shared" si="28"/>
        <v>-2.5102500431461333E-3</v>
      </c>
      <c r="Z55" s="42">
        <f t="shared" si="8"/>
        <v>-2.5102500431461333E-3</v>
      </c>
      <c r="AA55" s="43">
        <f t="shared" si="18"/>
        <v>4.6776105360022324E-4</v>
      </c>
      <c r="AB55" s="43">
        <f t="shared" si="29"/>
        <v>7.0164158040033481E-5</v>
      </c>
      <c r="AC55" s="109">
        <f t="shared" si="10"/>
        <v>1.1014773725219315E-2</v>
      </c>
      <c r="AE55" s="53">
        <f t="shared" si="30"/>
        <v>82445248.126693219</v>
      </c>
      <c r="AF55" s="54">
        <f t="shared" si="31"/>
        <v>16826567.164803267</v>
      </c>
      <c r="AG55" s="54">
        <f t="shared" si="32"/>
        <v>21505542.812908772</v>
      </c>
      <c r="AH55" s="54">
        <f t="shared" si="19"/>
        <v>120777358.10440525</v>
      </c>
      <c r="AI55" s="55">
        <f t="shared" si="20"/>
        <v>1.5465027809612753E-2</v>
      </c>
    </row>
    <row r="56" spans="1:35" ht="14.25">
      <c r="A56" s="4" t="s">
        <v>94</v>
      </c>
      <c r="B56" s="44">
        <v>4336101</v>
      </c>
      <c r="C56" s="44">
        <v>1324391</v>
      </c>
      <c r="D56" s="51">
        <f t="shared" si="21"/>
        <v>0.30543361420778714</v>
      </c>
      <c r="E56" s="52">
        <f t="shared" si="14"/>
        <v>404513.52975426544</v>
      </c>
      <c r="F56" s="109">
        <f t="shared" si="22"/>
        <v>2.3259024286000456E-4</v>
      </c>
      <c r="G56" s="41">
        <v>1552</v>
      </c>
      <c r="H56" s="103">
        <f t="shared" si="23"/>
        <v>2.6830591438206137E-4</v>
      </c>
      <c r="I56" s="43">
        <f t="shared" si="15"/>
        <v>2.2806002722475217E-4</v>
      </c>
      <c r="J56" s="44">
        <v>1766.28</v>
      </c>
      <c r="K56" s="100">
        <f t="shared" si="24"/>
        <v>2.7503521480955966E-2</v>
      </c>
      <c r="L56" s="45">
        <f t="shared" si="16"/>
        <v>4.1255282221433947E-3</v>
      </c>
      <c r="M56" s="109">
        <f t="shared" si="17"/>
        <v>4.353588249368147E-3</v>
      </c>
      <c r="N56" s="46">
        <v>477</v>
      </c>
      <c r="O56" s="47">
        <v>88</v>
      </c>
      <c r="P56" s="47">
        <v>1037</v>
      </c>
      <c r="Q56" s="47">
        <v>127</v>
      </c>
      <c r="R56" s="48">
        <f t="shared" si="25"/>
        <v>2.1161437003937465E-3</v>
      </c>
      <c r="S56" s="49">
        <v>265.99999999676999</v>
      </c>
      <c r="T56" s="49">
        <v>85</v>
      </c>
      <c r="U56" s="49">
        <v>641</v>
      </c>
      <c r="V56" s="49">
        <v>46</v>
      </c>
      <c r="W56" s="48">
        <f t="shared" si="26"/>
        <v>2.6387778418526363E-3</v>
      </c>
      <c r="X56" s="50">
        <f t="shared" si="27"/>
        <v>2.2429611655747409E-3</v>
      </c>
      <c r="Y56" s="42">
        <f t="shared" si="28"/>
        <v>0.24697478784717899</v>
      </c>
      <c r="Z56" s="42">
        <f t="shared" si="8"/>
        <v>0</v>
      </c>
      <c r="AA56" s="43">
        <f t="shared" si="18"/>
        <v>0</v>
      </c>
      <c r="AB56" s="43">
        <f t="shared" si="29"/>
        <v>0</v>
      </c>
      <c r="AC56" s="109">
        <f t="shared" si="10"/>
        <v>2.2429611655747409E-3</v>
      </c>
      <c r="AE56" s="53">
        <f t="shared" si="30"/>
        <v>908230.99057190702</v>
      </c>
      <c r="AF56" s="54">
        <f t="shared" si="31"/>
        <v>8500063.7164427117</v>
      </c>
      <c r="AG56" s="54">
        <f t="shared" si="32"/>
        <v>4379218.18253229</v>
      </c>
      <c r="AH56" s="54">
        <f t="shared" si="19"/>
        <v>13787512.889546908</v>
      </c>
      <c r="AI56" s="55">
        <f t="shared" si="20"/>
        <v>1.7654324751657244E-3</v>
      </c>
    </row>
    <row r="57" spans="1:35" ht="14.25">
      <c r="A57" s="4" t="s">
        <v>95</v>
      </c>
      <c r="B57" s="44">
        <v>2885796</v>
      </c>
      <c r="C57" s="44">
        <v>606247</v>
      </c>
      <c r="D57" s="51">
        <f t="shared" si="21"/>
        <v>0.21007964526945078</v>
      </c>
      <c r="E57" s="52">
        <f t="shared" si="14"/>
        <v>127360.15470566873</v>
      </c>
      <c r="F57" s="109">
        <f t="shared" si="22"/>
        <v>7.3230503147013421E-5</v>
      </c>
      <c r="G57" s="41">
        <v>3573</v>
      </c>
      <c r="H57" s="103">
        <f t="shared" si="23"/>
        <v>6.1769138665406279E-4</v>
      </c>
      <c r="I57" s="43">
        <f t="shared" si="15"/>
        <v>5.2503767865595338E-4</v>
      </c>
      <c r="J57" s="44">
        <v>879.68</v>
      </c>
      <c r="K57" s="100">
        <f t="shared" si="24"/>
        <v>1.3697883561138291E-2</v>
      </c>
      <c r="L57" s="45">
        <f t="shared" si="16"/>
        <v>2.0546825341707436E-3</v>
      </c>
      <c r="M57" s="109">
        <f t="shared" si="17"/>
        <v>2.579720212826697E-3</v>
      </c>
      <c r="N57" s="46">
        <v>765</v>
      </c>
      <c r="O57" s="47">
        <v>138</v>
      </c>
      <c r="P57" s="47">
        <v>1343</v>
      </c>
      <c r="Q57" s="47">
        <v>81</v>
      </c>
      <c r="R57" s="48">
        <f t="shared" si="25"/>
        <v>2.3618458065896289E-3</v>
      </c>
      <c r="S57" s="49">
        <v>609.99999999842794</v>
      </c>
      <c r="T57" s="49">
        <v>123</v>
      </c>
      <c r="U57" s="49">
        <v>468</v>
      </c>
      <c r="V57" s="49">
        <v>34</v>
      </c>
      <c r="W57" s="48">
        <f t="shared" si="26"/>
        <v>2.4691708613404947E-3</v>
      </c>
      <c r="X57" s="50">
        <f t="shared" si="27"/>
        <v>2.0987952321394206E-3</v>
      </c>
      <c r="Y57" s="42">
        <f t="shared" si="28"/>
        <v>4.5441177595686125E-2</v>
      </c>
      <c r="Z57" s="42">
        <f t="shared" si="8"/>
        <v>0</v>
      </c>
      <c r="AA57" s="43">
        <f t="shared" si="18"/>
        <v>0</v>
      </c>
      <c r="AB57" s="43">
        <f t="shared" si="29"/>
        <v>0</v>
      </c>
      <c r="AC57" s="109">
        <f t="shared" si="10"/>
        <v>2.0987952321394206E-3</v>
      </c>
      <c r="AE57" s="53">
        <f t="shared" si="30"/>
        <v>285954.438997355</v>
      </c>
      <c r="AF57" s="54">
        <f t="shared" si="31"/>
        <v>5036715.6753522893</v>
      </c>
      <c r="AG57" s="54">
        <f t="shared" si="32"/>
        <v>4097744.7059997972</v>
      </c>
      <c r="AH57" s="54">
        <f t="shared" si="19"/>
        <v>9420414.8203494418</v>
      </c>
      <c r="AI57" s="55">
        <f t="shared" si="20"/>
        <v>1.2062441128150364E-3</v>
      </c>
    </row>
    <row r="58" spans="1:35" ht="15.75" thickBot="1">
      <c r="A58" s="6" t="s">
        <v>96</v>
      </c>
      <c r="B58" s="113">
        <f>SUM(B7:B57)</f>
        <v>7593491597</v>
      </c>
      <c r="C58" s="113">
        <f>SUM(C7:C57)</f>
        <v>3470514481.75</v>
      </c>
      <c r="D58" s="68">
        <f t="shared" si="21"/>
        <v>0.45703803545672111</v>
      </c>
      <c r="E58" s="69">
        <f t="shared" ref="E58:J58" si="33">SUM(E7:E57)</f>
        <v>1739168095.7044318</v>
      </c>
      <c r="F58" s="110">
        <f t="shared" si="33"/>
        <v>1.0000000000000002</v>
      </c>
      <c r="G58" s="56">
        <f t="shared" si="33"/>
        <v>5784442</v>
      </c>
      <c r="H58" s="104">
        <f t="shared" si="33"/>
        <v>1.0000000000000002</v>
      </c>
      <c r="I58" s="58">
        <f t="shared" si="33"/>
        <v>0.8500000000000002</v>
      </c>
      <c r="J58" s="59">
        <f t="shared" si="33"/>
        <v>64220.140000000021</v>
      </c>
      <c r="K58" s="101">
        <f t="shared" si="24"/>
        <v>1</v>
      </c>
      <c r="L58" s="60">
        <f>SUM(L7:L57)</f>
        <v>0.15</v>
      </c>
      <c r="M58" s="110">
        <f>SUM(M7:M57)</f>
        <v>1</v>
      </c>
      <c r="N58" s="61">
        <v>427511</v>
      </c>
      <c r="O58" s="62">
        <v>87963</v>
      </c>
      <c r="P58" s="62">
        <v>334098</v>
      </c>
      <c r="Q58" s="62">
        <v>39143</v>
      </c>
      <c r="R58" s="63"/>
      <c r="S58" s="64">
        <v>317877.99999509094</v>
      </c>
      <c r="T58" s="64">
        <v>73242</v>
      </c>
      <c r="U58" s="64">
        <v>123116</v>
      </c>
      <c r="V58" s="64">
        <v>13726</v>
      </c>
      <c r="W58" s="63">
        <f t="shared" ref="W58:X58" si="34">SUM(W7:W57)</f>
        <v>1.0000000000000002</v>
      </c>
      <c r="X58" s="65">
        <f t="shared" si="34"/>
        <v>0.85</v>
      </c>
      <c r="Y58" s="66"/>
      <c r="Z58" s="57">
        <f>SUM(Z7:Z57)</f>
        <v>-5.3665221245451189</v>
      </c>
      <c r="AA58" s="67">
        <f>SUM(AA7:AA57)</f>
        <v>1.0000000000000002</v>
      </c>
      <c r="AB58" s="58">
        <f>SUM(AB7:AB57)</f>
        <v>0.15000000000000005</v>
      </c>
      <c r="AC58" s="110">
        <f>SUM(AC7:AC57)</f>
        <v>1.0000000000000002</v>
      </c>
      <c r="AE58" s="70">
        <f>SUM(AE7:AE57)</f>
        <v>3904854216.6000013</v>
      </c>
      <c r="AF58" s="71">
        <f>SUM(AF7:AF57)</f>
        <v>1952427108.2999997</v>
      </c>
      <c r="AG58" s="71">
        <f>SUM(AG7:AG57)</f>
        <v>1952427108.3000007</v>
      </c>
      <c r="AH58" s="71">
        <f>SUM(AH7:AH57)</f>
        <v>7809708433.2000008</v>
      </c>
      <c r="AI58" s="72">
        <f>SUM(AI7:AI57)</f>
        <v>0.99999999999999989</v>
      </c>
    </row>
    <row r="59" spans="1:35" ht="13.5" thickTop="1">
      <c r="K59" s="74"/>
      <c r="R59" s="76"/>
    </row>
    <row r="60" spans="1:35" ht="86.45" customHeight="1">
      <c r="B60" s="279" t="s">
        <v>159</v>
      </c>
      <c r="C60" s="279"/>
      <c r="D60" s="279"/>
      <c r="E60" s="279"/>
      <c r="F60" s="279"/>
      <c r="K60" s="74"/>
      <c r="R60" s="76"/>
    </row>
    <row r="61" spans="1:35" s="11" customFormat="1">
      <c r="I61" s="77"/>
      <c r="L61" s="77"/>
      <c r="M61" s="78"/>
      <c r="R61" s="79"/>
      <c r="S61" s="79"/>
      <c r="X61" s="77"/>
      <c r="AA61" s="77"/>
      <c r="AB61" s="77"/>
      <c r="AC61" s="78"/>
    </row>
    <row r="62" spans="1:35">
      <c r="R62" s="76"/>
    </row>
    <row r="63" spans="1:35">
      <c r="R63" s="76"/>
    </row>
    <row r="64" spans="1:35">
      <c r="R64" s="76"/>
    </row>
    <row r="65" spans="9:30">
      <c r="I65" s="14"/>
      <c r="L65" s="14"/>
      <c r="M65" s="14"/>
      <c r="R65" s="76"/>
      <c r="X65" s="14"/>
      <c r="AA65" s="14"/>
      <c r="AB65" s="14"/>
      <c r="AC65" s="14"/>
      <c r="AD65" s="14"/>
    </row>
    <row r="66" spans="9:30">
      <c r="I66" s="14"/>
      <c r="L66" s="14"/>
      <c r="M66" s="14"/>
      <c r="R66" s="76"/>
      <c r="X66" s="14"/>
      <c r="AA66" s="14"/>
      <c r="AB66" s="14"/>
      <c r="AC66" s="14"/>
      <c r="AD66" s="14"/>
    </row>
    <row r="67" spans="9:30">
      <c r="I67" s="14"/>
      <c r="L67" s="14"/>
      <c r="M67" s="14"/>
      <c r="R67" s="76"/>
      <c r="X67" s="14"/>
      <c r="AA67" s="14"/>
      <c r="AB67" s="14"/>
      <c r="AC67" s="14"/>
      <c r="AD67" s="14"/>
    </row>
    <row r="68" spans="9:30">
      <c r="I68" s="14"/>
      <c r="L68" s="14"/>
      <c r="M68" s="14"/>
      <c r="R68" s="76"/>
      <c r="X68" s="14"/>
      <c r="AA68" s="14"/>
      <c r="AB68" s="14"/>
      <c r="AC68" s="14"/>
      <c r="AD68" s="14"/>
    </row>
    <row r="69" spans="9:30">
      <c r="I69" s="14"/>
      <c r="L69" s="14"/>
      <c r="M69" s="14"/>
      <c r="R69" s="76"/>
      <c r="X69" s="14"/>
      <c r="AA69" s="14"/>
      <c r="AB69" s="14"/>
      <c r="AC69" s="14"/>
      <c r="AD69" s="14"/>
    </row>
    <row r="70" spans="9:30">
      <c r="I70" s="14"/>
      <c r="L70" s="14"/>
      <c r="M70" s="14"/>
      <c r="R70" s="76"/>
      <c r="X70" s="14"/>
      <c r="AA70" s="14"/>
      <c r="AB70" s="14"/>
      <c r="AC70" s="14"/>
      <c r="AD70" s="14"/>
    </row>
    <row r="71" spans="9:30">
      <c r="I71" s="14"/>
      <c r="L71" s="14"/>
      <c r="M71" s="14"/>
      <c r="R71" s="76"/>
      <c r="X71" s="14"/>
      <c r="AA71" s="14"/>
      <c r="AB71" s="14"/>
      <c r="AC71" s="14"/>
      <c r="AD71" s="14"/>
    </row>
    <row r="72" spans="9:30">
      <c r="I72" s="14"/>
      <c r="L72" s="14"/>
      <c r="M72" s="14"/>
      <c r="R72" s="76"/>
      <c r="X72" s="14"/>
      <c r="AA72" s="14"/>
      <c r="AB72" s="14"/>
      <c r="AC72" s="14"/>
      <c r="AD72" s="14"/>
    </row>
    <row r="73" spans="9:30">
      <c r="I73" s="14"/>
      <c r="L73" s="14"/>
      <c r="M73" s="14"/>
      <c r="R73" s="76"/>
      <c r="X73" s="14"/>
      <c r="AA73" s="14"/>
      <c r="AB73" s="14"/>
      <c r="AC73" s="14"/>
      <c r="AD73" s="14"/>
    </row>
    <row r="74" spans="9:30">
      <c r="I74" s="14"/>
      <c r="L74" s="14"/>
      <c r="M74" s="14"/>
      <c r="R74" s="76"/>
      <c r="X74" s="14"/>
      <c r="AA74" s="14"/>
      <c r="AB74" s="14"/>
      <c r="AC74" s="14"/>
      <c r="AD74" s="14"/>
    </row>
    <row r="75" spans="9:30">
      <c r="I75" s="14"/>
      <c r="L75" s="14"/>
      <c r="M75" s="14"/>
      <c r="R75" s="76"/>
      <c r="X75" s="14"/>
      <c r="AA75" s="14"/>
      <c r="AB75" s="14"/>
      <c r="AC75" s="14"/>
      <c r="AD75" s="14"/>
    </row>
    <row r="76" spans="9:30">
      <c r="I76" s="14"/>
      <c r="L76" s="14"/>
      <c r="M76" s="14"/>
      <c r="R76" s="76"/>
      <c r="X76" s="14"/>
      <c r="AA76" s="14"/>
      <c r="AB76" s="14"/>
      <c r="AC76" s="14"/>
      <c r="AD76" s="14"/>
    </row>
    <row r="77" spans="9:30">
      <c r="I77" s="14"/>
      <c r="L77" s="14"/>
      <c r="M77" s="14"/>
      <c r="R77" s="76"/>
      <c r="X77" s="14"/>
      <c r="AA77" s="14"/>
      <c r="AB77" s="14"/>
      <c r="AC77" s="14"/>
      <c r="AD77" s="14"/>
    </row>
    <row r="78" spans="9:30">
      <c r="I78" s="14"/>
      <c r="L78" s="14"/>
      <c r="M78" s="14"/>
      <c r="R78" s="76"/>
      <c r="X78" s="14"/>
      <c r="AA78" s="14"/>
      <c r="AB78" s="14"/>
      <c r="AC78" s="14"/>
      <c r="AD78" s="14"/>
    </row>
    <row r="79" spans="9:30">
      <c r="I79" s="14"/>
      <c r="L79" s="14"/>
      <c r="M79" s="14"/>
      <c r="R79" s="76"/>
      <c r="X79" s="14"/>
      <c r="AA79" s="14"/>
      <c r="AB79" s="14"/>
      <c r="AC79" s="14"/>
      <c r="AD79" s="14"/>
    </row>
    <row r="80" spans="9:30">
      <c r="I80" s="14"/>
      <c r="L80" s="14"/>
      <c r="M80" s="14"/>
      <c r="R80" s="76"/>
      <c r="X80" s="14"/>
      <c r="AA80" s="14"/>
      <c r="AB80" s="14"/>
      <c r="AC80" s="14"/>
      <c r="AD80" s="14"/>
    </row>
    <row r="81" spans="9:30">
      <c r="I81" s="14"/>
      <c r="L81" s="14"/>
      <c r="M81" s="14"/>
      <c r="R81" s="76"/>
      <c r="X81" s="14"/>
      <c r="AA81" s="14"/>
      <c r="AB81" s="14"/>
      <c r="AC81" s="14"/>
      <c r="AD81" s="14"/>
    </row>
    <row r="82" spans="9:30">
      <c r="I82" s="14"/>
      <c r="L82" s="14"/>
      <c r="M82" s="14"/>
      <c r="R82" s="76"/>
      <c r="X82" s="14"/>
      <c r="AA82" s="14"/>
      <c r="AB82" s="14"/>
      <c r="AC82" s="14"/>
      <c r="AD82" s="14"/>
    </row>
    <row r="83" spans="9:30">
      <c r="I83" s="14"/>
      <c r="L83" s="14"/>
      <c r="M83" s="14"/>
      <c r="R83" s="76"/>
      <c r="X83" s="14"/>
      <c r="AA83" s="14"/>
      <c r="AB83" s="14"/>
      <c r="AC83" s="14"/>
      <c r="AD83" s="14"/>
    </row>
    <row r="84" spans="9:30">
      <c r="I84" s="14"/>
      <c r="L84" s="14"/>
      <c r="M84" s="14"/>
      <c r="R84" s="76"/>
      <c r="X84" s="14"/>
      <c r="AA84" s="14"/>
      <c r="AB84" s="14"/>
      <c r="AC84" s="14"/>
      <c r="AD84" s="14"/>
    </row>
    <row r="85" spans="9:30">
      <c r="I85" s="14"/>
      <c r="L85" s="14"/>
      <c r="M85" s="14"/>
      <c r="R85" s="76"/>
      <c r="X85" s="14"/>
      <c r="AA85" s="14"/>
      <c r="AB85" s="14"/>
      <c r="AC85" s="14"/>
      <c r="AD85" s="14"/>
    </row>
    <row r="86" spans="9:30">
      <c r="I86" s="14"/>
      <c r="L86" s="14"/>
      <c r="M86" s="14"/>
      <c r="R86" s="76"/>
      <c r="X86" s="14"/>
      <c r="AA86" s="14"/>
      <c r="AB86" s="14"/>
      <c r="AC86" s="14"/>
      <c r="AD86" s="14"/>
    </row>
    <row r="87" spans="9:30">
      <c r="I87" s="14"/>
      <c r="L87" s="14"/>
      <c r="M87" s="14"/>
      <c r="R87" s="76"/>
      <c r="X87" s="14"/>
      <c r="AA87" s="14"/>
      <c r="AB87" s="14"/>
      <c r="AC87" s="14"/>
      <c r="AD87" s="14"/>
    </row>
  </sheetData>
  <mergeCells count="8">
    <mergeCell ref="B60:F60"/>
    <mergeCell ref="AE3:AI3"/>
    <mergeCell ref="B3:F3"/>
    <mergeCell ref="G3:M3"/>
    <mergeCell ref="N3:Q3"/>
    <mergeCell ref="R3:U3"/>
    <mergeCell ref="W3:X3"/>
    <mergeCell ref="Y3:AC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3" max="1048575" man="1"/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showGridLines="0" zoomScaleSheetLayoutView="100" workbookViewId="0">
      <selection activeCell="A60" sqref="A60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16" width="19.42578125" style="14" customWidth="1"/>
    <col min="17" max="17" width="19.42578125" style="154" customWidth="1"/>
    <col min="18" max="18" width="5.42578125" style="14" customWidth="1"/>
    <col min="19" max="16384" width="9.7109375" style="14"/>
  </cols>
  <sheetData>
    <row r="1" spans="1:17" ht="47.25" customHeight="1">
      <c r="A1" s="286" t="s">
        <v>160</v>
      </c>
      <c r="B1" s="286"/>
      <c r="C1" s="286"/>
      <c r="D1" s="286"/>
      <c r="E1" s="286"/>
      <c r="F1" s="286"/>
      <c r="G1" s="286"/>
      <c r="H1" s="286"/>
      <c r="I1" s="287"/>
      <c r="J1" s="287"/>
      <c r="K1" s="287"/>
      <c r="L1" s="287"/>
      <c r="M1" s="287"/>
      <c r="N1" s="287"/>
      <c r="O1" s="287"/>
      <c r="P1" s="287"/>
      <c r="Q1" s="287"/>
    </row>
    <row r="2" spans="1:17" ht="8.25" customHeight="1" thickBot="1">
      <c r="I2" s="91"/>
    </row>
    <row r="3" spans="1:17" ht="72.75" thickBot="1">
      <c r="A3" s="290" t="s">
        <v>34</v>
      </c>
      <c r="B3" s="288" t="s">
        <v>35</v>
      </c>
      <c r="C3" s="293" t="s">
        <v>161</v>
      </c>
      <c r="D3" s="282" t="s">
        <v>38</v>
      </c>
      <c r="E3" s="282" t="s">
        <v>39</v>
      </c>
      <c r="F3" s="282" t="s">
        <v>162</v>
      </c>
      <c r="G3" s="282" t="s">
        <v>40</v>
      </c>
      <c r="H3" s="284" t="s">
        <v>41</v>
      </c>
      <c r="I3" s="288" t="s">
        <v>163</v>
      </c>
      <c r="J3" s="260" t="s">
        <v>164</v>
      </c>
      <c r="K3" s="288" t="s">
        <v>165</v>
      </c>
      <c r="L3" s="288" t="s">
        <v>166</v>
      </c>
      <c r="M3" s="288" t="s">
        <v>167</v>
      </c>
      <c r="N3" s="260" t="s">
        <v>168</v>
      </c>
      <c r="O3" s="288" t="s">
        <v>169</v>
      </c>
      <c r="P3" s="288" t="s">
        <v>170</v>
      </c>
      <c r="Q3" s="288" t="s">
        <v>171</v>
      </c>
    </row>
    <row r="4" spans="1:17" ht="20.45" customHeight="1" thickBot="1">
      <c r="A4" s="291"/>
      <c r="B4" s="292"/>
      <c r="C4" s="294"/>
      <c r="D4" s="283"/>
      <c r="E4" s="283"/>
      <c r="F4" s="283"/>
      <c r="G4" s="283"/>
      <c r="H4" s="285"/>
      <c r="I4" s="292"/>
      <c r="J4" s="147">
        <f>IF(A59&lt;A60,A59,A60)</f>
        <v>-2.5186690841527967E-2</v>
      </c>
      <c r="K4" s="289"/>
      <c r="L4" s="292"/>
      <c r="M4" s="292"/>
      <c r="N4" s="135">
        <f>+L57/M57</f>
        <v>1.0000000000000027</v>
      </c>
      <c r="O4" s="292"/>
      <c r="P4" s="292"/>
      <c r="Q4" s="292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55" t="s">
        <v>172</v>
      </c>
      <c r="L5" s="155" t="s">
        <v>173</v>
      </c>
      <c r="M5" s="155" t="s">
        <v>174</v>
      </c>
      <c r="N5" s="155" t="s">
        <v>175</v>
      </c>
      <c r="O5" s="155"/>
      <c r="P5" s="155"/>
      <c r="Q5" s="155" t="s">
        <v>176</v>
      </c>
    </row>
    <row r="6" spans="1:17" ht="12.75" customHeight="1" thickTop="1">
      <c r="A6" s="2" t="s">
        <v>45</v>
      </c>
      <c r="B6" s="3">
        <v>7961092.290000001</v>
      </c>
      <c r="C6" s="3">
        <v>1176115.3700000003</v>
      </c>
      <c r="D6" s="3">
        <v>243429.76000000001</v>
      </c>
      <c r="E6" s="3">
        <v>414772.02999999991</v>
      </c>
      <c r="F6" s="3">
        <v>10300.939999999999</v>
      </c>
      <c r="G6" s="3">
        <v>174909.15999999997</v>
      </c>
      <c r="H6" s="3">
        <v>47521.079999999987</v>
      </c>
      <c r="I6" s="3">
        <f>SUM(B6:H6)</f>
        <v>10028140.630000001</v>
      </c>
      <c r="J6" s="3">
        <f>(+I6*J$4)+I6</f>
        <v>9775564.9522368256</v>
      </c>
      <c r="K6" s="3">
        <f>+'COEF Art 14 F I'!AH7</f>
        <v>3472247.2773760008</v>
      </c>
      <c r="L6" s="3">
        <f t="shared" ref="L6:L56" si="0">IF(K6&lt;J6,J6-K6,0)</f>
        <v>6303317.6748608248</v>
      </c>
      <c r="M6" s="3">
        <f t="shared" ref="M6:M56" si="1">IF(K6&gt;J6,K6-J6,0)</f>
        <v>0</v>
      </c>
      <c r="N6" s="3">
        <f>+M6*N$4</f>
        <v>0</v>
      </c>
      <c r="O6" s="3">
        <f t="shared" ref="O6:O56" si="2">IF(L6&lt;&gt;0,K6+L6,K6-N6)</f>
        <v>9775564.9522368256</v>
      </c>
      <c r="P6" s="148">
        <f t="shared" ref="P6:P57" si="3">+(O6-I6)/I6</f>
        <v>-2.5186690841527939E-2</v>
      </c>
      <c r="Q6" s="151">
        <f>+O6/O$57</f>
        <v>1.2517195790152334E-3</v>
      </c>
    </row>
    <row r="7" spans="1:17" ht="12.75" customHeight="1">
      <c r="A7" s="4" t="s">
        <v>46</v>
      </c>
      <c r="B7" s="5">
        <v>15769151.479999999</v>
      </c>
      <c r="C7" s="164">
        <v>2329622.7000000002</v>
      </c>
      <c r="D7" s="164">
        <v>482180.15000000008</v>
      </c>
      <c r="E7" s="164">
        <v>821571.08</v>
      </c>
      <c r="F7" s="164">
        <v>20403.87</v>
      </c>
      <c r="G7" s="164">
        <v>346456.14</v>
      </c>
      <c r="H7" s="164">
        <v>94128.719999999987</v>
      </c>
      <c r="I7" s="5">
        <f t="shared" ref="I7:I56" si="4">SUM(B7:H7)</f>
        <v>19863514.139999997</v>
      </c>
      <c r="J7" s="5">
        <f t="shared" ref="J7:J56" si="5">(+I7*J$4)+I7</f>
        <v>19363217.950329497</v>
      </c>
      <c r="K7" s="5">
        <f>+'COEF Art 14 F I'!AH8</f>
        <v>19413908.967197448</v>
      </c>
      <c r="L7" s="5">
        <f t="shared" si="0"/>
        <v>0</v>
      </c>
      <c r="M7" s="5">
        <f t="shared" si="1"/>
        <v>50691.016867950559</v>
      </c>
      <c r="N7" s="5">
        <f t="shared" ref="N7:N56" si="6">+M7*N$4</f>
        <v>50691.016867950697</v>
      </c>
      <c r="O7" s="5">
        <f t="shared" si="2"/>
        <v>19363217.950329497</v>
      </c>
      <c r="P7" s="149">
        <f t="shared" si="3"/>
        <v>-2.5186690841527977E-2</v>
      </c>
      <c r="Q7" s="152">
        <f t="shared" ref="Q7:Q56" si="7">+O7/O$57</f>
        <v>2.4793778302931446E-3</v>
      </c>
    </row>
    <row r="8" spans="1:17" ht="12.75" customHeight="1">
      <c r="A8" s="4" t="s">
        <v>47</v>
      </c>
      <c r="B8" s="5">
        <v>16404570.699999999</v>
      </c>
      <c r="C8" s="164">
        <v>2423495.0299999998</v>
      </c>
      <c r="D8" s="164">
        <v>501609.65</v>
      </c>
      <c r="E8" s="164">
        <v>854676.37000000011</v>
      </c>
      <c r="F8" s="164">
        <v>21226.04</v>
      </c>
      <c r="G8" s="164">
        <v>360416.6</v>
      </c>
      <c r="H8" s="164">
        <v>97921.680000000008</v>
      </c>
      <c r="I8" s="5">
        <f t="shared" si="4"/>
        <v>20663916.07</v>
      </c>
      <c r="J8" s="5">
        <f t="shared" si="5"/>
        <v>20143460.40436963</v>
      </c>
      <c r="K8" s="5">
        <f>+'COEF Art 14 F I'!AH9</f>
        <v>20759130.033295982</v>
      </c>
      <c r="L8" s="5">
        <f t="shared" si="0"/>
        <v>0</v>
      </c>
      <c r="M8" s="5">
        <f t="shared" si="1"/>
        <v>615669.62892635167</v>
      </c>
      <c r="N8" s="5">
        <f t="shared" si="6"/>
        <v>615669.6289263533</v>
      </c>
      <c r="O8" s="5">
        <f t="shared" si="2"/>
        <v>20143460.40436963</v>
      </c>
      <c r="P8" s="149">
        <f t="shared" si="3"/>
        <v>-2.5186690841527908E-2</v>
      </c>
      <c r="Q8" s="152">
        <f t="shared" si="7"/>
        <v>2.5792845631390508E-3</v>
      </c>
    </row>
    <row r="9" spans="1:17" ht="12.75" customHeight="1">
      <c r="A9" s="4" t="s">
        <v>48</v>
      </c>
      <c r="B9" s="5">
        <v>45373965.81000001</v>
      </c>
      <c r="C9" s="164">
        <v>6703228.169999999</v>
      </c>
      <c r="D9" s="164">
        <v>1387419.3800000001</v>
      </c>
      <c r="E9" s="164">
        <v>2363978.77</v>
      </c>
      <c r="F9" s="164">
        <v>58709.840000000004</v>
      </c>
      <c r="G9" s="164">
        <v>996888.63000000012</v>
      </c>
      <c r="H9" s="164">
        <v>270845.03999999992</v>
      </c>
      <c r="I9" s="5">
        <f t="shared" si="4"/>
        <v>57155035.640000023</v>
      </c>
      <c r="J9" s="5">
        <f t="shared" si="5"/>
        <v>55715489.427298829</v>
      </c>
      <c r="K9" s="5">
        <f>+'COEF Art 14 F I'!AH10</f>
        <v>62330095.960025072</v>
      </c>
      <c r="L9" s="5">
        <f t="shared" si="0"/>
        <v>0</v>
      </c>
      <c r="M9" s="5">
        <f t="shared" si="1"/>
        <v>6614606.5327262431</v>
      </c>
      <c r="N9" s="5">
        <f t="shared" si="6"/>
        <v>6614606.5327262608</v>
      </c>
      <c r="O9" s="5">
        <f t="shared" si="2"/>
        <v>55715489.427298814</v>
      </c>
      <c r="P9" s="149">
        <f t="shared" si="3"/>
        <v>-2.5186690841528244E-2</v>
      </c>
      <c r="Q9" s="152">
        <f t="shared" si="7"/>
        <v>7.1341318186022946E-3</v>
      </c>
    </row>
    <row r="10" spans="1:17" ht="12.75" customHeight="1">
      <c r="A10" s="4" t="s">
        <v>49</v>
      </c>
      <c r="B10" s="5">
        <v>57306237.120000005</v>
      </c>
      <c r="C10" s="164">
        <v>8466017.379999999</v>
      </c>
      <c r="D10" s="164">
        <v>1752277.57</v>
      </c>
      <c r="E10" s="164">
        <v>2985648.85</v>
      </c>
      <c r="F10" s="164">
        <v>74149.13</v>
      </c>
      <c r="G10" s="164">
        <v>1259046.6000000001</v>
      </c>
      <c r="H10" s="164">
        <v>342070.80000000005</v>
      </c>
      <c r="I10" s="5">
        <f t="shared" si="4"/>
        <v>72185447.449999973</v>
      </c>
      <c r="J10" s="5">
        <f t="shared" si="5"/>
        <v>70367334.901819468</v>
      </c>
      <c r="K10" s="5">
        <f>+'COEF Art 14 F I'!AH11</f>
        <v>55799184.957580402</v>
      </c>
      <c r="L10" s="5">
        <f t="shared" si="0"/>
        <v>14568149.944239065</v>
      </c>
      <c r="M10" s="5">
        <f t="shared" si="1"/>
        <v>0</v>
      </c>
      <c r="N10" s="5">
        <f t="shared" si="6"/>
        <v>0</v>
      </c>
      <c r="O10" s="5">
        <f t="shared" si="2"/>
        <v>70367334.901819468</v>
      </c>
      <c r="P10" s="149">
        <f t="shared" si="3"/>
        <v>-2.5186690841527869E-2</v>
      </c>
      <c r="Q10" s="152">
        <f t="shared" si="7"/>
        <v>9.010238410781064E-3</v>
      </c>
    </row>
    <row r="11" spans="1:17" ht="12.75" customHeight="1">
      <c r="A11" s="4" t="s">
        <v>50</v>
      </c>
      <c r="B11" s="5">
        <v>390968214.71999997</v>
      </c>
      <c r="C11" s="164">
        <v>57758873.440000005</v>
      </c>
      <c r="D11" s="164">
        <v>11954804.030000003</v>
      </c>
      <c r="E11" s="164">
        <v>20369402.180000003</v>
      </c>
      <c r="F11" s="164">
        <v>505877.82000000007</v>
      </c>
      <c r="G11" s="164">
        <v>8589766.5599999987</v>
      </c>
      <c r="H11" s="164">
        <v>2333756.4</v>
      </c>
      <c r="I11" s="5">
        <f t="shared" si="4"/>
        <v>492480695.14999998</v>
      </c>
      <c r="J11" s="5">
        <f t="shared" si="5"/>
        <v>480076736.13583612</v>
      </c>
      <c r="K11" s="5">
        <f>+'COEF Art 14 F I'!AH12</f>
        <v>561882275.47411907</v>
      </c>
      <c r="L11" s="5">
        <f t="shared" si="0"/>
        <v>0</v>
      </c>
      <c r="M11" s="5">
        <f t="shared" si="1"/>
        <v>81805539.338282943</v>
      </c>
      <c r="N11" s="5">
        <f t="shared" si="6"/>
        <v>81805539.338283166</v>
      </c>
      <c r="O11" s="5">
        <f t="shared" si="2"/>
        <v>480076736.13583589</v>
      </c>
      <c r="P11" s="149">
        <f t="shared" si="3"/>
        <v>-2.5186690841528494E-2</v>
      </c>
      <c r="Q11" s="152">
        <f t="shared" si="7"/>
        <v>6.1471787358279906E-2</v>
      </c>
    </row>
    <row r="12" spans="1:17" ht="12.75" customHeight="1">
      <c r="A12" s="4" t="s">
        <v>51</v>
      </c>
      <c r="B12" s="5">
        <v>65415439.799999997</v>
      </c>
      <c r="C12" s="164">
        <v>9664013.5300000012</v>
      </c>
      <c r="D12" s="164">
        <v>2000236.1900000002</v>
      </c>
      <c r="E12" s="164">
        <v>3408137.44</v>
      </c>
      <c r="F12" s="164">
        <v>84641.71</v>
      </c>
      <c r="G12" s="164">
        <v>1437209.8199999998</v>
      </c>
      <c r="H12" s="164">
        <v>390476.03999999986</v>
      </c>
      <c r="I12" s="5">
        <f t="shared" si="4"/>
        <v>82400154.529999986</v>
      </c>
      <c r="J12" s="5">
        <f t="shared" si="5"/>
        <v>80324767.31255874</v>
      </c>
      <c r="K12" s="5">
        <f>+'COEF Art 14 F I'!AH13</f>
        <v>81285322.302908689</v>
      </c>
      <c r="L12" s="5">
        <f t="shared" si="0"/>
        <v>0</v>
      </c>
      <c r="M12" s="5">
        <f t="shared" si="1"/>
        <v>960554.99034994841</v>
      </c>
      <c r="N12" s="5">
        <f t="shared" si="6"/>
        <v>960554.99034995097</v>
      </c>
      <c r="O12" s="5">
        <f t="shared" si="2"/>
        <v>80324767.31255874</v>
      </c>
      <c r="P12" s="149">
        <f t="shared" si="3"/>
        <v>-2.5186690841528039E-2</v>
      </c>
      <c r="Q12" s="152">
        <f t="shared" si="7"/>
        <v>1.0285245345535382E-2</v>
      </c>
    </row>
    <row r="13" spans="1:17" ht="12.75" customHeight="1">
      <c r="A13" s="4" t="s">
        <v>52</v>
      </c>
      <c r="B13" s="5">
        <v>10401401.620000001</v>
      </c>
      <c r="C13" s="164">
        <v>1536629.36</v>
      </c>
      <c r="D13" s="164">
        <v>318048.15000000002</v>
      </c>
      <c r="E13" s="164">
        <v>541911.89</v>
      </c>
      <c r="F13" s="164">
        <v>13458.469999999998</v>
      </c>
      <c r="G13" s="164">
        <v>228524.00000000003</v>
      </c>
      <c r="H13" s="164">
        <v>62087.75999999998</v>
      </c>
      <c r="I13" s="5">
        <f t="shared" si="4"/>
        <v>13102061.250000002</v>
      </c>
      <c r="J13" s="5">
        <f t="shared" si="5"/>
        <v>12772063.683909489</v>
      </c>
      <c r="K13" s="5">
        <f>+'COEF Art 14 F I'!AH14</f>
        <v>10798225.060247293</v>
      </c>
      <c r="L13" s="5">
        <f t="shared" si="0"/>
        <v>1973838.6236621961</v>
      </c>
      <c r="M13" s="5">
        <f t="shared" si="1"/>
        <v>0</v>
      </c>
      <c r="N13" s="5">
        <f t="shared" si="6"/>
        <v>0</v>
      </c>
      <c r="O13" s="5">
        <f t="shared" si="2"/>
        <v>12772063.683909489</v>
      </c>
      <c r="P13" s="149">
        <f t="shared" si="3"/>
        <v>-2.5186690841527928E-2</v>
      </c>
      <c r="Q13" s="152">
        <f t="shared" si="7"/>
        <v>1.6354085166116986E-3</v>
      </c>
    </row>
    <row r="14" spans="1:17" ht="12.75" customHeight="1">
      <c r="A14" s="4" t="s">
        <v>53</v>
      </c>
      <c r="B14" s="5">
        <v>103391967.3</v>
      </c>
      <c r="C14" s="164">
        <v>15274396.569999997</v>
      </c>
      <c r="D14" s="164">
        <v>3161460.84</v>
      </c>
      <c r="E14" s="164">
        <v>5386710.4800000004</v>
      </c>
      <c r="F14" s="164">
        <v>133779.93</v>
      </c>
      <c r="G14" s="164">
        <v>2271573.06</v>
      </c>
      <c r="H14" s="164">
        <v>617164.44000000006</v>
      </c>
      <c r="I14" s="5">
        <f t="shared" si="4"/>
        <v>130237052.62</v>
      </c>
      <c r="J14" s="5">
        <f t="shared" si="5"/>
        <v>126956812.23954825</v>
      </c>
      <c r="K14" s="5">
        <f>+'COEF Art 14 F I'!AH15</f>
        <v>100400707.04263403</v>
      </c>
      <c r="L14" s="5">
        <f t="shared" si="0"/>
        <v>26556105.196914226</v>
      </c>
      <c r="M14" s="5">
        <f t="shared" si="1"/>
        <v>0</v>
      </c>
      <c r="N14" s="5">
        <f t="shared" si="6"/>
        <v>0</v>
      </c>
      <c r="O14" s="5">
        <f t="shared" si="2"/>
        <v>126956812.23954825</v>
      </c>
      <c r="P14" s="149">
        <f t="shared" si="3"/>
        <v>-2.5186690841527994E-2</v>
      </c>
      <c r="Q14" s="152">
        <f t="shared" si="7"/>
        <v>1.6256280669818567E-2</v>
      </c>
    </row>
    <row r="15" spans="1:17" ht="12.75" customHeight="1">
      <c r="A15" s="4" t="s">
        <v>54</v>
      </c>
      <c r="B15" s="5">
        <v>17178452.890000001</v>
      </c>
      <c r="C15" s="164">
        <v>2537822.9000000004</v>
      </c>
      <c r="D15" s="164">
        <v>525272.97</v>
      </c>
      <c r="E15" s="164">
        <v>894995.54</v>
      </c>
      <c r="F15" s="164">
        <v>22227.370000000003</v>
      </c>
      <c r="G15" s="164">
        <v>377419.17</v>
      </c>
      <c r="H15" s="164">
        <v>102541.07999999997</v>
      </c>
      <c r="I15" s="5">
        <f t="shared" si="4"/>
        <v>21638731.919999998</v>
      </c>
      <c r="J15" s="5">
        <f t="shared" si="5"/>
        <v>21093723.868928254</v>
      </c>
      <c r="K15" s="5">
        <f>+'COEF Art 14 F I'!AH16</f>
        <v>42281953.603710599</v>
      </c>
      <c r="L15" s="5">
        <f t="shared" si="0"/>
        <v>0</v>
      </c>
      <c r="M15" s="5">
        <f t="shared" si="1"/>
        <v>21188229.734782346</v>
      </c>
      <c r="N15" s="5">
        <f t="shared" si="6"/>
        <v>21188229.734782401</v>
      </c>
      <c r="O15" s="5">
        <f t="shared" si="2"/>
        <v>21093723.868928198</v>
      </c>
      <c r="P15" s="149">
        <f t="shared" si="3"/>
        <v>-2.5186690841530621E-2</v>
      </c>
      <c r="Q15" s="152">
        <f t="shared" si="7"/>
        <v>2.7009617643670614E-3</v>
      </c>
    </row>
    <row r="16" spans="1:17" s="11" customFormat="1" ht="12.75" customHeight="1">
      <c r="A16" s="4" t="s">
        <v>55</v>
      </c>
      <c r="B16" s="5">
        <v>24957742.009999994</v>
      </c>
      <c r="C16" s="164">
        <v>3687079.94</v>
      </c>
      <c r="D16" s="164">
        <v>763143.66</v>
      </c>
      <c r="E16" s="164">
        <v>1300295.69</v>
      </c>
      <c r="F16" s="164">
        <v>32293.07</v>
      </c>
      <c r="G16" s="164">
        <v>548334.04</v>
      </c>
      <c r="H16" s="164">
        <v>148977</v>
      </c>
      <c r="I16" s="5">
        <f t="shared" si="4"/>
        <v>31437865.409999996</v>
      </c>
      <c r="J16" s="5">
        <f t="shared" si="5"/>
        <v>30646049.613200761</v>
      </c>
      <c r="K16" s="5">
        <f>+'COEF Art 14 F I'!AH17</f>
        <v>23744479.46011094</v>
      </c>
      <c r="L16" s="5">
        <f t="shared" si="0"/>
        <v>6901570.1530898213</v>
      </c>
      <c r="M16" s="5">
        <f t="shared" si="1"/>
        <v>0</v>
      </c>
      <c r="N16" s="5">
        <f t="shared" si="6"/>
        <v>0</v>
      </c>
      <c r="O16" s="5">
        <f t="shared" si="2"/>
        <v>30646049.613200761</v>
      </c>
      <c r="P16" s="149">
        <f t="shared" si="3"/>
        <v>-2.5186690841527942E-2</v>
      </c>
      <c r="Q16" s="152">
        <f t="shared" si="7"/>
        <v>3.9240965108147631E-3</v>
      </c>
    </row>
    <row r="17" spans="1:17" ht="12.75" customHeight="1">
      <c r="A17" s="4" t="s">
        <v>56</v>
      </c>
      <c r="B17" s="5">
        <v>52489783.149999991</v>
      </c>
      <c r="C17" s="164">
        <v>7754468.5899999999</v>
      </c>
      <c r="D17" s="164">
        <v>1605002.8</v>
      </c>
      <c r="E17" s="164">
        <v>2734712.13</v>
      </c>
      <c r="F17" s="164">
        <v>67917.070000000007</v>
      </c>
      <c r="G17" s="164">
        <v>1153226.7</v>
      </c>
      <c r="H17" s="164">
        <v>313320.48000000004</v>
      </c>
      <c r="I17" s="5">
        <f t="shared" si="4"/>
        <v>66118430.919999994</v>
      </c>
      <c r="J17" s="5">
        <f t="shared" si="5"/>
        <v>64453126.44149103</v>
      </c>
      <c r="K17" s="5">
        <f>+'COEF Art 14 F I'!AH18</f>
        <v>54826124.485565864</v>
      </c>
      <c r="L17" s="5">
        <f t="shared" si="0"/>
        <v>9627001.9559251666</v>
      </c>
      <c r="M17" s="5">
        <f t="shared" si="1"/>
        <v>0</v>
      </c>
      <c r="N17" s="5">
        <f t="shared" si="6"/>
        <v>0</v>
      </c>
      <c r="O17" s="5">
        <f t="shared" si="2"/>
        <v>64453126.44149103</v>
      </c>
      <c r="P17" s="149">
        <f t="shared" si="3"/>
        <v>-2.5186690841527977E-2</v>
      </c>
      <c r="Q17" s="152">
        <f t="shared" si="7"/>
        <v>8.2529491328374172E-3</v>
      </c>
    </row>
    <row r="18" spans="1:17" ht="12.75" customHeight="1">
      <c r="A18" s="4" t="s">
        <v>57</v>
      </c>
      <c r="B18" s="5">
        <v>26707303.090000011</v>
      </c>
      <c r="C18" s="164">
        <v>3945547.709999999</v>
      </c>
      <c r="D18" s="164">
        <v>816640.74000000011</v>
      </c>
      <c r="E18" s="164">
        <v>1391447.5900000003</v>
      </c>
      <c r="F18" s="164">
        <v>34556.86</v>
      </c>
      <c r="G18" s="164">
        <v>586772.76</v>
      </c>
      <c r="H18" s="164">
        <v>159420.48000000007</v>
      </c>
      <c r="I18" s="5">
        <f t="shared" si="4"/>
        <v>33641689.230000012</v>
      </c>
      <c r="J18" s="5">
        <f t="shared" si="5"/>
        <v>32794366.403977241</v>
      </c>
      <c r="K18" s="5">
        <f>+'COEF Art 14 F I'!AH19</f>
        <v>37280470.004636705</v>
      </c>
      <c r="L18" s="5">
        <f t="shared" si="0"/>
        <v>0</v>
      </c>
      <c r="M18" s="5">
        <f t="shared" si="1"/>
        <v>4486103.6006594636</v>
      </c>
      <c r="N18" s="5">
        <f t="shared" si="6"/>
        <v>4486103.6006594757</v>
      </c>
      <c r="O18" s="5">
        <f t="shared" si="2"/>
        <v>32794366.40397723</v>
      </c>
      <c r="P18" s="149">
        <f t="shared" si="3"/>
        <v>-2.5186690841528268E-2</v>
      </c>
      <c r="Q18" s="152">
        <f t="shared" si="7"/>
        <v>4.1991793527866497E-3</v>
      </c>
    </row>
    <row r="19" spans="1:17" ht="12.75" customHeight="1">
      <c r="A19" s="4" t="s">
        <v>58</v>
      </c>
      <c r="B19" s="5">
        <v>146285856.51000002</v>
      </c>
      <c r="C19" s="164">
        <v>21611235.77</v>
      </c>
      <c r="D19" s="164">
        <v>4473045.8500000006</v>
      </c>
      <c r="E19" s="164">
        <v>7621477.4600000009</v>
      </c>
      <c r="F19" s="164">
        <v>189280.80000000002</v>
      </c>
      <c r="G19" s="164">
        <v>3213973.1799999997</v>
      </c>
      <c r="H19" s="164">
        <v>873205.32</v>
      </c>
      <c r="I19" s="5">
        <f t="shared" si="4"/>
        <v>184268074.89000005</v>
      </c>
      <c r="J19" s="5">
        <f t="shared" si="5"/>
        <v>179626971.85578209</v>
      </c>
      <c r="K19" s="5">
        <f>+'COEF Art 14 F I'!AH20</f>
        <v>183445512.54656249</v>
      </c>
      <c r="L19" s="5">
        <f t="shared" si="0"/>
        <v>0</v>
      </c>
      <c r="M19" s="5">
        <f t="shared" si="1"/>
        <v>3818540.6907804012</v>
      </c>
      <c r="N19" s="5">
        <f t="shared" si="6"/>
        <v>3818540.6907804115</v>
      </c>
      <c r="O19" s="5">
        <f t="shared" si="2"/>
        <v>179626971.85578209</v>
      </c>
      <c r="P19" s="149">
        <f t="shared" si="3"/>
        <v>-2.5186690841527967E-2</v>
      </c>
      <c r="Q19" s="152">
        <f t="shared" si="7"/>
        <v>2.3000470938475296E-2</v>
      </c>
    </row>
    <row r="20" spans="1:17" ht="12.75" customHeight="1">
      <c r="A20" s="4" t="s">
        <v>59</v>
      </c>
      <c r="B20" s="5">
        <v>18674970.939999998</v>
      </c>
      <c r="C20" s="164">
        <v>2758907.88</v>
      </c>
      <c r="D20" s="164">
        <v>571032.65</v>
      </c>
      <c r="E20" s="164">
        <v>972963.99999999977</v>
      </c>
      <c r="F20" s="164">
        <v>24163.729999999996</v>
      </c>
      <c r="G20" s="164">
        <v>410298.41999999993</v>
      </c>
      <c r="H20" s="164">
        <v>111474.11999999998</v>
      </c>
      <c r="I20" s="5">
        <f t="shared" si="4"/>
        <v>23523811.739999998</v>
      </c>
      <c r="J20" s="5">
        <f t="shared" si="5"/>
        <v>22931324.766290311</v>
      </c>
      <c r="K20" s="5">
        <f>+'COEF Art 14 F I'!AH21</f>
        <v>23432563.447184037</v>
      </c>
      <c r="L20" s="5">
        <f t="shared" si="0"/>
        <v>0</v>
      </c>
      <c r="M20" s="5">
        <f t="shared" si="1"/>
        <v>501238.68089372665</v>
      </c>
      <c r="N20" s="5">
        <f t="shared" si="6"/>
        <v>501238.68089372799</v>
      </c>
      <c r="O20" s="5">
        <f t="shared" si="2"/>
        <v>22931324.766290311</v>
      </c>
      <c r="P20" s="149">
        <f t="shared" si="3"/>
        <v>-2.5186690841528032E-2</v>
      </c>
      <c r="Q20" s="152">
        <f t="shared" si="7"/>
        <v>2.9362587556798552E-3</v>
      </c>
    </row>
    <row r="21" spans="1:17" ht="12.75" customHeight="1">
      <c r="A21" s="4" t="s">
        <v>60</v>
      </c>
      <c r="B21" s="5">
        <v>13004749.23</v>
      </c>
      <c r="C21" s="164">
        <v>1921229.47</v>
      </c>
      <c r="D21" s="164">
        <v>397651.83999999997</v>
      </c>
      <c r="E21" s="164">
        <v>677546.05000000016</v>
      </c>
      <c r="F21" s="164">
        <v>16826.969999999998</v>
      </c>
      <c r="G21" s="164">
        <v>285720.82</v>
      </c>
      <c r="H21" s="164">
        <v>77627.520000000004</v>
      </c>
      <c r="I21" s="5">
        <f t="shared" si="4"/>
        <v>16381351.900000002</v>
      </c>
      <c r="J21" s="5">
        <f t="shared" si="5"/>
        <v>15968759.854128426</v>
      </c>
      <c r="K21" s="5">
        <f>+'COEF Art 14 F I'!AH22</f>
        <v>9025834.5005229861</v>
      </c>
      <c r="L21" s="5">
        <f t="shared" si="0"/>
        <v>6942925.3536054399</v>
      </c>
      <c r="M21" s="5">
        <f t="shared" si="1"/>
        <v>0</v>
      </c>
      <c r="N21" s="5">
        <f t="shared" si="6"/>
        <v>0</v>
      </c>
      <c r="O21" s="5">
        <f t="shared" si="2"/>
        <v>15968759.854128426</v>
      </c>
      <c r="P21" s="149">
        <f t="shared" si="3"/>
        <v>-2.5186690841527935E-2</v>
      </c>
      <c r="Q21" s="152">
        <f t="shared" si="7"/>
        <v>2.0447318860513822E-3</v>
      </c>
    </row>
    <row r="22" spans="1:17" ht="12.75" customHeight="1">
      <c r="A22" s="4" t="s">
        <v>61</v>
      </c>
      <c r="B22" s="5">
        <v>114053395.42999996</v>
      </c>
      <c r="C22" s="164">
        <v>16849440.399999999</v>
      </c>
      <c r="D22" s="164">
        <v>3487459.9400000004</v>
      </c>
      <c r="E22" s="164">
        <v>5942169.7300000004</v>
      </c>
      <c r="F22" s="164">
        <v>147574.87</v>
      </c>
      <c r="G22" s="164">
        <v>2505809.9700000002</v>
      </c>
      <c r="H22" s="164">
        <v>680804.28</v>
      </c>
      <c r="I22" s="5">
        <f t="shared" si="4"/>
        <v>143666654.61999995</v>
      </c>
      <c r="J22" s="5">
        <f t="shared" si="5"/>
        <v>140048167.00584942</v>
      </c>
      <c r="K22" s="5">
        <f>+'COEF Art 14 F I'!AH23</f>
        <v>135408428.43020517</v>
      </c>
      <c r="L22" s="5">
        <f t="shared" si="0"/>
        <v>4639738.5756442547</v>
      </c>
      <c r="M22" s="5">
        <f t="shared" si="1"/>
        <v>0</v>
      </c>
      <c r="N22" s="5">
        <f t="shared" si="6"/>
        <v>0</v>
      </c>
      <c r="O22" s="5">
        <f t="shared" si="2"/>
        <v>140048167.00584942</v>
      </c>
      <c r="P22" s="149">
        <f t="shared" si="3"/>
        <v>-2.5186690841528036E-2</v>
      </c>
      <c r="Q22" s="152">
        <f t="shared" si="7"/>
        <v>1.7932573053622329E-2</v>
      </c>
    </row>
    <row r="23" spans="1:17" ht="12.75" customHeight="1">
      <c r="A23" s="4" t="s">
        <v>62</v>
      </c>
      <c r="B23" s="5">
        <v>139890405.95999998</v>
      </c>
      <c r="C23" s="164">
        <v>20666417.229999997</v>
      </c>
      <c r="D23" s="164">
        <v>4277489.3999999994</v>
      </c>
      <c r="E23" s="164">
        <v>7288275.1599999983</v>
      </c>
      <c r="F23" s="164">
        <v>181005.63999999998</v>
      </c>
      <c r="G23" s="164">
        <v>3073461.9500000007</v>
      </c>
      <c r="H23" s="164">
        <v>835029.84000000032</v>
      </c>
      <c r="I23" s="5">
        <f t="shared" si="4"/>
        <v>176212085.17999995</v>
      </c>
      <c r="J23" s="5">
        <f t="shared" si="5"/>
        <v>171773885.86803031</v>
      </c>
      <c r="K23" s="5">
        <f>+'COEF Art 14 F I'!AH24</f>
        <v>222827262.55552578</v>
      </c>
      <c r="L23" s="5">
        <f t="shared" si="0"/>
        <v>0</v>
      </c>
      <c r="M23" s="5">
        <f t="shared" si="1"/>
        <v>51053376.68749547</v>
      </c>
      <c r="N23" s="5">
        <f t="shared" si="6"/>
        <v>51053376.687495604</v>
      </c>
      <c r="O23" s="5">
        <f t="shared" si="2"/>
        <v>171773885.86803019</v>
      </c>
      <c r="P23" s="149">
        <f t="shared" si="3"/>
        <v>-2.518669084152857E-2</v>
      </c>
      <c r="Q23" s="152">
        <f t="shared" si="7"/>
        <v>2.1994916626822954E-2</v>
      </c>
    </row>
    <row r="24" spans="1:17" ht="12.75" customHeight="1">
      <c r="A24" s="4" t="s">
        <v>63</v>
      </c>
      <c r="B24" s="5">
        <v>21921102.199999996</v>
      </c>
      <c r="C24" s="164">
        <v>3238468.27</v>
      </c>
      <c r="D24" s="164">
        <v>670291.01</v>
      </c>
      <c r="E24" s="164">
        <v>1142087.0899999999</v>
      </c>
      <c r="F24" s="164">
        <v>28363.940000000002</v>
      </c>
      <c r="G24" s="164">
        <v>481617.55</v>
      </c>
      <c r="H24" s="164">
        <v>130850.75999999997</v>
      </c>
      <c r="I24" s="5">
        <f t="shared" si="4"/>
        <v>27612780.82</v>
      </c>
      <c r="J24" s="5">
        <f t="shared" si="5"/>
        <v>26917306.246211786</v>
      </c>
      <c r="K24" s="5">
        <f>+'COEF Art 14 F I'!AH25</f>
        <v>20716534.322068252</v>
      </c>
      <c r="L24" s="5">
        <f t="shared" si="0"/>
        <v>6200771.9241435342</v>
      </c>
      <c r="M24" s="5">
        <f t="shared" si="1"/>
        <v>0</v>
      </c>
      <c r="N24" s="5">
        <f t="shared" si="6"/>
        <v>0</v>
      </c>
      <c r="O24" s="5">
        <f t="shared" si="2"/>
        <v>26917306.246211786</v>
      </c>
      <c r="P24" s="149">
        <f t="shared" si="3"/>
        <v>-2.5186690841528015E-2</v>
      </c>
      <c r="Q24" s="152">
        <f t="shared" si="7"/>
        <v>3.4466467572314358E-3</v>
      </c>
    </row>
    <row r="25" spans="1:17" ht="12.75" customHeight="1">
      <c r="A25" s="4" t="s">
        <v>64</v>
      </c>
      <c r="B25" s="5">
        <v>299648492.95999986</v>
      </c>
      <c r="C25" s="164">
        <v>44267944.899999991</v>
      </c>
      <c r="D25" s="164">
        <v>9162481.4399999995</v>
      </c>
      <c r="E25" s="164">
        <v>15611654.469999999</v>
      </c>
      <c r="F25" s="164">
        <v>387718.30000000005</v>
      </c>
      <c r="G25" s="164">
        <v>6583426.7300000004</v>
      </c>
      <c r="H25" s="164">
        <v>1788653.2799999996</v>
      </c>
      <c r="I25" s="5">
        <f t="shared" si="4"/>
        <v>377450372.07999986</v>
      </c>
      <c r="J25" s="5">
        <f t="shared" si="5"/>
        <v>367943646.2504012</v>
      </c>
      <c r="K25" s="5">
        <f>+'COEF Art 14 F I'!AH26</f>
        <v>373955728.28697193</v>
      </c>
      <c r="L25" s="5">
        <f t="shared" si="0"/>
        <v>0</v>
      </c>
      <c r="M25" s="5">
        <f t="shared" si="1"/>
        <v>6012082.0365707278</v>
      </c>
      <c r="N25" s="5">
        <f t="shared" si="6"/>
        <v>6012082.0365707437</v>
      </c>
      <c r="O25" s="5">
        <f t="shared" si="2"/>
        <v>367943646.2504012</v>
      </c>
      <c r="P25" s="149">
        <f t="shared" si="3"/>
        <v>-2.5186690841527991E-2</v>
      </c>
      <c r="Q25" s="152">
        <f t="shared" si="7"/>
        <v>4.7113621385176024E-2</v>
      </c>
    </row>
    <row r="26" spans="1:17" s="11" customFormat="1" ht="12.75" customHeight="1">
      <c r="A26" s="4" t="s">
        <v>65</v>
      </c>
      <c r="B26" s="5">
        <v>44241967.469999991</v>
      </c>
      <c r="C26" s="164">
        <v>6535994.7699999996</v>
      </c>
      <c r="D26" s="164">
        <v>1352805.76</v>
      </c>
      <c r="E26" s="164">
        <v>2305001.75</v>
      </c>
      <c r="F26" s="164">
        <v>57245.14</v>
      </c>
      <c r="G26" s="164">
        <v>972018.05999999994</v>
      </c>
      <c r="H26" s="164">
        <v>264087.84000000003</v>
      </c>
      <c r="I26" s="5">
        <f t="shared" si="4"/>
        <v>55729120.789999999</v>
      </c>
      <c r="J26" s="5">
        <f t="shared" si="5"/>
        <v>54325488.653792098</v>
      </c>
      <c r="K26" s="5">
        <f>+'COEF Art 14 F I'!AH27</f>
        <v>49922956.784639463</v>
      </c>
      <c r="L26" s="5">
        <f t="shared" si="0"/>
        <v>4402531.8691526353</v>
      </c>
      <c r="M26" s="5">
        <f t="shared" si="1"/>
        <v>0</v>
      </c>
      <c r="N26" s="5">
        <f t="shared" si="6"/>
        <v>0</v>
      </c>
      <c r="O26" s="5">
        <f t="shared" si="2"/>
        <v>54325488.653792098</v>
      </c>
      <c r="P26" s="149">
        <f t="shared" si="3"/>
        <v>-2.5186690841528005E-2</v>
      </c>
      <c r="Q26" s="152">
        <f t="shared" si="7"/>
        <v>6.9561481223611322E-3</v>
      </c>
    </row>
    <row r="27" spans="1:17" ht="12.75" customHeight="1">
      <c r="A27" s="4" t="s">
        <v>66</v>
      </c>
      <c r="B27" s="5">
        <v>7096430.4199999999</v>
      </c>
      <c r="C27" s="164">
        <v>1048376.3099999999</v>
      </c>
      <c r="D27" s="164">
        <v>216990.62</v>
      </c>
      <c r="E27" s="164">
        <v>369723.23999999987</v>
      </c>
      <c r="F27" s="164">
        <v>9182.14</v>
      </c>
      <c r="G27" s="164">
        <v>155912.12000000002</v>
      </c>
      <c r="H27" s="164">
        <v>42359.760000000009</v>
      </c>
      <c r="I27" s="5">
        <f t="shared" si="4"/>
        <v>8938974.6099999994</v>
      </c>
      <c r="J27" s="5">
        <f t="shared" si="5"/>
        <v>8713831.4200576618</v>
      </c>
      <c r="K27" s="5">
        <f>+'COEF Art 14 F I'!AH28</f>
        <v>4480473.6066678446</v>
      </c>
      <c r="L27" s="5">
        <f t="shared" si="0"/>
        <v>4233357.8133898173</v>
      </c>
      <c r="M27" s="5">
        <f t="shared" si="1"/>
        <v>0</v>
      </c>
      <c r="N27" s="5">
        <f t="shared" si="6"/>
        <v>0</v>
      </c>
      <c r="O27" s="5">
        <f t="shared" si="2"/>
        <v>8713831.4200576618</v>
      </c>
      <c r="P27" s="149">
        <f t="shared" si="3"/>
        <v>-2.5186690841527918E-2</v>
      </c>
      <c r="Q27" s="152">
        <f t="shared" si="7"/>
        <v>1.1157691089995275E-3</v>
      </c>
    </row>
    <row r="28" spans="1:17" ht="12.75" customHeight="1">
      <c r="A28" s="4" t="s">
        <v>67</v>
      </c>
      <c r="B28" s="5">
        <v>32863508.580000002</v>
      </c>
      <c r="C28" s="164">
        <v>4855021.8699999992</v>
      </c>
      <c r="D28" s="164">
        <v>1004881.7299999999</v>
      </c>
      <c r="E28" s="164">
        <v>1712185.2700000003</v>
      </c>
      <c r="F28" s="164">
        <v>42522.45</v>
      </c>
      <c r="G28" s="164">
        <v>722027.67</v>
      </c>
      <c r="H28" s="164">
        <v>196167.95999999996</v>
      </c>
      <c r="I28" s="5">
        <f t="shared" si="4"/>
        <v>41396315.530000009</v>
      </c>
      <c r="J28" s="5">
        <f t="shared" si="5"/>
        <v>40353679.328767553</v>
      </c>
      <c r="K28" s="5">
        <f>+'COEF Art 14 F I'!AH29</f>
        <v>40468691.74794995</v>
      </c>
      <c r="L28" s="5">
        <f t="shared" si="0"/>
        <v>0</v>
      </c>
      <c r="M28" s="5">
        <f t="shared" si="1"/>
        <v>115012.41918239743</v>
      </c>
      <c r="N28" s="5">
        <f t="shared" si="6"/>
        <v>115012.41918239773</v>
      </c>
      <c r="O28" s="5">
        <f t="shared" si="2"/>
        <v>40353679.328767553</v>
      </c>
      <c r="P28" s="149">
        <f t="shared" si="3"/>
        <v>-2.5186690841528029E-2</v>
      </c>
      <c r="Q28" s="152">
        <f t="shared" si="7"/>
        <v>5.1671172712695968E-3</v>
      </c>
    </row>
    <row r="29" spans="1:17" ht="12.75" customHeight="1">
      <c r="A29" s="4" t="s">
        <v>68</v>
      </c>
      <c r="B29" s="5">
        <v>32021360.150000002</v>
      </c>
      <c r="C29" s="164">
        <v>4730608.8600000003</v>
      </c>
      <c r="D29" s="164">
        <v>979130.96</v>
      </c>
      <c r="E29" s="164">
        <v>1668309.4500000004</v>
      </c>
      <c r="F29" s="164">
        <v>41432.769999999997</v>
      </c>
      <c r="G29" s="164">
        <v>703525.24999999988</v>
      </c>
      <c r="H29" s="164">
        <v>191141.04000000004</v>
      </c>
      <c r="I29" s="5">
        <f t="shared" si="4"/>
        <v>40335508.480000012</v>
      </c>
      <c r="J29" s="5">
        <f t="shared" si="5"/>
        <v>39319590.497978419</v>
      </c>
      <c r="K29" s="5">
        <f>+'COEF Art 14 F I'!AH30</f>
        <v>43328846.424666598</v>
      </c>
      <c r="L29" s="5">
        <f t="shared" si="0"/>
        <v>0</v>
      </c>
      <c r="M29" s="5">
        <f t="shared" si="1"/>
        <v>4009255.9266881794</v>
      </c>
      <c r="N29" s="5">
        <f t="shared" si="6"/>
        <v>4009255.9266881901</v>
      </c>
      <c r="O29" s="5">
        <f t="shared" si="2"/>
        <v>39319590.497978412</v>
      </c>
      <c r="P29" s="149">
        <f t="shared" si="3"/>
        <v>-2.5186690841528216E-2</v>
      </c>
      <c r="Q29" s="152">
        <f t="shared" si="7"/>
        <v>5.0347065878703157E-3</v>
      </c>
    </row>
    <row r="30" spans="1:17" ht="12.75" customHeight="1">
      <c r="A30" s="4" t="s">
        <v>69</v>
      </c>
      <c r="B30" s="5">
        <v>512493199.22000003</v>
      </c>
      <c r="C30" s="164">
        <v>75712113.450000003</v>
      </c>
      <c r="D30" s="164">
        <v>15670725.99</v>
      </c>
      <c r="E30" s="164">
        <v>26700840.909999996</v>
      </c>
      <c r="F30" s="164">
        <v>663120.25000000012</v>
      </c>
      <c r="G30" s="164">
        <v>11259731.030000001</v>
      </c>
      <c r="H30" s="164">
        <v>3059159.8800000008</v>
      </c>
      <c r="I30" s="5">
        <f t="shared" si="4"/>
        <v>645558890.73000002</v>
      </c>
      <c r="J30" s="5">
        <f t="shared" si="5"/>
        <v>629299398.52918375</v>
      </c>
      <c r="K30" s="5">
        <f>+'COEF Art 14 F I'!AH31</f>
        <v>601680155.76759982</v>
      </c>
      <c r="L30" s="5">
        <f t="shared" si="0"/>
        <v>27619242.761583924</v>
      </c>
      <c r="M30" s="5">
        <f t="shared" si="1"/>
        <v>0</v>
      </c>
      <c r="N30" s="5">
        <f t="shared" si="6"/>
        <v>0</v>
      </c>
      <c r="O30" s="5">
        <f t="shared" si="2"/>
        <v>629299398.52918375</v>
      </c>
      <c r="P30" s="149">
        <f t="shared" si="3"/>
        <v>-2.5186690841528012E-2</v>
      </c>
      <c r="Q30" s="152">
        <f t="shared" si="7"/>
        <v>8.0579115585667313E-2</v>
      </c>
    </row>
    <row r="31" spans="1:17" ht="12.75" customHeight="1">
      <c r="A31" s="4" t="s">
        <v>70</v>
      </c>
      <c r="B31" s="5">
        <v>13196489.440000005</v>
      </c>
      <c r="C31" s="164">
        <v>1949555.8299999996</v>
      </c>
      <c r="D31" s="164">
        <v>403514.75000000006</v>
      </c>
      <c r="E31" s="164">
        <v>687535.7200000002</v>
      </c>
      <c r="F31" s="164">
        <v>17075.079999999998</v>
      </c>
      <c r="G31" s="164">
        <v>289933.42</v>
      </c>
      <c r="H31" s="164">
        <v>78772.079999999973</v>
      </c>
      <c r="I31" s="5">
        <f t="shared" si="4"/>
        <v>16622876.320000006</v>
      </c>
      <c r="J31" s="5">
        <f t="shared" si="5"/>
        <v>16204201.073231209</v>
      </c>
      <c r="K31" s="5">
        <f>+'COEF Art 14 F I'!AH32</f>
        <v>10835721.485033054</v>
      </c>
      <c r="L31" s="5">
        <f t="shared" si="0"/>
        <v>5368479.5881981552</v>
      </c>
      <c r="M31" s="5">
        <f t="shared" si="1"/>
        <v>0</v>
      </c>
      <c r="N31" s="5">
        <f t="shared" si="6"/>
        <v>0</v>
      </c>
      <c r="O31" s="5">
        <f t="shared" si="2"/>
        <v>16204201.073231209</v>
      </c>
      <c r="P31" s="149">
        <f t="shared" si="3"/>
        <v>-2.5186690841528001E-2</v>
      </c>
      <c r="Q31" s="152">
        <f t="shared" si="7"/>
        <v>2.0748791343278856E-3</v>
      </c>
    </row>
    <row r="32" spans="1:17" ht="12.75" customHeight="1">
      <c r="A32" s="4" t="s">
        <v>71</v>
      </c>
      <c r="B32" s="5">
        <v>22715715.980000004</v>
      </c>
      <c r="C32" s="164">
        <v>3355858.8999999994</v>
      </c>
      <c r="D32" s="164">
        <v>694588.26</v>
      </c>
      <c r="E32" s="164">
        <v>1183486.3899999999</v>
      </c>
      <c r="F32" s="164">
        <v>29392.100000000002</v>
      </c>
      <c r="G32" s="164">
        <v>499075.59</v>
      </c>
      <c r="H32" s="164">
        <v>135594</v>
      </c>
      <c r="I32" s="5">
        <f t="shared" si="4"/>
        <v>28613711.220000006</v>
      </c>
      <c r="J32" s="5">
        <f t="shared" si="5"/>
        <v>27893026.521673106</v>
      </c>
      <c r="K32" s="5">
        <f>+'COEF Art 14 F I'!AH33</f>
        <v>25192355.417149112</v>
      </c>
      <c r="L32" s="5">
        <f t="shared" si="0"/>
        <v>2700671.104523994</v>
      </c>
      <c r="M32" s="5">
        <f t="shared" si="1"/>
        <v>0</v>
      </c>
      <c r="N32" s="5">
        <f t="shared" si="6"/>
        <v>0</v>
      </c>
      <c r="O32" s="5">
        <f t="shared" si="2"/>
        <v>27893026.521673106</v>
      </c>
      <c r="P32" s="149">
        <f t="shared" si="3"/>
        <v>-2.518669084152798E-2</v>
      </c>
      <c r="Q32" s="152">
        <f t="shared" si="7"/>
        <v>3.5715835949901176E-3</v>
      </c>
    </row>
    <row r="33" spans="1:17" ht="12.75" customHeight="1">
      <c r="A33" s="4" t="s">
        <v>72</v>
      </c>
      <c r="B33" s="5">
        <v>13037091.569999998</v>
      </c>
      <c r="C33" s="164">
        <v>1926007.5099999998</v>
      </c>
      <c r="D33" s="164">
        <v>398640.79</v>
      </c>
      <c r="E33" s="164">
        <v>679231.07999999973</v>
      </c>
      <c r="F33" s="164">
        <v>16868.82</v>
      </c>
      <c r="G33" s="164">
        <v>286431.42</v>
      </c>
      <c r="H33" s="164">
        <v>77820.60000000002</v>
      </c>
      <c r="I33" s="5">
        <f t="shared" si="4"/>
        <v>16422091.789999997</v>
      </c>
      <c r="J33" s="5">
        <f t="shared" si="5"/>
        <v>16008473.641114073</v>
      </c>
      <c r="K33" s="5">
        <f>+'COEF Art 14 F I'!AH34</f>
        <v>16419926.87714953</v>
      </c>
      <c r="L33" s="5">
        <f t="shared" si="0"/>
        <v>0</v>
      </c>
      <c r="M33" s="5">
        <f t="shared" si="1"/>
        <v>411453.23603545688</v>
      </c>
      <c r="N33" s="5">
        <f t="shared" si="6"/>
        <v>411453.23603545799</v>
      </c>
      <c r="O33" s="5">
        <f t="shared" si="2"/>
        <v>16008473.641114071</v>
      </c>
      <c r="P33" s="149">
        <f t="shared" si="3"/>
        <v>-2.5186690841528071E-2</v>
      </c>
      <c r="Q33" s="152">
        <f t="shared" si="7"/>
        <v>2.049817067825495E-3</v>
      </c>
    </row>
    <row r="34" spans="1:17" ht="12.75" customHeight="1">
      <c r="A34" s="4" t="s">
        <v>73</v>
      </c>
      <c r="B34" s="5">
        <v>18185303.399999999</v>
      </c>
      <c r="C34" s="164">
        <v>2686567.8599999994</v>
      </c>
      <c r="D34" s="164">
        <v>556059.87999999989</v>
      </c>
      <c r="E34" s="164">
        <v>947452.34000000008</v>
      </c>
      <c r="F34" s="164">
        <v>23530.159999999996</v>
      </c>
      <c r="G34" s="164">
        <v>399540.18</v>
      </c>
      <c r="H34" s="164">
        <v>108551.15999999997</v>
      </c>
      <c r="I34" s="5">
        <f t="shared" si="4"/>
        <v>22907004.979999997</v>
      </c>
      <c r="J34" s="5">
        <f t="shared" si="5"/>
        <v>22330053.327463396</v>
      </c>
      <c r="K34" s="5">
        <f>+'COEF Art 14 F I'!AH35</f>
        <v>18096745.806021448</v>
      </c>
      <c r="L34" s="5">
        <f t="shared" si="0"/>
        <v>4233307.5214419477</v>
      </c>
      <c r="M34" s="5">
        <f t="shared" si="1"/>
        <v>0</v>
      </c>
      <c r="N34" s="5">
        <f t="shared" si="6"/>
        <v>0</v>
      </c>
      <c r="O34" s="5">
        <f t="shared" si="2"/>
        <v>22330053.327463396</v>
      </c>
      <c r="P34" s="149">
        <f t="shared" si="3"/>
        <v>-2.5186690841527939E-2</v>
      </c>
      <c r="Q34" s="152">
        <f t="shared" si="7"/>
        <v>2.8592685013099431E-3</v>
      </c>
    </row>
    <row r="35" spans="1:17" ht="12.75" customHeight="1">
      <c r="A35" s="4" t="s">
        <v>74</v>
      </c>
      <c r="B35" s="5">
        <v>17116674.110000003</v>
      </c>
      <c r="C35" s="164">
        <v>2528696.1400000006</v>
      </c>
      <c r="D35" s="164">
        <v>523383.95</v>
      </c>
      <c r="E35" s="164">
        <v>891776.89000000013</v>
      </c>
      <c r="F35" s="164">
        <v>22147.440000000002</v>
      </c>
      <c r="G35" s="164">
        <v>376061.87</v>
      </c>
      <c r="H35" s="164">
        <v>102172.32</v>
      </c>
      <c r="I35" s="5">
        <f t="shared" si="4"/>
        <v>21560912.720000006</v>
      </c>
      <c r="J35" s="5">
        <f t="shared" si="5"/>
        <v>21017864.677060198</v>
      </c>
      <c r="K35" s="5">
        <f>+'COEF Art 14 F I'!AH36</f>
        <v>21070879.921077263</v>
      </c>
      <c r="L35" s="5">
        <f t="shared" si="0"/>
        <v>0</v>
      </c>
      <c r="M35" s="5">
        <f t="shared" si="1"/>
        <v>53015.244017064571</v>
      </c>
      <c r="N35" s="5">
        <f t="shared" si="6"/>
        <v>53015.24401706471</v>
      </c>
      <c r="O35" s="5">
        <f t="shared" si="2"/>
        <v>21017864.677060198</v>
      </c>
      <c r="P35" s="149">
        <f t="shared" si="3"/>
        <v>-2.5186690841527977E-2</v>
      </c>
      <c r="Q35" s="152">
        <f t="shared" si="7"/>
        <v>2.6912483169935957E-3</v>
      </c>
    </row>
    <row r="36" spans="1:17" ht="12.75" customHeight="1">
      <c r="A36" s="4" t="s">
        <v>75</v>
      </c>
      <c r="B36" s="5">
        <v>159003898.21000001</v>
      </c>
      <c r="C36" s="164">
        <v>23490109.129999999</v>
      </c>
      <c r="D36" s="164">
        <v>4861930.8899999997</v>
      </c>
      <c r="E36" s="164">
        <v>8284086.0999999996</v>
      </c>
      <c r="F36" s="164">
        <v>205736.78</v>
      </c>
      <c r="G36" s="164">
        <v>3493394.91</v>
      </c>
      <c r="H36" s="164">
        <v>949121.5199999999</v>
      </c>
      <c r="I36" s="5">
        <f t="shared" si="4"/>
        <v>200288277.53999999</v>
      </c>
      <c r="J36" s="5">
        <f t="shared" si="5"/>
        <v>195243678.61441785</v>
      </c>
      <c r="K36" s="5">
        <f>+'COEF Art 14 F I'!AH37</f>
        <v>258229994.34290877</v>
      </c>
      <c r="L36" s="5">
        <f t="shared" si="0"/>
        <v>0</v>
      </c>
      <c r="M36" s="5">
        <f t="shared" si="1"/>
        <v>62986315.728490919</v>
      </c>
      <c r="N36" s="5">
        <f t="shared" si="6"/>
        <v>62986315.72849109</v>
      </c>
      <c r="O36" s="5">
        <f t="shared" si="2"/>
        <v>195243678.61441767</v>
      </c>
      <c r="P36" s="149">
        <f t="shared" si="3"/>
        <v>-2.5186690841528917E-2</v>
      </c>
      <c r="Q36" s="152">
        <f t="shared" si="7"/>
        <v>2.5000123920684861E-2</v>
      </c>
    </row>
    <row r="37" spans="1:17" ht="12.75" customHeight="1">
      <c r="A37" s="4" t="s">
        <v>76</v>
      </c>
      <c r="B37" s="5">
        <v>30986252.440000001</v>
      </c>
      <c r="C37" s="164">
        <v>4577689.37</v>
      </c>
      <c r="D37" s="164">
        <v>947480.03999999992</v>
      </c>
      <c r="E37" s="164">
        <v>1614380.4300000004</v>
      </c>
      <c r="F37" s="164">
        <v>40093.439999999995</v>
      </c>
      <c r="G37" s="164">
        <v>680783.39999999991</v>
      </c>
      <c r="H37" s="164">
        <v>184962.24</v>
      </c>
      <c r="I37" s="5">
        <f t="shared" si="4"/>
        <v>39031641.359999999</v>
      </c>
      <c r="J37" s="5">
        <f t="shared" si="5"/>
        <v>38048563.476028286</v>
      </c>
      <c r="K37" s="5">
        <f>+'COEF Art 14 F I'!AH38</f>
        <v>34707259.779663943</v>
      </c>
      <c r="L37" s="5">
        <f t="shared" si="0"/>
        <v>3341303.6963643432</v>
      </c>
      <c r="M37" s="5">
        <f t="shared" si="1"/>
        <v>0</v>
      </c>
      <c r="N37" s="5">
        <f t="shared" si="6"/>
        <v>0</v>
      </c>
      <c r="O37" s="5">
        <f t="shared" si="2"/>
        <v>38048563.476028286</v>
      </c>
      <c r="P37" s="149">
        <f t="shared" si="3"/>
        <v>-2.5186690841527897E-2</v>
      </c>
      <c r="Q37" s="152">
        <f t="shared" si="7"/>
        <v>4.8719569752795509E-3</v>
      </c>
    </row>
    <row r="38" spans="1:17" s="11" customFormat="1" ht="12.75" customHeight="1">
      <c r="A38" s="4" t="s">
        <v>77</v>
      </c>
      <c r="B38" s="5">
        <v>113608223.21000001</v>
      </c>
      <c r="C38" s="164">
        <v>16783673.820000004</v>
      </c>
      <c r="D38" s="164">
        <v>3473847.7300000004</v>
      </c>
      <c r="E38" s="164">
        <v>5918976.2900000019</v>
      </c>
      <c r="F38" s="164">
        <v>146998.86000000002</v>
      </c>
      <c r="G38" s="164">
        <v>2496029.2800000003</v>
      </c>
      <c r="H38" s="164">
        <v>678147</v>
      </c>
      <c r="I38" s="5">
        <f t="shared" si="4"/>
        <v>143105896.19000003</v>
      </c>
      <c r="J38" s="5">
        <f t="shared" si="5"/>
        <v>139501532.2250627</v>
      </c>
      <c r="K38" s="5">
        <f>+'COEF Art 14 F I'!AH39</f>
        <v>131755688.35945296</v>
      </c>
      <c r="L38" s="5">
        <f t="shared" si="0"/>
        <v>7745843.8656097353</v>
      </c>
      <c r="M38" s="5">
        <f t="shared" si="1"/>
        <v>0</v>
      </c>
      <c r="N38" s="5">
        <f t="shared" si="6"/>
        <v>0</v>
      </c>
      <c r="O38" s="5">
        <f t="shared" si="2"/>
        <v>139501532.2250627</v>
      </c>
      <c r="P38" s="149">
        <f t="shared" si="3"/>
        <v>-2.5186690841527991E-2</v>
      </c>
      <c r="Q38" s="152">
        <f t="shared" si="7"/>
        <v>1.7862578791293288E-2</v>
      </c>
    </row>
    <row r="39" spans="1:17" ht="12.75" customHeight="1">
      <c r="A39" s="4" t="s">
        <v>78</v>
      </c>
      <c r="B39" s="5">
        <v>24240160.689999998</v>
      </c>
      <c r="C39" s="164">
        <v>3581069.57</v>
      </c>
      <c r="D39" s="164">
        <v>741201.86</v>
      </c>
      <c r="E39" s="164">
        <v>1262909.7900000003</v>
      </c>
      <c r="F39" s="164">
        <v>31364.6</v>
      </c>
      <c r="G39" s="164">
        <v>532568.40999999992</v>
      </c>
      <c r="H39" s="164">
        <v>144693.72</v>
      </c>
      <c r="I39" s="5">
        <f t="shared" si="4"/>
        <v>30533968.639999997</v>
      </c>
      <c r="J39" s="5">
        <f t="shared" si="5"/>
        <v>29764919.011699408</v>
      </c>
      <c r="K39" s="5">
        <f>+'COEF Art 14 F I'!AH40</f>
        <v>31863208.866578951</v>
      </c>
      <c r="L39" s="5">
        <f t="shared" si="0"/>
        <v>0</v>
      </c>
      <c r="M39" s="5">
        <f t="shared" si="1"/>
        <v>2098289.8548795432</v>
      </c>
      <c r="N39" s="5">
        <f t="shared" si="6"/>
        <v>2098289.8548795488</v>
      </c>
      <c r="O39" s="5">
        <f t="shared" si="2"/>
        <v>29764919.011699401</v>
      </c>
      <c r="P39" s="149">
        <f t="shared" si="3"/>
        <v>-2.5186690841528161E-2</v>
      </c>
      <c r="Q39" s="152">
        <f t="shared" si="7"/>
        <v>3.8112714791201652E-3</v>
      </c>
    </row>
    <row r="40" spans="1:17" ht="12.75" customHeight="1">
      <c r="A40" s="4" t="s">
        <v>79</v>
      </c>
      <c r="B40" s="5">
        <v>23299723.010000002</v>
      </c>
      <c r="C40" s="164">
        <v>3442135.9600000004</v>
      </c>
      <c r="D40" s="164">
        <v>712445.71</v>
      </c>
      <c r="E40" s="164">
        <v>1213913.06</v>
      </c>
      <c r="F40" s="164">
        <v>30147.759999999998</v>
      </c>
      <c r="G40" s="164">
        <v>511906.51999999996</v>
      </c>
      <c r="H40" s="164">
        <v>139080</v>
      </c>
      <c r="I40" s="5">
        <f t="shared" si="4"/>
        <v>29349352.020000003</v>
      </c>
      <c r="J40" s="5">
        <f t="shared" si="5"/>
        <v>28610138.964273088</v>
      </c>
      <c r="K40" s="5">
        <f>+'COEF Art 14 F I'!AH41</f>
        <v>29893721.055967312</v>
      </c>
      <c r="L40" s="5">
        <f t="shared" si="0"/>
        <v>0</v>
      </c>
      <c r="M40" s="5">
        <f t="shared" si="1"/>
        <v>1283582.0916942246</v>
      </c>
      <c r="N40" s="5">
        <f t="shared" si="6"/>
        <v>1283582.0916942281</v>
      </c>
      <c r="O40" s="5">
        <f t="shared" si="2"/>
        <v>28610138.964273084</v>
      </c>
      <c r="P40" s="149">
        <f t="shared" si="3"/>
        <v>-2.5186690841528133E-2</v>
      </c>
      <c r="Q40" s="152">
        <f t="shared" si="7"/>
        <v>3.6634067979603399E-3</v>
      </c>
    </row>
    <row r="41" spans="1:17" ht="12.75" customHeight="1">
      <c r="A41" s="4" t="s">
        <v>80</v>
      </c>
      <c r="B41" s="5">
        <v>24464426.359999999</v>
      </c>
      <c r="C41" s="164">
        <v>3614200.9799999995</v>
      </c>
      <c r="D41" s="164">
        <v>748059.33</v>
      </c>
      <c r="E41" s="164">
        <v>1274594.0100000002</v>
      </c>
      <c r="F41" s="164">
        <v>31654.780000000002</v>
      </c>
      <c r="G41" s="164">
        <v>537495.63</v>
      </c>
      <c r="H41" s="164">
        <v>146032.32000000001</v>
      </c>
      <c r="I41" s="5">
        <f t="shared" si="4"/>
        <v>30816463.41</v>
      </c>
      <c r="J41" s="5">
        <f t="shared" si="5"/>
        <v>30040298.673263073</v>
      </c>
      <c r="K41" s="5">
        <f>+'COEF Art 14 F I'!AH42</f>
        <v>29925245.942484207</v>
      </c>
      <c r="L41" s="5">
        <f t="shared" si="0"/>
        <v>115052.73077886552</v>
      </c>
      <c r="M41" s="5">
        <f t="shared" si="1"/>
        <v>0</v>
      </c>
      <c r="N41" s="5">
        <f t="shared" si="6"/>
        <v>0</v>
      </c>
      <c r="O41" s="5">
        <f t="shared" si="2"/>
        <v>30040298.673263073</v>
      </c>
      <c r="P41" s="149">
        <f t="shared" si="3"/>
        <v>-2.5186690841527918E-2</v>
      </c>
      <c r="Q41" s="152">
        <f t="shared" si="7"/>
        <v>3.84653267535036E-3</v>
      </c>
    </row>
    <row r="42" spans="1:17" ht="12.75" customHeight="1">
      <c r="A42" s="4" t="s">
        <v>81</v>
      </c>
      <c r="B42" s="5">
        <v>34459204.980000004</v>
      </c>
      <c r="C42" s="164">
        <v>5090758.7399999993</v>
      </c>
      <c r="D42" s="164">
        <v>1053674</v>
      </c>
      <c r="E42" s="164">
        <v>1795320.8699999996</v>
      </c>
      <c r="F42" s="164">
        <v>44587.119999999995</v>
      </c>
      <c r="G42" s="164">
        <v>757085.92</v>
      </c>
      <c r="H42" s="164">
        <v>205692.96000000008</v>
      </c>
      <c r="I42" s="5">
        <f t="shared" si="4"/>
        <v>43406324.590000004</v>
      </c>
      <c r="J42" s="5">
        <f t="shared" si="5"/>
        <v>42313062.91198466</v>
      </c>
      <c r="K42" s="5">
        <f>+'COEF Art 14 F I'!AH43</f>
        <v>38129336.896752976</v>
      </c>
      <c r="L42" s="5">
        <f t="shared" si="0"/>
        <v>4183726.0152316839</v>
      </c>
      <c r="M42" s="5">
        <f t="shared" si="1"/>
        <v>0</v>
      </c>
      <c r="N42" s="5">
        <f t="shared" si="6"/>
        <v>0</v>
      </c>
      <c r="O42" s="5">
        <f t="shared" si="2"/>
        <v>42313062.91198466</v>
      </c>
      <c r="P42" s="149">
        <f t="shared" si="3"/>
        <v>-2.518669084152798E-2</v>
      </c>
      <c r="Q42" s="152">
        <f t="shared" si="7"/>
        <v>5.4180080183412202E-3</v>
      </c>
    </row>
    <row r="43" spans="1:17" s="11" customFormat="1" ht="12.75" customHeight="1">
      <c r="A43" s="4" t="s">
        <v>82</v>
      </c>
      <c r="B43" s="5">
        <v>80844476.999999985</v>
      </c>
      <c r="C43" s="164">
        <v>11943390.130000003</v>
      </c>
      <c r="D43" s="164">
        <v>2472016.5099999998</v>
      </c>
      <c r="E43" s="164">
        <v>4211988.58</v>
      </c>
      <c r="F43" s="164">
        <v>104605.51999999999</v>
      </c>
      <c r="G43" s="164">
        <v>1776193.46</v>
      </c>
      <c r="H43" s="164">
        <v>482574.59999999992</v>
      </c>
      <c r="I43" s="5">
        <f t="shared" si="4"/>
        <v>101835245.79999998</v>
      </c>
      <c r="J43" s="5">
        <f t="shared" si="5"/>
        <v>99270352.947264373</v>
      </c>
      <c r="K43" s="5">
        <f>+'COEF Art 14 F I'!AH44</f>
        <v>93149134.685340032</v>
      </c>
      <c r="L43" s="5">
        <f t="shared" si="0"/>
        <v>6121218.2619243413</v>
      </c>
      <c r="M43" s="5">
        <f t="shared" si="1"/>
        <v>0</v>
      </c>
      <c r="N43" s="5">
        <f t="shared" si="6"/>
        <v>0</v>
      </c>
      <c r="O43" s="5">
        <f t="shared" si="2"/>
        <v>99270352.947264373</v>
      </c>
      <c r="P43" s="149">
        <f t="shared" si="3"/>
        <v>-2.5186690841527967E-2</v>
      </c>
      <c r="Q43" s="152">
        <f t="shared" si="7"/>
        <v>1.271114713133902E-2</v>
      </c>
    </row>
    <row r="44" spans="1:17" ht="12.75" customHeight="1">
      <c r="A44" s="4" t="s">
        <v>83</v>
      </c>
      <c r="B44" s="5">
        <v>1673093482.5799999</v>
      </c>
      <c r="C44" s="164">
        <v>247170974.37999997</v>
      </c>
      <c r="D44" s="164">
        <v>51158902.350000001</v>
      </c>
      <c r="E44" s="164">
        <v>87167991.600000009</v>
      </c>
      <c r="F44" s="164">
        <v>2164833.0099999998</v>
      </c>
      <c r="G44" s="164">
        <v>36758697.729999997</v>
      </c>
      <c r="H44" s="164">
        <v>9986982.0399999991</v>
      </c>
      <c r="I44" s="5">
        <f t="shared" si="4"/>
        <v>2107501863.6899996</v>
      </c>
      <c r="J44" s="5">
        <f t="shared" si="5"/>
        <v>2054420865.8012955</v>
      </c>
      <c r="K44" s="5">
        <f>+'COEF Art 14 F I'!AH45</f>
        <v>2023965556.2977767</v>
      </c>
      <c r="L44" s="5">
        <f t="shared" si="0"/>
        <v>30455309.50351882</v>
      </c>
      <c r="M44" s="5">
        <f t="shared" si="1"/>
        <v>0</v>
      </c>
      <c r="N44" s="5">
        <f t="shared" si="6"/>
        <v>0</v>
      </c>
      <c r="O44" s="5">
        <f t="shared" si="2"/>
        <v>2054420865.8012955</v>
      </c>
      <c r="P44" s="149">
        <f t="shared" si="3"/>
        <v>-2.518669084152798E-2</v>
      </c>
      <c r="Q44" s="152">
        <f t="shared" si="7"/>
        <v>0.26305986751921584</v>
      </c>
    </row>
    <row r="45" spans="1:17" ht="12.75" customHeight="1">
      <c r="A45" s="4" t="s">
        <v>84</v>
      </c>
      <c r="B45" s="5">
        <v>8640862.4000000004</v>
      </c>
      <c r="C45" s="164">
        <v>1276539.7600000002</v>
      </c>
      <c r="D45" s="164">
        <v>264215.39</v>
      </c>
      <c r="E45" s="164">
        <v>450188.04</v>
      </c>
      <c r="F45" s="164">
        <v>11180.5</v>
      </c>
      <c r="G45" s="164">
        <v>189844.06</v>
      </c>
      <c r="H45" s="164">
        <v>51578.75999999998</v>
      </c>
      <c r="I45" s="5">
        <f t="shared" si="4"/>
        <v>10884408.91</v>
      </c>
      <c r="J45" s="5">
        <f t="shared" si="5"/>
        <v>10610266.667791057</v>
      </c>
      <c r="K45" s="5">
        <f>+'COEF Art 14 F I'!AH46</f>
        <v>8033334.8949729176</v>
      </c>
      <c r="L45" s="5">
        <f t="shared" si="0"/>
        <v>2576931.7728181398</v>
      </c>
      <c r="M45" s="5">
        <f t="shared" si="1"/>
        <v>0</v>
      </c>
      <c r="N45" s="5">
        <f t="shared" si="6"/>
        <v>0</v>
      </c>
      <c r="O45" s="5">
        <f t="shared" si="2"/>
        <v>10610266.667791057</v>
      </c>
      <c r="P45" s="149">
        <f t="shared" si="3"/>
        <v>-2.5186690841528001E-2</v>
      </c>
      <c r="Q45" s="152">
        <f t="shared" si="7"/>
        <v>1.3585995890301804E-3</v>
      </c>
    </row>
    <row r="46" spans="1:17" s="11" customFormat="1" ht="12.75" customHeight="1">
      <c r="A46" s="4" t="s">
        <v>85</v>
      </c>
      <c r="B46" s="5">
        <v>36380011.600000001</v>
      </c>
      <c r="C46" s="164">
        <v>5374525.1199999992</v>
      </c>
      <c r="D46" s="164">
        <v>1112407.3199999998</v>
      </c>
      <c r="E46" s="164">
        <v>1895394.74</v>
      </c>
      <c r="F46" s="164">
        <v>47072.480000000003</v>
      </c>
      <c r="G46" s="164">
        <v>799286.98999999987</v>
      </c>
      <c r="H46" s="164">
        <v>217158.48000000007</v>
      </c>
      <c r="I46" s="5">
        <f t="shared" si="4"/>
        <v>45825856.729999997</v>
      </c>
      <c r="J46" s="5">
        <f t="shared" si="5"/>
        <v>44671655.043993331</v>
      </c>
      <c r="K46" s="5">
        <f>+'COEF Art 14 F I'!AH47</f>
        <v>65683959.931114569</v>
      </c>
      <c r="L46" s="5">
        <f t="shared" si="0"/>
        <v>0</v>
      </c>
      <c r="M46" s="5">
        <f t="shared" si="1"/>
        <v>21012304.887121238</v>
      </c>
      <c r="N46" s="5">
        <f t="shared" si="6"/>
        <v>21012304.887121294</v>
      </c>
      <c r="O46" s="5">
        <f t="shared" si="2"/>
        <v>44671655.043993279</v>
      </c>
      <c r="P46" s="149">
        <f t="shared" si="3"/>
        <v>-2.5186690841529139E-2</v>
      </c>
      <c r="Q46" s="152">
        <f t="shared" si="7"/>
        <v>5.720015724798219E-3</v>
      </c>
    </row>
    <row r="47" spans="1:17" ht="12.75" customHeight="1">
      <c r="A47" s="4" t="s">
        <v>86</v>
      </c>
      <c r="B47" s="5">
        <v>18327006.490000002</v>
      </c>
      <c r="C47" s="164">
        <v>2707502.0599999996</v>
      </c>
      <c r="D47" s="164">
        <v>560392.80000000005</v>
      </c>
      <c r="E47" s="164">
        <v>954835.08000000007</v>
      </c>
      <c r="F47" s="164">
        <v>23713.5</v>
      </c>
      <c r="G47" s="164">
        <v>402653.45</v>
      </c>
      <c r="H47" s="164">
        <v>109397.04</v>
      </c>
      <c r="I47" s="5">
        <f t="shared" si="4"/>
        <v>23085500.419999998</v>
      </c>
      <c r="J47" s="5">
        <f t="shared" si="5"/>
        <v>22504053.057999495</v>
      </c>
      <c r="K47" s="5">
        <f>+'COEF Art 14 F I'!AH48</f>
        <v>15160360.293933954</v>
      </c>
      <c r="L47" s="5">
        <f t="shared" si="0"/>
        <v>7343692.7640655413</v>
      </c>
      <c r="M47" s="5">
        <f t="shared" si="1"/>
        <v>0</v>
      </c>
      <c r="N47" s="5">
        <f t="shared" si="6"/>
        <v>0</v>
      </c>
      <c r="O47" s="5">
        <f t="shared" si="2"/>
        <v>22504053.057999495</v>
      </c>
      <c r="P47" s="149">
        <f t="shared" si="3"/>
        <v>-2.5186690841527908E-2</v>
      </c>
      <c r="Q47" s="152">
        <f t="shared" si="7"/>
        <v>2.8815484278941939E-3</v>
      </c>
    </row>
    <row r="48" spans="1:17" ht="12.75" customHeight="1">
      <c r="A48" s="4" t="s">
        <v>87</v>
      </c>
      <c r="B48" s="5">
        <v>20536773.130000003</v>
      </c>
      <c r="C48" s="164">
        <v>3033957.3300000005</v>
      </c>
      <c r="D48" s="164">
        <v>627961.79000000015</v>
      </c>
      <c r="E48" s="164">
        <v>1069963.7</v>
      </c>
      <c r="F48" s="164">
        <v>26572.749999999996</v>
      </c>
      <c r="G48" s="164">
        <v>451203.14000000007</v>
      </c>
      <c r="H48" s="164">
        <v>122587.56000000001</v>
      </c>
      <c r="I48" s="5">
        <f t="shared" si="4"/>
        <v>25869019.400000002</v>
      </c>
      <c r="J48" s="5">
        <f t="shared" si="5"/>
        <v>25217464.405998714</v>
      </c>
      <c r="K48" s="5">
        <f>+'COEF Art 14 F I'!AH49</f>
        <v>25494546.490899809</v>
      </c>
      <c r="L48" s="5">
        <f t="shared" si="0"/>
        <v>0</v>
      </c>
      <c r="M48" s="5">
        <f t="shared" si="1"/>
        <v>277082.08490109444</v>
      </c>
      <c r="N48" s="5">
        <f t="shared" si="6"/>
        <v>277082.08490109519</v>
      </c>
      <c r="O48" s="5">
        <f t="shared" si="2"/>
        <v>25217464.405998714</v>
      </c>
      <c r="P48" s="149">
        <f t="shared" si="3"/>
        <v>-2.5186690841527914E-2</v>
      </c>
      <c r="Q48" s="152">
        <f t="shared" si="7"/>
        <v>3.228989228176082E-3</v>
      </c>
    </row>
    <row r="49" spans="1:17" ht="12.75" customHeight="1">
      <c r="A49" s="4" t="s">
        <v>88</v>
      </c>
      <c r="B49" s="5">
        <v>59087516.599999994</v>
      </c>
      <c r="C49" s="164">
        <v>8729170.9900000002</v>
      </c>
      <c r="D49" s="164">
        <v>1806744.53</v>
      </c>
      <c r="E49" s="164">
        <v>3078453.2899999996</v>
      </c>
      <c r="F49" s="164">
        <v>76453.959999999992</v>
      </c>
      <c r="G49" s="164">
        <v>1298182.18</v>
      </c>
      <c r="H49" s="164">
        <v>352703.52</v>
      </c>
      <c r="I49" s="5">
        <f t="shared" si="4"/>
        <v>74429225.069999993</v>
      </c>
      <c r="J49" s="5">
        <f t="shared" si="5"/>
        <v>72554599.188587397</v>
      </c>
      <c r="K49" s="5">
        <f>+'COEF Art 14 F I'!AH50</f>
        <v>47541415.257813416</v>
      </c>
      <c r="L49" s="5">
        <f t="shared" si="0"/>
        <v>25013183.930773981</v>
      </c>
      <c r="M49" s="5">
        <f t="shared" si="1"/>
        <v>0</v>
      </c>
      <c r="N49" s="5">
        <f t="shared" si="6"/>
        <v>0</v>
      </c>
      <c r="O49" s="5">
        <f t="shared" si="2"/>
        <v>72554599.188587397</v>
      </c>
      <c r="P49" s="149">
        <f t="shared" si="3"/>
        <v>-2.5186690841528005E-2</v>
      </c>
      <c r="Q49" s="152">
        <f t="shared" si="7"/>
        <v>9.2903083142194063E-3</v>
      </c>
    </row>
    <row r="50" spans="1:17" ht="12.75" customHeight="1">
      <c r="A50" s="4" t="s">
        <v>89</v>
      </c>
      <c r="B50" s="5">
        <v>50847905.830000006</v>
      </c>
      <c r="C50" s="164">
        <v>7511909.2699999977</v>
      </c>
      <c r="D50" s="164">
        <v>1554798.39</v>
      </c>
      <c r="E50" s="164">
        <v>2649170.4499999993</v>
      </c>
      <c r="F50" s="164">
        <v>65792.62</v>
      </c>
      <c r="G50" s="164">
        <v>1117153.83</v>
      </c>
      <c r="H50" s="164">
        <v>303519.84000000003</v>
      </c>
      <c r="I50" s="5">
        <f t="shared" si="4"/>
        <v>64050250.229999997</v>
      </c>
      <c r="J50" s="5">
        <f t="shared" si="5"/>
        <v>62437036.379134484</v>
      </c>
      <c r="K50" s="5">
        <f>+'COEF Art 14 F I'!AH51</f>
        <v>69961887.908214182</v>
      </c>
      <c r="L50" s="5">
        <f t="shared" si="0"/>
        <v>0</v>
      </c>
      <c r="M50" s="5">
        <f t="shared" si="1"/>
        <v>7524851.529079698</v>
      </c>
      <c r="N50" s="5">
        <f t="shared" si="6"/>
        <v>7524851.5290797185</v>
      </c>
      <c r="O50" s="5">
        <f t="shared" si="2"/>
        <v>62437036.379134461</v>
      </c>
      <c r="P50" s="149">
        <f t="shared" si="3"/>
        <v>-2.5186690841528279E-2</v>
      </c>
      <c r="Q50" s="152">
        <f t="shared" si="7"/>
        <v>7.9947973619229062E-3</v>
      </c>
    </row>
    <row r="51" spans="1:17" ht="12.75" customHeight="1">
      <c r="A51" s="4" t="s">
        <v>90</v>
      </c>
      <c r="B51" s="5">
        <v>460099828.91000009</v>
      </c>
      <c r="C51" s="164">
        <v>67971888.239999995</v>
      </c>
      <c r="D51" s="164">
        <v>14068671.27</v>
      </c>
      <c r="E51" s="164">
        <v>23971151.900000002</v>
      </c>
      <c r="F51" s="164">
        <v>595327.93999999994</v>
      </c>
      <c r="G51" s="164">
        <v>10108622.569999998</v>
      </c>
      <c r="H51" s="164">
        <v>2746414.7999999993</v>
      </c>
      <c r="I51" s="5">
        <f t="shared" si="4"/>
        <v>579561905.63000011</v>
      </c>
      <c r="J51" s="5">
        <f t="shared" si="5"/>
        <v>564964659.08937049</v>
      </c>
      <c r="K51" s="5">
        <f>+'COEF Art 14 F I'!AH52</f>
        <v>491116698.85858452</v>
      </c>
      <c r="L51" s="5">
        <f t="shared" si="0"/>
        <v>73847960.230785966</v>
      </c>
      <c r="M51" s="5">
        <f t="shared" si="1"/>
        <v>0</v>
      </c>
      <c r="N51" s="5">
        <f t="shared" si="6"/>
        <v>0</v>
      </c>
      <c r="O51" s="5">
        <f t="shared" si="2"/>
        <v>564964659.08937049</v>
      </c>
      <c r="P51" s="149">
        <f t="shared" si="3"/>
        <v>-2.5186690841527977E-2</v>
      </c>
      <c r="Q51" s="152">
        <f t="shared" si="7"/>
        <v>7.2341325405650012E-2</v>
      </c>
    </row>
    <row r="52" spans="1:17" ht="12.75" customHeight="1">
      <c r="A52" s="4" t="s">
        <v>91</v>
      </c>
      <c r="B52" s="5">
        <v>889030126.80000007</v>
      </c>
      <c r="C52" s="164">
        <v>131339010.85000001</v>
      </c>
      <c r="D52" s="164">
        <v>27184258.32</v>
      </c>
      <c r="E52" s="164">
        <v>46318374.57</v>
      </c>
      <c r="F52" s="164">
        <v>1150325.31</v>
      </c>
      <c r="G52" s="164">
        <v>19532435</v>
      </c>
      <c r="H52" s="164">
        <v>5306773.32</v>
      </c>
      <c r="I52" s="5">
        <f t="shared" si="4"/>
        <v>1119861304.1700001</v>
      </c>
      <c r="J52" s="5">
        <f t="shared" si="5"/>
        <v>1091655703.71648</v>
      </c>
      <c r="K52" s="5">
        <f>+'COEF Art 14 F I'!AH53</f>
        <v>1119946849.4521408</v>
      </c>
      <c r="L52" s="5">
        <f t="shared" si="0"/>
        <v>0</v>
      </c>
      <c r="M52" s="5">
        <f t="shared" si="1"/>
        <v>28291145.735660791</v>
      </c>
      <c r="N52" s="5">
        <f t="shared" si="6"/>
        <v>28291145.735660866</v>
      </c>
      <c r="O52" s="5">
        <f t="shared" si="2"/>
        <v>1091655703.71648</v>
      </c>
      <c r="P52" s="149">
        <f t="shared" si="3"/>
        <v>-2.5186690841527925E-2</v>
      </c>
      <c r="Q52" s="152">
        <f t="shared" si="7"/>
        <v>0.13978187701293959</v>
      </c>
    </row>
    <row r="53" spans="1:17" s="11" customFormat="1" ht="12.75" customHeight="1">
      <c r="A53" s="4" t="s">
        <v>92</v>
      </c>
      <c r="B53" s="5">
        <v>239562344.57999995</v>
      </c>
      <c r="C53" s="164">
        <v>35391243.140000008</v>
      </c>
      <c r="D53" s="164">
        <v>7325201.3199999984</v>
      </c>
      <c r="E53" s="164">
        <v>12481172.560000001</v>
      </c>
      <c r="F53" s="164">
        <v>309972.21000000002</v>
      </c>
      <c r="G53" s="164">
        <v>5263304.1199999992</v>
      </c>
      <c r="H53" s="164">
        <v>1429988.76</v>
      </c>
      <c r="I53" s="5">
        <f t="shared" si="4"/>
        <v>301763226.68999994</v>
      </c>
      <c r="J53" s="5">
        <f t="shared" si="5"/>
        <v>294162809.59201699</v>
      </c>
      <c r="K53" s="5">
        <f>+'COEF Art 14 F I'!AH54</f>
        <v>276582205.51469731</v>
      </c>
      <c r="L53" s="5">
        <f t="shared" si="0"/>
        <v>17580604.077319682</v>
      </c>
      <c r="M53" s="5">
        <f t="shared" si="1"/>
        <v>0</v>
      </c>
      <c r="N53" s="5">
        <f t="shared" si="6"/>
        <v>0</v>
      </c>
      <c r="O53" s="5">
        <f t="shared" si="2"/>
        <v>294162809.59201699</v>
      </c>
      <c r="P53" s="149">
        <f t="shared" si="3"/>
        <v>-2.5186690841527946E-2</v>
      </c>
      <c r="Q53" s="152">
        <f t="shared" si="7"/>
        <v>3.7666298570314838E-2</v>
      </c>
    </row>
    <row r="54" spans="1:17" s="11" customFormat="1" ht="12.75" customHeight="1">
      <c r="A54" s="4" t="s">
        <v>93</v>
      </c>
      <c r="B54" s="5">
        <v>76359741.650000021</v>
      </c>
      <c r="C54" s="164">
        <v>11280847.090000002</v>
      </c>
      <c r="D54" s="164">
        <v>2334884.8199999998</v>
      </c>
      <c r="E54" s="164">
        <v>3978334.3599999989</v>
      </c>
      <c r="F54" s="164">
        <v>98802.669999999984</v>
      </c>
      <c r="G54" s="164">
        <v>1677661.5900000003</v>
      </c>
      <c r="H54" s="164">
        <v>455804.40000000008</v>
      </c>
      <c r="I54" s="5">
        <f t="shared" si="4"/>
        <v>96186076.580000028</v>
      </c>
      <c r="J54" s="5">
        <f t="shared" si="5"/>
        <v>93763467.605920032</v>
      </c>
      <c r="K54" s="5">
        <f>+'COEF Art 14 F I'!AH55</f>
        <v>120777358.10440525</v>
      </c>
      <c r="L54" s="5">
        <f t="shared" si="0"/>
        <v>0</v>
      </c>
      <c r="M54" s="5">
        <f t="shared" si="1"/>
        <v>27013890.498485222</v>
      </c>
      <c r="N54" s="5">
        <f t="shared" si="6"/>
        <v>27013890.498485293</v>
      </c>
      <c r="O54" s="5">
        <f t="shared" si="2"/>
        <v>93763467.605919957</v>
      </c>
      <c r="P54" s="149">
        <f t="shared" si="3"/>
        <v>-2.5186690841528761E-2</v>
      </c>
      <c r="Q54" s="152">
        <f t="shared" si="7"/>
        <v>1.2006013849034398E-2</v>
      </c>
    </row>
    <row r="55" spans="1:17" ht="12.75" customHeight="1">
      <c r="A55" s="4" t="s">
        <v>94</v>
      </c>
      <c r="B55" s="5">
        <v>15342654.370000001</v>
      </c>
      <c r="C55" s="164">
        <v>2266615.0499999998</v>
      </c>
      <c r="D55" s="164">
        <v>469138.98000000004</v>
      </c>
      <c r="E55" s="164">
        <v>799350.69000000006</v>
      </c>
      <c r="F55" s="164">
        <v>19852.02</v>
      </c>
      <c r="G55" s="164">
        <v>337085.74999999994</v>
      </c>
      <c r="H55" s="164">
        <v>91582.920000000027</v>
      </c>
      <c r="I55" s="5">
        <f t="shared" si="4"/>
        <v>19326279.780000005</v>
      </c>
      <c r="J55" s="5">
        <f t="shared" si="5"/>
        <v>18839514.746064272</v>
      </c>
      <c r="K55" s="5">
        <f>+'COEF Art 14 F I'!AH56</f>
        <v>13787512.889546908</v>
      </c>
      <c r="L55" s="5">
        <f t="shared" si="0"/>
        <v>5052001.8565173633</v>
      </c>
      <c r="M55" s="5">
        <f t="shared" si="1"/>
        <v>0</v>
      </c>
      <c r="N55" s="5">
        <f t="shared" si="6"/>
        <v>0</v>
      </c>
      <c r="O55" s="5">
        <f t="shared" si="2"/>
        <v>18839514.746064272</v>
      </c>
      <c r="P55" s="149">
        <f t="shared" si="3"/>
        <v>-2.518669084152796E-2</v>
      </c>
      <c r="Q55" s="152">
        <f t="shared" si="7"/>
        <v>2.4123198589559689E-3</v>
      </c>
    </row>
    <row r="56" spans="1:17" ht="12.75" customHeight="1">
      <c r="A56" s="4" t="s">
        <v>95</v>
      </c>
      <c r="B56" s="5">
        <v>21137744.940000005</v>
      </c>
      <c r="C56" s="164">
        <v>3122740.67</v>
      </c>
      <c r="D56" s="164">
        <v>646337.98</v>
      </c>
      <c r="E56" s="164">
        <v>1101274.25</v>
      </c>
      <c r="F56" s="164">
        <v>27350.35</v>
      </c>
      <c r="G56" s="164">
        <v>464406.77999999997</v>
      </c>
      <c r="H56" s="164">
        <v>126174.84000000003</v>
      </c>
      <c r="I56" s="5">
        <f t="shared" si="4"/>
        <v>26626029.81000001</v>
      </c>
      <c r="J56" s="5">
        <f t="shared" si="5"/>
        <v>25955408.228838231</v>
      </c>
      <c r="K56" s="5">
        <f>+'COEF Art 14 F I'!AH57</f>
        <v>9420414.8203494418</v>
      </c>
      <c r="L56" s="5">
        <f t="shared" si="0"/>
        <v>16534993.40848879</v>
      </c>
      <c r="M56" s="5">
        <f t="shared" si="1"/>
        <v>0</v>
      </c>
      <c r="N56" s="5">
        <f t="shared" si="6"/>
        <v>0</v>
      </c>
      <c r="O56" s="5">
        <f t="shared" si="2"/>
        <v>25955408.228838231</v>
      </c>
      <c r="P56" s="149">
        <f t="shared" si="3"/>
        <v>-2.5186690841527987E-2</v>
      </c>
      <c r="Q56" s="152">
        <f t="shared" si="7"/>
        <v>3.3234798009230014E-3</v>
      </c>
    </row>
    <row r="57" spans="1:17" s="156" customFormat="1" ht="16.5" customHeight="1" thickBot="1">
      <c r="A57" s="6" t="s">
        <v>96</v>
      </c>
      <c r="B57" s="7">
        <f>SUM(B6:B56)</f>
        <v>6360124401.3299999</v>
      </c>
      <c r="C57" s="7">
        <f t="shared" ref="C57:I57" si="8">SUM(C6:C56)</f>
        <v>939599707.75999987</v>
      </c>
      <c r="D57" s="7">
        <f t="shared" si="8"/>
        <v>194476272.03999993</v>
      </c>
      <c r="E57" s="7">
        <f t="shared" si="8"/>
        <v>331361801.39999998</v>
      </c>
      <c r="F57" s="7">
        <f t="shared" si="8"/>
        <v>8229430.8999999994</v>
      </c>
      <c r="G57" s="7">
        <f t="shared" si="8"/>
        <v>139735103.19000003</v>
      </c>
      <c r="H57" s="7">
        <f t="shared" si="8"/>
        <v>37964673.400000006</v>
      </c>
      <c r="I57" s="7">
        <f t="shared" si="8"/>
        <v>8011491390.0199976</v>
      </c>
      <c r="J57" s="7">
        <f>SUM(J6:J56)</f>
        <v>7809708433.2000036</v>
      </c>
      <c r="K57" s="7">
        <f>SUM(K6:K56)</f>
        <v>7809708433.2000008</v>
      </c>
      <c r="L57" s="7">
        <f t="shared" ref="L57:O57" si="9">SUM(L6:L56)</f>
        <v>332182832.17457229</v>
      </c>
      <c r="M57" s="7">
        <f t="shared" si="9"/>
        <v>332182832.17457139</v>
      </c>
      <c r="N57" s="7">
        <f t="shared" si="9"/>
        <v>332182832.17457229</v>
      </c>
      <c r="O57" s="7">
        <f t="shared" si="9"/>
        <v>7809708433.2000027</v>
      </c>
      <c r="P57" s="150">
        <f t="shared" si="3"/>
        <v>-2.5186690841527727E-2</v>
      </c>
      <c r="Q57" s="153">
        <f>SUM(Q6:Q56)</f>
        <v>0.99999999999999978</v>
      </c>
    </row>
    <row r="58" spans="1:17" ht="15" thickTop="1">
      <c r="K58" s="157"/>
      <c r="L58" s="158"/>
      <c r="M58" s="158"/>
      <c r="N58" s="158"/>
      <c r="O58" s="159"/>
      <c r="P58" s="158"/>
      <c r="Q58" s="160"/>
    </row>
    <row r="59" spans="1:17">
      <c r="A59" s="259">
        <v>3.15E-2</v>
      </c>
      <c r="B59" s="92"/>
      <c r="C59" s="92"/>
      <c r="D59" s="92"/>
      <c r="E59" s="92"/>
      <c r="F59" s="92"/>
      <c r="G59" s="92"/>
      <c r="H59" s="92"/>
      <c r="I59" s="92" t="s">
        <v>177</v>
      </c>
      <c r="K59" s="161"/>
    </row>
    <row r="60" spans="1:17">
      <c r="A60" s="259">
        <f>+(K57-I57)/I57</f>
        <v>-2.5186690841527967E-2</v>
      </c>
      <c r="B60" s="92"/>
      <c r="C60" s="92"/>
      <c r="D60" s="92"/>
      <c r="E60" s="92"/>
      <c r="F60" s="92"/>
      <c r="G60" s="92"/>
      <c r="H60" s="92"/>
      <c r="I60" s="92" t="s">
        <v>178</v>
      </c>
      <c r="K60" s="162"/>
    </row>
    <row r="64" spans="1:17">
      <c r="N64" s="163"/>
    </row>
  </sheetData>
  <mergeCells count="16">
    <mergeCell ref="E3:E4"/>
    <mergeCell ref="F3:F4"/>
    <mergeCell ref="G3:G4"/>
    <mergeCell ref="H3:H4"/>
    <mergeCell ref="A1:Q1"/>
    <mergeCell ref="K3:K4"/>
    <mergeCell ref="A3:A4"/>
    <mergeCell ref="I3:I4"/>
    <mergeCell ref="Q3:Q4"/>
    <mergeCell ref="P3:P4"/>
    <mergeCell ref="O3:O4"/>
    <mergeCell ref="L3:L4"/>
    <mergeCell ref="M3:M4"/>
    <mergeCell ref="B3:B4"/>
    <mergeCell ref="C3:C4"/>
    <mergeCell ref="D3:D4"/>
  </mergeCells>
  <conditionalFormatting sqref="P6:P56">
    <cfRule type="cellIs" dxfId="0" priority="1" operator="lessThan">
      <formula>#REF!-0.00001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Normal="100" workbookViewId="0">
      <selection activeCell="J11" sqref="J11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75" customWidth="1"/>
    <col min="4" max="4" width="17.28515625" style="14" customWidth="1"/>
    <col min="5" max="5" width="15.7109375" style="75" customWidth="1"/>
    <col min="6" max="6" width="2" style="11" customWidth="1"/>
    <col min="7" max="7" width="16.140625" style="75" customWidth="1"/>
    <col min="8" max="8" width="2" style="75" customWidth="1"/>
    <col min="9" max="11" width="18.42578125" style="14" customWidth="1"/>
    <col min="12" max="12" width="15.7109375" style="14" customWidth="1"/>
    <col min="13" max="13" width="15.7109375" style="75" customWidth="1"/>
    <col min="14" max="16384" width="9.7109375" style="14"/>
  </cols>
  <sheetData>
    <row r="1" spans="1:13" s="90" customFormat="1" ht="51" customHeight="1">
      <c r="A1" s="295" t="s">
        <v>179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3" spans="1:13" ht="37.5" customHeight="1" thickBot="1">
      <c r="B3" s="297" t="s">
        <v>180</v>
      </c>
      <c r="C3" s="298"/>
      <c r="D3" s="299" t="s">
        <v>181</v>
      </c>
      <c r="E3" s="299"/>
      <c r="G3" s="106" t="s">
        <v>182</v>
      </c>
      <c r="H3" s="106"/>
    </row>
    <row r="4" spans="1:13" ht="39" customHeight="1" thickBot="1">
      <c r="A4" s="8" t="s">
        <v>34</v>
      </c>
      <c r="B4" s="8" t="s">
        <v>183</v>
      </c>
      <c r="C4" s="107" t="s">
        <v>184</v>
      </c>
      <c r="D4" s="80" t="s">
        <v>185</v>
      </c>
      <c r="E4" s="107" t="s">
        <v>186</v>
      </c>
      <c r="G4" s="107" t="s">
        <v>187</v>
      </c>
      <c r="H4" s="221"/>
      <c r="I4" s="261" t="s">
        <v>188</v>
      </c>
      <c r="J4" s="261" t="s">
        <v>189</v>
      </c>
      <c r="K4" s="261" t="s">
        <v>190</v>
      </c>
      <c r="L4" s="261" t="s">
        <v>191</v>
      </c>
      <c r="M4" s="262" t="s">
        <v>130</v>
      </c>
    </row>
    <row r="5" spans="1:13" s="17" customFormat="1" ht="11.25">
      <c r="A5" s="81"/>
      <c r="B5" s="93" t="s">
        <v>136</v>
      </c>
      <c r="C5" s="105" t="s">
        <v>137</v>
      </c>
      <c r="D5" s="82" t="s">
        <v>192</v>
      </c>
      <c r="E5" s="105" t="s">
        <v>193</v>
      </c>
      <c r="F5" s="16"/>
      <c r="G5" s="96" t="s">
        <v>158</v>
      </c>
      <c r="H5" s="96"/>
      <c r="I5" s="115">
        <f>+L5*0.35</f>
        <v>79935213.399999991</v>
      </c>
      <c r="J5" s="115">
        <f>+L5*0.35</f>
        <v>79935213.399999991</v>
      </c>
      <c r="K5" s="115">
        <f>+L5*0.3</f>
        <v>68515897.200000003</v>
      </c>
      <c r="L5" s="115">
        <f>+'PART PEF2021'!R11</f>
        <v>228386324</v>
      </c>
      <c r="M5" s="116"/>
    </row>
    <row r="6" spans="1:13" s="25" customFormat="1" ht="23.25" customHeight="1" thickBot="1">
      <c r="A6" s="18"/>
      <c r="B6" s="18"/>
      <c r="C6" s="83"/>
      <c r="D6" s="84"/>
      <c r="E6" s="85"/>
      <c r="F6" s="19"/>
      <c r="G6" s="21"/>
      <c r="H6" s="21"/>
      <c r="I6" s="115" t="s">
        <v>194</v>
      </c>
      <c r="J6" s="115" t="s">
        <v>195</v>
      </c>
      <c r="K6" s="115" t="s">
        <v>196</v>
      </c>
      <c r="L6" s="117" t="s">
        <v>197</v>
      </c>
      <c r="M6" s="118" t="s">
        <v>198</v>
      </c>
    </row>
    <row r="7" spans="1:13" ht="13.5" thickTop="1">
      <c r="A7" s="2" t="s">
        <v>45</v>
      </c>
      <c r="B7" s="119">
        <v>2974</v>
      </c>
      <c r="C7" s="108">
        <f t="shared" ref="C7:C57" si="0">+B7/$B$58</f>
        <v>5.141377508841821E-4</v>
      </c>
      <c r="D7" s="86">
        <v>2918</v>
      </c>
      <c r="E7" s="108">
        <f t="shared" ref="E7:E58" si="1">(D7/D$58)</f>
        <v>5.2012841717507521E-4</v>
      </c>
      <c r="G7" s="120">
        <f>+'COEF Art 14 F I'!AI7</f>
        <v>4.446065185500478E-4</v>
      </c>
      <c r="H7" s="222"/>
      <c r="I7" s="121">
        <f t="shared" ref="I7:I38" si="2">+C7*I$5</f>
        <v>41097.710833923127</v>
      </c>
      <c r="J7" s="122">
        <f t="shared" ref="J7:J38" si="3">+E7*J$5</f>
        <v>41576.576022293855</v>
      </c>
      <c r="K7" s="122">
        <f t="shared" ref="K7:K38" si="4">+G7*K$5</f>
        <v>30462.614519424969</v>
      </c>
      <c r="L7" s="122">
        <f>SUM(I7:K7)</f>
        <v>113136.90137564196</v>
      </c>
      <c r="M7" s="123">
        <f>+L7/L$58</f>
        <v>4.9537511438575439E-4</v>
      </c>
    </row>
    <row r="8" spans="1:13">
      <c r="A8" s="4" t="s">
        <v>46</v>
      </c>
      <c r="B8" s="124">
        <v>3382</v>
      </c>
      <c r="C8" s="109">
        <f t="shared" si="0"/>
        <v>5.8467177992276519E-4</v>
      </c>
      <c r="D8" s="87">
        <v>2599</v>
      </c>
      <c r="E8" s="109">
        <f t="shared" si="1"/>
        <v>4.6326722283688166E-4</v>
      </c>
      <c r="G8" s="125">
        <f>+'COEF Art 14 F I'!AI8</f>
        <v>2.4858685997375535E-3</v>
      </c>
      <c r="H8" s="222"/>
      <c r="I8" s="126">
        <f t="shared" si="2"/>
        <v>46735.863497084065</v>
      </c>
      <c r="J8" s="127">
        <f t="shared" si="3"/>
        <v>37031.364318691485</v>
      </c>
      <c r="K8" s="127">
        <f t="shared" si="4"/>
        <v>170321.51743232616</v>
      </c>
      <c r="L8" s="127">
        <f t="shared" ref="L8:L57" si="5">SUM(I8:K8)</f>
        <v>254088.74524810171</v>
      </c>
      <c r="M8" s="128">
        <f t="shared" ref="M8:M57" si="6">+L8/L$58</f>
        <v>1.1125392308871426E-3</v>
      </c>
    </row>
    <row r="9" spans="1:13">
      <c r="A9" s="4" t="s">
        <v>47</v>
      </c>
      <c r="B9" s="124">
        <v>1407</v>
      </c>
      <c r="C9" s="109">
        <f t="shared" si="0"/>
        <v>2.4323867366981983E-4</v>
      </c>
      <c r="D9" s="87">
        <v>1506</v>
      </c>
      <c r="E9" s="109">
        <f t="shared" si="1"/>
        <v>2.6844187671887026E-4</v>
      </c>
      <c r="G9" s="125">
        <f>+'COEF Art 14 F I'!AI9</f>
        <v>2.658118444607541E-3</v>
      </c>
      <c r="H9" s="222"/>
      <c r="I9" s="126">
        <f t="shared" si="2"/>
        <v>19443.335286930007</v>
      </c>
      <c r="J9" s="127">
        <f t="shared" si="3"/>
        <v>21457.958701019383</v>
      </c>
      <c r="K9" s="127">
        <f t="shared" si="4"/>
        <v>182123.37009615419</v>
      </c>
      <c r="L9" s="127">
        <f t="shared" si="5"/>
        <v>223024.6640841036</v>
      </c>
      <c r="M9" s="128">
        <f t="shared" si="6"/>
        <v>9.7652372601830404E-4</v>
      </c>
    </row>
    <row r="10" spans="1:13" ht="13.5" customHeight="1">
      <c r="A10" s="4" t="s">
        <v>48</v>
      </c>
      <c r="B10" s="124">
        <v>35289</v>
      </c>
      <c r="C10" s="109">
        <f t="shared" si="0"/>
        <v>6.1006748792709828E-3</v>
      </c>
      <c r="D10" s="87">
        <v>38297</v>
      </c>
      <c r="E10" s="109">
        <f t="shared" si="1"/>
        <v>6.8263735409711639E-3</v>
      </c>
      <c r="G10" s="125">
        <f>+'COEF Art 14 F I'!AI10</f>
        <v>7.9811040953913729E-3</v>
      </c>
      <c r="H10" s="222"/>
      <c r="I10" s="126">
        <f t="shared" si="2"/>
        <v>487658.74835854518</v>
      </c>
      <c r="J10" s="127">
        <f t="shared" si="3"/>
        <v>545667.62574564351</v>
      </c>
      <c r="K10" s="127">
        <f t="shared" si="4"/>
        <v>546832.50774233427</v>
      </c>
      <c r="L10" s="127">
        <f t="shared" si="5"/>
        <v>1580158.8818465229</v>
      </c>
      <c r="M10" s="128">
        <f t="shared" si="6"/>
        <v>6.9187981757021632E-3</v>
      </c>
    </row>
    <row r="11" spans="1:13">
      <c r="A11" s="4" t="s">
        <v>49</v>
      </c>
      <c r="B11" s="124">
        <v>18030</v>
      </c>
      <c r="C11" s="109">
        <f t="shared" si="0"/>
        <v>3.1169817244256232E-3</v>
      </c>
      <c r="D11" s="87">
        <v>19976</v>
      </c>
      <c r="E11" s="109">
        <f t="shared" si="1"/>
        <v>3.5606872040744699E-3</v>
      </c>
      <c r="G11" s="125">
        <f>+'COEF Art 14 F I'!AI11</f>
        <v>7.1448486758316637E-3</v>
      </c>
      <c r="H11" s="222"/>
      <c r="I11" s="126">
        <f t="shared" si="2"/>
        <v>249156.59930586215</v>
      </c>
      <c r="J11" s="127">
        <f t="shared" si="3"/>
        <v>284624.29150834208</v>
      </c>
      <c r="K11" s="127">
        <f t="shared" si="4"/>
        <v>489535.71738283843</v>
      </c>
      <c r="L11" s="127">
        <f t="shared" si="5"/>
        <v>1023316.6081970427</v>
      </c>
      <c r="M11" s="128">
        <f t="shared" si="6"/>
        <v>4.4806387277245329E-3</v>
      </c>
    </row>
    <row r="12" spans="1:13">
      <c r="A12" s="4" t="s">
        <v>50</v>
      </c>
      <c r="B12" s="124">
        <v>656464</v>
      </c>
      <c r="C12" s="109">
        <f t="shared" si="0"/>
        <v>0.11348786970290306</v>
      </c>
      <c r="D12" s="87">
        <v>665734</v>
      </c>
      <c r="E12" s="109">
        <f t="shared" si="1"/>
        <v>0.11866592586690594</v>
      </c>
      <c r="G12" s="125">
        <f>+'COEF Art 14 F I'!AI12</f>
        <v>7.1946639273431853E-2</v>
      </c>
      <c r="H12" s="222"/>
      <c r="I12" s="126">
        <f t="shared" si="2"/>
        <v>9071677.0830129497</v>
      </c>
      <c r="J12" s="127">
        <f t="shared" si="3"/>
        <v>9485586.1074797045</v>
      </c>
      <c r="K12" s="127">
        <f t="shared" si="4"/>
        <v>4929488.5403439393</v>
      </c>
      <c r="L12" s="127">
        <f t="shared" si="5"/>
        <v>23486751.730836593</v>
      </c>
      <c r="M12" s="128">
        <f t="shared" si="6"/>
        <v>0.10283782023146271</v>
      </c>
    </row>
    <row r="13" spans="1:13">
      <c r="A13" s="4" t="s">
        <v>51</v>
      </c>
      <c r="B13" s="124">
        <v>14992</v>
      </c>
      <c r="C13" s="109">
        <f t="shared" si="0"/>
        <v>2.5917798121236242E-3</v>
      </c>
      <c r="D13" s="87">
        <v>17800</v>
      </c>
      <c r="E13" s="109">
        <f t="shared" si="1"/>
        <v>3.1728189944195818E-3</v>
      </c>
      <c r="G13" s="125">
        <f>+'COEF Art 14 F I'!AI13</f>
        <v>1.0408240332936771E-2</v>
      </c>
      <c r="H13" s="222"/>
      <c r="I13" s="126">
        <f t="shared" si="2"/>
        <v>207174.47236791378</v>
      </c>
      <c r="J13" s="127">
        <f t="shared" si="3"/>
        <v>253619.96339850264</v>
      </c>
      <c r="K13" s="127">
        <f t="shared" si="4"/>
        <v>713129.92468438961</v>
      </c>
      <c r="L13" s="127">
        <f t="shared" si="5"/>
        <v>1173924.3604508061</v>
      </c>
      <c r="M13" s="128">
        <f t="shared" si="6"/>
        <v>5.1400816821711541E-3</v>
      </c>
    </row>
    <row r="14" spans="1:13">
      <c r="A14" s="4" t="s">
        <v>52</v>
      </c>
      <c r="B14" s="124">
        <v>3661</v>
      </c>
      <c r="C14" s="109">
        <f t="shared" si="0"/>
        <v>6.329046086035611E-4</v>
      </c>
      <c r="D14" s="87">
        <v>4384</v>
      </c>
      <c r="E14" s="109">
        <f t="shared" si="1"/>
        <v>7.8144036356940711E-4</v>
      </c>
      <c r="G14" s="125">
        <f>+'COEF Art 14 F I'!AI14</f>
        <v>1.382666862996159E-3</v>
      </c>
      <c r="H14" s="222"/>
      <c r="I14" s="126">
        <f t="shared" si="2"/>
        <v>50591.364950569128</v>
      </c>
      <c r="J14" s="127">
        <f t="shared" si="3"/>
        <v>62464.602221294139</v>
      </c>
      <c r="K14" s="127">
        <f t="shared" si="4"/>
        <v>94734.660646891323</v>
      </c>
      <c r="L14" s="127">
        <f t="shared" si="5"/>
        <v>207790.62781875458</v>
      </c>
      <c r="M14" s="128">
        <f t="shared" si="6"/>
        <v>9.0982079915938666E-4</v>
      </c>
    </row>
    <row r="15" spans="1:13">
      <c r="A15" s="4" t="s">
        <v>53</v>
      </c>
      <c r="B15" s="124">
        <v>122337</v>
      </c>
      <c r="C15" s="109">
        <f t="shared" si="0"/>
        <v>2.1149317427679282E-2</v>
      </c>
      <c r="D15" s="87">
        <v>105145</v>
      </c>
      <c r="E15" s="109">
        <f t="shared" si="1"/>
        <v>1.8741913099339716E-2</v>
      </c>
      <c r="G15" s="125">
        <f>+'COEF Art 14 F I'!AI15</f>
        <v>1.2855884173065752E-2</v>
      </c>
      <c r="H15" s="222"/>
      <c r="I15" s="126">
        <f t="shared" si="2"/>
        <v>1690575.2018458822</v>
      </c>
      <c r="J15" s="127">
        <f t="shared" si="3"/>
        <v>1498138.8231199754</v>
      </c>
      <c r="K15" s="127">
        <f t="shared" si="4"/>
        <v>880832.43841688009</v>
      </c>
      <c r="L15" s="127">
        <f t="shared" si="5"/>
        <v>4069546.4633827377</v>
      </c>
      <c r="M15" s="128">
        <f t="shared" si="6"/>
        <v>1.7818695936376375E-2</v>
      </c>
    </row>
    <row r="16" spans="1:13">
      <c r="A16" s="4" t="s">
        <v>54</v>
      </c>
      <c r="B16" s="124">
        <v>104478</v>
      </c>
      <c r="C16" s="109">
        <f t="shared" si="0"/>
        <v>1.8061897759541888E-2</v>
      </c>
      <c r="D16" s="87">
        <v>47326</v>
      </c>
      <c r="E16" s="109">
        <f t="shared" si="1"/>
        <v>8.4357770634775914E-3</v>
      </c>
      <c r="G16" s="125">
        <f>+'COEF Art 14 F I'!AI16</f>
        <v>5.4140246035261673E-3</v>
      </c>
      <c r="H16" s="222"/>
      <c r="I16" s="126">
        <f t="shared" si="2"/>
        <v>1443781.6518179625</v>
      </c>
      <c r="J16" s="127">
        <f t="shared" si="3"/>
        <v>674315.6397639066</v>
      </c>
      <c r="K16" s="127">
        <f t="shared" si="4"/>
        <v>370946.75317346968</v>
      </c>
      <c r="L16" s="127">
        <f t="shared" si="5"/>
        <v>2489044.0447553387</v>
      </c>
      <c r="M16" s="128">
        <f t="shared" si="6"/>
        <v>1.0898393569114668E-2</v>
      </c>
    </row>
    <row r="17" spans="1:13">
      <c r="A17" s="4" t="s">
        <v>55</v>
      </c>
      <c r="B17" s="124">
        <v>7340</v>
      </c>
      <c r="C17" s="109">
        <f t="shared" si="0"/>
        <v>1.2689210126058832E-3</v>
      </c>
      <c r="D17" s="87">
        <v>8324</v>
      </c>
      <c r="E17" s="109">
        <f t="shared" si="1"/>
        <v>1.4837385005364381E-3</v>
      </c>
      <c r="G17" s="125">
        <f>+'COEF Art 14 F I'!AI17</f>
        <v>3.0403797610638484E-3</v>
      </c>
      <c r="H17" s="222"/>
      <c r="I17" s="126">
        <f t="shared" si="2"/>
        <v>101431.47193039536</v>
      </c>
      <c r="J17" s="127">
        <f t="shared" si="3"/>
        <v>118602.95367017618</v>
      </c>
      <c r="K17" s="127">
        <f t="shared" si="4"/>
        <v>208314.34715801119</v>
      </c>
      <c r="L17" s="127">
        <f t="shared" si="5"/>
        <v>428348.77275858272</v>
      </c>
      <c r="M17" s="128">
        <f t="shared" si="6"/>
        <v>1.875544757918967E-3</v>
      </c>
    </row>
    <row r="18" spans="1:13">
      <c r="A18" s="4" t="s">
        <v>56</v>
      </c>
      <c r="B18" s="124">
        <v>9930</v>
      </c>
      <c r="C18" s="109">
        <f t="shared" si="0"/>
        <v>1.7166737949831634E-3</v>
      </c>
      <c r="D18" s="87">
        <v>11962</v>
      </c>
      <c r="E18" s="109">
        <f t="shared" si="1"/>
        <v>2.1322056635532044E-3</v>
      </c>
      <c r="G18" s="125">
        <f>+'COEF Art 14 F I'!AI18</f>
        <v>7.020252414609165E-3</v>
      </c>
      <c r="H18" s="222"/>
      <c r="I18" s="126">
        <f t="shared" si="2"/>
        <v>137222.686140167</v>
      </c>
      <c r="J18" s="127">
        <f t="shared" si="3"/>
        <v>170438.31472881397</v>
      </c>
      <c r="K18" s="127">
        <f t="shared" si="4"/>
        <v>480998.89275741333</v>
      </c>
      <c r="L18" s="127">
        <f t="shared" si="5"/>
        <v>788659.89362639433</v>
      </c>
      <c r="M18" s="128">
        <f t="shared" si="6"/>
        <v>3.4531835348704785E-3</v>
      </c>
    </row>
    <row r="19" spans="1:13">
      <c r="A19" s="4" t="s">
        <v>57</v>
      </c>
      <c r="B19" s="124">
        <v>68747</v>
      </c>
      <c r="C19" s="109">
        <f t="shared" si="0"/>
        <v>1.1884811015479108E-2</v>
      </c>
      <c r="D19" s="87">
        <v>50563</v>
      </c>
      <c r="E19" s="109">
        <f t="shared" si="1"/>
        <v>9.0127666749908603E-3</v>
      </c>
      <c r="G19" s="125">
        <f>+'COEF Art 14 F I'!AI19</f>
        <v>4.7736058680696693E-3</v>
      </c>
      <c r="H19" s="222"/>
      <c r="I19" s="126">
        <f t="shared" si="2"/>
        <v>950014.90474099305</v>
      </c>
      <c r="J19" s="127">
        <f t="shared" si="3"/>
        <v>720437.42748980282</v>
      </c>
      <c r="K19" s="127">
        <f t="shared" si="4"/>
        <v>327067.88892997825</v>
      </c>
      <c r="L19" s="127">
        <f t="shared" si="5"/>
        <v>1997520.2211607741</v>
      </c>
      <c r="M19" s="128">
        <f t="shared" si="6"/>
        <v>8.7462339520853905E-3</v>
      </c>
    </row>
    <row r="20" spans="1:13">
      <c r="A20" s="4" t="s">
        <v>58</v>
      </c>
      <c r="B20" s="124">
        <v>36088</v>
      </c>
      <c r="C20" s="109">
        <f t="shared" si="0"/>
        <v>6.2388040194715413E-3</v>
      </c>
      <c r="D20" s="87">
        <v>37859</v>
      </c>
      <c r="E20" s="109">
        <f t="shared" si="1"/>
        <v>6.7483008039174687E-3</v>
      </c>
      <c r="G20" s="125">
        <f>+'COEF Art 14 F I'!AI20</f>
        <v>2.3489418858034926E-2</v>
      </c>
      <c r="H20" s="222"/>
      <c r="I20" s="126">
        <f t="shared" si="2"/>
        <v>498700.13065723534</v>
      </c>
      <c r="J20" s="127">
        <f t="shared" si="3"/>
        <v>539426.86484853434</v>
      </c>
      <c r="K20" s="127">
        <f t="shared" si="4"/>
        <v>1609398.6077648625</v>
      </c>
      <c r="L20" s="127">
        <f t="shared" si="5"/>
        <v>2647525.6032706322</v>
      </c>
      <c r="M20" s="128">
        <f t="shared" si="6"/>
        <v>1.1592312345596633E-2</v>
      </c>
    </row>
    <row r="21" spans="1:13">
      <c r="A21" s="4" t="s">
        <v>59</v>
      </c>
      <c r="B21" s="124">
        <v>1360</v>
      </c>
      <c r="C21" s="109">
        <f t="shared" si="0"/>
        <v>2.351134301286105E-4</v>
      </c>
      <c r="D21" s="87">
        <v>1845</v>
      </c>
      <c r="E21" s="109">
        <f t="shared" si="1"/>
        <v>3.2886803621933304E-4</v>
      </c>
      <c r="G21" s="125">
        <f>+'COEF Art 14 F I'!AI21</f>
        <v>3.0004402401976262E-3</v>
      </c>
      <c r="H21" s="222"/>
      <c r="I21" s="126">
        <f t="shared" si="2"/>
        <v>18793.842210536466</v>
      </c>
      <c r="J21" s="127">
        <f t="shared" si="3"/>
        <v>26288.136655631311</v>
      </c>
      <c r="K21" s="127">
        <f t="shared" si="4"/>
        <v>205577.85505212386</v>
      </c>
      <c r="L21" s="127">
        <f t="shared" si="5"/>
        <v>250659.83391829164</v>
      </c>
      <c r="M21" s="128">
        <f t="shared" si="6"/>
        <v>1.0975255852810682E-3</v>
      </c>
    </row>
    <row r="22" spans="1:13">
      <c r="A22" s="4" t="s">
        <v>60</v>
      </c>
      <c r="B22" s="124">
        <v>3256</v>
      </c>
      <c r="C22" s="109">
        <f t="shared" si="0"/>
        <v>5.6288921213143808E-4</v>
      </c>
      <c r="D22" s="87">
        <v>3294</v>
      </c>
      <c r="E22" s="109">
        <f t="shared" si="1"/>
        <v>5.8714976222573611E-4</v>
      </c>
      <c r="G22" s="125">
        <f>+'COEF Art 14 F I'!AI22</f>
        <v>1.1557197784943019E-3</v>
      </c>
      <c r="H22" s="222"/>
      <c r="I22" s="126">
        <f t="shared" si="2"/>
        <v>44994.669292284365</v>
      </c>
      <c r="J22" s="127">
        <f t="shared" si="3"/>
        <v>46933.941541273467</v>
      </c>
      <c r="K22" s="127">
        <f t="shared" si="4"/>
        <v>79185.177535322364</v>
      </c>
      <c r="L22" s="127">
        <f t="shared" si="5"/>
        <v>171113.7883688802</v>
      </c>
      <c r="M22" s="128">
        <f t="shared" si="6"/>
        <v>7.4922957457330161E-4</v>
      </c>
    </row>
    <row r="23" spans="1:13">
      <c r="A23" s="4" t="s">
        <v>61</v>
      </c>
      <c r="B23" s="124">
        <v>40903</v>
      </c>
      <c r="C23" s="109">
        <f t="shared" si="0"/>
        <v>7.0712092886401146E-3</v>
      </c>
      <c r="D23" s="87">
        <v>44989</v>
      </c>
      <c r="E23" s="109">
        <f t="shared" si="1"/>
        <v>8.0192108842664367E-3</v>
      </c>
      <c r="G23" s="125">
        <f>+'COEF Art 14 F I'!AI23</f>
        <v>1.7338474232222012E-2</v>
      </c>
      <c r="H23" s="222"/>
      <c r="I23" s="126">
        <f t="shared" si="2"/>
        <v>565238.62348350964</v>
      </c>
      <c r="J23" s="127">
        <f t="shared" si="3"/>
        <v>641017.33333344024</v>
      </c>
      <c r="K23" s="127">
        <f t="shared" si="4"/>
        <v>1187961.1180997724</v>
      </c>
      <c r="L23" s="127">
        <f t="shared" si="5"/>
        <v>2394217.0749167223</v>
      </c>
      <c r="M23" s="128">
        <f t="shared" si="6"/>
        <v>1.0483189330183898E-2</v>
      </c>
    </row>
    <row r="24" spans="1:13">
      <c r="A24" s="4" t="s">
        <v>62</v>
      </c>
      <c r="B24" s="124">
        <v>397205</v>
      </c>
      <c r="C24" s="109">
        <f t="shared" si="0"/>
        <v>6.8667816186937305E-2</v>
      </c>
      <c r="D24" s="87">
        <v>300745</v>
      </c>
      <c r="E24" s="109">
        <f t="shared" si="1"/>
        <v>5.3607272386332422E-2</v>
      </c>
      <c r="G24" s="125">
        <f>+'COEF Art 14 F I'!AI24</f>
        <v>2.8532084707318977E-2</v>
      </c>
      <c r="H24" s="222"/>
      <c r="I24" s="126">
        <f t="shared" si="2"/>
        <v>5488976.540614807</v>
      </c>
      <c r="J24" s="127">
        <f t="shared" si="3"/>
        <v>4285108.7579934085</v>
      </c>
      <c r="K24" s="127">
        <f t="shared" si="4"/>
        <v>1954901.3827083593</v>
      </c>
      <c r="L24" s="127">
        <f t="shared" si="5"/>
        <v>11728986.681316575</v>
      </c>
      <c r="M24" s="128">
        <f t="shared" si="6"/>
        <v>5.1355906412840102E-2</v>
      </c>
    </row>
    <row r="25" spans="1:13">
      <c r="A25" s="4" t="s">
        <v>63</v>
      </c>
      <c r="B25" s="124">
        <v>5506</v>
      </c>
      <c r="C25" s="109">
        <f t="shared" si="0"/>
        <v>9.5186363697656574E-4</v>
      </c>
      <c r="D25" s="87">
        <v>6127</v>
      </c>
      <c r="E25" s="109">
        <f t="shared" si="1"/>
        <v>1.0921270774611673E-3</v>
      </c>
      <c r="G25" s="125">
        <f>+'COEF Art 14 F I'!AI25</f>
        <v>2.6526642446726687E-3</v>
      </c>
      <c r="H25" s="222"/>
      <c r="I25" s="126">
        <f t="shared" si="2"/>
        <v>76087.422949421903</v>
      </c>
      <c r="J25" s="127">
        <f t="shared" si="3"/>
        <v>87299.410996776729</v>
      </c>
      <c r="K25" s="127">
        <f t="shared" si="4"/>
        <v>181749.67069410824</v>
      </c>
      <c r="L25" s="127">
        <f t="shared" si="5"/>
        <v>345136.50464030687</v>
      </c>
      <c r="M25" s="128">
        <f t="shared" si="6"/>
        <v>1.5111960234550073E-3</v>
      </c>
    </row>
    <row r="26" spans="1:13">
      <c r="A26" s="4" t="s">
        <v>64</v>
      </c>
      <c r="B26" s="124">
        <v>481213</v>
      </c>
      <c r="C26" s="109">
        <f t="shared" si="0"/>
        <v>8.3190911067999293E-2</v>
      </c>
      <c r="D26" s="87">
        <v>466325</v>
      </c>
      <c r="E26" s="109">
        <f t="shared" si="1"/>
        <v>8.3121618964759073E-2</v>
      </c>
      <c r="G26" s="125">
        <f>+'COEF Art 14 F I'!AI26</f>
        <v>4.7883442958925534E-2</v>
      </c>
      <c r="H26" s="222"/>
      <c r="I26" s="126">
        <f t="shared" si="2"/>
        <v>6649883.2291609449</v>
      </c>
      <c r="J26" s="127">
        <f t="shared" si="3"/>
        <v>6644344.3501015026</v>
      </c>
      <c r="K26" s="127">
        <f t="shared" si="4"/>
        <v>3280777.0553558059</v>
      </c>
      <c r="L26" s="127">
        <f t="shared" si="5"/>
        <v>16575004.634618253</v>
      </c>
      <c r="M26" s="128">
        <f t="shared" si="6"/>
        <v>7.2574418399143081E-2</v>
      </c>
    </row>
    <row r="27" spans="1:13">
      <c r="A27" s="4" t="s">
        <v>65</v>
      </c>
      <c r="B27" s="124">
        <v>14109</v>
      </c>
      <c r="C27" s="109">
        <f t="shared" si="0"/>
        <v>2.4391289600621804E-3</v>
      </c>
      <c r="D27" s="87">
        <v>16283</v>
      </c>
      <c r="E27" s="109">
        <f t="shared" si="1"/>
        <v>2.9024163868614635E-3</v>
      </c>
      <c r="G27" s="125">
        <f>+'COEF Art 14 F I'!AI27</f>
        <v>6.3924226124001029E-3</v>
      </c>
      <c r="H27" s="222"/>
      <c r="I27" s="126">
        <f t="shared" si="2"/>
        <v>194972.29393269046</v>
      </c>
      <c r="J27" s="127">
        <f t="shared" si="3"/>
        <v>232005.27325942801</v>
      </c>
      <c r="K27" s="127">
        <f t="shared" si="4"/>
        <v>437982.57057016093</v>
      </c>
      <c r="L27" s="127">
        <f t="shared" si="5"/>
        <v>864960.13776227948</v>
      </c>
      <c r="M27" s="128">
        <f t="shared" si="6"/>
        <v>3.7872676551433072E-3</v>
      </c>
    </row>
    <row r="28" spans="1:13">
      <c r="A28" s="4" t="s">
        <v>66</v>
      </c>
      <c r="B28" s="124">
        <v>1808</v>
      </c>
      <c r="C28" s="109">
        <f t="shared" si="0"/>
        <v>3.1256256005332924E-4</v>
      </c>
      <c r="D28" s="87">
        <v>1194</v>
      </c>
      <c r="E28" s="109">
        <f t="shared" si="1"/>
        <v>2.1282842018747081E-4</v>
      </c>
      <c r="G28" s="125">
        <f>+'COEF Art 14 F I'!AI28</f>
        <v>5.7370561846084003E-4</v>
      </c>
      <c r="H28" s="222"/>
      <c r="I28" s="126">
        <f t="shared" si="2"/>
        <v>24984.754938713184</v>
      </c>
      <c r="J28" s="127">
        <f t="shared" si="3"/>
        <v>17012.485185270347</v>
      </c>
      <c r="K28" s="127">
        <f t="shared" si="4"/>
        <v>39307.955177525342</v>
      </c>
      <c r="L28" s="127">
        <f t="shared" si="5"/>
        <v>81305.19530150888</v>
      </c>
      <c r="M28" s="128">
        <f t="shared" si="6"/>
        <v>3.5599852862253209E-4</v>
      </c>
    </row>
    <row r="29" spans="1:13">
      <c r="A29" s="4" t="s">
        <v>67</v>
      </c>
      <c r="B29" s="124">
        <v>6282</v>
      </c>
      <c r="C29" s="109">
        <f t="shared" si="0"/>
        <v>1.0860165941675964E-3</v>
      </c>
      <c r="D29" s="87">
        <v>6604</v>
      </c>
      <c r="E29" s="109">
        <f t="shared" si="1"/>
        <v>1.1771514965812876E-3</v>
      </c>
      <c r="G29" s="125">
        <f>+'COEF Art 14 F I'!AI29</f>
        <v>5.1818441231317579E-3</v>
      </c>
      <c r="H29" s="222"/>
      <c r="I29" s="126">
        <f t="shared" si="2"/>
        <v>86810.96821072801</v>
      </c>
      <c r="J29" s="127">
        <f t="shared" si="3"/>
        <v>94095.856083354578</v>
      </c>
      <c r="K29" s="127">
        <f t="shared" si="4"/>
        <v>355038.69924691971</v>
      </c>
      <c r="L29" s="127">
        <f t="shared" si="5"/>
        <v>535945.5235410023</v>
      </c>
      <c r="M29" s="128">
        <f t="shared" si="6"/>
        <v>2.3466620687016371E-3</v>
      </c>
    </row>
    <row r="30" spans="1:13">
      <c r="A30" s="4" t="s">
        <v>68</v>
      </c>
      <c r="B30" s="124">
        <v>102149</v>
      </c>
      <c r="C30" s="109">
        <f t="shared" si="0"/>
        <v>1.7659266010446643E-2</v>
      </c>
      <c r="D30" s="87">
        <v>91913</v>
      </c>
      <c r="E30" s="109">
        <f t="shared" si="1"/>
        <v>1.6383332147982418E-2</v>
      </c>
      <c r="G30" s="125">
        <f>+'COEF Art 14 F I'!AI30</f>
        <v>5.5480747834926224E-3</v>
      </c>
      <c r="H30" s="222"/>
      <c r="I30" s="126">
        <f t="shared" si="2"/>
        <v>1411597.1970324188</v>
      </c>
      <c r="J30" s="127">
        <f t="shared" si="3"/>
        <v>1309605.1514520547</v>
      </c>
      <c r="K30" s="127">
        <f t="shared" si="4"/>
        <v>380131.32152369281</v>
      </c>
      <c r="L30" s="127">
        <f t="shared" si="5"/>
        <v>3101333.6700081662</v>
      </c>
      <c r="M30" s="128">
        <f t="shared" si="6"/>
        <v>1.3579331790497957E-2</v>
      </c>
    </row>
    <row r="31" spans="1:13">
      <c r="A31" s="4" t="s">
        <v>69</v>
      </c>
      <c r="B31" s="124">
        <v>643143</v>
      </c>
      <c r="C31" s="109">
        <f t="shared" si="0"/>
        <v>0.11118496823029775</v>
      </c>
      <c r="D31" s="87">
        <v>710413</v>
      </c>
      <c r="E31" s="109">
        <f t="shared" si="1"/>
        <v>0.12662987979115722</v>
      </c>
      <c r="G31" s="125">
        <f>+'COEF Art 14 F I'!AI31</f>
        <v>7.7042588838500778E-2</v>
      </c>
      <c r="H31" s="222"/>
      <c r="I31" s="126">
        <f t="shared" si="2"/>
        <v>8887594.1623610705</v>
      </c>
      <c r="J31" s="127">
        <f t="shared" si="3"/>
        <v>10122186.463922499</v>
      </c>
      <c r="K31" s="127">
        <f t="shared" si="4"/>
        <v>5278642.0968805868</v>
      </c>
      <c r="L31" s="127">
        <f t="shared" si="5"/>
        <v>24288422.723164156</v>
      </c>
      <c r="M31" s="128">
        <f t="shared" si="6"/>
        <v>0.10634797345905948</v>
      </c>
    </row>
    <row r="32" spans="1:13">
      <c r="A32" s="4" t="s">
        <v>70</v>
      </c>
      <c r="B32" s="124">
        <v>1959</v>
      </c>
      <c r="C32" s="109">
        <f t="shared" si="0"/>
        <v>3.3866706589849116E-4</v>
      </c>
      <c r="D32" s="87">
        <v>1998</v>
      </c>
      <c r="E32" s="109">
        <f t="shared" si="1"/>
        <v>3.561400197106924E-4</v>
      </c>
      <c r="G32" s="125">
        <f>+'COEF Art 14 F I'!AI32</f>
        <v>1.3874681209568736E-3</v>
      </c>
      <c r="H32" s="222"/>
      <c r="I32" s="126">
        <f t="shared" si="2"/>
        <v>27071.424184147752</v>
      </c>
      <c r="J32" s="127">
        <f t="shared" si="3"/>
        <v>28468.128475854399</v>
      </c>
      <c r="K32" s="127">
        <f t="shared" si="4"/>
        <v>95063.623143758319</v>
      </c>
      <c r="L32" s="127">
        <f t="shared" si="5"/>
        <v>150603.17580376047</v>
      </c>
      <c r="M32" s="128">
        <f t="shared" si="6"/>
        <v>6.5942291625027639E-4</v>
      </c>
    </row>
    <row r="33" spans="1:13">
      <c r="A33" s="4" t="s">
        <v>71</v>
      </c>
      <c r="B33" s="124">
        <v>16086</v>
      </c>
      <c r="C33" s="109">
        <f t="shared" si="0"/>
        <v>2.7809078213594327E-3</v>
      </c>
      <c r="D33" s="87">
        <v>15902</v>
      </c>
      <c r="E33" s="109">
        <f t="shared" si="1"/>
        <v>2.8345038005202355E-3</v>
      </c>
      <c r="G33" s="125">
        <f>+'COEF Art 14 F I'!AI33</f>
        <v>3.2257741287822486E-3</v>
      </c>
      <c r="H33" s="222"/>
      <c r="I33" s="126">
        <f t="shared" si="2"/>
        <v>222292.46014609531</v>
      </c>
      <c r="J33" s="127">
        <f t="shared" si="3"/>
        <v>226576.66617769602</v>
      </c>
      <c r="K33" s="127">
        <f t="shared" si="4"/>
        <v>221016.80859806412</v>
      </c>
      <c r="L33" s="127">
        <f t="shared" si="5"/>
        <v>669885.93492185546</v>
      </c>
      <c r="M33" s="128">
        <f t="shared" si="6"/>
        <v>2.9331263062925585E-3</v>
      </c>
    </row>
    <row r="34" spans="1:13">
      <c r="A34" s="4" t="s">
        <v>72</v>
      </c>
      <c r="B34" s="124">
        <v>1386</v>
      </c>
      <c r="C34" s="109">
        <f t="shared" si="0"/>
        <v>2.3960824570459864E-4</v>
      </c>
      <c r="D34" s="87">
        <v>1712</v>
      </c>
      <c r="E34" s="109">
        <f t="shared" si="1"/>
        <v>3.0516101789024292E-4</v>
      </c>
      <c r="G34" s="125">
        <f>+'COEF Art 14 F I'!AI34</f>
        <v>2.1025019074139136E-3</v>
      </c>
      <c r="H34" s="222"/>
      <c r="I34" s="126">
        <f t="shared" si="2"/>
        <v>19153.136252796725</v>
      </c>
      <c r="J34" s="127">
        <f t="shared" si="3"/>
        <v>24393.111086417783</v>
      </c>
      <c r="K34" s="127">
        <f t="shared" si="4"/>
        <v>144054.80455117562</v>
      </c>
      <c r="L34" s="127">
        <f t="shared" si="5"/>
        <v>187601.05189039011</v>
      </c>
      <c r="M34" s="128">
        <f t="shared" si="6"/>
        <v>8.2141981448236858E-4</v>
      </c>
    </row>
    <row r="35" spans="1:13">
      <c r="A35" s="4" t="s">
        <v>73</v>
      </c>
      <c r="B35" s="124">
        <v>7026</v>
      </c>
      <c r="C35" s="109">
        <f t="shared" si="0"/>
        <v>1.2146374706497186E-3</v>
      </c>
      <c r="D35" s="87">
        <v>7746</v>
      </c>
      <c r="E35" s="109">
        <f t="shared" si="1"/>
        <v>1.3807110073468585E-3</v>
      </c>
      <c r="G35" s="125">
        <f>+'COEF Art 14 F I'!AI35</f>
        <v>2.3172114504416102E-3</v>
      </c>
      <c r="H35" s="222"/>
      <c r="I35" s="126">
        <f t="shared" si="2"/>
        <v>97092.305420021483</v>
      </c>
      <c r="J35" s="127">
        <f t="shared" si="3"/>
        <v>110367.4290160001</v>
      </c>
      <c r="K35" s="127">
        <f t="shared" si="4"/>
        <v>158765.82152912027</v>
      </c>
      <c r="L35" s="127">
        <f t="shared" si="5"/>
        <v>366225.55596514186</v>
      </c>
      <c r="M35" s="128">
        <f t="shared" si="6"/>
        <v>1.6035354024312852E-3</v>
      </c>
    </row>
    <row r="36" spans="1:13">
      <c r="A36" s="4" t="s">
        <v>74</v>
      </c>
      <c r="B36" s="124">
        <v>3298</v>
      </c>
      <c r="C36" s="109">
        <f t="shared" si="0"/>
        <v>5.7015006806188052E-4</v>
      </c>
      <c r="D36" s="87">
        <v>3979</v>
      </c>
      <c r="E36" s="109">
        <f t="shared" si="1"/>
        <v>7.0924981903345598E-4</v>
      </c>
      <c r="G36" s="125">
        <f>+'COEF Art 14 F I'!AI36</f>
        <v>2.6980366938543368E-3</v>
      </c>
      <c r="H36" s="222"/>
      <c r="I36" s="126">
        <f t="shared" si="2"/>
        <v>45575.067360550936</v>
      </c>
      <c r="J36" s="127">
        <f t="shared" si="3"/>
        <v>56694.035638350681</v>
      </c>
      <c r="K36" s="127">
        <f t="shared" si="4"/>
        <v>184858.40475795162</v>
      </c>
      <c r="L36" s="127">
        <f t="shared" si="5"/>
        <v>287127.50775685324</v>
      </c>
      <c r="M36" s="128">
        <f t="shared" si="6"/>
        <v>1.2572009686396689E-3</v>
      </c>
    </row>
    <row r="37" spans="1:13">
      <c r="A37" s="4" t="s">
        <v>75</v>
      </c>
      <c r="B37" s="124">
        <v>471523</v>
      </c>
      <c r="C37" s="109">
        <f t="shared" si="0"/>
        <v>8.1515727878332944E-2</v>
      </c>
      <c r="D37" s="87">
        <v>396864</v>
      </c>
      <c r="E37" s="109">
        <f t="shared" si="1"/>
        <v>7.0740316707940051E-2</v>
      </c>
      <c r="G37" s="125">
        <f>+'COEF Art 14 F I'!AI37</f>
        <v>3.3065254170711711E-2</v>
      </c>
      <c r="H37" s="222"/>
      <c r="I37" s="126">
        <f t="shared" si="2"/>
        <v>6515977.1034108726</v>
      </c>
      <c r="J37" s="127">
        <f t="shared" si="3"/>
        <v>5654642.3120327732</v>
      </c>
      <c r="K37" s="127">
        <f t="shared" si="4"/>
        <v>2265495.5556523548</v>
      </c>
      <c r="L37" s="127">
        <f t="shared" si="5"/>
        <v>14436114.971096002</v>
      </c>
      <c r="M37" s="128">
        <f t="shared" si="6"/>
        <v>6.3209191856409067E-2</v>
      </c>
    </row>
    <row r="38" spans="1:13">
      <c r="A38" s="4" t="s">
        <v>76</v>
      </c>
      <c r="B38" s="124">
        <v>5351</v>
      </c>
      <c r="C38" s="109">
        <f t="shared" si="0"/>
        <v>9.2506762104279034E-4</v>
      </c>
      <c r="D38" s="87">
        <v>5783</v>
      </c>
      <c r="E38" s="109">
        <f t="shared" si="1"/>
        <v>1.0308096766701372E-3</v>
      </c>
      <c r="G38" s="125">
        <f>+'COEF Art 14 F I'!AI38</f>
        <v>4.4441172262102962E-3</v>
      </c>
      <c r="H38" s="222"/>
      <c r="I38" s="126">
        <f t="shared" si="2"/>
        <v>73945.477697485767</v>
      </c>
      <c r="J38" s="127">
        <f t="shared" si="3"/>
        <v>82397.991479412405</v>
      </c>
      <c r="K38" s="127">
        <f t="shared" si="4"/>
        <v>304492.67901577381</v>
      </c>
      <c r="L38" s="127">
        <f t="shared" si="5"/>
        <v>460836.148192672</v>
      </c>
      <c r="M38" s="128">
        <f t="shared" si="6"/>
        <v>2.017792222062614E-3</v>
      </c>
    </row>
    <row r="39" spans="1:13">
      <c r="A39" s="4" t="s">
        <v>77</v>
      </c>
      <c r="B39" s="124">
        <v>84666</v>
      </c>
      <c r="C39" s="109">
        <f t="shared" si="0"/>
        <v>1.4636848290638924E-2</v>
      </c>
      <c r="D39" s="87">
        <v>88689</v>
      </c>
      <c r="E39" s="109">
        <f t="shared" si="1"/>
        <v>1.5808659763824624E-2</v>
      </c>
      <c r="G39" s="125">
        <f>+'COEF Art 14 F I'!AI39</f>
        <v>1.6870756377964615E-2</v>
      </c>
      <c r="H39" s="222"/>
      <c r="I39" s="126">
        <f t="shared" ref="I39:I57" si="7">+C39*I$5</f>
        <v>1169999.5916156475</v>
      </c>
      <c r="J39" s="127">
        <f t="shared" ref="J39:J57" si="8">+E39*J$5</f>
        <v>1263668.5917893148</v>
      </c>
      <c r="K39" s="127">
        <f t="shared" ref="K39:K57" si="9">+G39*K$5</f>
        <v>1155915.0096788679</v>
      </c>
      <c r="L39" s="127">
        <f t="shared" si="5"/>
        <v>3589583.1930838302</v>
      </c>
      <c r="M39" s="128">
        <f t="shared" si="6"/>
        <v>1.5717154732451628E-2</v>
      </c>
    </row>
    <row r="40" spans="1:13">
      <c r="A40" s="4" t="s">
        <v>78</v>
      </c>
      <c r="B40" s="124">
        <v>5119</v>
      </c>
      <c r="C40" s="109">
        <f t="shared" si="0"/>
        <v>8.8496003590320376E-4</v>
      </c>
      <c r="D40" s="87">
        <v>6199</v>
      </c>
      <c r="E40" s="109">
        <f t="shared" si="1"/>
        <v>1.1049609520453363E-3</v>
      </c>
      <c r="G40" s="125">
        <f>+'COEF Art 14 F I'!AI40</f>
        <v>4.0799485843958858E-3</v>
      </c>
      <c r="H40" s="222"/>
      <c r="I40" s="126">
        <f t="shared" si="7"/>
        <v>70739.469320394244</v>
      </c>
      <c r="J40" s="127">
        <f t="shared" si="8"/>
        <v>88325.28950041112</v>
      </c>
      <c r="K40" s="127">
        <f t="shared" si="9"/>
        <v>279541.33778975403</v>
      </c>
      <c r="L40" s="127">
        <f t="shared" si="5"/>
        <v>438606.09661055938</v>
      </c>
      <c r="M40" s="128">
        <f t="shared" si="6"/>
        <v>1.920456921100755E-3</v>
      </c>
    </row>
    <row r="41" spans="1:13">
      <c r="A41" s="4" t="s">
        <v>79</v>
      </c>
      <c r="B41" s="124">
        <v>1483</v>
      </c>
      <c r="C41" s="109">
        <f t="shared" si="0"/>
        <v>2.5637736535347747E-4</v>
      </c>
      <c r="D41" s="87">
        <v>1071</v>
      </c>
      <c r="E41" s="109">
        <f t="shared" si="1"/>
        <v>1.9090388443951528E-4</v>
      </c>
      <c r="G41" s="125">
        <f>+'COEF Art 14 F I'!AI41</f>
        <v>3.8277640339152157E-3</v>
      </c>
      <c r="H41" s="222"/>
      <c r="I41" s="126">
        <f t="shared" si="7"/>
        <v>20493.579410459985</v>
      </c>
      <c r="J41" s="127">
        <f t="shared" si="8"/>
        <v>15259.942741561592</v>
      </c>
      <c r="K41" s="127">
        <f t="shared" si="9"/>
        <v>262262.68705359224</v>
      </c>
      <c r="L41" s="127">
        <f t="shared" si="5"/>
        <v>298016.20920561382</v>
      </c>
      <c r="M41" s="128">
        <f t="shared" si="6"/>
        <v>1.3048776476021124E-3</v>
      </c>
    </row>
    <row r="42" spans="1:13">
      <c r="A42" s="4" t="s">
        <v>80</v>
      </c>
      <c r="B42" s="124">
        <v>7652</v>
      </c>
      <c r="C42" s="109">
        <f t="shared" si="0"/>
        <v>1.322858799517741E-3</v>
      </c>
      <c r="D42" s="87">
        <v>7601</v>
      </c>
      <c r="E42" s="109">
        <f t="shared" si="1"/>
        <v>1.3548650099204067E-3</v>
      </c>
      <c r="G42" s="125">
        <f>+'COEF Art 14 F I'!AI42</f>
        <v>3.8318006617594613E-3</v>
      </c>
      <c r="H42" s="222"/>
      <c r="I42" s="126">
        <f t="shared" si="7"/>
        <v>105743.00043751844</v>
      </c>
      <c r="J42" s="127">
        <f t="shared" si="8"/>
        <v>108301.42369618082</v>
      </c>
      <c r="K42" s="127">
        <f t="shared" si="9"/>
        <v>262539.26023200323</v>
      </c>
      <c r="L42" s="127">
        <f t="shared" si="5"/>
        <v>476583.6843657025</v>
      </c>
      <c r="M42" s="128">
        <f t="shared" si="6"/>
        <v>2.0867435318311905E-3</v>
      </c>
    </row>
    <row r="43" spans="1:13">
      <c r="A43" s="4" t="s">
        <v>81</v>
      </c>
      <c r="B43" s="124">
        <v>6048</v>
      </c>
      <c r="C43" s="109">
        <f t="shared" si="0"/>
        <v>1.0455632539837032E-3</v>
      </c>
      <c r="D43" s="87">
        <v>5882</v>
      </c>
      <c r="E43" s="109">
        <f t="shared" si="1"/>
        <v>1.0484562542233697E-3</v>
      </c>
      <c r="G43" s="125">
        <f>+'COEF Art 14 F I'!AI43</f>
        <v>4.8822996687892502E-3</v>
      </c>
      <c r="H43" s="222"/>
      <c r="I43" s="126">
        <f t="shared" si="7"/>
        <v>83577.321830385714</v>
      </c>
      <c r="J43" s="127">
        <f t="shared" si="8"/>
        <v>83808.574421909696</v>
      </c>
      <c r="K43" s="127">
        <f t="shared" si="9"/>
        <v>334515.14220635832</v>
      </c>
      <c r="L43" s="127">
        <f t="shared" si="5"/>
        <v>501901.03845865373</v>
      </c>
      <c r="M43" s="128">
        <f t="shared" si="6"/>
        <v>2.1975967285092508E-3</v>
      </c>
    </row>
    <row r="44" spans="1:13">
      <c r="A44" s="4" t="s">
        <v>82</v>
      </c>
      <c r="B44" s="124">
        <v>67428</v>
      </c>
      <c r="C44" s="109">
        <f t="shared" si="0"/>
        <v>1.1656785563758786E-2</v>
      </c>
      <c r="D44" s="87">
        <v>67657</v>
      </c>
      <c r="E44" s="109">
        <f t="shared" si="1"/>
        <v>1.205974239918234E-2</v>
      </c>
      <c r="G44" s="125">
        <f>+'COEF Art 14 F I'!AI44</f>
        <v>1.1927351127393177E-2</v>
      </c>
      <c r="H44" s="222"/>
      <c r="I44" s="126">
        <f t="shared" si="7"/>
        <v>931787.64159709774</v>
      </c>
      <c r="J44" s="127">
        <f t="shared" si="8"/>
        <v>963998.08222766826</v>
      </c>
      <c r="K44" s="127">
        <f t="shared" si="9"/>
        <v>817213.16371277499</v>
      </c>
      <c r="L44" s="127">
        <f t="shared" si="5"/>
        <v>2712998.8875375409</v>
      </c>
      <c r="M44" s="128">
        <f t="shared" si="6"/>
        <v>1.1878990125247348E-2</v>
      </c>
    </row>
    <row r="45" spans="1:13">
      <c r="A45" s="4" t="s">
        <v>83</v>
      </c>
      <c r="B45" s="124">
        <v>1142994</v>
      </c>
      <c r="C45" s="109">
        <f t="shared" si="0"/>
        <v>0.19759797055619194</v>
      </c>
      <c r="D45" s="87">
        <v>1124835</v>
      </c>
      <c r="E45" s="109">
        <f t="shared" si="1"/>
        <v>0.20049987941505337</v>
      </c>
      <c r="G45" s="125">
        <f>+'COEF Art 14 F I'!AI45</f>
        <v>0.25916019446944499</v>
      </c>
      <c r="H45" s="222"/>
      <c r="I45" s="126">
        <f t="shared" si="7"/>
        <v>15795035.943816118</v>
      </c>
      <c r="J45" s="127">
        <f t="shared" si="8"/>
        <v>16027000.647716558</v>
      </c>
      <c r="K45" s="127">
        <f t="shared" si="9"/>
        <v>17756593.242600504</v>
      </c>
      <c r="L45" s="127">
        <f t="shared" si="5"/>
        <v>49578629.834133178</v>
      </c>
      <c r="M45" s="128">
        <f t="shared" si="6"/>
        <v>0.21708230583076937</v>
      </c>
    </row>
    <row r="46" spans="1:13">
      <c r="A46" s="4" t="s">
        <v>84</v>
      </c>
      <c r="B46" s="124">
        <v>906</v>
      </c>
      <c r="C46" s="109">
        <f t="shared" si="0"/>
        <v>1.5662703507097141E-4</v>
      </c>
      <c r="D46" s="87">
        <v>1083</v>
      </c>
      <c r="E46" s="109">
        <f t="shared" si="1"/>
        <v>1.9304286353687681E-4</v>
      </c>
      <c r="G46" s="125">
        <f>+'COEF Art 14 F I'!AI46</f>
        <v>1.0286344187732097E-3</v>
      </c>
      <c r="H46" s="222"/>
      <c r="I46" s="126">
        <f t="shared" si="7"/>
        <v>12520.015472607383</v>
      </c>
      <c r="J46" s="127">
        <f t="shared" si="8"/>
        <v>15430.922492167325</v>
      </c>
      <c r="K46" s="127">
        <f t="shared" si="9"/>
        <v>70477.810093046995</v>
      </c>
      <c r="L46" s="127">
        <f t="shared" si="5"/>
        <v>98428.748057821707</v>
      </c>
      <c r="M46" s="128">
        <f t="shared" si="6"/>
        <v>4.309747901447099E-4</v>
      </c>
    </row>
    <row r="47" spans="1:13">
      <c r="A47" s="4" t="s">
        <v>85</v>
      </c>
      <c r="B47" s="124">
        <v>147624</v>
      </c>
      <c r="C47" s="109">
        <f t="shared" si="0"/>
        <v>2.5520871330372057E-2</v>
      </c>
      <c r="D47" s="87">
        <v>112583</v>
      </c>
      <c r="E47" s="109">
        <f t="shared" si="1"/>
        <v>2.0067723643187627E-2</v>
      </c>
      <c r="G47" s="125">
        <f>+'COEF Art 14 F I'!AI47</f>
        <v>8.4105521343004596E-3</v>
      </c>
      <c r="H47" s="222"/>
      <c r="I47" s="126">
        <f t="shared" si="7"/>
        <v>2040016.2959472321</v>
      </c>
      <c r="J47" s="127">
        <f t="shared" si="8"/>
        <v>1604117.7718704282</v>
      </c>
      <c r="K47" s="127">
        <f t="shared" si="9"/>
        <v>576256.52542897093</v>
      </c>
      <c r="L47" s="127">
        <f t="shared" si="5"/>
        <v>4220390.5932466313</v>
      </c>
      <c r="M47" s="128">
        <f t="shared" si="6"/>
        <v>1.8479173881036027E-2</v>
      </c>
    </row>
    <row r="48" spans="1:13">
      <c r="A48" s="4" t="s">
        <v>86</v>
      </c>
      <c r="B48" s="124">
        <v>5389</v>
      </c>
      <c r="C48" s="109">
        <f t="shared" si="0"/>
        <v>9.3163696688461914E-4</v>
      </c>
      <c r="D48" s="87">
        <v>5201</v>
      </c>
      <c r="E48" s="109">
        <f t="shared" si="1"/>
        <v>9.2706919044810367E-4</v>
      </c>
      <c r="G48" s="125">
        <f>+'COEF Art 14 F I'!AI48</f>
        <v>1.9412197553349696E-3</v>
      </c>
      <c r="H48" s="222"/>
      <c r="I48" s="126">
        <f t="shared" si="7"/>
        <v>74470.599759250763</v>
      </c>
      <c r="J48" s="127">
        <f t="shared" si="8"/>
        <v>74105.473575034397</v>
      </c>
      <c r="K48" s="127">
        <f t="shared" si="9"/>
        <v>133004.41319913993</v>
      </c>
      <c r="L48" s="127">
        <f t="shared" si="5"/>
        <v>281580.48653342511</v>
      </c>
      <c r="M48" s="128">
        <f t="shared" si="6"/>
        <v>1.232913081666944E-3</v>
      </c>
    </row>
    <row r="49" spans="1:13">
      <c r="A49" s="4" t="s">
        <v>87</v>
      </c>
      <c r="B49" s="124">
        <v>2377</v>
      </c>
      <c r="C49" s="109">
        <f t="shared" si="0"/>
        <v>4.1092987015860824E-4</v>
      </c>
      <c r="D49" s="87">
        <v>2987</v>
      </c>
      <c r="E49" s="109">
        <f t="shared" si="1"/>
        <v>5.3242754698490402E-4</v>
      </c>
      <c r="G49" s="125">
        <f>+'COEF Art 14 F I'!AI49</f>
        <v>3.2644684124850877E-3</v>
      </c>
      <c r="H49" s="222"/>
      <c r="I49" s="126">
        <f t="shared" si="7"/>
        <v>32847.76686356264</v>
      </c>
      <c r="J49" s="127">
        <f t="shared" si="8"/>
        <v>42559.709588276826</v>
      </c>
      <c r="K49" s="127">
        <f t="shared" si="9"/>
        <v>223667.98216247547</v>
      </c>
      <c r="L49" s="127">
        <f t="shared" si="5"/>
        <v>299075.45861431491</v>
      </c>
      <c r="M49" s="128">
        <f t="shared" si="6"/>
        <v>1.3095156197457556E-3</v>
      </c>
    </row>
    <row r="50" spans="1:13">
      <c r="A50" s="4" t="s">
        <v>88</v>
      </c>
      <c r="B50" s="124">
        <v>34709</v>
      </c>
      <c r="C50" s="109">
        <f t="shared" si="0"/>
        <v>6.0004059164220159E-3</v>
      </c>
      <c r="D50" s="87">
        <v>39096</v>
      </c>
      <c r="E50" s="109">
        <f t="shared" si="1"/>
        <v>6.9687938992038182E-3</v>
      </c>
      <c r="G50" s="125">
        <f>+'COEF Art 14 F I'!AI50</f>
        <v>6.0874763333941123E-3</v>
      </c>
      <c r="H50" s="222"/>
      <c r="I50" s="126">
        <f t="shared" si="7"/>
        <v>479643.72741581633</v>
      </c>
      <c r="J50" s="127">
        <f t="shared" si="8"/>
        <v>557052.0274734752</v>
      </c>
      <c r="K50" s="127">
        <f t="shared" si="9"/>
        <v>417088.90266626392</v>
      </c>
      <c r="L50" s="127">
        <f t="shared" si="5"/>
        <v>1453784.6575555555</v>
      </c>
      <c r="M50" s="128">
        <f t="shared" si="6"/>
        <v>6.3654628354872754E-3</v>
      </c>
    </row>
    <row r="51" spans="1:13">
      <c r="A51" s="4" t="s">
        <v>89</v>
      </c>
      <c r="B51" s="124">
        <v>86766</v>
      </c>
      <c r="C51" s="109">
        <f t="shared" si="0"/>
        <v>1.4999891087161044E-2</v>
      </c>
      <c r="D51" s="87">
        <v>61868</v>
      </c>
      <c r="E51" s="109">
        <f t="shared" si="1"/>
        <v>1.1027863232963522E-2</v>
      </c>
      <c r="G51" s="125">
        <f>+'COEF Art 14 F I'!AI51</f>
        <v>8.9583226450295969E-3</v>
      </c>
      <c r="H51" s="222"/>
      <c r="I51" s="126">
        <f t="shared" si="7"/>
        <v>1199019.4950289759</v>
      </c>
      <c r="J51" s="127">
        <f t="shared" si="8"/>
        <v>881514.60087295296</v>
      </c>
      <c r="K51" s="127">
        <f t="shared" si="9"/>
        <v>613787.51343128004</v>
      </c>
      <c r="L51" s="127">
        <f t="shared" si="5"/>
        <v>2694321.6093332088</v>
      </c>
      <c r="M51" s="128">
        <f t="shared" si="6"/>
        <v>1.1797210805552478E-2</v>
      </c>
    </row>
    <row r="52" spans="1:13">
      <c r="A52" s="4" t="s">
        <v>90</v>
      </c>
      <c r="B52" s="124">
        <v>412199</v>
      </c>
      <c r="C52" s="109">
        <f t="shared" si="0"/>
        <v>7.125994175410523E-2</v>
      </c>
      <c r="D52" s="87">
        <v>474163</v>
      </c>
      <c r="E52" s="109">
        <f t="shared" si="1"/>
        <v>8.4518728811852364E-2</v>
      </c>
      <c r="G52" s="125">
        <f>+'COEF Art 14 F I'!AI52</f>
        <v>6.2885407702391163E-2</v>
      </c>
      <c r="H52" s="222"/>
      <c r="I52" s="126">
        <f t="shared" si="7"/>
        <v>5696178.6509859711</v>
      </c>
      <c r="J52" s="127">
        <f t="shared" si="8"/>
        <v>6756022.623872146</v>
      </c>
      <c r="K52" s="127">
        <f t="shared" si="9"/>
        <v>4308650.1295171212</v>
      </c>
      <c r="L52" s="127">
        <f t="shared" si="5"/>
        <v>16760851.404375238</v>
      </c>
      <c r="M52" s="128">
        <f t="shared" si="6"/>
        <v>7.338815700880251E-2</v>
      </c>
    </row>
    <row r="53" spans="1:13">
      <c r="A53" s="4" t="s">
        <v>91</v>
      </c>
      <c r="B53" s="124">
        <v>132169</v>
      </c>
      <c r="C53" s="109">
        <f t="shared" si="0"/>
        <v>2.2849049225491413E-2</v>
      </c>
      <c r="D53" s="87">
        <v>137614</v>
      </c>
      <c r="E53" s="109">
        <f t="shared" si="1"/>
        <v>2.4529455792025635E-2</v>
      </c>
      <c r="G53" s="125">
        <f>+'COEF Art 14 F I'!AI53</f>
        <v>0.14340443808261949</v>
      </c>
      <c r="H53" s="222"/>
      <c r="I53" s="126">
        <f t="shared" si="7"/>
        <v>1826443.6258267607</v>
      </c>
      <c r="J53" s="127">
        <f t="shared" si="8"/>
        <v>1960767.2833214349</v>
      </c>
      <c r="K53" s="127">
        <f t="shared" si="9"/>
        <v>9825483.7376925219</v>
      </c>
      <c r="L53" s="127">
        <f t="shared" si="5"/>
        <v>13612694.646840718</v>
      </c>
      <c r="M53" s="128">
        <f t="shared" si="6"/>
        <v>5.9603808180916817E-2</v>
      </c>
    </row>
    <row r="54" spans="1:13">
      <c r="A54" s="4" t="s">
        <v>92</v>
      </c>
      <c r="B54" s="124">
        <v>306322</v>
      </c>
      <c r="C54" s="109">
        <f t="shared" si="0"/>
        <v>5.2956188341070756E-2</v>
      </c>
      <c r="D54" s="87">
        <v>322051</v>
      </c>
      <c r="E54" s="109">
        <f t="shared" si="1"/>
        <v>5.7405029773697797E-2</v>
      </c>
      <c r="G54" s="125">
        <f>+'COEF Art 14 F I'!AI54</f>
        <v>3.5415176876375229E-2</v>
      </c>
      <c r="H54" s="222"/>
      <c r="I54" s="126">
        <f t="shared" si="7"/>
        <v>4233064.2158940826</v>
      </c>
      <c r="J54" s="127">
        <f t="shared" si="8"/>
        <v>4588683.3051938862</v>
      </c>
      <c r="K54" s="127">
        <f t="shared" si="9"/>
        <v>2426502.6181815425</v>
      </c>
      <c r="L54" s="127">
        <f t="shared" si="5"/>
        <v>11248250.139269512</v>
      </c>
      <c r="M54" s="128">
        <f t="shared" si="6"/>
        <v>4.9250979403081568E-2</v>
      </c>
    </row>
    <row r="55" spans="1:13">
      <c r="A55" s="4" t="s">
        <v>93</v>
      </c>
      <c r="B55" s="124">
        <v>46784</v>
      </c>
      <c r="C55" s="109">
        <f t="shared" si="0"/>
        <v>8.0879019964242016E-3</v>
      </c>
      <c r="D55" s="87">
        <v>46955</v>
      </c>
      <c r="E55" s="109">
        <f t="shared" si="1"/>
        <v>8.3696469597174979E-3</v>
      </c>
      <c r="G55" s="125">
        <f>+'COEF Art 14 F I'!AI55</f>
        <v>1.5465027809612753E-2</v>
      </c>
      <c r="H55" s="222"/>
      <c r="I55" s="126">
        <f t="shared" si="7"/>
        <v>646508.17204245448</v>
      </c>
      <c r="J55" s="127">
        <f t="shared" si="8"/>
        <v>669029.51580767927</v>
      </c>
      <c r="K55" s="127">
        <f t="shared" si="9"/>
        <v>1059600.2555985686</v>
      </c>
      <c r="L55" s="127">
        <f t="shared" si="5"/>
        <v>2375137.9434487023</v>
      </c>
      <c r="M55" s="128">
        <f t="shared" si="6"/>
        <v>1.0399650477533421E-2</v>
      </c>
    </row>
    <row r="56" spans="1:13">
      <c r="A56" s="4" t="s">
        <v>94</v>
      </c>
      <c r="B56" s="124">
        <v>1552</v>
      </c>
      <c r="C56" s="109">
        <f t="shared" si="0"/>
        <v>2.6830591438206137E-4</v>
      </c>
      <c r="D56" s="87">
        <v>1942</v>
      </c>
      <c r="E56" s="109">
        <f t="shared" si="1"/>
        <v>3.4615811725633865E-4</v>
      </c>
      <c r="G56" s="125">
        <f>+'COEF Art 14 F I'!AI56</f>
        <v>1.7654324751657244E-3</v>
      </c>
      <c r="H56" s="222"/>
      <c r="I56" s="126">
        <f t="shared" si="7"/>
        <v>21447.090522612201</v>
      </c>
      <c r="J56" s="127">
        <f t="shared" si="8"/>
        <v>27670.222973027649</v>
      </c>
      <c r="K56" s="127">
        <f t="shared" si="9"/>
        <v>120960.18998199633</v>
      </c>
      <c r="L56" s="127">
        <f t="shared" si="5"/>
        <v>170077.50347763617</v>
      </c>
      <c r="M56" s="128">
        <f t="shared" si="6"/>
        <v>7.4469215362315741E-4</v>
      </c>
    </row>
    <row r="57" spans="1:13">
      <c r="A57" s="4" t="s">
        <v>95</v>
      </c>
      <c r="B57" s="124">
        <v>3573</v>
      </c>
      <c r="C57" s="109">
        <f t="shared" si="0"/>
        <v>6.1769138665406279E-4</v>
      </c>
      <c r="D57" s="87">
        <v>4567</v>
      </c>
      <c r="E57" s="109">
        <f t="shared" si="1"/>
        <v>8.1405979480417019E-4</v>
      </c>
      <c r="G57" s="125">
        <f>+'COEF Art 14 F I'!AI57</f>
        <v>1.2062441128150364E-3</v>
      </c>
      <c r="H57" s="222"/>
      <c r="I57" s="126">
        <f t="shared" si="7"/>
        <v>49375.292807534417</v>
      </c>
      <c r="J57" s="127">
        <f t="shared" si="8"/>
        <v>65072.04341803155</v>
      </c>
      <c r="K57" s="127">
        <f t="shared" si="9"/>
        <v>82646.897631740241</v>
      </c>
      <c r="L57" s="127">
        <f t="shared" si="5"/>
        <v>197094.23385730619</v>
      </c>
      <c r="M57" s="128">
        <f t="shared" si="6"/>
        <v>8.6298614735489244E-4</v>
      </c>
    </row>
    <row r="58" spans="1:13" ht="13.5" thickBot="1">
      <c r="A58" s="6" t="s">
        <v>96</v>
      </c>
      <c r="B58" s="129">
        <f>SUM(B7:B57)</f>
        <v>5784442</v>
      </c>
      <c r="C58" s="110">
        <f>SUM(C7:C57)</f>
        <v>1.0000000000000002</v>
      </c>
      <c r="D58" s="130">
        <f>SUM(D7:D57)</f>
        <v>5610153</v>
      </c>
      <c r="E58" s="110">
        <f t="shared" si="1"/>
        <v>1</v>
      </c>
      <c r="G58" s="131">
        <f t="shared" ref="G58:M58" si="10">SUM(G7:G57)</f>
        <v>0.99999999999999989</v>
      </c>
      <c r="H58" s="223"/>
      <c r="I58" s="132">
        <f t="shared" si="10"/>
        <v>79935213.400000006</v>
      </c>
      <c r="J58" s="133">
        <f t="shared" si="10"/>
        <v>79935213.399999976</v>
      </c>
      <c r="K58" s="133">
        <f t="shared" si="10"/>
        <v>68515897.200000018</v>
      </c>
      <c r="L58" s="133">
        <f t="shared" si="10"/>
        <v>228386323.99999997</v>
      </c>
      <c r="M58" s="134">
        <f t="shared" si="10"/>
        <v>1.0000000000000002</v>
      </c>
    </row>
    <row r="59" spans="1:13" ht="13.5" thickTop="1"/>
    <row r="60" spans="1:13" ht="15.75" customHeight="1">
      <c r="A60" s="14" t="s">
        <v>199</v>
      </c>
    </row>
    <row r="61" spans="1:13">
      <c r="A61" s="14" t="s">
        <v>200</v>
      </c>
    </row>
    <row r="62" spans="1:13">
      <c r="A62" s="14" t="s">
        <v>201</v>
      </c>
    </row>
  </sheetData>
  <mergeCells count="3">
    <mergeCell ref="A1:M1"/>
    <mergeCell ref="B3:C3"/>
    <mergeCell ref="D3:E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zoomScaleNormal="100" workbookViewId="0">
      <selection sqref="A1:Q56"/>
    </sheetView>
  </sheetViews>
  <sheetFormatPr baseColWidth="10" defaultColWidth="11.42578125" defaultRowHeight="12.75"/>
  <cols>
    <col min="1" max="1" width="28.28515625" style="166" bestFit="1" customWidth="1"/>
    <col min="2" max="2" width="17.28515625" style="166" customWidth="1"/>
    <col min="3" max="3" width="16.85546875" style="166" customWidth="1"/>
    <col min="4" max="4" width="14.42578125" style="166" customWidth="1"/>
    <col min="5" max="5" width="21.140625" style="166" customWidth="1"/>
    <col min="6" max="6" width="17" style="166" customWidth="1"/>
    <col min="7" max="7" width="17.42578125" style="166" customWidth="1"/>
    <col min="8" max="8" width="15.42578125" style="166" customWidth="1"/>
    <col min="9" max="9" width="15" style="166" customWidth="1"/>
    <col min="10" max="10" width="21.42578125" style="166" customWidth="1"/>
    <col min="11" max="11" width="11.42578125" style="166"/>
    <col min="12" max="12" width="33.28515625" style="166" customWidth="1"/>
    <col min="13" max="13" width="21.42578125" style="166" customWidth="1"/>
    <col min="14" max="14" width="17.7109375" style="166" customWidth="1"/>
    <col min="15" max="15" width="17.7109375" style="166" bestFit="1" customWidth="1"/>
    <col min="16" max="16" width="22.7109375" style="166" customWidth="1"/>
    <col min="17" max="17" width="20.7109375" style="166" customWidth="1"/>
    <col min="18" max="18" width="0.28515625" style="166" customWidth="1"/>
    <col min="19" max="20" width="11.42578125" style="166" customWidth="1"/>
    <col min="21" max="21" width="21.28515625" style="166" customWidth="1"/>
    <col min="22" max="22" width="16.7109375" style="166" bestFit="1" customWidth="1"/>
    <col min="23" max="24" width="15.28515625" style="166" bestFit="1" customWidth="1"/>
    <col min="25" max="25" width="14.28515625" style="166" bestFit="1" customWidth="1"/>
    <col min="26" max="26" width="13.28515625" style="166" bestFit="1" customWidth="1"/>
    <col min="27" max="27" width="12.5703125" style="166" bestFit="1" customWidth="1"/>
    <col min="28" max="28" width="14.28515625" style="166" bestFit="1" customWidth="1"/>
    <col min="29" max="16384" width="11.42578125" style="166"/>
  </cols>
  <sheetData>
    <row r="1" spans="1:29" ht="38.25" customHeight="1" thickBot="1">
      <c r="A1" s="190"/>
      <c r="B1" s="300" t="s">
        <v>202</v>
      </c>
      <c r="C1" s="300"/>
      <c r="D1" s="300"/>
      <c r="E1" s="300"/>
      <c r="F1" s="300" t="s">
        <v>203</v>
      </c>
      <c r="G1" s="300"/>
      <c r="H1" s="300"/>
      <c r="I1" s="300"/>
      <c r="J1" s="201" t="s">
        <v>204</v>
      </c>
      <c r="L1" s="301" t="s">
        <v>205</v>
      </c>
      <c r="M1" s="301"/>
      <c r="N1" s="301"/>
      <c r="O1" s="301"/>
      <c r="P1" s="301"/>
      <c r="Q1" s="301"/>
      <c r="T1" s="200"/>
    </row>
    <row r="2" spans="1:29" ht="68.25" customHeight="1" thickTop="1" thickBot="1">
      <c r="A2" s="199" t="s">
        <v>34</v>
      </c>
      <c r="B2" s="198" t="s">
        <v>206</v>
      </c>
      <c r="C2" s="197" t="s">
        <v>103</v>
      </c>
      <c r="D2" s="197" t="s">
        <v>207</v>
      </c>
      <c r="E2" s="196" t="s">
        <v>208</v>
      </c>
      <c r="F2" s="197" t="s">
        <v>209</v>
      </c>
      <c r="G2" s="197" t="s">
        <v>210</v>
      </c>
      <c r="H2" s="197" t="s">
        <v>211</v>
      </c>
      <c r="I2" s="194" t="s">
        <v>212</v>
      </c>
      <c r="J2" s="195" t="s">
        <v>213</v>
      </c>
      <c r="L2" s="199" t="s">
        <v>34</v>
      </c>
      <c r="M2" s="198" t="s">
        <v>214</v>
      </c>
      <c r="N2" s="197" t="s">
        <v>215</v>
      </c>
      <c r="O2" s="196" t="s">
        <v>216</v>
      </c>
      <c r="P2" s="195" t="s">
        <v>217</v>
      </c>
      <c r="Q2" s="194" t="s">
        <v>130</v>
      </c>
    </row>
    <row r="3" spans="1:29" ht="26.25" customHeight="1" thickTop="1">
      <c r="A3" s="190"/>
      <c r="B3" s="193" t="s">
        <v>218</v>
      </c>
      <c r="C3" s="193" t="s">
        <v>219</v>
      </c>
      <c r="D3" s="193" t="s">
        <v>220</v>
      </c>
      <c r="E3" s="193" t="s">
        <v>221</v>
      </c>
      <c r="F3" s="193" t="s">
        <v>222</v>
      </c>
      <c r="G3" s="193" t="s">
        <v>223</v>
      </c>
      <c r="H3" s="193"/>
      <c r="I3" s="193" t="s">
        <v>224</v>
      </c>
      <c r="J3" s="193" t="s">
        <v>225</v>
      </c>
      <c r="M3" s="192">
        <f>M4*P3</f>
        <v>119880247</v>
      </c>
      <c r="N3" s="192">
        <f>P3*N4</f>
        <v>71928148.200000003</v>
      </c>
      <c r="O3" s="192">
        <f>P3*O4</f>
        <v>47952098.800000004</v>
      </c>
      <c r="P3" s="192">
        <f>+'PART PEF2021'!R6</f>
        <v>239760494</v>
      </c>
    </row>
    <row r="4" spans="1:29" ht="13.5" thickBot="1">
      <c r="F4" s="191"/>
      <c r="G4" s="190"/>
      <c r="H4" s="190"/>
      <c r="I4" s="190"/>
      <c r="M4" s="189">
        <v>0.5</v>
      </c>
      <c r="N4" s="189">
        <v>0.3</v>
      </c>
      <c r="O4" s="189">
        <v>0.2</v>
      </c>
      <c r="P4" s="188" t="s">
        <v>226</v>
      </c>
      <c r="Q4" s="188"/>
    </row>
    <row r="5" spans="1:29" ht="13.5" thickTop="1">
      <c r="A5" s="183" t="s">
        <v>45</v>
      </c>
      <c r="B5" s="182">
        <v>558823</v>
      </c>
      <c r="C5" s="181">
        <v>110684</v>
      </c>
      <c r="D5" s="187">
        <f t="shared" ref="D5:D36" si="0">IFERROR(C5/B5,0)</f>
        <v>0.19806629290490907</v>
      </c>
      <c r="E5" s="186">
        <f t="shared" ref="E5:E36" si="1">IFERROR(D5/$D$56,0)</f>
        <v>1.3297257969579904E-2</v>
      </c>
      <c r="F5" s="181">
        <v>121403</v>
      </c>
      <c r="G5" s="217">
        <f t="shared" ref="G5:G36" si="2">IFERROR((C5/F5)-1,0)</f>
        <v>-8.8292711053268857E-2</v>
      </c>
      <c r="H5" s="185">
        <f t="shared" ref="H5:H36" si="3">IF(G5&lt;0,0,G5)</f>
        <v>0</v>
      </c>
      <c r="I5" s="178">
        <f t="shared" ref="I5:I36" si="4">IFERROR(H5/$H$56,0)</f>
        <v>0</v>
      </c>
      <c r="J5" s="184">
        <f t="shared" ref="J5:J36" si="5">IFERROR(C5/$C$56,0)</f>
        <v>5.1404392770842337E-5</v>
      </c>
      <c r="L5" s="183" t="s">
        <v>45</v>
      </c>
      <c r="M5" s="182">
        <f t="shared" ref="M5:M36" si="6">IFERROR($M$3*E5,0)</f>
        <v>1594078.5698159575</v>
      </c>
      <c r="N5" s="181">
        <f t="shared" ref="N5:N36" si="7">IFERROR($N$3*I5,0)</f>
        <v>0</v>
      </c>
      <c r="O5" s="180">
        <f t="shared" ref="O5:O36" si="8">IFERROR($O$3*J5,0)</f>
        <v>2464.9485209014379</v>
      </c>
      <c r="P5" s="179">
        <f t="shared" ref="P5:P36" si="9">IFERROR(SUM(M5:O5),0)</f>
        <v>1596543.5183368588</v>
      </c>
      <c r="Q5" s="178">
        <f t="shared" ref="Q5:Q36" si="10">IFERROR(P5/$P$56,0)</f>
        <v>6.6589098633441195E-3</v>
      </c>
      <c r="S5" s="167"/>
      <c r="T5" s="167"/>
      <c r="AC5" s="167"/>
    </row>
    <row r="6" spans="1:29">
      <c r="A6" s="173" t="s">
        <v>46</v>
      </c>
      <c r="B6" s="172">
        <v>2588435</v>
      </c>
      <c r="C6" s="171">
        <v>953414</v>
      </c>
      <c r="D6" s="177">
        <f t="shared" si="0"/>
        <v>0.368336079522955</v>
      </c>
      <c r="E6" s="176">
        <f t="shared" si="1"/>
        <v>2.4728386627965393E-2</v>
      </c>
      <c r="F6" s="171">
        <v>836482</v>
      </c>
      <c r="G6" s="218">
        <f t="shared" si="2"/>
        <v>0.13979021664542701</v>
      </c>
      <c r="H6" s="175">
        <f t="shared" si="3"/>
        <v>0.13979021664542701</v>
      </c>
      <c r="I6" s="168">
        <f t="shared" si="4"/>
        <v>1.7991724283460474E-2</v>
      </c>
      <c r="J6" s="174">
        <f t="shared" si="5"/>
        <v>4.4278909082812222E-4</v>
      </c>
      <c r="L6" s="173" t="s">
        <v>46</v>
      </c>
      <c r="M6" s="172">
        <f t="shared" si="6"/>
        <v>2964445.0968719884</v>
      </c>
      <c r="N6" s="171">
        <f t="shared" si="7"/>
        <v>1294111.4106342839</v>
      </c>
      <c r="O6" s="170">
        <f t="shared" si="8"/>
        <v>21232.666230952294</v>
      </c>
      <c r="P6" s="169">
        <f t="shared" si="9"/>
        <v>4279789.1737372242</v>
      </c>
      <c r="Q6" s="168">
        <f t="shared" si="10"/>
        <v>1.7850268417186458E-2</v>
      </c>
      <c r="S6" s="167"/>
      <c r="T6" s="167"/>
      <c r="U6" s="167"/>
      <c r="V6" s="167"/>
      <c r="W6" s="167"/>
      <c r="X6" s="167"/>
      <c r="Y6" s="167"/>
      <c r="Z6" s="167"/>
    </row>
    <row r="7" spans="1:29">
      <c r="A7" s="173" t="s">
        <v>47</v>
      </c>
      <c r="B7" s="172">
        <v>1115974</v>
      </c>
      <c r="C7" s="171">
        <v>293401</v>
      </c>
      <c r="D7" s="177">
        <f t="shared" si="0"/>
        <v>0.26291024701292326</v>
      </c>
      <c r="E7" s="176">
        <f t="shared" si="1"/>
        <v>1.7650582166725486E-2</v>
      </c>
      <c r="F7" s="171">
        <v>248385</v>
      </c>
      <c r="G7" s="218">
        <f t="shared" si="2"/>
        <v>0.18123477665720555</v>
      </c>
      <c r="H7" s="175">
        <f t="shared" si="3"/>
        <v>0.18123477665720555</v>
      </c>
      <c r="I7" s="168">
        <f t="shared" si="4"/>
        <v>2.3325853628667723E-2</v>
      </c>
      <c r="J7" s="174">
        <f t="shared" si="5"/>
        <v>1.362626959936207E-4</v>
      </c>
      <c r="L7" s="173" t="s">
        <v>227</v>
      </c>
      <c r="M7" s="172">
        <f t="shared" si="6"/>
        <v>2115956.1498408462</v>
      </c>
      <c r="N7" s="171">
        <f t="shared" si="7"/>
        <v>1677785.4566943198</v>
      </c>
      <c r="O7" s="170">
        <f t="shared" si="8"/>
        <v>6534.0822610404648</v>
      </c>
      <c r="P7" s="169">
        <f t="shared" si="9"/>
        <v>3800275.6887962064</v>
      </c>
      <c r="Q7" s="168">
        <f t="shared" si="10"/>
        <v>1.585029971116178E-2</v>
      </c>
      <c r="S7" s="167"/>
      <c r="T7" s="167"/>
      <c r="U7" s="167"/>
      <c r="V7" s="167"/>
      <c r="W7" s="167"/>
      <c r="X7" s="167"/>
      <c r="Y7" s="167"/>
      <c r="Z7" s="167"/>
    </row>
    <row r="8" spans="1:29">
      <c r="A8" s="173" t="s">
        <v>48</v>
      </c>
      <c r="B8" s="172">
        <v>37146815</v>
      </c>
      <c r="C8" s="171">
        <v>18200124</v>
      </c>
      <c r="D8" s="177">
        <f t="shared" si="0"/>
        <v>0.48995113039973953</v>
      </c>
      <c r="E8" s="176">
        <f t="shared" si="1"/>
        <v>3.2893060590276461E-2</v>
      </c>
      <c r="F8" s="171">
        <v>15242673</v>
      </c>
      <c r="G8" s="218">
        <f t="shared" si="2"/>
        <v>0.19402443390342361</v>
      </c>
      <c r="H8" s="175">
        <f t="shared" si="3"/>
        <v>0.19402443390342361</v>
      </c>
      <c r="I8" s="168">
        <f t="shared" si="4"/>
        <v>2.4971948701526636E-2</v>
      </c>
      <c r="J8" s="174">
        <f t="shared" si="5"/>
        <v>8.4525886539520995E-3</v>
      </c>
      <c r="L8" s="173" t="s">
        <v>48</v>
      </c>
      <c r="M8" s="172">
        <f t="shared" si="6"/>
        <v>3943228.2281483081</v>
      </c>
      <c r="N8" s="171">
        <f t="shared" si="7"/>
        <v>1796186.0270462055</v>
      </c>
      <c r="O8" s="170">
        <f t="shared" si="8"/>
        <v>405319.3662500701</v>
      </c>
      <c r="P8" s="169">
        <f t="shared" si="9"/>
        <v>6144733.6214445829</v>
      </c>
      <c r="Q8" s="168">
        <f t="shared" si="10"/>
        <v>2.5628632636386636E-2</v>
      </c>
      <c r="S8" s="167"/>
      <c r="T8" s="167"/>
      <c r="U8" s="167"/>
      <c r="V8" s="167"/>
      <c r="W8" s="167"/>
      <c r="X8" s="167"/>
      <c r="Y8" s="167"/>
      <c r="Z8" s="167"/>
    </row>
    <row r="9" spans="1:29">
      <c r="A9" s="173" t="s">
        <v>49</v>
      </c>
      <c r="B9" s="172">
        <v>10240869</v>
      </c>
      <c r="C9" s="171">
        <v>1756976</v>
      </c>
      <c r="D9" s="177">
        <f t="shared" si="0"/>
        <v>0.1715651279202966</v>
      </c>
      <c r="E9" s="176">
        <f t="shared" si="1"/>
        <v>1.1518091902873276E-2</v>
      </c>
      <c r="F9" s="171">
        <v>2322895</v>
      </c>
      <c r="G9" s="218">
        <f t="shared" si="2"/>
        <v>-0.24362659526151631</v>
      </c>
      <c r="H9" s="175">
        <f t="shared" si="3"/>
        <v>0</v>
      </c>
      <c r="I9" s="168">
        <f t="shared" si="4"/>
        <v>0</v>
      </c>
      <c r="J9" s="174">
        <f t="shared" si="5"/>
        <v>8.1598319895326776E-4</v>
      </c>
      <c r="L9" s="173" t="s">
        <v>228</v>
      </c>
      <c r="M9" s="172">
        <f t="shared" si="6"/>
        <v>1380791.7022851482</v>
      </c>
      <c r="N9" s="171">
        <f t="shared" si="7"/>
        <v>0</v>
      </c>
      <c r="O9" s="170">
        <f t="shared" si="8"/>
        <v>39128.106975347153</v>
      </c>
      <c r="P9" s="169">
        <f t="shared" si="9"/>
        <v>1419919.8092604955</v>
      </c>
      <c r="Q9" s="168">
        <f t="shared" si="10"/>
        <v>5.9222425912272905E-3</v>
      </c>
      <c r="S9" s="167"/>
      <c r="T9" s="167"/>
      <c r="U9" s="167"/>
      <c r="V9" s="167"/>
      <c r="W9" s="167"/>
      <c r="X9" s="167"/>
      <c r="Y9" s="167"/>
      <c r="Z9" s="167"/>
    </row>
    <row r="10" spans="1:29">
      <c r="A10" s="173" t="s">
        <v>50</v>
      </c>
      <c r="B10" s="172">
        <v>679461530</v>
      </c>
      <c r="C10" s="171">
        <v>292840828.44</v>
      </c>
      <c r="D10" s="177">
        <f t="shared" si="0"/>
        <v>0.43098956380944775</v>
      </c>
      <c r="E10" s="176">
        <f t="shared" si="1"/>
        <v>2.893465277770594E-2</v>
      </c>
      <c r="F10" s="171">
        <v>263928665.28</v>
      </c>
      <c r="G10" s="218">
        <f t="shared" si="2"/>
        <v>0.10954536950098737</v>
      </c>
      <c r="H10" s="175">
        <f t="shared" si="3"/>
        <v>0.10954536950098737</v>
      </c>
      <c r="I10" s="168">
        <f t="shared" si="4"/>
        <v>1.4099055941738105E-2</v>
      </c>
      <c r="J10" s="174">
        <f t="shared" si="5"/>
        <v>0.13600253843797314</v>
      </c>
      <c r="L10" s="173" t="s">
        <v>50</v>
      </c>
      <c r="M10" s="172">
        <f t="shared" si="6"/>
        <v>3468693.3218506239</v>
      </c>
      <c r="N10" s="171">
        <f t="shared" si="7"/>
        <v>1014118.9852574291</v>
      </c>
      <c r="O10" s="170">
        <f t="shared" si="8"/>
        <v>6521607.1602284862</v>
      </c>
      <c r="P10" s="169">
        <f t="shared" si="9"/>
        <v>11004419.467336539</v>
      </c>
      <c r="Q10" s="168">
        <f t="shared" si="10"/>
        <v>4.5897550858969023E-2</v>
      </c>
      <c r="S10" s="167"/>
      <c r="T10" s="167"/>
      <c r="U10" s="167"/>
      <c r="V10" s="167"/>
      <c r="W10" s="167"/>
      <c r="X10" s="167"/>
      <c r="Y10" s="167"/>
      <c r="Z10" s="167"/>
    </row>
    <row r="11" spans="1:29">
      <c r="A11" s="173" t="s">
        <v>51</v>
      </c>
      <c r="B11" s="172"/>
      <c r="C11" s="171"/>
      <c r="D11" s="177">
        <f t="shared" si="0"/>
        <v>0</v>
      </c>
      <c r="E11" s="176">
        <f t="shared" si="1"/>
        <v>0</v>
      </c>
      <c r="F11" s="171"/>
      <c r="G11" s="218">
        <f t="shared" si="2"/>
        <v>0</v>
      </c>
      <c r="H11" s="175">
        <f t="shared" si="3"/>
        <v>0</v>
      </c>
      <c r="I11" s="168">
        <f t="shared" si="4"/>
        <v>0</v>
      </c>
      <c r="J11" s="174">
        <f t="shared" si="5"/>
        <v>0</v>
      </c>
      <c r="L11" s="173" t="s">
        <v>51</v>
      </c>
      <c r="M11" s="172">
        <f t="shared" si="6"/>
        <v>0</v>
      </c>
      <c r="N11" s="171">
        <f t="shared" si="7"/>
        <v>0</v>
      </c>
      <c r="O11" s="170">
        <f t="shared" si="8"/>
        <v>0</v>
      </c>
      <c r="P11" s="169">
        <f t="shared" si="9"/>
        <v>0</v>
      </c>
      <c r="Q11" s="168">
        <f t="shared" si="10"/>
        <v>0</v>
      </c>
      <c r="S11" s="167"/>
      <c r="T11" s="167"/>
      <c r="U11" s="167"/>
      <c r="V11" s="167"/>
      <c r="W11" s="167"/>
      <c r="X11" s="167"/>
      <c r="Y11" s="167"/>
      <c r="Z11" s="167"/>
    </row>
    <row r="12" spans="1:29">
      <c r="A12" s="173" t="s">
        <v>52</v>
      </c>
      <c r="B12" s="172">
        <v>2443492</v>
      </c>
      <c r="C12" s="171">
        <v>927656</v>
      </c>
      <c r="D12" s="177">
        <f t="shared" si="0"/>
        <v>0.37964355929955979</v>
      </c>
      <c r="E12" s="176">
        <f t="shared" si="1"/>
        <v>2.5487518701222848E-2</v>
      </c>
      <c r="F12" s="171">
        <v>721021</v>
      </c>
      <c r="G12" s="218">
        <f t="shared" si="2"/>
        <v>0.2865866597505482</v>
      </c>
      <c r="H12" s="175">
        <f t="shared" si="3"/>
        <v>0.2865866597505482</v>
      </c>
      <c r="I12" s="168">
        <f t="shared" si="4"/>
        <v>3.6885186168845084E-2</v>
      </c>
      <c r="J12" s="174">
        <f t="shared" si="5"/>
        <v>4.3082643724683351E-4</v>
      </c>
      <c r="L12" s="173" t="s">
        <v>52</v>
      </c>
      <c r="M12" s="172">
        <f t="shared" si="6"/>
        <v>3055450.0373197142</v>
      </c>
      <c r="N12" s="171">
        <f t="shared" si="7"/>
        <v>2653083.1371372794</v>
      </c>
      <c r="O12" s="170">
        <f t="shared" si="8"/>
        <v>20659.031884512162</v>
      </c>
      <c r="P12" s="169">
        <f t="shared" si="9"/>
        <v>5729192.2063415051</v>
      </c>
      <c r="Q12" s="168">
        <f t="shared" si="10"/>
        <v>2.3895480488714309E-2</v>
      </c>
      <c r="S12" s="167"/>
      <c r="T12" s="167"/>
      <c r="U12" s="167"/>
      <c r="V12" s="167"/>
      <c r="W12" s="167"/>
      <c r="X12" s="167"/>
      <c r="Y12" s="167"/>
      <c r="Z12" s="167"/>
    </row>
    <row r="13" spans="1:29">
      <c r="A13" s="173" t="s">
        <v>53</v>
      </c>
      <c r="B13" s="172">
        <v>96076042</v>
      </c>
      <c r="C13" s="171">
        <v>28519495.5</v>
      </c>
      <c r="D13" s="177">
        <f t="shared" si="0"/>
        <v>0.29684294758936886</v>
      </c>
      <c r="E13" s="176">
        <f t="shared" si="1"/>
        <v>1.992866727930007E-2</v>
      </c>
      <c r="F13" s="171">
        <v>28310880.329999998</v>
      </c>
      <c r="G13" s="218">
        <f t="shared" si="2"/>
        <v>7.3687277671454776E-3</v>
      </c>
      <c r="H13" s="175">
        <f t="shared" si="3"/>
        <v>7.3687277671454776E-3</v>
      </c>
      <c r="I13" s="168">
        <f t="shared" si="4"/>
        <v>9.483933961032154E-4</v>
      </c>
      <c r="J13" s="174">
        <f t="shared" si="5"/>
        <v>1.3245160531858901E-2</v>
      </c>
      <c r="L13" s="173" t="s">
        <v>229</v>
      </c>
      <c r="M13" s="172">
        <f t="shared" si="6"/>
        <v>2389053.5558233103</v>
      </c>
      <c r="N13" s="171">
        <f t="shared" si="7"/>
        <v>68216.180746813377</v>
      </c>
      <c r="O13" s="170">
        <f t="shared" si="8"/>
        <v>635133.24644555862</v>
      </c>
      <c r="P13" s="169">
        <f t="shared" si="9"/>
        <v>3092402.9830156821</v>
      </c>
      <c r="Q13" s="168">
        <f t="shared" si="10"/>
        <v>1.2897883764852777E-2</v>
      </c>
      <c r="S13" s="167"/>
      <c r="T13" s="167"/>
      <c r="U13" s="167"/>
      <c r="V13" s="167"/>
      <c r="W13" s="167"/>
      <c r="X13" s="167"/>
      <c r="Y13" s="167"/>
      <c r="Z13" s="167"/>
    </row>
    <row r="14" spans="1:29">
      <c r="A14" s="173" t="s">
        <v>54</v>
      </c>
      <c r="B14" s="172">
        <v>25918809</v>
      </c>
      <c r="C14" s="171">
        <v>6103961.7199999997</v>
      </c>
      <c r="D14" s="177">
        <f t="shared" si="0"/>
        <v>0.23550317146131211</v>
      </c>
      <c r="E14" s="176">
        <f t="shared" si="1"/>
        <v>1.5810597440114253E-2</v>
      </c>
      <c r="F14" s="171">
        <v>4203660</v>
      </c>
      <c r="G14" s="218">
        <f t="shared" si="2"/>
        <v>0.45205885347530472</v>
      </c>
      <c r="H14" s="175">
        <f t="shared" si="3"/>
        <v>0.45205885347530472</v>
      </c>
      <c r="I14" s="168">
        <f t="shared" si="4"/>
        <v>5.8182313804225776E-2</v>
      </c>
      <c r="J14" s="174">
        <f t="shared" si="5"/>
        <v>2.8348311021743552E-3</v>
      </c>
      <c r="L14" s="173" t="s">
        <v>230</v>
      </c>
      <c r="M14" s="172">
        <f t="shared" si="6"/>
        <v>1895378.3263384644</v>
      </c>
      <c r="N14" s="171">
        <f t="shared" si="7"/>
        <v>4184946.0899292575</v>
      </c>
      <c r="O14" s="170">
        <f t="shared" si="8"/>
        <v>135936.10109277759</v>
      </c>
      <c r="P14" s="169">
        <f t="shared" si="9"/>
        <v>6216260.5173604991</v>
      </c>
      <c r="Q14" s="168">
        <f t="shared" si="10"/>
        <v>2.5926959081759727E-2</v>
      </c>
      <c r="S14" s="167"/>
      <c r="T14" s="167"/>
      <c r="U14" s="167"/>
      <c r="V14" s="167"/>
      <c r="W14" s="167"/>
      <c r="X14" s="167"/>
      <c r="Y14" s="167"/>
      <c r="Z14" s="167"/>
    </row>
    <row r="15" spans="1:29">
      <c r="A15" s="173" t="s">
        <v>55</v>
      </c>
      <c r="B15" s="172">
        <v>2065528</v>
      </c>
      <c r="C15" s="171">
        <v>826855</v>
      </c>
      <c r="D15" s="177">
        <f t="shared" si="0"/>
        <v>0.40031168785898813</v>
      </c>
      <c r="E15" s="176">
        <f t="shared" si="1"/>
        <v>2.6875081588236163E-2</v>
      </c>
      <c r="F15" s="171">
        <v>3866062</v>
      </c>
      <c r="G15" s="218">
        <f t="shared" si="2"/>
        <v>-0.78612474399013776</v>
      </c>
      <c r="H15" s="175">
        <f t="shared" si="3"/>
        <v>0</v>
      </c>
      <c r="I15" s="168">
        <f t="shared" si="4"/>
        <v>0</v>
      </c>
      <c r="J15" s="174">
        <f t="shared" si="5"/>
        <v>3.8401195461435113E-4</v>
      </c>
      <c r="L15" s="173" t="s">
        <v>231</v>
      </c>
      <c r="M15" s="172">
        <f t="shared" si="6"/>
        <v>3221791.4189429036</v>
      </c>
      <c r="N15" s="171">
        <f t="shared" si="7"/>
        <v>0</v>
      </c>
      <c r="O15" s="170">
        <f t="shared" si="8"/>
        <v>18414.179188048482</v>
      </c>
      <c r="P15" s="169">
        <f t="shared" si="9"/>
        <v>3240205.5981309521</v>
      </c>
      <c r="Q15" s="168">
        <f t="shared" si="10"/>
        <v>1.3514343185040951E-2</v>
      </c>
      <c r="S15" s="167"/>
      <c r="T15" s="167"/>
      <c r="U15" s="167"/>
      <c r="V15" s="167"/>
      <c r="W15" s="167"/>
      <c r="X15" s="167"/>
      <c r="Y15" s="167"/>
      <c r="Z15" s="167"/>
    </row>
    <row r="16" spans="1:29">
      <c r="A16" s="173" t="s">
        <v>56</v>
      </c>
      <c r="B16" s="172">
        <v>4522487</v>
      </c>
      <c r="C16" s="171">
        <v>1648610</v>
      </c>
      <c r="D16" s="177">
        <f t="shared" si="0"/>
        <v>0.36453615013155372</v>
      </c>
      <c r="E16" s="176">
        <f t="shared" si="1"/>
        <v>2.4473276883431982E-2</v>
      </c>
      <c r="F16" s="171">
        <v>1407462</v>
      </c>
      <c r="G16" s="218">
        <f t="shared" si="2"/>
        <v>0.17133535399179523</v>
      </c>
      <c r="H16" s="175">
        <f t="shared" si="3"/>
        <v>0.17133535399179523</v>
      </c>
      <c r="I16" s="168">
        <f t="shared" si="4"/>
        <v>2.2051746703050271E-2</v>
      </c>
      <c r="J16" s="174">
        <f t="shared" si="5"/>
        <v>7.6565534283128892E-4</v>
      </c>
      <c r="L16" s="173" t="s">
        <v>56</v>
      </c>
      <c r="M16" s="172">
        <f t="shared" si="6"/>
        <v>2933862.4776852163</v>
      </c>
      <c r="N16" s="171">
        <f t="shared" si="7"/>
        <v>1586141.3049258613</v>
      </c>
      <c r="O16" s="170">
        <f t="shared" si="8"/>
        <v>36714.780646193845</v>
      </c>
      <c r="P16" s="169">
        <f t="shared" si="9"/>
        <v>4556718.5632572714</v>
      </c>
      <c r="Q16" s="168">
        <f t="shared" si="10"/>
        <v>1.9005293521197328E-2</v>
      </c>
      <c r="S16" s="167"/>
      <c r="T16" s="167"/>
      <c r="U16" s="167"/>
      <c r="V16" s="167"/>
      <c r="W16" s="167"/>
      <c r="X16" s="167"/>
      <c r="Y16" s="167"/>
      <c r="Z16" s="167"/>
    </row>
    <row r="17" spans="1:26">
      <c r="A17" s="173" t="s">
        <v>57</v>
      </c>
      <c r="B17" s="172">
        <v>45557174</v>
      </c>
      <c r="C17" s="171">
        <v>14225141</v>
      </c>
      <c r="D17" s="177">
        <f t="shared" si="0"/>
        <v>0.31224809949800664</v>
      </c>
      <c r="E17" s="176">
        <f t="shared" si="1"/>
        <v>2.0962898172327733E-2</v>
      </c>
      <c r="F17" s="171">
        <v>12855566</v>
      </c>
      <c r="G17" s="218">
        <f t="shared" si="2"/>
        <v>0.10653556599530511</v>
      </c>
      <c r="H17" s="175">
        <f t="shared" si="3"/>
        <v>0.10653556599530511</v>
      </c>
      <c r="I17" s="168">
        <f t="shared" si="4"/>
        <v>1.3711678655107373E-2</v>
      </c>
      <c r="J17" s="174">
        <f t="shared" si="5"/>
        <v>6.6065080335424541E-3</v>
      </c>
      <c r="L17" s="173" t="s">
        <v>232</v>
      </c>
      <c r="M17" s="172">
        <f t="shared" si="6"/>
        <v>2513037.410734497</v>
      </c>
      <c r="N17" s="171">
        <f t="shared" si="7"/>
        <v>986255.65437533986</v>
      </c>
      <c r="O17" s="170">
        <f t="shared" si="8"/>
        <v>316795.92594742152</v>
      </c>
      <c r="P17" s="169">
        <f t="shared" si="9"/>
        <v>3816088.9910572586</v>
      </c>
      <c r="Q17" s="168">
        <f t="shared" si="10"/>
        <v>1.5916254289404567E-2</v>
      </c>
      <c r="S17" s="167"/>
      <c r="T17" s="167"/>
      <c r="U17" s="167"/>
      <c r="V17" s="167"/>
      <c r="W17" s="167"/>
      <c r="X17" s="167"/>
      <c r="Y17" s="167"/>
      <c r="Z17" s="167"/>
    </row>
    <row r="18" spans="1:26">
      <c r="A18" s="173" t="s">
        <v>58</v>
      </c>
      <c r="B18" s="172">
        <v>6492908</v>
      </c>
      <c r="C18" s="171">
        <v>766514</v>
      </c>
      <c r="D18" s="177">
        <f t="shared" si="0"/>
        <v>0.11805403680446419</v>
      </c>
      <c r="E18" s="176">
        <f t="shared" si="1"/>
        <v>7.9256038910815261E-3</v>
      </c>
      <c r="F18" s="171">
        <v>602897</v>
      </c>
      <c r="G18" s="218">
        <f t="shared" si="2"/>
        <v>0.27138466437882425</v>
      </c>
      <c r="H18" s="175">
        <f t="shared" si="3"/>
        <v>0.27138466437882425</v>
      </c>
      <c r="I18" s="168">
        <f t="shared" si="4"/>
        <v>3.4928610695611158E-2</v>
      </c>
      <c r="J18" s="174">
        <f t="shared" si="5"/>
        <v>3.5598809873468114E-4</v>
      </c>
      <c r="L18" s="173" t="s">
        <v>58</v>
      </c>
      <c r="M18" s="172">
        <f t="shared" si="6"/>
        <v>950123.35208701447</v>
      </c>
      <c r="N18" s="171">
        <f t="shared" si="7"/>
        <v>2512350.2865340244</v>
      </c>
      <c r="O18" s="170">
        <f t="shared" si="8"/>
        <v>17070.376482149586</v>
      </c>
      <c r="P18" s="169">
        <f t="shared" si="9"/>
        <v>3479544.0151031883</v>
      </c>
      <c r="Q18" s="168">
        <f t="shared" si="10"/>
        <v>1.4512582773971045E-2</v>
      </c>
      <c r="S18" s="167"/>
      <c r="T18" s="167"/>
      <c r="U18" s="167"/>
      <c r="V18" s="167"/>
      <c r="W18" s="167"/>
      <c r="X18" s="167"/>
      <c r="Y18" s="167"/>
      <c r="Z18" s="167"/>
    </row>
    <row r="19" spans="1:26">
      <c r="A19" s="173" t="s">
        <v>59</v>
      </c>
      <c r="B19" s="172">
        <v>1493874</v>
      </c>
      <c r="C19" s="171">
        <v>328496</v>
      </c>
      <c r="D19" s="177">
        <f t="shared" si="0"/>
        <v>0.21989538609012541</v>
      </c>
      <c r="E19" s="176">
        <f t="shared" si="1"/>
        <v>1.4762762670398314E-2</v>
      </c>
      <c r="F19" s="171">
        <v>363371</v>
      </c>
      <c r="G19" s="218">
        <f t="shared" si="2"/>
        <v>-9.5976288696676404E-2</v>
      </c>
      <c r="H19" s="175">
        <f t="shared" si="3"/>
        <v>0</v>
      </c>
      <c r="I19" s="168">
        <f t="shared" si="4"/>
        <v>0</v>
      </c>
      <c r="J19" s="174">
        <f t="shared" si="5"/>
        <v>1.5256168378131098E-4</v>
      </c>
      <c r="L19" s="173" t="s">
        <v>59</v>
      </c>
      <c r="M19" s="172">
        <f t="shared" si="6"/>
        <v>1769763.6353297294</v>
      </c>
      <c r="N19" s="171">
        <f t="shared" si="7"/>
        <v>0</v>
      </c>
      <c r="O19" s="170">
        <f t="shared" si="8"/>
        <v>7315.6529337757829</v>
      </c>
      <c r="P19" s="169">
        <f t="shared" si="9"/>
        <v>1777079.2882635051</v>
      </c>
      <c r="Q19" s="168">
        <f t="shared" si="10"/>
        <v>7.4118936719554177E-3</v>
      </c>
      <c r="S19" s="167"/>
      <c r="T19" s="167"/>
      <c r="U19" s="167"/>
      <c r="V19" s="167"/>
      <c r="W19" s="167"/>
      <c r="X19" s="167"/>
      <c r="Y19" s="167"/>
      <c r="Z19" s="167"/>
    </row>
    <row r="20" spans="1:26">
      <c r="A20" s="173" t="s">
        <v>60</v>
      </c>
      <c r="B20" s="172">
        <v>2353237</v>
      </c>
      <c r="C20" s="171">
        <v>704192</v>
      </c>
      <c r="D20" s="177">
        <f t="shared" si="0"/>
        <v>0.29924397755092241</v>
      </c>
      <c r="E20" s="176">
        <f t="shared" si="1"/>
        <v>2.0089861363983604E-2</v>
      </c>
      <c r="F20" s="171">
        <v>531178</v>
      </c>
      <c r="G20" s="218">
        <f t="shared" si="2"/>
        <v>0.32571755607348196</v>
      </c>
      <c r="H20" s="175">
        <f t="shared" si="3"/>
        <v>0.32571755607348196</v>
      </c>
      <c r="I20" s="168">
        <f t="shared" si="4"/>
        <v>4.1921535024306511E-2</v>
      </c>
      <c r="J20" s="174">
        <f t="shared" si="5"/>
        <v>3.2704421735829035E-4</v>
      </c>
      <c r="L20" s="173" t="s">
        <v>233</v>
      </c>
      <c r="M20" s="172">
        <f t="shared" si="6"/>
        <v>2408377.5425101114</v>
      </c>
      <c r="N20" s="171">
        <f t="shared" si="7"/>
        <v>3015338.3839998096</v>
      </c>
      <c r="O20" s="170">
        <f t="shared" si="8"/>
        <v>15682.456622733416</v>
      </c>
      <c r="P20" s="169">
        <f t="shared" si="9"/>
        <v>5439398.3831326542</v>
      </c>
      <c r="Q20" s="168">
        <f t="shared" si="10"/>
        <v>2.268680003275541E-2</v>
      </c>
      <c r="S20" s="167"/>
      <c r="T20" s="167"/>
      <c r="U20" s="167"/>
      <c r="V20" s="167"/>
      <c r="W20" s="167"/>
      <c r="X20" s="167"/>
      <c r="Y20" s="167"/>
      <c r="Z20" s="167"/>
    </row>
    <row r="21" spans="1:26">
      <c r="A21" s="173" t="s">
        <v>61</v>
      </c>
      <c r="B21" s="172">
        <v>9897478</v>
      </c>
      <c r="C21" s="171">
        <v>1253081</v>
      </c>
      <c r="D21" s="177">
        <f t="shared" si="0"/>
        <v>0.12660609096579958</v>
      </c>
      <c r="E21" s="176">
        <f t="shared" si="1"/>
        <v>8.499749388961331E-3</v>
      </c>
      <c r="F21" s="171">
        <v>1058773</v>
      </c>
      <c r="G21" s="218">
        <f t="shared" si="2"/>
        <v>0.18352186918253488</v>
      </c>
      <c r="H21" s="175">
        <f t="shared" si="3"/>
        <v>0.18352186918253488</v>
      </c>
      <c r="I21" s="168">
        <f t="shared" si="4"/>
        <v>2.3620214272165835E-2</v>
      </c>
      <c r="J21" s="174">
        <f t="shared" si="5"/>
        <v>5.8196187251707463E-4</v>
      </c>
      <c r="L21" s="173" t="s">
        <v>61</v>
      </c>
      <c r="M21" s="172">
        <f t="shared" si="6"/>
        <v>1018952.0561867835</v>
      </c>
      <c r="N21" s="171">
        <f t="shared" si="7"/>
        <v>1698958.2726840994</v>
      </c>
      <c r="O21" s="170">
        <f t="shared" si="8"/>
        <v>27906.293208771771</v>
      </c>
      <c r="P21" s="169">
        <f t="shared" si="9"/>
        <v>2745816.6220796546</v>
      </c>
      <c r="Q21" s="168">
        <f t="shared" si="10"/>
        <v>1.1452331350633831E-2</v>
      </c>
      <c r="S21" s="167"/>
      <c r="T21" s="167"/>
      <c r="U21" s="167"/>
      <c r="V21" s="167"/>
      <c r="W21" s="167"/>
      <c r="X21" s="167"/>
      <c r="Y21" s="167"/>
      <c r="Z21" s="167"/>
    </row>
    <row r="22" spans="1:26">
      <c r="A22" s="173" t="s">
        <v>62</v>
      </c>
      <c r="B22" s="172">
        <v>377012210</v>
      </c>
      <c r="C22" s="171">
        <v>89654721.319999993</v>
      </c>
      <c r="D22" s="177">
        <f t="shared" si="0"/>
        <v>0.23780323008636775</v>
      </c>
      <c r="E22" s="176">
        <f t="shared" si="1"/>
        <v>1.5965012774666939E-2</v>
      </c>
      <c r="F22" s="171">
        <v>84817135</v>
      </c>
      <c r="G22" s="218">
        <f t="shared" si="2"/>
        <v>5.7035483690883737E-2</v>
      </c>
      <c r="H22" s="175">
        <f t="shared" si="3"/>
        <v>5.7035483690883737E-2</v>
      </c>
      <c r="I22" s="168">
        <f t="shared" si="4"/>
        <v>7.3407619042684695E-3</v>
      </c>
      <c r="J22" s="174">
        <f t="shared" si="5"/>
        <v>4.1637874566275997E-2</v>
      </c>
      <c r="L22" s="173" t="s">
        <v>234</v>
      </c>
      <c r="M22" s="172">
        <f t="shared" si="6"/>
        <v>1913889.674785228</v>
      </c>
      <c r="N22" s="171">
        <f t="shared" si="7"/>
        <v>528007.41015113669</v>
      </c>
      <c r="O22" s="170">
        <f t="shared" si="8"/>
        <v>1996623.4750240739</v>
      </c>
      <c r="P22" s="169">
        <f t="shared" si="9"/>
        <v>4438520.5599604379</v>
      </c>
      <c r="Q22" s="168">
        <f t="shared" si="10"/>
        <v>1.8512309871869206E-2</v>
      </c>
      <c r="S22" s="167"/>
      <c r="T22" s="167"/>
      <c r="U22" s="167"/>
      <c r="V22" s="167"/>
      <c r="W22" s="167"/>
      <c r="X22" s="167"/>
      <c r="Y22" s="167"/>
      <c r="Z22" s="167"/>
    </row>
    <row r="23" spans="1:26">
      <c r="A23" s="173" t="s">
        <v>63</v>
      </c>
      <c r="B23" s="172">
        <v>4942797</v>
      </c>
      <c r="C23" s="171">
        <v>1101010</v>
      </c>
      <c r="D23" s="177">
        <f t="shared" si="0"/>
        <v>0.22275039820571227</v>
      </c>
      <c r="E23" s="176">
        <f t="shared" si="1"/>
        <v>1.4954435024388707E-2</v>
      </c>
      <c r="F23" s="171">
        <v>1347671</v>
      </c>
      <c r="G23" s="218">
        <f t="shared" si="2"/>
        <v>-0.18302760837029219</v>
      </c>
      <c r="H23" s="175">
        <f t="shared" si="3"/>
        <v>0</v>
      </c>
      <c r="I23" s="168">
        <f t="shared" si="4"/>
        <v>0</v>
      </c>
      <c r="J23" s="174">
        <f t="shared" si="5"/>
        <v>5.1133633121883126E-4</v>
      </c>
      <c r="L23" s="173" t="s">
        <v>63</v>
      </c>
      <c r="M23" s="172">
        <f t="shared" si="6"/>
        <v>1792741.3644691692</v>
      </c>
      <c r="N23" s="171">
        <f t="shared" si="7"/>
        <v>0</v>
      </c>
      <c r="O23" s="170">
        <f t="shared" si="8"/>
        <v>24519.650274634925</v>
      </c>
      <c r="P23" s="169">
        <f t="shared" si="9"/>
        <v>1817261.014743804</v>
      </c>
      <c r="Q23" s="168">
        <f t="shared" si="10"/>
        <v>7.5794847784381178E-3</v>
      </c>
      <c r="S23" s="167"/>
      <c r="T23" s="167"/>
      <c r="U23" s="167"/>
      <c r="V23" s="167"/>
      <c r="W23" s="167"/>
      <c r="X23" s="167"/>
      <c r="Y23" s="167"/>
      <c r="Z23" s="167"/>
    </row>
    <row r="24" spans="1:26">
      <c r="A24" s="173" t="s">
        <v>64</v>
      </c>
      <c r="B24" s="172">
        <v>437682929</v>
      </c>
      <c r="C24" s="171">
        <v>149244141.31999999</v>
      </c>
      <c r="D24" s="177">
        <f t="shared" si="0"/>
        <v>0.34098689126621157</v>
      </c>
      <c r="E24" s="176">
        <f t="shared" si="1"/>
        <v>2.2892288187514858E-2</v>
      </c>
      <c r="F24" s="171">
        <v>139338983</v>
      </c>
      <c r="G24" s="218">
        <f t="shared" si="2"/>
        <v>7.1086770598863813E-2</v>
      </c>
      <c r="H24" s="175">
        <f t="shared" si="3"/>
        <v>7.1086770598863813E-2</v>
      </c>
      <c r="I24" s="168">
        <f t="shared" si="4"/>
        <v>9.1492352434107294E-3</v>
      </c>
      <c r="J24" s="174">
        <f t="shared" si="5"/>
        <v>6.9312678066932712E-2</v>
      </c>
      <c r="L24" s="173" t="s">
        <v>64</v>
      </c>
      <c r="M24" s="172">
        <f t="shared" si="6"/>
        <v>2744333.1623144634</v>
      </c>
      <c r="N24" s="171">
        <f t="shared" si="7"/>
        <v>658087.54850471008</v>
      </c>
      <c r="O24" s="170">
        <f t="shared" si="8"/>
        <v>3323688.3867581505</v>
      </c>
      <c r="P24" s="169">
        <f t="shared" si="9"/>
        <v>6726109.0975773241</v>
      </c>
      <c r="Q24" s="168">
        <f t="shared" si="10"/>
        <v>2.8053450280167189E-2</v>
      </c>
      <c r="S24" s="167"/>
      <c r="T24" s="167"/>
      <c r="U24" s="167"/>
      <c r="V24" s="167"/>
      <c r="W24" s="167"/>
      <c r="X24" s="167"/>
      <c r="Y24" s="167"/>
      <c r="Z24" s="167"/>
    </row>
    <row r="25" spans="1:26">
      <c r="A25" s="173" t="s">
        <v>65</v>
      </c>
      <c r="B25" s="172">
        <v>11203821</v>
      </c>
      <c r="C25" s="171">
        <v>4417747</v>
      </c>
      <c r="D25" s="177">
        <f t="shared" si="0"/>
        <v>0.39430717431133538</v>
      </c>
      <c r="E25" s="176">
        <f t="shared" si="1"/>
        <v>2.6471966224920363E-2</v>
      </c>
      <c r="F25" s="171">
        <v>3647488</v>
      </c>
      <c r="G25" s="218">
        <f t="shared" si="2"/>
        <v>0.21117519783478378</v>
      </c>
      <c r="H25" s="175">
        <f t="shared" si="3"/>
        <v>0.21117519783478378</v>
      </c>
      <c r="I25" s="168">
        <f t="shared" si="4"/>
        <v>2.7179340773079343E-2</v>
      </c>
      <c r="J25" s="174">
        <f t="shared" si="5"/>
        <v>2.0517111953869613E-3</v>
      </c>
      <c r="L25" s="173" t="s">
        <v>235</v>
      </c>
      <c r="M25" s="172">
        <f t="shared" si="6"/>
        <v>3173465.8496191106</v>
      </c>
      <c r="N25" s="171">
        <f t="shared" si="7"/>
        <v>1954959.6511043536</v>
      </c>
      <c r="O25" s="170">
        <f t="shared" si="8"/>
        <v>98383.857950261678</v>
      </c>
      <c r="P25" s="169">
        <f t="shared" si="9"/>
        <v>5226809.3586737262</v>
      </c>
      <c r="Q25" s="168">
        <f t="shared" si="10"/>
        <v>2.1800127583461375E-2</v>
      </c>
      <c r="S25" s="167"/>
      <c r="T25" s="167"/>
      <c r="U25" s="167"/>
      <c r="V25" s="167"/>
      <c r="W25" s="167"/>
      <c r="X25" s="167"/>
      <c r="Y25" s="167"/>
      <c r="Z25" s="167"/>
    </row>
    <row r="26" spans="1:26">
      <c r="A26" s="173" t="s">
        <v>66</v>
      </c>
      <c r="B26" s="172">
        <v>822645</v>
      </c>
      <c r="C26" s="171">
        <v>320606.25</v>
      </c>
      <c r="D26" s="177">
        <f t="shared" si="0"/>
        <v>0.38972612730886347</v>
      </c>
      <c r="E26" s="176">
        <f t="shared" si="1"/>
        <v>2.6164415844342055E-2</v>
      </c>
      <c r="F26" s="171">
        <v>228955</v>
      </c>
      <c r="G26" s="218">
        <f t="shared" si="2"/>
        <v>0.40030246118232848</v>
      </c>
      <c r="H26" s="175">
        <f t="shared" si="3"/>
        <v>0.40030246118232848</v>
      </c>
      <c r="I26" s="168">
        <f t="shared" si="4"/>
        <v>5.1520998281668361E-2</v>
      </c>
      <c r="J26" s="174">
        <f t="shared" si="5"/>
        <v>1.4889748834327339E-4</v>
      </c>
      <c r="L26" s="173" t="s">
        <v>66</v>
      </c>
      <c r="M26" s="172">
        <f t="shared" si="6"/>
        <v>3136596.634030439</v>
      </c>
      <c r="N26" s="171">
        <f t="shared" si="7"/>
        <v>3705809.9998157872</v>
      </c>
      <c r="O26" s="170">
        <f t="shared" si="8"/>
        <v>7139.9470721084945</v>
      </c>
      <c r="P26" s="169">
        <f t="shared" si="9"/>
        <v>6849546.5809183344</v>
      </c>
      <c r="Q26" s="168">
        <f t="shared" si="10"/>
        <v>2.8568286904340184E-2</v>
      </c>
      <c r="S26" s="167"/>
      <c r="T26" s="167"/>
      <c r="U26" s="167"/>
      <c r="V26" s="167"/>
      <c r="W26" s="167"/>
      <c r="X26" s="167"/>
      <c r="Y26" s="167"/>
      <c r="Z26" s="167"/>
    </row>
    <row r="27" spans="1:26">
      <c r="A27" s="173" t="s">
        <v>67</v>
      </c>
      <c r="B27" s="172"/>
      <c r="C27" s="171"/>
      <c r="D27" s="177">
        <f t="shared" si="0"/>
        <v>0</v>
      </c>
      <c r="E27" s="176">
        <f t="shared" si="1"/>
        <v>0</v>
      </c>
      <c r="F27" s="171"/>
      <c r="G27" s="218">
        <f t="shared" si="2"/>
        <v>0</v>
      </c>
      <c r="H27" s="175">
        <f t="shared" si="3"/>
        <v>0</v>
      </c>
      <c r="I27" s="168">
        <f t="shared" si="4"/>
        <v>0</v>
      </c>
      <c r="J27" s="174">
        <f t="shared" si="5"/>
        <v>0</v>
      </c>
      <c r="L27" s="173" t="s">
        <v>67</v>
      </c>
      <c r="M27" s="172">
        <f t="shared" si="6"/>
        <v>0</v>
      </c>
      <c r="N27" s="171">
        <f t="shared" si="7"/>
        <v>0</v>
      </c>
      <c r="O27" s="170">
        <f t="shared" si="8"/>
        <v>0</v>
      </c>
      <c r="P27" s="169">
        <f t="shared" si="9"/>
        <v>0</v>
      </c>
      <c r="Q27" s="168">
        <f t="shared" si="10"/>
        <v>0</v>
      </c>
      <c r="S27" s="167"/>
      <c r="T27" s="167"/>
      <c r="U27" s="167"/>
      <c r="V27" s="167"/>
      <c r="W27" s="167"/>
      <c r="X27" s="167"/>
      <c r="Y27" s="167"/>
      <c r="Z27" s="167"/>
    </row>
    <row r="28" spans="1:26">
      <c r="A28" s="173" t="s">
        <v>68</v>
      </c>
      <c r="B28" s="172">
        <v>59610291</v>
      </c>
      <c r="C28" s="171">
        <v>7133102</v>
      </c>
      <c r="D28" s="177">
        <f t="shared" si="0"/>
        <v>0.11966225764608329</v>
      </c>
      <c r="E28" s="176">
        <f t="shared" si="1"/>
        <v>8.0335724257040789E-3</v>
      </c>
      <c r="F28" s="171">
        <v>11872386</v>
      </c>
      <c r="G28" s="218">
        <f t="shared" si="2"/>
        <v>-0.39918547122709791</v>
      </c>
      <c r="H28" s="175">
        <f t="shared" si="3"/>
        <v>0</v>
      </c>
      <c r="I28" s="168">
        <f t="shared" si="4"/>
        <v>0</v>
      </c>
      <c r="J28" s="174">
        <f t="shared" si="5"/>
        <v>3.3127893542199507E-3</v>
      </c>
      <c r="L28" s="173" t="s">
        <v>68</v>
      </c>
      <c r="M28" s="172">
        <f t="shared" si="6"/>
        <v>963066.64668579411</v>
      </c>
      <c r="N28" s="171">
        <f t="shared" si="7"/>
        <v>0</v>
      </c>
      <c r="O28" s="170">
        <f t="shared" si="8"/>
        <v>158855.2024171433</v>
      </c>
      <c r="P28" s="169">
        <f t="shared" si="9"/>
        <v>1121921.8491029374</v>
      </c>
      <c r="Q28" s="168">
        <f t="shared" si="10"/>
        <v>4.6793440836960286E-3</v>
      </c>
      <c r="S28" s="167"/>
      <c r="T28" s="167"/>
      <c r="U28" s="167"/>
      <c r="V28" s="167"/>
      <c r="W28" s="167"/>
      <c r="X28" s="167"/>
      <c r="Y28" s="167"/>
      <c r="Z28" s="167"/>
    </row>
    <row r="29" spans="1:26">
      <c r="A29" s="173" t="s">
        <v>69</v>
      </c>
      <c r="B29" s="172">
        <v>542535324</v>
      </c>
      <c r="C29" s="171">
        <v>259353547.03</v>
      </c>
      <c r="D29" s="177">
        <f t="shared" si="0"/>
        <v>0.47803992764533798</v>
      </c>
      <c r="E29" s="176">
        <f t="shared" si="1"/>
        <v>3.2093397338996806E-2</v>
      </c>
      <c r="F29" s="171">
        <v>252087113.56999999</v>
      </c>
      <c r="G29" s="218">
        <f t="shared" si="2"/>
        <v>2.8825088903174922E-2</v>
      </c>
      <c r="H29" s="175">
        <f t="shared" si="3"/>
        <v>2.8825088903174922E-2</v>
      </c>
      <c r="I29" s="168">
        <f t="shared" si="4"/>
        <v>3.7099381089565312E-3</v>
      </c>
      <c r="J29" s="174">
        <f t="shared" si="5"/>
        <v>0.12045021500886534</v>
      </c>
      <c r="L29" s="173" t="s">
        <v>69</v>
      </c>
      <c r="M29" s="172">
        <f t="shared" si="6"/>
        <v>3847364.4000680796</v>
      </c>
      <c r="N29" s="171">
        <f t="shared" si="7"/>
        <v>266848.97811385314</v>
      </c>
      <c r="O29" s="170">
        <f t="shared" si="8"/>
        <v>5775840.6105863545</v>
      </c>
      <c r="P29" s="169">
        <f t="shared" si="9"/>
        <v>9890053.988768287</v>
      </c>
      <c r="Q29" s="168">
        <f t="shared" si="10"/>
        <v>4.1249723103958427E-2</v>
      </c>
      <c r="S29" s="167"/>
      <c r="T29" s="167"/>
      <c r="U29" s="167"/>
      <c r="V29" s="167"/>
      <c r="W29" s="167"/>
      <c r="X29" s="167"/>
      <c r="Y29" s="167"/>
      <c r="Z29" s="167"/>
    </row>
    <row r="30" spans="1:26">
      <c r="A30" s="173" t="s">
        <v>70</v>
      </c>
      <c r="B30" s="172">
        <v>1019354</v>
      </c>
      <c r="C30" s="171">
        <v>294751</v>
      </c>
      <c r="D30" s="177">
        <f t="shared" si="0"/>
        <v>0.28915469993741133</v>
      </c>
      <c r="E30" s="176">
        <f t="shared" si="1"/>
        <v>1.9412513768964124E-2</v>
      </c>
      <c r="F30" s="171">
        <v>228664</v>
      </c>
      <c r="G30" s="218">
        <f t="shared" si="2"/>
        <v>0.28901357450232656</v>
      </c>
      <c r="H30" s="175">
        <f t="shared" si="3"/>
        <v>0.28901357450232656</v>
      </c>
      <c r="I30" s="168">
        <f t="shared" si="4"/>
        <v>3.719754265645403E-2</v>
      </c>
      <c r="J30" s="174">
        <f t="shared" si="5"/>
        <v>1.3688966945175953E-4</v>
      </c>
      <c r="L30" s="173" t="s">
        <v>236</v>
      </c>
      <c r="M30" s="172">
        <f t="shared" si="6"/>
        <v>2327176.9455143199</v>
      </c>
      <c r="N30" s="171">
        <f t="shared" si="7"/>
        <v>2675550.3608692475</v>
      </c>
      <c r="O30" s="170">
        <f t="shared" si="8"/>
        <v>6564.1469542501154</v>
      </c>
      <c r="P30" s="169">
        <f t="shared" si="9"/>
        <v>5009291.4533378175</v>
      </c>
      <c r="Q30" s="168">
        <f t="shared" si="10"/>
        <v>2.0892897615308621E-2</v>
      </c>
      <c r="S30" s="167"/>
      <c r="T30" s="167"/>
      <c r="U30" s="167"/>
      <c r="V30" s="167"/>
      <c r="W30" s="167"/>
      <c r="X30" s="167"/>
      <c r="Y30" s="167"/>
      <c r="Z30" s="167"/>
    </row>
    <row r="31" spans="1:26">
      <c r="A31" s="173" t="s">
        <v>71</v>
      </c>
      <c r="B31" s="172">
        <v>2430155</v>
      </c>
      <c r="C31" s="171">
        <v>501704</v>
      </c>
      <c r="D31" s="177">
        <f t="shared" si="0"/>
        <v>0.20644938285829506</v>
      </c>
      <c r="E31" s="176">
        <f t="shared" si="1"/>
        <v>1.3860059989335403E-2</v>
      </c>
      <c r="F31" s="171">
        <v>558660</v>
      </c>
      <c r="G31" s="218">
        <f t="shared" si="2"/>
        <v>-0.10195109726846385</v>
      </c>
      <c r="H31" s="175">
        <f t="shared" si="3"/>
        <v>0</v>
      </c>
      <c r="I31" s="168">
        <f t="shared" si="4"/>
        <v>0</v>
      </c>
      <c r="J31" s="174">
        <f t="shared" si="5"/>
        <v>2.3300377173487302E-4</v>
      </c>
      <c r="L31" s="173" t="s">
        <v>71</v>
      </c>
      <c r="M31" s="172">
        <f t="shared" si="6"/>
        <v>1661547.4149563455</v>
      </c>
      <c r="N31" s="171">
        <f t="shared" si="7"/>
        <v>0</v>
      </c>
      <c r="O31" s="170">
        <f t="shared" si="8"/>
        <v>11173.019883003279</v>
      </c>
      <c r="P31" s="169">
        <f t="shared" si="9"/>
        <v>1672720.4348393488</v>
      </c>
      <c r="Q31" s="168">
        <f t="shared" si="10"/>
        <v>6.9766307490146751E-3</v>
      </c>
      <c r="S31" s="167"/>
      <c r="T31" s="167"/>
      <c r="U31" s="167"/>
      <c r="V31" s="167"/>
      <c r="W31" s="167"/>
      <c r="X31" s="167"/>
      <c r="Y31" s="167"/>
      <c r="Z31" s="167"/>
    </row>
    <row r="32" spans="1:26">
      <c r="A32" s="173" t="s">
        <v>72</v>
      </c>
      <c r="B32" s="172">
        <v>721085</v>
      </c>
      <c r="C32" s="171">
        <v>314751</v>
      </c>
      <c r="D32" s="177">
        <f t="shared" si="0"/>
        <v>0.436496390855447</v>
      </c>
      <c r="E32" s="176">
        <f t="shared" si="1"/>
        <v>2.9304355763259706E-2</v>
      </c>
      <c r="F32" s="171">
        <v>282361</v>
      </c>
      <c r="G32" s="218">
        <f t="shared" si="2"/>
        <v>0.11471130928138096</v>
      </c>
      <c r="H32" s="175">
        <f t="shared" si="3"/>
        <v>0.11471130928138096</v>
      </c>
      <c r="I32" s="168">
        <f t="shared" si="4"/>
        <v>1.4763939124726164E-2</v>
      </c>
      <c r="J32" s="174">
        <f t="shared" si="5"/>
        <v>1.4617816512789018E-4</v>
      </c>
      <c r="L32" s="173" t="s">
        <v>72</v>
      </c>
      <c r="M32" s="172">
        <f t="shared" si="6"/>
        <v>3513013.407075447</v>
      </c>
      <c r="N32" s="171">
        <f t="shared" si="7"/>
        <v>1061942.8013790818</v>
      </c>
      <c r="O32" s="170">
        <f t="shared" si="8"/>
        <v>7009.5498166153056</v>
      </c>
      <c r="P32" s="169">
        <f t="shared" si="9"/>
        <v>4581965.7582711438</v>
      </c>
      <c r="Q32" s="168">
        <f t="shared" si="10"/>
        <v>1.9110595252073277E-2</v>
      </c>
      <c r="S32" s="167"/>
      <c r="T32" s="167"/>
      <c r="U32" s="167"/>
      <c r="V32" s="167"/>
      <c r="W32" s="167"/>
      <c r="X32" s="167"/>
      <c r="Y32" s="167"/>
      <c r="Z32" s="167"/>
    </row>
    <row r="33" spans="1:26">
      <c r="A33" s="173" t="s">
        <v>73</v>
      </c>
      <c r="B33" s="172">
        <v>1890448</v>
      </c>
      <c r="C33" s="171">
        <v>586273</v>
      </c>
      <c r="D33" s="177">
        <f t="shared" si="0"/>
        <v>0.31012384366033874</v>
      </c>
      <c r="E33" s="176">
        <f t="shared" si="1"/>
        <v>2.082028542660215E-2</v>
      </c>
      <c r="F33" s="171">
        <v>494360</v>
      </c>
      <c r="G33" s="218">
        <f t="shared" si="2"/>
        <v>0.18592321385225352</v>
      </c>
      <c r="H33" s="175">
        <f t="shared" si="3"/>
        <v>0.18592321385225352</v>
      </c>
      <c r="I33" s="168">
        <f t="shared" si="4"/>
        <v>2.3929279757890928E-2</v>
      </c>
      <c r="J33" s="174">
        <f t="shared" si="5"/>
        <v>2.7227971127660776E-4</v>
      </c>
      <c r="L33" s="173" t="s">
        <v>73</v>
      </c>
      <c r="M33" s="172">
        <f t="shared" si="6"/>
        <v>2495940.9595515663</v>
      </c>
      <c r="N33" s="171">
        <f t="shared" si="7"/>
        <v>1721188.780744839</v>
      </c>
      <c r="O33" s="170">
        <f t="shared" si="8"/>
        <v>13056.383616371371</v>
      </c>
      <c r="P33" s="169">
        <f t="shared" si="9"/>
        <v>4230186.1239127759</v>
      </c>
      <c r="Q33" s="168">
        <f t="shared" si="10"/>
        <v>1.764338258292367E-2</v>
      </c>
      <c r="S33" s="167"/>
      <c r="T33" s="167"/>
      <c r="U33" s="167"/>
      <c r="V33" s="167"/>
      <c r="W33" s="167"/>
      <c r="X33" s="167"/>
      <c r="Y33" s="167"/>
      <c r="Z33" s="167"/>
    </row>
    <row r="34" spans="1:26">
      <c r="A34" s="173" t="s">
        <v>74</v>
      </c>
      <c r="B34" s="172">
        <v>574456</v>
      </c>
      <c r="C34" s="171">
        <v>107675</v>
      </c>
      <c r="D34" s="177">
        <f t="shared" si="0"/>
        <v>0.18743820240366538</v>
      </c>
      <c r="E34" s="176">
        <f t="shared" si="1"/>
        <v>1.2583736960798625E-2</v>
      </c>
      <c r="F34" s="171">
        <v>111314</v>
      </c>
      <c r="G34" s="218">
        <f t="shared" si="2"/>
        <v>-3.2691305675835891E-2</v>
      </c>
      <c r="H34" s="175">
        <f t="shared" si="3"/>
        <v>0</v>
      </c>
      <c r="I34" s="168">
        <f t="shared" si="4"/>
        <v>0</v>
      </c>
      <c r="J34" s="174">
        <f t="shared" si="5"/>
        <v>5.0006938596368483E-5</v>
      </c>
      <c r="L34" s="173" t="s">
        <v>74</v>
      </c>
      <c r="M34" s="172">
        <f t="shared" si="6"/>
        <v>1508541.4950435685</v>
      </c>
      <c r="N34" s="171">
        <f t="shared" si="7"/>
        <v>0</v>
      </c>
      <c r="O34" s="170">
        <f t="shared" si="8"/>
        <v>2397.9376602585949</v>
      </c>
      <c r="P34" s="169">
        <f t="shared" si="9"/>
        <v>1510939.432703827</v>
      </c>
      <c r="Q34" s="168">
        <f t="shared" si="10"/>
        <v>6.3018698681185856E-3</v>
      </c>
      <c r="S34" s="167"/>
      <c r="T34" s="167"/>
      <c r="U34" s="167"/>
      <c r="V34" s="167"/>
      <c r="W34" s="167"/>
      <c r="X34" s="167"/>
      <c r="Y34" s="167"/>
      <c r="Z34" s="167"/>
    </row>
    <row r="35" spans="1:26">
      <c r="A35" s="173" t="s">
        <v>75</v>
      </c>
      <c r="B35" s="172"/>
      <c r="C35" s="171"/>
      <c r="D35" s="177">
        <f t="shared" si="0"/>
        <v>0</v>
      </c>
      <c r="E35" s="176">
        <f t="shared" si="1"/>
        <v>0</v>
      </c>
      <c r="F35" s="171"/>
      <c r="G35" s="218">
        <f t="shared" si="2"/>
        <v>0</v>
      </c>
      <c r="H35" s="175">
        <f t="shared" si="3"/>
        <v>0</v>
      </c>
      <c r="I35" s="168">
        <f t="shared" si="4"/>
        <v>0</v>
      </c>
      <c r="J35" s="174">
        <f t="shared" si="5"/>
        <v>0</v>
      </c>
      <c r="L35" s="173" t="s">
        <v>237</v>
      </c>
      <c r="M35" s="172">
        <f t="shared" si="6"/>
        <v>0</v>
      </c>
      <c r="N35" s="171">
        <f t="shared" si="7"/>
        <v>0</v>
      </c>
      <c r="O35" s="170">
        <f t="shared" si="8"/>
        <v>0</v>
      </c>
      <c r="P35" s="169">
        <f t="shared" si="9"/>
        <v>0</v>
      </c>
      <c r="Q35" s="168">
        <f t="shared" si="10"/>
        <v>0</v>
      </c>
      <c r="S35" s="167"/>
      <c r="T35" s="167"/>
      <c r="U35" s="167"/>
      <c r="V35" s="167"/>
      <c r="W35" s="167"/>
      <c r="X35" s="167"/>
      <c r="Y35" s="167"/>
      <c r="Z35" s="167"/>
    </row>
    <row r="36" spans="1:26">
      <c r="A36" s="173" t="s">
        <v>76</v>
      </c>
      <c r="B36" s="172">
        <v>3808697</v>
      </c>
      <c r="C36" s="171">
        <v>1383880</v>
      </c>
      <c r="D36" s="177">
        <f t="shared" si="0"/>
        <v>0.36334736000264656</v>
      </c>
      <c r="E36" s="176">
        <f t="shared" si="1"/>
        <v>2.4393466993602026E-2</v>
      </c>
      <c r="F36" s="171">
        <v>1144646</v>
      </c>
      <c r="G36" s="218">
        <f t="shared" si="2"/>
        <v>0.20900260866678422</v>
      </c>
      <c r="H36" s="175">
        <f t="shared" si="3"/>
        <v>0.20900260866678422</v>
      </c>
      <c r="I36" s="168">
        <f t="shared" si="4"/>
        <v>2.6899717304213651E-2</v>
      </c>
      <c r="J36" s="174">
        <f t="shared" si="5"/>
        <v>6.4270816981418536E-4</v>
      </c>
      <c r="L36" s="173" t="s">
        <v>76</v>
      </c>
      <c r="M36" s="172">
        <f t="shared" si="6"/>
        <v>2924294.8483793582</v>
      </c>
      <c r="N36" s="171">
        <f t="shared" si="7"/>
        <v>1934846.8527955841</v>
      </c>
      <c r="O36" s="170">
        <f t="shared" si="8"/>
        <v>30819.205658496998</v>
      </c>
      <c r="P36" s="169">
        <f t="shared" si="9"/>
        <v>4889960.9068334401</v>
      </c>
      <c r="Q36" s="168">
        <f t="shared" si="10"/>
        <v>2.0395190322027947E-2</v>
      </c>
      <c r="S36" s="167"/>
      <c r="T36" s="167"/>
      <c r="U36" s="167"/>
      <c r="V36" s="167"/>
      <c r="W36" s="167"/>
      <c r="X36" s="167"/>
      <c r="Y36" s="167"/>
      <c r="Z36" s="167"/>
    </row>
    <row r="37" spans="1:26">
      <c r="A37" s="173" t="s">
        <v>77</v>
      </c>
      <c r="B37" s="172">
        <v>39439786</v>
      </c>
      <c r="C37" s="171">
        <v>10865396</v>
      </c>
      <c r="D37" s="177">
        <f t="shared" ref="D37:D55" si="11">IFERROR(C37/B37,0)</f>
        <v>0.27549327980633564</v>
      </c>
      <c r="E37" s="176">
        <f t="shared" ref="E37:E55" si="12">IFERROR(D37/$D$56,0)</f>
        <v>1.8495348990195132E-2</v>
      </c>
      <c r="F37" s="171">
        <v>10001944</v>
      </c>
      <c r="G37" s="218">
        <f t="shared" ref="G37:G55" si="13">IFERROR((C37/F37)-1,0)</f>
        <v>8.6328417755588305E-2</v>
      </c>
      <c r="H37" s="175">
        <f t="shared" ref="H37:H55" si="14">IF(G37&lt;0,0,G37)</f>
        <v>8.6328417755588305E-2</v>
      </c>
      <c r="I37" s="168">
        <f t="shared" ref="I37:I55" si="15">IFERROR(H37/$H$56,0)</f>
        <v>1.1110914106568476E-2</v>
      </c>
      <c r="J37" s="174">
        <f t="shared" ref="J37:J55" si="16">IFERROR(C37/$C$56,0)</f>
        <v>5.0461591882723722E-3</v>
      </c>
      <c r="L37" s="173" t="s">
        <v>77</v>
      </c>
      <c r="M37" s="172">
        <f t="shared" ref="M37:M55" si="17">IFERROR($M$3*E37,0)</f>
        <v>2217227.0052957931</v>
      </c>
      <c r="N37" s="171">
        <f t="shared" ref="N37:N55" si="18">IFERROR($N$3*I37,0)</f>
        <v>799187.47649472801</v>
      </c>
      <c r="O37" s="170">
        <f t="shared" ref="O37:O55" si="19">IFERROR($O$3*J37,0)</f>
        <v>241973.92395656463</v>
      </c>
      <c r="P37" s="169">
        <f t="shared" ref="P37:P55" si="20">IFERROR(SUM(M37:O37),0)</f>
        <v>3258388.4057470858</v>
      </c>
      <c r="Q37" s="168">
        <f t="shared" ref="Q37:Q55" si="21">IFERROR(P37/$P$56,0)</f>
        <v>1.3590180564722583E-2</v>
      </c>
      <c r="S37" s="167"/>
      <c r="T37" s="167"/>
      <c r="U37" s="167"/>
      <c r="V37" s="167"/>
      <c r="W37" s="167"/>
      <c r="X37" s="167"/>
      <c r="Y37" s="167"/>
      <c r="Z37" s="167"/>
    </row>
    <row r="38" spans="1:26">
      <c r="A38" s="173" t="s">
        <v>78</v>
      </c>
      <c r="B38" s="172">
        <v>2142351</v>
      </c>
      <c r="C38" s="171">
        <v>1126052</v>
      </c>
      <c r="D38" s="177">
        <f t="shared" si="11"/>
        <v>0.52561508361608344</v>
      </c>
      <c r="E38" s="176">
        <f t="shared" si="12"/>
        <v>3.5287374025326369E-2</v>
      </c>
      <c r="F38" s="171">
        <v>491980</v>
      </c>
      <c r="G38" s="218">
        <f t="shared" si="13"/>
        <v>1.28881661856173</v>
      </c>
      <c r="H38" s="175">
        <f t="shared" si="14"/>
        <v>1.28881661856173</v>
      </c>
      <c r="I38" s="168">
        <f t="shared" si="15"/>
        <v>0.16587736831340727</v>
      </c>
      <c r="J38" s="174">
        <f t="shared" si="16"/>
        <v>5.2296645665491455E-4</v>
      </c>
      <c r="L38" s="173" t="s">
        <v>238</v>
      </c>
      <c r="M38" s="172">
        <f t="shared" si="17"/>
        <v>4230259.1141375098</v>
      </c>
      <c r="N38" s="171">
        <f t="shared" si="18"/>
        <v>11931251.931072742</v>
      </c>
      <c r="O38" s="170">
        <f t="shared" si="19"/>
        <v>25077.339198602382</v>
      </c>
      <c r="P38" s="169">
        <f t="shared" si="20"/>
        <v>16186588.384408854</v>
      </c>
      <c r="Q38" s="168">
        <f t="shared" si="21"/>
        <v>6.7511490798016341E-2</v>
      </c>
      <c r="S38" s="167"/>
      <c r="T38" s="167"/>
      <c r="U38" s="167"/>
      <c r="V38" s="167"/>
      <c r="W38" s="167"/>
      <c r="X38" s="167"/>
      <c r="Y38" s="167"/>
      <c r="Z38" s="167"/>
    </row>
    <row r="39" spans="1:26">
      <c r="A39" s="173" t="s">
        <v>79</v>
      </c>
      <c r="B39" s="172">
        <v>758867</v>
      </c>
      <c r="C39" s="171">
        <v>319251</v>
      </c>
      <c r="D39" s="177">
        <f t="shared" si="11"/>
        <v>0.42069427185527897</v>
      </c>
      <c r="E39" s="176">
        <f t="shared" si="12"/>
        <v>2.8243474329425255E-2</v>
      </c>
      <c r="F39" s="171">
        <v>296444</v>
      </c>
      <c r="G39" s="218">
        <f t="shared" si="13"/>
        <v>7.6935272766525786E-2</v>
      </c>
      <c r="H39" s="175">
        <f t="shared" si="14"/>
        <v>7.6935272766525786E-2</v>
      </c>
      <c r="I39" s="168">
        <f t="shared" si="15"/>
        <v>9.9019677378362429E-3</v>
      </c>
      <c r="J39" s="174">
        <f t="shared" si="16"/>
        <v>1.4826807665501958E-4</v>
      </c>
      <c r="L39" s="173" t="s">
        <v>79</v>
      </c>
      <c r="M39" s="172">
        <f t="shared" si="17"/>
        <v>3385834.6787496591</v>
      </c>
      <c r="N39" s="171">
        <f t="shared" si="18"/>
        <v>712230.20291870402</v>
      </c>
      <c r="O39" s="170">
        <f t="shared" si="19"/>
        <v>7109.7654606474734</v>
      </c>
      <c r="P39" s="169">
        <f t="shared" si="20"/>
        <v>4105174.6471290109</v>
      </c>
      <c r="Q39" s="168">
        <f t="shared" si="21"/>
        <v>1.7121981101394505E-2</v>
      </c>
      <c r="S39" s="167"/>
      <c r="T39" s="167"/>
      <c r="U39" s="167"/>
      <c r="V39" s="167"/>
      <c r="W39" s="167"/>
      <c r="X39" s="167"/>
      <c r="Y39" s="167"/>
      <c r="Z39" s="167"/>
    </row>
    <row r="40" spans="1:26">
      <c r="A40" s="173" t="s">
        <v>80</v>
      </c>
      <c r="B40" s="172">
        <v>746282</v>
      </c>
      <c r="C40" s="171">
        <v>69817</v>
      </c>
      <c r="D40" s="177">
        <f t="shared" si="11"/>
        <v>9.3553107270441999E-2</v>
      </c>
      <c r="E40" s="176">
        <f t="shared" si="12"/>
        <v>6.2807244129524271E-3</v>
      </c>
      <c r="F40" s="171">
        <v>94052</v>
      </c>
      <c r="G40" s="218">
        <f t="shared" si="13"/>
        <v>-0.25767660443159102</v>
      </c>
      <c r="H40" s="175">
        <f t="shared" si="14"/>
        <v>0</v>
      </c>
      <c r="I40" s="168">
        <f t="shared" si="15"/>
        <v>0</v>
      </c>
      <c r="J40" s="174">
        <f t="shared" si="16"/>
        <v>3.2424745131020741E-5</v>
      </c>
      <c r="L40" s="173" t="s">
        <v>80</v>
      </c>
      <c r="M40" s="172">
        <f t="shared" si="17"/>
        <v>752934.79396366701</v>
      </c>
      <c r="N40" s="171">
        <f t="shared" si="18"/>
        <v>0</v>
      </c>
      <c r="O40" s="170">
        <f t="shared" si="19"/>
        <v>1554.8345820875256</v>
      </c>
      <c r="P40" s="169">
        <f t="shared" si="20"/>
        <v>754489.62854575459</v>
      </c>
      <c r="Q40" s="168">
        <f t="shared" si="21"/>
        <v>3.1468471555024177E-3</v>
      </c>
      <c r="S40" s="167"/>
      <c r="T40" s="167"/>
      <c r="U40" s="167"/>
      <c r="V40" s="167"/>
      <c r="W40" s="167"/>
      <c r="X40" s="167"/>
      <c r="Y40" s="167"/>
      <c r="Z40" s="167"/>
    </row>
    <row r="41" spans="1:26">
      <c r="A41" s="173" t="s">
        <v>81</v>
      </c>
      <c r="B41" s="172">
        <v>4564482</v>
      </c>
      <c r="C41" s="171">
        <v>875732</v>
      </c>
      <c r="D41" s="177">
        <f t="shared" si="11"/>
        <v>0.19185791509310365</v>
      </c>
      <c r="E41" s="176">
        <f t="shared" si="12"/>
        <v>1.2880456099229219E-2</v>
      </c>
      <c r="F41" s="171">
        <v>601205</v>
      </c>
      <c r="G41" s="218">
        <f t="shared" si="13"/>
        <v>0.45662793888939723</v>
      </c>
      <c r="H41" s="175">
        <f t="shared" si="14"/>
        <v>0.45662793888939723</v>
      </c>
      <c r="I41" s="168">
        <f t="shared" si="15"/>
        <v>5.8770378741605803E-2</v>
      </c>
      <c r="J41" s="174">
        <f t="shared" si="16"/>
        <v>4.067116447724631E-4</v>
      </c>
      <c r="L41" s="173" t="s">
        <v>81</v>
      </c>
      <c r="M41" s="172">
        <f t="shared" si="17"/>
        <v>1544112.2586482554</v>
      </c>
      <c r="N41" s="171">
        <f t="shared" si="18"/>
        <v>4227244.5118963523</v>
      </c>
      <c r="O41" s="170">
        <f t="shared" si="19"/>
        <v>19502.676973239657</v>
      </c>
      <c r="P41" s="169">
        <f t="shared" si="20"/>
        <v>5790859.4475178467</v>
      </c>
      <c r="Q41" s="168">
        <f t="shared" si="21"/>
        <v>2.4152684001050841E-2</v>
      </c>
      <c r="S41" s="167"/>
      <c r="T41" s="167"/>
      <c r="U41" s="167"/>
      <c r="V41" s="167"/>
      <c r="W41" s="167"/>
      <c r="X41" s="167"/>
      <c r="Y41" s="167"/>
      <c r="Z41" s="167"/>
    </row>
    <row r="42" spans="1:26">
      <c r="A42" s="173" t="s">
        <v>82</v>
      </c>
      <c r="B42" s="172">
        <v>56486259</v>
      </c>
      <c r="C42" s="171">
        <v>15135193.17</v>
      </c>
      <c r="D42" s="177">
        <f t="shared" si="11"/>
        <v>0.26794469022988404</v>
      </c>
      <c r="E42" s="176">
        <f t="shared" si="12"/>
        <v>1.7988571479330379E-2</v>
      </c>
      <c r="F42" s="171">
        <v>16720965.199999999</v>
      </c>
      <c r="G42" s="218">
        <f t="shared" si="13"/>
        <v>-9.4837350059193914E-2</v>
      </c>
      <c r="H42" s="175">
        <f t="shared" si="14"/>
        <v>0</v>
      </c>
      <c r="I42" s="168">
        <f t="shared" si="15"/>
        <v>0</v>
      </c>
      <c r="J42" s="174">
        <f t="shared" si="16"/>
        <v>7.0291588158473703E-3</v>
      </c>
      <c r="L42" s="173" t="s">
        <v>82</v>
      </c>
      <c r="M42" s="172">
        <f t="shared" si="17"/>
        <v>2156474.3921192815</v>
      </c>
      <c r="N42" s="171">
        <f t="shared" si="18"/>
        <v>0</v>
      </c>
      <c r="O42" s="170">
        <f t="shared" si="19"/>
        <v>337062.91801840416</v>
      </c>
      <c r="P42" s="169">
        <f t="shared" si="20"/>
        <v>2493537.3101376854</v>
      </c>
      <c r="Q42" s="168">
        <f t="shared" si="21"/>
        <v>1.0400117502834663E-2</v>
      </c>
      <c r="S42" s="167"/>
      <c r="T42" s="167"/>
      <c r="U42" s="167"/>
      <c r="V42" s="167"/>
      <c r="W42" s="167"/>
      <c r="X42" s="167"/>
      <c r="Y42" s="167"/>
      <c r="Z42" s="167"/>
    </row>
    <row r="43" spans="1:26">
      <c r="A43" s="173" t="s">
        <v>83</v>
      </c>
      <c r="B43" s="172"/>
      <c r="C43" s="171"/>
      <c r="D43" s="177">
        <f t="shared" si="11"/>
        <v>0</v>
      </c>
      <c r="E43" s="176">
        <f t="shared" si="12"/>
        <v>0</v>
      </c>
      <c r="F43" s="171"/>
      <c r="G43" s="218">
        <f t="shared" si="13"/>
        <v>0</v>
      </c>
      <c r="H43" s="175">
        <f t="shared" si="14"/>
        <v>0</v>
      </c>
      <c r="I43" s="168">
        <f t="shared" si="15"/>
        <v>0</v>
      </c>
      <c r="J43" s="174">
        <f t="shared" si="16"/>
        <v>0</v>
      </c>
      <c r="L43" s="173" t="s">
        <v>83</v>
      </c>
      <c r="M43" s="172">
        <f t="shared" si="17"/>
        <v>0</v>
      </c>
      <c r="N43" s="171">
        <f t="shared" si="18"/>
        <v>0</v>
      </c>
      <c r="O43" s="170">
        <f t="shared" si="19"/>
        <v>0</v>
      </c>
      <c r="P43" s="169">
        <f t="shared" si="20"/>
        <v>0</v>
      </c>
      <c r="Q43" s="168">
        <f t="shared" si="21"/>
        <v>0</v>
      </c>
      <c r="S43" s="167"/>
      <c r="T43" s="167"/>
      <c r="U43" s="167"/>
      <c r="V43" s="167"/>
      <c r="W43" s="167"/>
      <c r="X43" s="167"/>
      <c r="Y43" s="167"/>
      <c r="Z43" s="167"/>
    </row>
    <row r="44" spans="1:26">
      <c r="A44" s="173" t="s">
        <v>84</v>
      </c>
      <c r="B44" s="172">
        <v>1354101</v>
      </c>
      <c r="C44" s="171">
        <v>468889</v>
      </c>
      <c r="D44" s="177">
        <f t="shared" si="11"/>
        <v>0.34627328389832074</v>
      </c>
      <c r="E44" s="176">
        <f t="shared" si="12"/>
        <v>2.3247192222556248E-2</v>
      </c>
      <c r="F44" s="171">
        <v>476354</v>
      </c>
      <c r="G44" s="218">
        <f t="shared" si="13"/>
        <v>-1.5671118537894047E-2</v>
      </c>
      <c r="H44" s="175">
        <f t="shared" si="14"/>
        <v>0</v>
      </c>
      <c r="I44" s="168">
        <f t="shared" si="15"/>
        <v>0</v>
      </c>
      <c r="J44" s="174">
        <f t="shared" si="16"/>
        <v>2.1776367245426162E-4</v>
      </c>
      <c r="L44" s="173" t="s">
        <v>239</v>
      </c>
      <c r="M44" s="172">
        <f t="shared" si="17"/>
        <v>2786879.1456965217</v>
      </c>
      <c r="N44" s="171">
        <f t="shared" si="18"/>
        <v>0</v>
      </c>
      <c r="O44" s="170">
        <f t="shared" si="19"/>
        <v>10442.225136577592</v>
      </c>
      <c r="P44" s="169">
        <f t="shared" si="20"/>
        <v>2797321.3708330994</v>
      </c>
      <c r="Q44" s="168">
        <f t="shared" si="21"/>
        <v>1.1667148845768974E-2</v>
      </c>
      <c r="S44" s="167"/>
      <c r="T44" s="167"/>
      <c r="U44" s="167"/>
      <c r="V44" s="167"/>
      <c r="W44" s="167"/>
      <c r="X44" s="167"/>
      <c r="Y44" s="167"/>
      <c r="Z44" s="167"/>
    </row>
    <row r="45" spans="1:26">
      <c r="A45" s="173" t="s">
        <v>85</v>
      </c>
      <c r="B45" s="172">
        <v>81632998</v>
      </c>
      <c r="C45" s="171">
        <v>15857010</v>
      </c>
      <c r="D45" s="177">
        <f t="shared" si="11"/>
        <v>0.19424755170697025</v>
      </c>
      <c r="E45" s="176">
        <f t="shared" si="12"/>
        <v>1.3040885287063785E-2</v>
      </c>
      <c r="F45" s="171">
        <v>16886302</v>
      </c>
      <c r="G45" s="218">
        <f t="shared" si="13"/>
        <v>-6.0954257480412277E-2</v>
      </c>
      <c r="H45" s="175">
        <f t="shared" si="14"/>
        <v>0</v>
      </c>
      <c r="I45" s="168">
        <f t="shared" si="15"/>
        <v>0</v>
      </c>
      <c r="J45" s="174">
        <f t="shared" si="16"/>
        <v>7.3643884410680375E-3</v>
      </c>
      <c r="L45" s="173" t="s">
        <v>240</v>
      </c>
      <c r="M45" s="172">
        <f t="shared" si="17"/>
        <v>1563344.5493118723</v>
      </c>
      <c r="N45" s="171">
        <f t="shared" si="18"/>
        <v>0</v>
      </c>
      <c r="O45" s="170">
        <f t="shared" si="19"/>
        <v>353137.88212767255</v>
      </c>
      <c r="P45" s="169">
        <f t="shared" si="20"/>
        <v>1916482.431439545</v>
      </c>
      <c r="Q45" s="168">
        <f t="shared" si="21"/>
        <v>7.9933203317454991E-3</v>
      </c>
      <c r="S45" s="167"/>
      <c r="T45" s="167"/>
      <c r="U45" s="167"/>
      <c r="V45" s="167"/>
      <c r="W45" s="167"/>
      <c r="X45" s="167"/>
      <c r="Y45" s="167"/>
      <c r="Z45" s="167"/>
    </row>
    <row r="46" spans="1:26">
      <c r="A46" s="173" t="s">
        <v>86</v>
      </c>
      <c r="B46" s="172">
        <v>7103115</v>
      </c>
      <c r="C46" s="171">
        <v>1139783</v>
      </c>
      <c r="D46" s="177">
        <f t="shared" si="11"/>
        <v>0.16046241684106199</v>
      </c>
      <c r="E46" s="176">
        <f t="shared" si="12"/>
        <v>1.0772707056128176E-2</v>
      </c>
      <c r="F46" s="171">
        <v>704593</v>
      </c>
      <c r="G46" s="218">
        <f t="shared" si="13"/>
        <v>0.61764735102392443</v>
      </c>
      <c r="H46" s="175">
        <f t="shared" si="14"/>
        <v>0.61764735102392443</v>
      </c>
      <c r="I46" s="168">
        <f t="shared" si="15"/>
        <v>7.9494410343598984E-2</v>
      </c>
      <c r="J46" s="174">
        <f t="shared" si="16"/>
        <v>5.2934347336136198E-4</v>
      </c>
      <c r="L46" s="173" t="s">
        <v>241</v>
      </c>
      <c r="M46" s="172">
        <f t="shared" si="17"/>
        <v>1291434.7827472887</v>
      </c>
      <c r="N46" s="171">
        <f t="shared" si="18"/>
        <v>5717885.7282660007</v>
      </c>
      <c r="O46" s="170">
        <f t="shared" si="19"/>
        <v>25383.130533759198</v>
      </c>
      <c r="P46" s="169">
        <f t="shared" si="20"/>
        <v>7034703.6415470494</v>
      </c>
      <c r="Q46" s="168">
        <f t="shared" si="21"/>
        <v>2.9340545325816057E-2</v>
      </c>
      <c r="S46" s="167"/>
      <c r="T46" s="167"/>
      <c r="U46" s="167"/>
      <c r="V46" s="167"/>
      <c r="W46" s="167"/>
      <c r="X46" s="167"/>
      <c r="Y46" s="167"/>
      <c r="Z46" s="167"/>
    </row>
    <row r="47" spans="1:26">
      <c r="A47" s="173" t="s">
        <v>87</v>
      </c>
      <c r="B47" s="172">
        <v>939947</v>
      </c>
      <c r="C47" s="171">
        <v>622808</v>
      </c>
      <c r="D47" s="177">
        <f t="shared" si="11"/>
        <v>0.66259906143644265</v>
      </c>
      <c r="E47" s="176">
        <f t="shared" si="12"/>
        <v>4.4483846903480499E-2</v>
      </c>
      <c r="F47" s="171">
        <v>625255</v>
      </c>
      <c r="G47" s="218">
        <f t="shared" si="13"/>
        <v>-3.9136032498739981E-3</v>
      </c>
      <c r="H47" s="175">
        <f t="shared" si="14"/>
        <v>0</v>
      </c>
      <c r="I47" s="168">
        <f t="shared" si="15"/>
        <v>0</v>
      </c>
      <c r="J47" s="174">
        <f t="shared" si="16"/>
        <v>2.8924747075297942E-4</v>
      </c>
      <c r="L47" s="173" t="s">
        <v>87</v>
      </c>
      <c r="M47" s="172">
        <f t="shared" si="17"/>
        <v>5332734.5542994272</v>
      </c>
      <c r="N47" s="171">
        <f t="shared" si="18"/>
        <v>0</v>
      </c>
      <c r="O47" s="170">
        <f t="shared" si="19"/>
        <v>13870.023295196981</v>
      </c>
      <c r="P47" s="169">
        <f t="shared" si="20"/>
        <v>5346604.5775946239</v>
      </c>
      <c r="Q47" s="168">
        <f t="shared" si="21"/>
        <v>2.229977294589084E-2</v>
      </c>
      <c r="S47" s="167"/>
      <c r="T47" s="167"/>
      <c r="U47" s="167"/>
      <c r="V47" s="167"/>
      <c r="W47" s="167"/>
      <c r="X47" s="167"/>
      <c r="Y47" s="167"/>
      <c r="Z47" s="167"/>
    </row>
    <row r="48" spans="1:26">
      <c r="A48" s="173" t="s">
        <v>88</v>
      </c>
      <c r="B48" s="172">
        <v>19089007</v>
      </c>
      <c r="C48" s="171">
        <v>9313018</v>
      </c>
      <c r="D48" s="177">
        <f t="shared" si="11"/>
        <v>0.48787336083013644</v>
      </c>
      <c r="E48" s="176">
        <f t="shared" si="12"/>
        <v>3.2753568718322155E-2</v>
      </c>
      <c r="F48" s="171">
        <v>6249012</v>
      </c>
      <c r="G48" s="218">
        <f t="shared" si="13"/>
        <v>0.49031846954366554</v>
      </c>
      <c r="H48" s="175">
        <f t="shared" si="14"/>
        <v>0.49031846954366554</v>
      </c>
      <c r="I48" s="168">
        <f t="shared" si="15"/>
        <v>6.3106524382130477E-2</v>
      </c>
      <c r="J48" s="174">
        <f t="shared" si="16"/>
        <v>4.3251963712363541E-3</v>
      </c>
      <c r="L48" s="173" t="s">
        <v>88</v>
      </c>
      <c r="M48" s="172">
        <f t="shared" si="17"/>
        <v>3926505.9080839334</v>
      </c>
      <c r="N48" s="171">
        <f t="shared" si="18"/>
        <v>4539135.4381447947</v>
      </c>
      <c r="O48" s="170">
        <f t="shared" si="19"/>
        <v>207402.24372292715</v>
      </c>
      <c r="P48" s="169">
        <f t="shared" si="20"/>
        <v>8673043.5899516549</v>
      </c>
      <c r="Q48" s="168">
        <f t="shared" si="21"/>
        <v>3.617378094804749E-2</v>
      </c>
      <c r="S48" s="167"/>
      <c r="T48" s="167"/>
      <c r="U48" s="167"/>
      <c r="V48" s="167"/>
      <c r="W48" s="167"/>
      <c r="X48" s="167"/>
      <c r="Y48" s="167"/>
      <c r="Z48" s="167"/>
    </row>
    <row r="49" spans="1:26">
      <c r="A49" s="173" t="s">
        <v>89</v>
      </c>
      <c r="B49" s="172">
        <v>119215481</v>
      </c>
      <c r="C49" s="171">
        <v>20380807.239999998</v>
      </c>
      <c r="D49" s="177">
        <f t="shared" si="11"/>
        <v>0.17095772351914595</v>
      </c>
      <c r="E49" s="176">
        <f t="shared" si="12"/>
        <v>1.1477313571055676E-2</v>
      </c>
      <c r="F49" s="171">
        <v>19718538</v>
      </c>
      <c r="G49" s="218">
        <f t="shared" si="13"/>
        <v>3.3586122865701284E-2</v>
      </c>
      <c r="H49" s="175">
        <f t="shared" si="14"/>
        <v>3.3586122865701284E-2</v>
      </c>
      <c r="I49" s="168">
        <f t="shared" si="15"/>
        <v>4.322707817835638E-3</v>
      </c>
      <c r="J49" s="174">
        <f t="shared" si="16"/>
        <v>9.4653519962396293E-3</v>
      </c>
      <c r="L49" s="173" t="s">
        <v>89</v>
      </c>
      <c r="M49" s="172">
        <f t="shared" si="17"/>
        <v>1375903.1857946066</v>
      </c>
      <c r="N49" s="171">
        <f t="shared" si="18"/>
        <v>310924.36854658037</v>
      </c>
      <c r="O49" s="170">
        <f t="shared" si="19"/>
        <v>453883.49410045997</v>
      </c>
      <c r="P49" s="169">
        <f t="shared" si="20"/>
        <v>2140711.0484416471</v>
      </c>
      <c r="Q49" s="168">
        <f t="shared" si="21"/>
        <v>8.9285395301264558E-3</v>
      </c>
      <c r="S49" s="167"/>
      <c r="T49" s="167"/>
      <c r="U49" s="167"/>
      <c r="V49" s="167"/>
      <c r="W49" s="167"/>
      <c r="X49" s="167"/>
      <c r="Y49" s="167"/>
      <c r="Z49" s="167"/>
    </row>
    <row r="50" spans="1:26">
      <c r="A50" s="173" t="s">
        <v>90</v>
      </c>
      <c r="B50" s="172">
        <v>642295900</v>
      </c>
      <c r="C50" s="171">
        <v>291911120</v>
      </c>
      <c r="D50" s="177">
        <f t="shared" si="11"/>
        <v>0.4544807463351393</v>
      </c>
      <c r="E50" s="176">
        <f t="shared" si="12"/>
        <v>3.0511742495866995E-2</v>
      </c>
      <c r="F50" s="171">
        <v>290272983.67000002</v>
      </c>
      <c r="G50" s="218">
        <f t="shared" si="13"/>
        <v>5.6434336716031375E-3</v>
      </c>
      <c r="H50" s="175">
        <f t="shared" si="14"/>
        <v>5.6434336716031375E-3</v>
      </c>
      <c r="I50" s="168">
        <f t="shared" si="15"/>
        <v>7.2633911777260417E-4</v>
      </c>
      <c r="J50" s="174">
        <f t="shared" si="16"/>
        <v>0.13557075879672301</v>
      </c>
      <c r="L50" s="173" t="s">
        <v>242</v>
      </c>
      <c r="M50" s="172">
        <f t="shared" si="17"/>
        <v>3657755.2268049316</v>
      </c>
      <c r="N50" s="171">
        <f t="shared" si="18"/>
        <v>52244.227706605132</v>
      </c>
      <c r="O50" s="170">
        <f t="shared" si="19"/>
        <v>6500902.4202114316</v>
      </c>
      <c r="P50" s="169">
        <f t="shared" si="20"/>
        <v>10210901.874722969</v>
      </c>
      <c r="Q50" s="168">
        <f t="shared" si="21"/>
        <v>4.2587924742609883E-2</v>
      </c>
      <c r="S50" s="167"/>
      <c r="T50" s="167"/>
      <c r="U50" s="167"/>
      <c r="V50" s="167"/>
      <c r="W50" s="167"/>
      <c r="X50" s="167"/>
      <c r="Y50" s="167"/>
      <c r="Z50" s="167"/>
    </row>
    <row r="51" spans="1:26">
      <c r="A51" s="173" t="s">
        <v>91</v>
      </c>
      <c r="B51" s="172">
        <v>1119704293</v>
      </c>
      <c r="C51" s="171">
        <v>707374780.13</v>
      </c>
      <c r="D51" s="177">
        <f t="shared" si="11"/>
        <v>0.63175142272139162</v>
      </c>
      <c r="E51" s="176">
        <f t="shared" si="12"/>
        <v>4.2412878624474216E-2</v>
      </c>
      <c r="F51" s="171">
        <v>691961660.51999998</v>
      </c>
      <c r="G51" s="218">
        <f t="shared" si="13"/>
        <v>2.227452832923893E-2</v>
      </c>
      <c r="H51" s="175">
        <f t="shared" si="14"/>
        <v>2.227452832923893E-2</v>
      </c>
      <c r="I51" s="168">
        <f t="shared" si="15"/>
        <v>2.8668470645574779E-3</v>
      </c>
      <c r="J51" s="174">
        <f t="shared" si="16"/>
        <v>0.32852237933206935</v>
      </c>
      <c r="L51" s="173" t="s">
        <v>243</v>
      </c>
      <c r="M51" s="172">
        <f t="shared" si="17"/>
        <v>5084466.3654829897</v>
      </c>
      <c r="N51" s="171">
        <f t="shared" si="18"/>
        <v>206207.00052622525</v>
      </c>
      <c r="O51" s="170">
        <f t="shared" si="19"/>
        <v>15753337.591742469</v>
      </c>
      <c r="P51" s="169">
        <f t="shared" si="20"/>
        <v>21044010.957751684</v>
      </c>
      <c r="Q51" s="168">
        <f t="shared" si="21"/>
        <v>8.7770969298018212E-2</v>
      </c>
      <c r="S51" s="167"/>
      <c r="T51" s="167"/>
      <c r="U51" s="167"/>
      <c r="V51" s="167"/>
      <c r="W51" s="167"/>
      <c r="X51" s="167"/>
      <c r="Y51" s="167"/>
      <c r="Z51" s="167"/>
    </row>
    <row r="52" spans="1:26">
      <c r="A52" s="173" t="s">
        <v>92</v>
      </c>
      <c r="B52" s="172">
        <v>274755070</v>
      </c>
      <c r="C52" s="171">
        <v>114179634.2</v>
      </c>
      <c r="D52" s="177">
        <f t="shared" si="11"/>
        <v>0.41556879805712049</v>
      </c>
      <c r="E52" s="176">
        <f t="shared" si="12"/>
        <v>2.7899373643180996E-2</v>
      </c>
      <c r="F52" s="171">
        <v>108456329.03999999</v>
      </c>
      <c r="G52" s="218">
        <f t="shared" si="13"/>
        <v>5.2770596337344156E-2</v>
      </c>
      <c r="H52" s="175">
        <f t="shared" si="14"/>
        <v>5.2770596337344156E-2</v>
      </c>
      <c r="I52" s="168">
        <f t="shared" si="15"/>
        <v>6.791848831477894E-3</v>
      </c>
      <c r="J52" s="174">
        <f t="shared" si="16"/>
        <v>5.3027851928444066E-2</v>
      </c>
      <c r="L52" s="173" t="s">
        <v>92</v>
      </c>
      <c r="M52" s="172">
        <f t="shared" si="17"/>
        <v>3344583.8034898276</v>
      </c>
      <c r="N52" s="171">
        <f t="shared" si="18"/>
        <v>488525.1093025388</v>
      </c>
      <c r="O52" s="170">
        <f t="shared" si="19"/>
        <v>2542796.7948245206</v>
      </c>
      <c r="P52" s="169">
        <f t="shared" si="20"/>
        <v>6375905.7076168871</v>
      </c>
      <c r="Q52" s="168">
        <f t="shared" si="21"/>
        <v>2.6592811856722676E-2</v>
      </c>
      <c r="S52" s="167"/>
      <c r="T52" s="167"/>
      <c r="U52" s="167"/>
      <c r="V52" s="167"/>
      <c r="W52" s="167"/>
      <c r="X52" s="167"/>
      <c r="Y52" s="167"/>
      <c r="Z52" s="167"/>
    </row>
    <row r="53" spans="1:26">
      <c r="A53" s="173" t="s">
        <v>93</v>
      </c>
      <c r="B53" s="172">
        <v>175563518</v>
      </c>
      <c r="C53" s="171">
        <v>77757928.799999997</v>
      </c>
      <c r="D53" s="177">
        <f t="shared" si="11"/>
        <v>0.4429048226294941</v>
      </c>
      <c r="E53" s="176">
        <f t="shared" si="12"/>
        <v>2.9734588334537588E-2</v>
      </c>
      <c r="F53" s="171">
        <v>65213950.950000003</v>
      </c>
      <c r="G53" s="218">
        <f t="shared" si="13"/>
        <v>0.19235114062660541</v>
      </c>
      <c r="H53" s="175">
        <f t="shared" si="14"/>
        <v>0.19235114062660541</v>
      </c>
      <c r="I53" s="168">
        <f t="shared" si="15"/>
        <v>2.4756587197665155E-2</v>
      </c>
      <c r="J53" s="174">
        <f t="shared" si="16"/>
        <v>3.611270927218381E-2</v>
      </c>
      <c r="L53" s="173" t="s">
        <v>93</v>
      </c>
      <c r="M53" s="172">
        <f t="shared" si="17"/>
        <v>3564589.7939876849</v>
      </c>
      <c r="N53" s="171">
        <f t="shared" si="18"/>
        <v>1780695.472879882</v>
      </c>
      <c r="O53" s="170">
        <f t="shared" si="19"/>
        <v>1731680.2029554343</v>
      </c>
      <c r="P53" s="169">
        <f t="shared" si="20"/>
        <v>7076965.469823001</v>
      </c>
      <c r="Q53" s="168">
        <f t="shared" si="21"/>
        <v>2.95168121810051E-2</v>
      </c>
      <c r="S53" s="167"/>
      <c r="T53" s="167"/>
      <c r="U53" s="167"/>
      <c r="V53" s="167"/>
      <c r="W53" s="167"/>
      <c r="X53" s="167"/>
      <c r="Y53" s="167"/>
      <c r="Z53" s="167"/>
    </row>
    <row r="54" spans="1:26">
      <c r="A54" s="173" t="s">
        <v>94</v>
      </c>
      <c r="B54" s="172">
        <v>4524382</v>
      </c>
      <c r="C54" s="171">
        <v>1324391</v>
      </c>
      <c r="D54" s="177">
        <f t="shared" si="11"/>
        <v>0.29272307245497836</v>
      </c>
      <c r="E54" s="176">
        <f t="shared" si="12"/>
        <v>1.9652077852290652E-2</v>
      </c>
      <c r="F54" s="171">
        <v>1227159</v>
      </c>
      <c r="G54" s="218">
        <f t="shared" si="13"/>
        <v>7.9233416370657839E-2</v>
      </c>
      <c r="H54" s="175">
        <f t="shared" si="14"/>
        <v>7.9233416370657839E-2</v>
      </c>
      <c r="I54" s="168">
        <f t="shared" si="15"/>
        <v>1.0197750712364558E-2</v>
      </c>
      <c r="J54" s="174">
        <f t="shared" si="16"/>
        <v>6.1508000385031856E-4</v>
      </c>
      <c r="L54" s="173" t="s">
        <v>94</v>
      </c>
      <c r="M54" s="172">
        <f t="shared" si="17"/>
        <v>2355895.946995833</v>
      </c>
      <c r="N54" s="171">
        <f t="shared" si="18"/>
        <v>733505.32454561349</v>
      </c>
      <c r="O54" s="170">
        <f t="shared" si="19"/>
        <v>29494.377114534858</v>
      </c>
      <c r="P54" s="169">
        <f t="shared" si="20"/>
        <v>3118895.6486559813</v>
      </c>
      <c r="Q54" s="168">
        <f t="shared" si="21"/>
        <v>1.3008380140624757E-2</v>
      </c>
      <c r="S54" s="167"/>
      <c r="T54" s="167"/>
      <c r="U54" s="167"/>
      <c r="V54" s="167"/>
      <c r="W54" s="167"/>
      <c r="X54" s="167"/>
      <c r="Y54" s="167"/>
      <c r="Z54" s="167"/>
    </row>
    <row r="55" spans="1:26">
      <c r="A55" s="173" t="s">
        <v>95</v>
      </c>
      <c r="B55" s="172">
        <v>2896776</v>
      </c>
      <c r="C55" s="171">
        <v>606247</v>
      </c>
      <c r="D55" s="177">
        <f t="shared" si="11"/>
        <v>0.20928335501260711</v>
      </c>
      <c r="E55" s="176">
        <f t="shared" si="12"/>
        <v>1.405031981730414E-2</v>
      </c>
      <c r="F55" s="171">
        <v>442199</v>
      </c>
      <c r="G55" s="218">
        <f t="shared" si="13"/>
        <v>0.37098229530143678</v>
      </c>
      <c r="H55" s="175">
        <f t="shared" si="14"/>
        <v>0.37098229530143678</v>
      </c>
      <c r="I55" s="168">
        <f t="shared" si="15"/>
        <v>4.7747341203702991E-2</v>
      </c>
      <c r="J55" s="174">
        <f t="shared" si="16"/>
        <v>2.8155613190835942E-4</v>
      </c>
      <c r="L55" s="173" t="s">
        <v>95</v>
      </c>
      <c r="M55" s="172">
        <f t="shared" si="17"/>
        <v>1684355.8101274152</v>
      </c>
      <c r="N55" s="171">
        <f t="shared" si="18"/>
        <v>3434377.8342559151</v>
      </c>
      <c r="O55" s="170">
        <f t="shared" si="19"/>
        <v>13501.207455015485</v>
      </c>
      <c r="P55" s="169">
        <f t="shared" si="20"/>
        <v>5132234.8518383456</v>
      </c>
      <c r="Q55" s="168">
        <f t="shared" si="21"/>
        <v>2.1405673496144636E-2</v>
      </c>
      <c r="S55" s="167"/>
      <c r="T55" s="167"/>
      <c r="U55" s="167"/>
      <c r="V55" s="167"/>
      <c r="W55" s="167"/>
      <c r="X55" s="167"/>
      <c r="Y55" s="167"/>
      <c r="Z55" s="167"/>
    </row>
    <row r="56" spans="1:26" ht="13.5" thickBot="1">
      <c r="A56" s="263" t="s">
        <v>96</v>
      </c>
      <c r="B56" s="264">
        <f>SUM(B5:B55)</f>
        <v>4925400302</v>
      </c>
      <c r="C56" s="265">
        <f>SUM(C5:C55)</f>
        <v>2153201196.1199999</v>
      </c>
      <c r="D56" s="266">
        <f>SUM(D5:D55)</f>
        <v>14.895273398322024</v>
      </c>
      <c r="E56" s="267">
        <f>SUM(E5:E55)</f>
        <v>0.99999999999999989</v>
      </c>
      <c r="F56" s="268">
        <f>SUM(F5:F55)</f>
        <v>2063222036.5599999</v>
      </c>
      <c r="G56" s="269"/>
      <c r="H56" s="270">
        <f>SUM(H5:H55)</f>
        <v>7.7696953578781827</v>
      </c>
      <c r="I56" s="271">
        <f>SUM(I5:I55)</f>
        <v>0.99999999999999989</v>
      </c>
      <c r="J56" s="272">
        <f>SUM(J5:J55)</f>
        <v>1</v>
      </c>
      <c r="L56" s="263" t="s">
        <v>96</v>
      </c>
      <c r="M56" s="273">
        <f>SUM(M5:M55)</f>
        <v>119880247.00000006</v>
      </c>
      <c r="N56" s="268">
        <f>SUM(N5:N55)</f>
        <v>71928148.199999988</v>
      </c>
      <c r="O56" s="274">
        <f>SUM(O5:O55)</f>
        <v>47952098.799999997</v>
      </c>
      <c r="P56" s="275">
        <f>SUM(P5:P55)</f>
        <v>239760494.00000003</v>
      </c>
      <c r="Q56" s="271">
        <f>SUM(Q5:Q55)</f>
        <v>1</v>
      </c>
      <c r="S56" s="167"/>
      <c r="T56" s="167"/>
      <c r="U56" s="167"/>
      <c r="V56" s="167"/>
      <c r="W56" s="167"/>
      <c r="X56" s="167"/>
      <c r="Y56" s="167"/>
      <c r="Z56" s="167"/>
    </row>
    <row r="57" spans="1:26" ht="13.5" thickTop="1"/>
    <row r="59" spans="1:26">
      <c r="L59" s="302" t="s">
        <v>244</v>
      </c>
      <c r="M59" s="302"/>
      <c r="N59" s="302"/>
      <c r="O59" s="302"/>
      <c r="P59" s="302"/>
      <c r="Q59" s="302"/>
    </row>
    <row r="60" spans="1:26">
      <c r="L60" s="302"/>
      <c r="M60" s="302"/>
      <c r="N60" s="302"/>
      <c r="O60" s="302"/>
      <c r="P60" s="302"/>
      <c r="Q60" s="302"/>
    </row>
    <row r="61" spans="1:26">
      <c r="L61" s="302"/>
      <c r="M61" s="302"/>
      <c r="N61" s="302"/>
      <c r="O61" s="302"/>
      <c r="P61" s="302"/>
      <c r="Q61" s="302"/>
    </row>
    <row r="62" spans="1:26">
      <c r="L62" s="302"/>
      <c r="M62" s="302"/>
      <c r="N62" s="302"/>
      <c r="O62" s="302"/>
      <c r="P62" s="302"/>
      <c r="Q62" s="302"/>
    </row>
    <row r="63" spans="1:26">
      <c r="L63" s="302"/>
      <c r="M63" s="302"/>
      <c r="N63" s="302"/>
      <c r="O63" s="302"/>
      <c r="P63" s="302"/>
      <c r="Q63" s="302"/>
    </row>
  </sheetData>
  <mergeCells count="4">
    <mergeCell ref="B1:E1"/>
    <mergeCell ref="F1:I1"/>
    <mergeCell ref="L1:Q1"/>
    <mergeCell ref="L59:Q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orientation="landscape" r:id="rId1"/>
  <headerFooter>
    <oddHeader>&amp;LANEXO 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showGridLines="0" zoomScaleNormal="100" workbookViewId="0">
      <selection activeCell="A44" sqref="A44"/>
    </sheetView>
  </sheetViews>
  <sheetFormatPr baseColWidth="10" defaultColWidth="11.42578125" defaultRowHeight="12.75"/>
  <cols>
    <col min="1" max="1" width="46.7109375" style="233" customWidth="1"/>
    <col min="2" max="2" width="16.5703125" style="251" customWidth="1"/>
    <col min="3" max="3" width="13.140625" style="233" customWidth="1"/>
    <col min="4" max="4" width="21" style="251" customWidth="1"/>
    <col min="5" max="16384" width="11.42578125" style="233"/>
  </cols>
  <sheetData>
    <row r="1" spans="1:4">
      <c r="A1" s="303" t="s">
        <v>245</v>
      </c>
      <c r="B1" s="303"/>
      <c r="C1" s="303"/>
      <c r="D1" s="303"/>
    </row>
    <row r="2" spans="1:4" ht="13.5" thickBot="1">
      <c r="A2" s="304">
        <v>2021</v>
      </c>
      <c r="B2" s="304"/>
      <c r="C2" s="304"/>
      <c r="D2" s="304"/>
    </row>
    <row r="3" spans="1:4">
      <c r="A3" s="234" t="s">
        <v>246</v>
      </c>
      <c r="B3" s="235" t="s">
        <v>247</v>
      </c>
      <c r="C3" s="236" t="s">
        <v>248</v>
      </c>
      <c r="D3" s="237" t="s">
        <v>249</v>
      </c>
    </row>
    <row r="4" spans="1:4">
      <c r="A4" s="238" t="s">
        <v>250</v>
      </c>
      <c r="B4" s="239">
        <v>214420.62</v>
      </c>
      <c r="C4" s="240">
        <f t="shared" ref="C4:C54" si="0">+B4/B$55</f>
        <v>7.2044095941798333E-5</v>
      </c>
      <c r="D4" s="241">
        <f t="shared" ref="D4:D54" si="1">+B$58*C4</f>
        <v>4466.7339483914966</v>
      </c>
    </row>
    <row r="5" spans="1:4">
      <c r="A5" s="238" t="s">
        <v>251</v>
      </c>
      <c r="B5" s="239">
        <v>191539.87</v>
      </c>
      <c r="C5" s="242">
        <f t="shared" si="0"/>
        <v>6.4356295448448847E-5</v>
      </c>
      <c r="D5" s="243">
        <f t="shared" si="1"/>
        <v>3990.0903178038284</v>
      </c>
    </row>
    <row r="6" spans="1:4">
      <c r="A6" s="238" t="s">
        <v>252</v>
      </c>
      <c r="B6" s="239">
        <v>13734</v>
      </c>
      <c r="C6" s="242">
        <f t="shared" si="0"/>
        <v>4.6145450641111769E-6</v>
      </c>
      <c r="D6" s="243">
        <f t="shared" si="1"/>
        <v>286.10179397489298</v>
      </c>
    </row>
    <row r="7" spans="1:4">
      <c r="A7" s="238" t="s">
        <v>253</v>
      </c>
      <c r="B7" s="239">
        <v>18169777.969999999</v>
      </c>
      <c r="C7" s="242">
        <f t="shared" si="0"/>
        <v>6.1049409674864934E-3</v>
      </c>
      <c r="D7" s="243">
        <f t="shared" si="1"/>
        <v>378506.33998416259</v>
      </c>
    </row>
    <row r="8" spans="1:4">
      <c r="A8" s="238" t="s">
        <v>254</v>
      </c>
      <c r="B8" s="239">
        <v>2576331.39</v>
      </c>
      <c r="C8" s="242">
        <f t="shared" si="0"/>
        <v>8.656325396271435E-4</v>
      </c>
      <c r="D8" s="243">
        <f t="shared" si="1"/>
        <v>53669.2174568829</v>
      </c>
    </row>
    <row r="9" spans="1:4">
      <c r="A9" s="244" t="s">
        <v>255</v>
      </c>
      <c r="B9" s="239">
        <v>390367375.43000001</v>
      </c>
      <c r="C9" s="242">
        <f t="shared" si="0"/>
        <v>0.13116119451583963</v>
      </c>
      <c r="D9" s="243">
        <f t="shared" si="1"/>
        <v>8131994.0599820567</v>
      </c>
    </row>
    <row r="10" spans="1:4">
      <c r="A10" s="238" t="s">
        <v>256</v>
      </c>
      <c r="B10" s="239">
        <v>61469.18</v>
      </c>
      <c r="C10" s="242">
        <f t="shared" si="0"/>
        <v>2.0653291187124035E-5</v>
      </c>
      <c r="D10" s="243">
        <f t="shared" si="1"/>
        <v>1280.5040536016902</v>
      </c>
    </row>
    <row r="11" spans="1:4">
      <c r="A11" s="238" t="s">
        <v>257</v>
      </c>
      <c r="B11" s="239">
        <v>344340.22</v>
      </c>
      <c r="C11" s="242">
        <f t="shared" si="0"/>
        <v>1.1569633483150987E-4</v>
      </c>
      <c r="D11" s="243">
        <f t="shared" si="1"/>
        <v>7173.1727595536122</v>
      </c>
    </row>
    <row r="12" spans="1:4">
      <c r="A12" s="238" t="s">
        <v>258</v>
      </c>
      <c r="B12" s="239">
        <v>26765852.579999998</v>
      </c>
      <c r="C12" s="242">
        <f t="shared" si="0"/>
        <v>8.993172630680531E-3</v>
      </c>
      <c r="D12" s="243">
        <f t="shared" si="1"/>
        <v>557576.70310219296</v>
      </c>
    </row>
    <row r="13" spans="1:4">
      <c r="A13" s="238" t="s">
        <v>259</v>
      </c>
      <c r="B13" s="239">
        <v>11359228.890000001</v>
      </c>
      <c r="C13" s="242">
        <f t="shared" si="0"/>
        <v>3.8166356201003778E-3</v>
      </c>
      <c r="D13" s="243">
        <f t="shared" si="1"/>
        <v>236631.40844622342</v>
      </c>
    </row>
    <row r="14" spans="1:4">
      <c r="A14" s="238" t="s">
        <v>260</v>
      </c>
      <c r="B14" s="239">
        <v>866761.04</v>
      </c>
      <c r="C14" s="242">
        <f t="shared" si="0"/>
        <v>2.9122672774835231E-4</v>
      </c>
      <c r="D14" s="243">
        <f t="shared" si="1"/>
        <v>18056.057120397843</v>
      </c>
    </row>
    <row r="15" spans="1:4">
      <c r="A15" s="238" t="s">
        <v>261</v>
      </c>
      <c r="B15" s="239">
        <v>1513325</v>
      </c>
      <c r="C15" s="242">
        <f t="shared" si="0"/>
        <v>5.0846850219499391E-4</v>
      </c>
      <c r="D15" s="243">
        <f t="shared" si="1"/>
        <v>31525.047136089623</v>
      </c>
    </row>
    <row r="16" spans="1:4">
      <c r="A16" s="238" t="s">
        <v>262</v>
      </c>
      <c r="B16" s="239">
        <v>46294730.43</v>
      </c>
      <c r="C16" s="242">
        <f t="shared" si="0"/>
        <v>1.5554763346447795E-2</v>
      </c>
      <c r="D16" s="243">
        <f t="shared" si="1"/>
        <v>964395.32747976331</v>
      </c>
    </row>
    <row r="17" spans="1:4">
      <c r="A17" s="238" t="s">
        <v>263</v>
      </c>
      <c r="B17" s="239">
        <v>216782</v>
      </c>
      <c r="C17" s="242">
        <f t="shared" si="0"/>
        <v>7.283750604981427E-5</v>
      </c>
      <c r="D17" s="243">
        <f t="shared" si="1"/>
        <v>4515.9253750884845</v>
      </c>
    </row>
    <row r="18" spans="1:4">
      <c r="A18" s="238" t="s">
        <v>264</v>
      </c>
      <c r="B18" s="239">
        <v>95665.44</v>
      </c>
      <c r="C18" s="242">
        <f t="shared" si="0"/>
        <v>3.2143038004807337E-5</v>
      </c>
      <c r="D18" s="243">
        <f t="shared" si="1"/>
        <v>1992.8683562980548</v>
      </c>
    </row>
    <row r="19" spans="1:4">
      <c r="A19" s="238" t="s">
        <v>265</v>
      </c>
      <c r="B19" s="239">
        <v>2232805.5699999998</v>
      </c>
      <c r="C19" s="242">
        <f t="shared" si="0"/>
        <v>7.5020983851488583E-4</v>
      </c>
      <c r="D19" s="243">
        <f t="shared" si="1"/>
        <v>46513.009987922924</v>
      </c>
    </row>
    <row r="20" spans="1:4">
      <c r="A20" s="238" t="s">
        <v>266</v>
      </c>
      <c r="B20" s="239">
        <v>1809940.35</v>
      </c>
      <c r="C20" s="242">
        <f t="shared" si="0"/>
        <v>6.0812955500423452E-4</v>
      </c>
      <c r="D20" s="243">
        <f t="shared" si="1"/>
        <v>37704.032410262538</v>
      </c>
    </row>
    <row r="21" spans="1:4">
      <c r="A21" s="238" t="s">
        <v>267</v>
      </c>
      <c r="B21" s="239">
        <v>212105716.28999999</v>
      </c>
      <c r="C21" s="242">
        <f t="shared" si="0"/>
        <v>7.1266301600100862E-2</v>
      </c>
      <c r="D21" s="243">
        <f t="shared" si="1"/>
        <v>4418510.6992062535</v>
      </c>
    </row>
    <row r="22" spans="1:4">
      <c r="A22" s="238" t="s">
        <v>268</v>
      </c>
      <c r="B22" s="239">
        <v>256401.45</v>
      </c>
      <c r="C22" s="242">
        <f t="shared" si="0"/>
        <v>8.6149413537822101E-5</v>
      </c>
      <c r="D22" s="243">
        <f t="shared" si="1"/>
        <v>5341.2636393449702</v>
      </c>
    </row>
    <row r="23" spans="1:4">
      <c r="A23" s="238" t="s">
        <v>269</v>
      </c>
      <c r="B23" s="239">
        <v>103082510.5</v>
      </c>
      <c r="C23" s="242">
        <f t="shared" si="0"/>
        <v>3.4635131063343788E-2</v>
      </c>
      <c r="D23" s="243">
        <f t="shared" si="1"/>
        <v>2147378.1259273151</v>
      </c>
    </row>
    <row r="24" spans="1:4">
      <c r="A24" s="238" t="s">
        <v>270</v>
      </c>
      <c r="B24" s="239">
        <v>2895058</v>
      </c>
      <c r="C24" s="242">
        <f t="shared" si="0"/>
        <v>9.7272284871236176E-4</v>
      </c>
      <c r="D24" s="243">
        <f t="shared" si="1"/>
        <v>60308.816620166428</v>
      </c>
    </row>
    <row r="25" spans="1:4">
      <c r="A25" s="238" t="s">
        <v>271</v>
      </c>
      <c r="B25" s="239">
        <v>261104.98</v>
      </c>
      <c r="C25" s="242">
        <f t="shared" si="0"/>
        <v>8.772977258437801E-5</v>
      </c>
      <c r="D25" s="243">
        <f t="shared" si="1"/>
        <v>5439.2459002314363</v>
      </c>
    </row>
    <row r="26" spans="1:4">
      <c r="A26" s="238" t="s">
        <v>272</v>
      </c>
      <c r="B26" s="239">
        <v>38940.21</v>
      </c>
      <c r="C26" s="242">
        <f t="shared" si="0"/>
        <v>1.3083686751926074E-5</v>
      </c>
      <c r="D26" s="243">
        <f t="shared" si="1"/>
        <v>811.1885786194166</v>
      </c>
    </row>
    <row r="27" spans="1:4">
      <c r="A27" s="238" t="s">
        <v>273</v>
      </c>
      <c r="B27" s="239">
        <v>3599389.03</v>
      </c>
      <c r="C27" s="242">
        <f t="shared" si="0"/>
        <v>1.2093740266639302E-3</v>
      </c>
      <c r="D27" s="243">
        <f t="shared" si="1"/>
        <v>74981.189653163674</v>
      </c>
    </row>
    <row r="28" spans="1:4">
      <c r="A28" s="238" t="s">
        <v>274</v>
      </c>
      <c r="B28" s="239">
        <v>229412201.53</v>
      </c>
      <c r="C28" s="242">
        <f t="shared" si="0"/>
        <v>7.7081181172064958E-2</v>
      </c>
      <c r="D28" s="243">
        <f t="shared" si="1"/>
        <v>4779033.2326680273</v>
      </c>
    </row>
    <row r="29" spans="1:4">
      <c r="A29" s="238" t="s">
        <v>275</v>
      </c>
      <c r="B29" s="239">
        <v>3000</v>
      </c>
      <c r="C29" s="242">
        <f t="shared" si="0"/>
        <v>1.0079827575603271E-6</v>
      </c>
      <c r="D29" s="243">
        <f t="shared" si="1"/>
        <v>62.494930968740277</v>
      </c>
    </row>
    <row r="30" spans="1:4">
      <c r="A30" s="238" t="s">
        <v>276</v>
      </c>
      <c r="B30" s="239">
        <v>186622.86</v>
      </c>
      <c r="C30" s="242">
        <f t="shared" si="0"/>
        <v>6.270420834886495E-5</v>
      </c>
      <c r="D30" s="243">
        <f t="shared" si="1"/>
        <v>3887.660917629627</v>
      </c>
    </row>
    <row r="31" spans="1:4">
      <c r="A31" s="238" t="s">
        <v>277</v>
      </c>
      <c r="B31" s="239">
        <v>96636.02</v>
      </c>
      <c r="C31" s="242">
        <f t="shared" si="0"/>
        <v>3.2469147306418308E-5</v>
      </c>
      <c r="D31" s="243">
        <f t="shared" si="1"/>
        <v>2013.087132997935</v>
      </c>
    </row>
    <row r="32" spans="1:4">
      <c r="A32" s="245" t="s">
        <v>278</v>
      </c>
      <c r="B32" s="239">
        <v>190907.68</v>
      </c>
      <c r="C32" s="242">
        <f t="shared" si="0"/>
        <v>6.4143883241948166E-5</v>
      </c>
      <c r="D32" s="243">
        <f t="shared" si="1"/>
        <v>3976.9207610007861</v>
      </c>
    </row>
    <row r="33" spans="1:4">
      <c r="A33" s="238" t="s">
        <v>279</v>
      </c>
      <c r="B33" s="239">
        <v>5273</v>
      </c>
      <c r="C33" s="242">
        <f t="shared" si="0"/>
        <v>1.7716976935385348E-6</v>
      </c>
      <c r="D33" s="243">
        <f t="shared" si="1"/>
        <v>109.84525699938915</v>
      </c>
    </row>
    <row r="34" spans="1:4">
      <c r="A34" s="238" t="s">
        <v>280</v>
      </c>
      <c r="B34" s="239">
        <v>63725198.119999997</v>
      </c>
      <c r="C34" s="242">
        <f t="shared" si="0"/>
        <v>2.1411300309025254E-2</v>
      </c>
      <c r="D34" s="243">
        <f t="shared" si="1"/>
        <v>1327500.6191595658</v>
      </c>
    </row>
    <row r="35" spans="1:4">
      <c r="A35" s="238" t="s">
        <v>281</v>
      </c>
      <c r="B35" s="239">
        <v>480200.05</v>
      </c>
      <c r="C35" s="242">
        <f t="shared" si="0"/>
        <v>1.6134445685986898E-4</v>
      </c>
      <c r="D35" s="243">
        <f t="shared" si="1"/>
        <v>10003.356325311877</v>
      </c>
    </row>
    <row r="36" spans="1:4">
      <c r="A36" s="245" t="s">
        <v>282</v>
      </c>
      <c r="B36" s="239">
        <v>8917498.1899999995</v>
      </c>
      <c r="C36" s="242">
        <f t="shared" si="0"/>
        <v>2.9962281386984747E-3</v>
      </c>
      <c r="D36" s="243">
        <f t="shared" si="1"/>
        <v>185766.14459930544</v>
      </c>
    </row>
    <row r="37" spans="1:4">
      <c r="A37" s="238" t="s">
        <v>283</v>
      </c>
      <c r="B37" s="239">
        <v>2336789.52</v>
      </c>
      <c r="C37" s="242">
        <f t="shared" si="0"/>
        <v>7.8514784806922437E-4</v>
      </c>
      <c r="D37" s="243">
        <f t="shared" si="1"/>
        <v>48679.166580291909</v>
      </c>
    </row>
    <row r="38" spans="1:4">
      <c r="A38" s="238" t="s">
        <v>284</v>
      </c>
      <c r="B38" s="239">
        <v>191720.25</v>
      </c>
      <c r="C38" s="242">
        <f t="shared" si="0"/>
        <v>6.4416902091718424E-5</v>
      </c>
      <c r="D38" s="243">
        <f t="shared" si="1"/>
        <v>3993.8479296865421</v>
      </c>
    </row>
    <row r="39" spans="1:4">
      <c r="A39" s="238" t="s">
        <v>285</v>
      </c>
      <c r="B39" s="239">
        <v>2364</v>
      </c>
      <c r="C39" s="242">
        <f t="shared" si="0"/>
        <v>7.9429041295753773E-7</v>
      </c>
      <c r="D39" s="243">
        <f t="shared" si="1"/>
        <v>49.246005603367337</v>
      </c>
    </row>
    <row r="40" spans="1:4">
      <c r="A40" s="238" t="s">
        <v>286</v>
      </c>
      <c r="B40" s="239">
        <v>1016044.15</v>
      </c>
      <c r="C40" s="242">
        <f t="shared" si="0"/>
        <v>3.4138499470667952E-4</v>
      </c>
      <c r="D40" s="243">
        <f t="shared" si="1"/>
        <v>21165.869671814129</v>
      </c>
    </row>
    <row r="41" spans="1:4">
      <c r="A41" s="238" t="s">
        <v>287</v>
      </c>
      <c r="B41" s="239">
        <v>20631227.68</v>
      </c>
      <c r="C41" s="242">
        <f t="shared" si="0"/>
        <v>6.9319739229137829E-3</v>
      </c>
      <c r="D41" s="243">
        <f t="shared" si="1"/>
        <v>429782.38322065456</v>
      </c>
    </row>
    <row r="42" spans="1:4">
      <c r="A42" s="245" t="s">
        <v>288</v>
      </c>
      <c r="B42" s="239">
        <v>783168495.84000003</v>
      </c>
      <c r="C42" s="242">
        <f t="shared" si="0"/>
        <v>0.26314011335705889</v>
      </c>
      <c r="D42" s="243">
        <f t="shared" si="1"/>
        <v>16314687.02813765</v>
      </c>
    </row>
    <row r="43" spans="1:4">
      <c r="A43" s="238" t="s">
        <v>289</v>
      </c>
      <c r="B43" s="239">
        <v>73352.78</v>
      </c>
      <c r="C43" s="242">
        <f t="shared" si="0"/>
        <v>2.4646112486372001E-5</v>
      </c>
      <c r="D43" s="243">
        <f t="shared" si="1"/>
        <v>1528.0589741550641</v>
      </c>
    </row>
    <row r="44" spans="1:4">
      <c r="A44" s="238" t="s">
        <v>290</v>
      </c>
      <c r="B44" s="239">
        <v>36629485.789999999</v>
      </c>
      <c r="C44" s="242">
        <f t="shared" si="0"/>
        <v>1.2307296698207005E-2</v>
      </c>
      <c r="D44" s="243">
        <f t="shared" si="1"/>
        <v>763052.39528883435</v>
      </c>
    </row>
    <row r="45" spans="1:4">
      <c r="A45" s="238" t="s">
        <v>291</v>
      </c>
      <c r="B45" s="239">
        <v>1039490.87</v>
      </c>
      <c r="C45" s="242">
        <f t="shared" si="0"/>
        <v>3.4926295786712782E-4</v>
      </c>
      <c r="D45" s="243">
        <f t="shared" si="1"/>
        <v>21654.303387761924</v>
      </c>
    </row>
    <row r="46" spans="1:4">
      <c r="A46" s="238" t="s">
        <v>292</v>
      </c>
      <c r="B46" s="239">
        <v>1681301</v>
      </c>
      <c r="C46" s="242">
        <f t="shared" si="0"/>
        <v>5.6490747275631176E-4</v>
      </c>
      <c r="D46" s="243">
        <f t="shared" si="1"/>
        <v>35024.263310891329</v>
      </c>
    </row>
    <row r="47" spans="1:4">
      <c r="A47" s="238" t="s">
        <v>293</v>
      </c>
      <c r="B47" s="239">
        <v>3797340.87</v>
      </c>
      <c r="C47" s="242">
        <f t="shared" si="0"/>
        <v>1.2758847071797105E-3</v>
      </c>
      <c r="D47" s="243">
        <f t="shared" si="1"/>
        <v>79104.851845142053</v>
      </c>
    </row>
    <row r="48" spans="1:4">
      <c r="A48" s="238" t="s">
        <v>294</v>
      </c>
      <c r="B48" s="239">
        <v>20868390.039999999</v>
      </c>
      <c r="C48" s="242">
        <f t="shared" si="0"/>
        <v>7.0116591127878875E-3</v>
      </c>
      <c r="D48" s="243">
        <f t="shared" si="1"/>
        <v>434722.864992849</v>
      </c>
    </row>
    <row r="49" spans="1:4">
      <c r="A49" s="238" t="s">
        <v>295</v>
      </c>
      <c r="B49" s="239">
        <v>129807523.45</v>
      </c>
      <c r="C49" s="242">
        <f t="shared" si="0"/>
        <v>4.3614581813069271E-2</v>
      </c>
      <c r="D49" s="243">
        <f t="shared" si="1"/>
        <v>2704104.0724102948</v>
      </c>
    </row>
    <row r="50" spans="1:4">
      <c r="A50" s="246" t="s">
        <v>296</v>
      </c>
      <c r="B50" s="239">
        <v>556255052.71000004</v>
      </c>
      <c r="C50" s="242">
        <f t="shared" si="0"/>
        <v>0.1868985006458303</v>
      </c>
      <c r="D50" s="243">
        <f t="shared" si="1"/>
        <v>11587707.040041478</v>
      </c>
    </row>
    <row r="51" spans="1:4">
      <c r="A51" s="238" t="s">
        <v>297</v>
      </c>
      <c r="B51" s="239">
        <v>192444979.11000001</v>
      </c>
      <c r="C51" s="242">
        <f t="shared" si="0"/>
        <v>6.4660406907312451E-2</v>
      </c>
      <c r="D51" s="243">
        <f t="shared" si="1"/>
        <v>4008945.228253372</v>
      </c>
    </row>
    <row r="52" spans="1:4">
      <c r="A52" s="238" t="s">
        <v>298</v>
      </c>
      <c r="B52" s="239">
        <v>96936537.620000005</v>
      </c>
      <c r="C52" s="242">
        <f t="shared" si="0"/>
        <v>3.257011949951933E-2</v>
      </c>
      <c r="D52" s="243">
        <f t="shared" si="1"/>
        <v>2019347.4089701984</v>
      </c>
    </row>
    <row r="53" spans="1:4">
      <c r="A53" s="238" t="s">
        <v>299</v>
      </c>
      <c r="B53" s="239">
        <v>554981</v>
      </c>
      <c r="C53" s="242">
        <f t="shared" si="0"/>
        <v>1.8647042625786261E-4</v>
      </c>
      <c r="D53" s="243">
        <f t="shared" si="1"/>
        <v>11561.166427987482</v>
      </c>
    </row>
    <row r="54" spans="1:4">
      <c r="A54" s="238" t="s">
        <v>300</v>
      </c>
      <c r="B54" s="239">
        <v>455572</v>
      </c>
      <c r="C54" s="242">
        <f t="shared" si="0"/>
        <v>1.5306957360909109E-4</v>
      </c>
      <c r="D54" s="243">
        <f t="shared" si="1"/>
        <v>9490.3135637636478</v>
      </c>
    </row>
    <row r="55" spans="1:4" ht="13.5" thickBot="1">
      <c r="A55" s="247" t="s">
        <v>301</v>
      </c>
      <c r="B55" s="248">
        <f>+SUM(B4:B54)</f>
        <v>2976241386.5700002</v>
      </c>
      <c r="C55" s="249">
        <f>SUM(C4:C54)</f>
        <v>1</v>
      </c>
      <c r="D55" s="250">
        <f>SUM(D4:D54)</f>
        <v>61999999.999999993</v>
      </c>
    </row>
    <row r="56" spans="1:4" ht="13.5" thickBot="1"/>
    <row r="57" spans="1:4">
      <c r="A57" s="252" t="s">
        <v>302</v>
      </c>
      <c r="B57" s="253">
        <v>310000000</v>
      </c>
    </row>
    <row r="58" spans="1:4" ht="13.5" thickBot="1">
      <c r="A58" s="254" t="s">
        <v>303</v>
      </c>
      <c r="B58" s="255">
        <f>+B57*0.2</f>
        <v>62000000</v>
      </c>
    </row>
  </sheetData>
  <mergeCells count="2">
    <mergeCell ref="A1:D1"/>
    <mergeCell ref="A2:D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portrait" r:id="rId1"/>
  <headerFooter>
    <oddHeader>&amp;LANEXO I
&amp;C&amp;"-,Negrita"&amp;12COORDINACIÓN DE PLANEACIÓN HACENDARIA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E42090EB786343A8A278F5BE7A7D20" ma:contentTypeVersion="1" ma:contentTypeDescription="Crear nuevo documento." ma:contentTypeScope="" ma:versionID="c7ad03d5b5d18b5b431d9f5bfc2787d1">
  <xsd:schema xmlns:xsd="http://www.w3.org/2001/XMLSchema" xmlns:xs="http://www.w3.org/2001/XMLSchema" xmlns:p="http://schemas.microsoft.com/office/2006/metadata/properties" xmlns:ns1="http://schemas.microsoft.com/sharepoint/v3" xmlns:ns2="e3342c0b-5565-4eab-8d26-3d0edb9508f8" targetNamespace="http://schemas.microsoft.com/office/2006/metadata/properties" ma:root="true" ma:fieldsID="fbfafeee1a6f4de41aacb154b542e810" ns1:_="" ns2:_="">
    <xsd:import namespace="http://schemas.microsoft.com/sharepoint/v3"/>
    <xsd:import namespace="e3342c0b-5565-4eab-8d26-3d0edb9508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42c0b-5565-4eab-8d26-3d0edb9508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e3342c0b-5565-4eab-8d26-3d0edb9508f8">JN45FPYRX6XU-595128652-428</_dlc_DocId>
    <_dlc_DocIdUrl xmlns="e3342c0b-5565-4eab-8d26-3d0edb9508f8">
      <Url>http://intranet.nl.gob.mx/SFyTGE/CH/_layouts/15/DocIdRedir.aspx?ID=JN45FPYRX6XU-595128652-428</Url>
      <Description>JN45FPYRX6XU-595128652-428</Description>
    </_dlc_DocIdUrl>
  </documentManagement>
</p:properties>
</file>

<file path=customXml/itemProps1.xml><?xml version="1.0" encoding="utf-8"?>
<ds:datastoreItem xmlns:ds="http://schemas.openxmlformats.org/officeDocument/2006/customXml" ds:itemID="{B4456954-88BC-4F86-9979-5EE00269E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3342c0b-5565-4eab-8d26-3d0edb950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11C6FF-1312-4A11-8D65-5FE2503ECE9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908590A-4AFA-4746-990D-5AFA14B8A9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935D0B-7B59-4CC3-B128-389A903C947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3342c0b-5565-4eab-8d26-3d0edb9508f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PART PEF2021</vt:lpstr>
      <vt:lpstr>DIST MES</vt:lpstr>
      <vt:lpstr>COEF Art 14 F I</vt:lpstr>
      <vt:lpstr>CALCULO GARANTIA</vt:lpstr>
      <vt:lpstr>COEF Art 14 F II</vt:lpstr>
      <vt:lpstr>Art.14 Frac.III</vt:lpstr>
      <vt:lpstr>ISAI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'DIST MES'!Área_de_impresión</vt:lpstr>
      <vt:lpstr>ISAI!Área_de_impresión</vt:lpstr>
      <vt:lpstr>'PART PEF2021'!Área_de_impresión</vt:lpstr>
      <vt:lpstr>'COEF Art 14 F I'!Títulos_a_imprimir</vt:lpstr>
      <vt:lpstr>'DIST MES'!Títulos_a_imprimir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Oswaldo Calzada Alba</cp:lastModifiedBy>
  <dcterms:created xsi:type="dcterms:W3CDTF">2009-12-17T23:31:03Z</dcterms:created>
  <dcterms:modified xsi:type="dcterms:W3CDTF">2021-02-11T15:51:52Z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0x01010039E42090EB786343A8A278F5BE7A7D20</vt:lpwstr>
  </property>
  <property fmtid="{D5CDD505-2E9C-101B-9397-08002B2CF9AE}" pid="3" name="_dlc_DocIdItemGuid">
    <vt:lpwstr>9174a8bb-7153-4ff9-aea2-16b9136c6eea</vt:lpwstr>
  </property>
</Properties>
</file>