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2021 PLANEACION HACENDARIA\PART TRIMESTRALES 2021\AJUSTE SEMESTRAL 2021\"/>
    </mc:Choice>
  </mc:AlternateContent>
  <bookViews>
    <workbookView xWindow="0" yWindow="0" windowWidth="15360" windowHeight="7020" activeTab="1"/>
  </bookViews>
  <sheets>
    <sheet name="PART PEF2021" sheetId="43" r:id="rId1"/>
    <sheet name="Ajuste" sheetId="51" r:id="rId2"/>
    <sheet name="DIST 1 sem Cof 3" sheetId="48" r:id="rId3"/>
    <sheet name="DIST 1er Sem" sheetId="50" r:id="rId4"/>
    <sheet name="COEF Art 14 F I" sheetId="1" r:id="rId5"/>
    <sheet name="CALCULO GARANTIA" sheetId="28" r:id="rId6"/>
    <sheet name="COEF Art 14 F II" sheetId="36" r:id="rId7"/>
    <sheet name="Art.14 Frac.III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Ajuste!#REF!</definedName>
    <definedName name="_xlnm._FilterDatabase" localSheetId="2" hidden="1">'DIST 1 sem Cof 3'!#REF!</definedName>
    <definedName name="_xlnm._FilterDatabase" localSheetId="3" hidden="1">'DIST 1er Sem'!#REF!</definedName>
    <definedName name="A_impresión_IM" localSheetId="1">#REF!</definedName>
    <definedName name="A_impresión_IM" localSheetId="5">#REF!</definedName>
    <definedName name="A_impresión_IM" localSheetId="6">#REF!</definedName>
    <definedName name="A_impresión_IM" localSheetId="2">#REF!</definedName>
    <definedName name="A_impresión_IM" localSheetId="3">#REF!</definedName>
    <definedName name="A_impresión_IM" localSheetId="0">#REF!</definedName>
    <definedName name="A_impresión_IM">#REF!</definedName>
    <definedName name="AJUSTES" localSheetId="1" hidden="1">{"'beneficiarios'!$A$1:$C$7"}</definedName>
    <definedName name="AJUSTES" localSheetId="5" hidden="1">{"'beneficiarios'!$A$1:$C$7"}</definedName>
    <definedName name="AJUSTES" localSheetId="2" hidden="1">{"'beneficiarios'!$A$1:$C$7"}</definedName>
    <definedName name="AJUSTES" localSheetId="3" hidden="1">{"'beneficiarios'!$A$1:$C$7"}</definedName>
    <definedName name="AJUSTES" localSheetId="0" hidden="1">{"'beneficiarios'!$A$1:$C$7"}</definedName>
    <definedName name="AJUSTES" hidden="1">{"'beneficiarios'!$A$1:$C$7"}</definedName>
    <definedName name="_xlnm.Print_Area" localSheetId="1">Ajuste!$A$1:$J$58</definedName>
    <definedName name="_xlnm.Print_Area" localSheetId="7">'Art.14 Frac.III'!$B$1:$R$56</definedName>
    <definedName name="_xlnm.Print_Area" localSheetId="5">'CALCULO GARANTIA'!$A$1:$Q$60</definedName>
    <definedName name="_xlnm.Print_Area" localSheetId="4">'COEF Art 14 F I'!$B$3:$AJ$60</definedName>
    <definedName name="_xlnm.Print_Area" localSheetId="6">'COEF Art 14 F II'!$A$3:$M$62</definedName>
    <definedName name="_xlnm.Print_Area" localSheetId="2">'DIST 1 sem Cof 3'!$A$1:$J$58</definedName>
    <definedName name="_xlnm.Print_Area" localSheetId="3">'DIST 1er Sem'!$A$1:$J$59</definedName>
    <definedName name="_xlnm.Print_Area" localSheetId="0">'PART PEF2021'!$A$1:$E$13</definedName>
    <definedName name="_xlnm.Database" localSheetId="1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0">#REF!</definedName>
    <definedName name="_xlnm.Database">#REF!</definedName>
    <definedName name="cierre_2001" localSheetId="1">'[1]deuda c sadm'!#REF!</definedName>
    <definedName name="cierre_2001" localSheetId="6">'[1]deuda c sadm'!#REF!</definedName>
    <definedName name="cierre_2001" localSheetId="2">'[1]deuda c sadm'!#REF!</definedName>
    <definedName name="cierre_2001" localSheetId="3">'[1]deuda c sadm'!#REF!</definedName>
    <definedName name="cierre_2001" localSheetId="0">'[1]deuda c sadm'!#REF!</definedName>
    <definedName name="cierre_2001">'[1]deuda c sadm'!#REF!</definedName>
    <definedName name="deuda" localSheetId="1">'[1]deuda c sadm'!#REF!</definedName>
    <definedName name="deuda" localSheetId="6">'[1]deuda c sadm'!#REF!</definedName>
    <definedName name="deuda" localSheetId="2">'[1]deuda c sadm'!#REF!</definedName>
    <definedName name="deuda" localSheetId="3">'[1]deuda c sadm'!#REF!</definedName>
    <definedName name="deuda" localSheetId="0">'[1]deuda c sadm'!#REF!</definedName>
    <definedName name="deuda">'[1]deuda c sadm'!#REF!</definedName>
    <definedName name="Deuda_ingTot" localSheetId="1">'[1]deuda c sadm'!#REF!</definedName>
    <definedName name="Deuda_ingTot" localSheetId="6">'[1]deuda c sadm'!#REF!</definedName>
    <definedName name="Deuda_ingTot" localSheetId="2">'[1]deuda c sadm'!#REF!</definedName>
    <definedName name="Deuda_ingTot" localSheetId="3">'[1]deuda c sadm'!#REF!</definedName>
    <definedName name="Deuda_ingTot" localSheetId="0">'[1]deuda c sadm'!#REF!</definedName>
    <definedName name="Deuda_ingTot">'[1]deuda c sadm'!#REF!</definedName>
    <definedName name="ENERO" localSheetId="1">#REF!</definedName>
    <definedName name="ENERO" localSheetId="5">#REF!</definedName>
    <definedName name="ENERO" localSheetId="6">#REF!</definedName>
    <definedName name="ENERO" localSheetId="2">#REF!</definedName>
    <definedName name="ENERO" localSheetId="3">#REF!</definedName>
    <definedName name="ENERO" localSheetId="0">#REF!</definedName>
    <definedName name="ENERO">#REF!</definedName>
    <definedName name="ENEROAJUSTE" localSheetId="1">#REF!</definedName>
    <definedName name="ENEROAJUSTE" localSheetId="2">#REF!</definedName>
    <definedName name="ENEROAJUSTE" localSheetId="3">#REF!</definedName>
    <definedName name="ENEROAJUSTE" localSheetId="0">#REF!</definedName>
    <definedName name="ENEROAJUSTE">#REF!</definedName>
    <definedName name="Estado">'[2]Compendio de nombres'!$C$2:$C$33</definedName>
    <definedName name="Estado1" localSheetId="1">#REF!</definedName>
    <definedName name="Estado1" localSheetId="2">#REF!</definedName>
    <definedName name="Estado1" localSheetId="3">#REF!</definedName>
    <definedName name="Estado1">#REF!</definedName>
    <definedName name="Fto_1" localSheetId="1">#REF!</definedName>
    <definedName name="Fto_1" localSheetId="5">#REF!</definedName>
    <definedName name="Fto_1" localSheetId="6">#REF!</definedName>
    <definedName name="Fto_1" localSheetId="2">#REF!</definedName>
    <definedName name="Fto_1" localSheetId="3">#REF!</definedName>
    <definedName name="Fto_1" localSheetId="0">#REF!</definedName>
    <definedName name="Fto_1">#REF!</definedName>
    <definedName name="HTML_CodePage" hidden="1">1252</definedName>
    <definedName name="HTML_Control" localSheetId="1" hidden="1">{"'beneficiarios'!$A$1:$C$7"}</definedName>
    <definedName name="HTML_Control" localSheetId="5" hidden="1">{"'beneficiarios'!$A$1:$C$7"}</definedName>
    <definedName name="HTML_Control" localSheetId="2" hidden="1">{"'beneficiarios'!$A$1:$C$7"}</definedName>
    <definedName name="HTML_Control" localSheetId="3" hidden="1">{"'beneficiarios'!$A$1:$C$7"}</definedName>
    <definedName name="HTML_Control" localSheetId="0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1" hidden="1">{"'beneficiarios'!$A$1:$C$7"}</definedName>
    <definedName name="INDICADORES" localSheetId="5" hidden="1">{"'beneficiarios'!$A$1:$C$7"}</definedName>
    <definedName name="INDICADORES" localSheetId="2" hidden="1">{"'beneficiarios'!$A$1:$C$7"}</definedName>
    <definedName name="INDICADORES" localSheetId="3" hidden="1">{"'beneficiarios'!$A$1:$C$7"}</definedName>
    <definedName name="INDICADORES" localSheetId="0" hidden="1">{"'beneficiarios'!$A$1:$C$7"}</definedName>
    <definedName name="INDICADORES" hidden="1">{"'beneficiarios'!$A$1:$C$7"}</definedName>
    <definedName name="ingresofederales" localSheetId="1" hidden="1">{"'beneficiarios'!$A$1:$C$7"}</definedName>
    <definedName name="ingresofederales" localSheetId="5" hidden="1">{"'beneficiarios'!$A$1:$C$7"}</definedName>
    <definedName name="ingresofederales" localSheetId="2" hidden="1">{"'beneficiarios'!$A$1:$C$7"}</definedName>
    <definedName name="ingresofederales" localSheetId="3" hidden="1">{"'beneficiarios'!$A$1:$C$7"}</definedName>
    <definedName name="ingresofederales" localSheetId="0" hidden="1">{"'beneficiarios'!$A$1:$C$7"}</definedName>
    <definedName name="ingresofederales" hidden="1">{"'beneficiarios'!$A$1:$C$7"}</definedName>
    <definedName name="MUNICIPIOS" localSheetId="7">[3]IMPORTE!$A$3:$A$53</definedName>
    <definedName name="MUNICIPIOS" hidden="1">{"'beneficiarios'!$A$1:$C$7"}</definedName>
    <definedName name="Notas_Fto_1" localSheetId="1">#REF!</definedName>
    <definedName name="Notas_Fto_1" localSheetId="6">#REF!</definedName>
    <definedName name="Notas_Fto_1" localSheetId="2">#REF!</definedName>
    <definedName name="Notas_Fto_1" localSheetId="3">#REF!</definedName>
    <definedName name="Notas_Fto_1" localSheetId="0">#REF!</definedName>
    <definedName name="Notas_Fto_1">#REF!</definedName>
    <definedName name="Partidas">[4]TECHO!$B$1:$Q$2798</definedName>
    <definedName name="SINAJUSTE" localSheetId="1" hidden="1">{"'beneficiarios'!$A$1:$C$7"}</definedName>
    <definedName name="SINAJUSTE" localSheetId="5" hidden="1">{"'beneficiarios'!$A$1:$C$7"}</definedName>
    <definedName name="SINAJUSTE" localSheetId="2" hidden="1">{"'beneficiarios'!$A$1:$C$7"}</definedName>
    <definedName name="SINAJUSTE" localSheetId="3" hidden="1">{"'beneficiarios'!$A$1:$C$7"}</definedName>
    <definedName name="SINAJUSTE" localSheetId="0" hidden="1">{"'beneficiarios'!$A$1:$C$7"}</definedName>
    <definedName name="SINAJUSTE" hidden="1">{"'beneficiarios'!$A$1:$C$7"}</definedName>
    <definedName name="t" localSheetId="1">#REF!</definedName>
    <definedName name="t" localSheetId="2">#REF!</definedName>
    <definedName name="t" localSheetId="3">#REF!</definedName>
    <definedName name="t" localSheetId="0">#REF!</definedName>
    <definedName name="t">#REF!</definedName>
    <definedName name="_xlnm.Print_Titles" localSheetId="1">Ajuste!$1:$3</definedName>
    <definedName name="_xlnm.Print_Titles" localSheetId="4">'COEF Art 14 F I'!$B:$B,'COEF Art 14 F I'!$3:$3</definedName>
    <definedName name="_xlnm.Print_Titles" localSheetId="2">'DIST 1 sem Cof 3'!$1:$3</definedName>
    <definedName name="_xlnm.Print_Titles" localSheetId="3">'DIST 1er Sem'!$1:$3</definedName>
    <definedName name="TOT" localSheetId="1">#REF!</definedName>
    <definedName name="TOT" localSheetId="6">#REF!</definedName>
    <definedName name="TOT" localSheetId="2">#REF!</definedName>
    <definedName name="TOT" localSheetId="3">#REF!</definedName>
    <definedName name="TOT" localSheetId="0">#REF!</definedName>
    <definedName name="TOT">#REF!</definedName>
    <definedName name="TOTAL" localSheetId="1">#REF!</definedName>
    <definedName name="TOTAL" localSheetId="6">#REF!</definedName>
    <definedName name="TOTAL" localSheetId="2">#REF!</definedName>
    <definedName name="TOTAL" localSheetId="3">#REF!</definedName>
    <definedName name="TOTAL" localSheetId="0">#REF!</definedName>
    <definedName name="TOTAL">#REF!</definedName>
  </definedNames>
  <calcPr calcId="162913"/>
</workbook>
</file>

<file path=xl/calcChain.xml><?xml version="1.0" encoding="utf-8"?>
<calcChain xmlns="http://schemas.openxmlformats.org/spreadsheetml/2006/main">
  <c r="R58" i="1" l="1"/>
  <c r="Q58" i="1"/>
  <c r="P58" i="1"/>
  <c r="O58" i="1"/>
  <c r="J56" i="50" l="1"/>
  <c r="J55" i="50"/>
  <c r="J54" i="50"/>
  <c r="J53" i="50"/>
  <c r="J52" i="50"/>
  <c r="J51" i="50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E57" i="50"/>
  <c r="J9" i="50"/>
  <c r="J8" i="50"/>
  <c r="J7" i="50"/>
  <c r="I57" i="50"/>
  <c r="H57" i="50"/>
  <c r="G57" i="50"/>
  <c r="F57" i="50"/>
  <c r="D57" i="50"/>
  <c r="C57" i="50"/>
  <c r="B57" i="50"/>
  <c r="J6" i="50" l="1"/>
  <c r="J57" i="50" s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T58" i="1"/>
  <c r="V58" i="1"/>
  <c r="W58" i="1" l="1"/>
  <c r="U58" i="1"/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B12" i="43" l="1"/>
  <c r="C11" i="43"/>
  <c r="C10" i="43"/>
  <c r="C9" i="43"/>
  <c r="C8" i="43"/>
  <c r="C7" i="43"/>
  <c r="C6" i="43"/>
  <c r="C5" i="43"/>
  <c r="C4" i="43"/>
  <c r="I56" i="28" l="1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C19" i="43" l="1"/>
  <c r="C20" i="43" s="1"/>
  <c r="D19" i="43" l="1"/>
  <c r="C12" i="43" l="1"/>
  <c r="E11" i="43" l="1"/>
  <c r="E10" i="43"/>
  <c r="E9" i="43"/>
  <c r="E8" i="43"/>
  <c r="E7" i="43"/>
  <c r="E6" i="43"/>
  <c r="E5" i="43"/>
  <c r="H57" i="28"/>
  <c r="G57" i="28"/>
  <c r="F57" i="28"/>
  <c r="E57" i="28"/>
  <c r="D57" i="28"/>
  <c r="C57" i="28"/>
  <c r="B57" i="28"/>
  <c r="D46" i="48" l="1"/>
  <c r="D46" i="51" s="1"/>
  <c r="D34" i="48"/>
  <c r="D34" i="51" s="1"/>
  <c r="D22" i="48"/>
  <c r="D22" i="51" s="1"/>
  <c r="D10" i="48"/>
  <c r="D10" i="51" s="1"/>
  <c r="D39" i="48"/>
  <c r="D39" i="51" s="1"/>
  <c r="D50" i="48"/>
  <c r="D50" i="51" s="1"/>
  <c r="D12" i="48"/>
  <c r="D12" i="51" s="1"/>
  <c r="D45" i="48"/>
  <c r="D45" i="51" s="1"/>
  <c r="D33" i="48"/>
  <c r="D33" i="51" s="1"/>
  <c r="D21" i="48"/>
  <c r="D21" i="51" s="1"/>
  <c r="D9" i="48"/>
  <c r="D9" i="51" s="1"/>
  <c r="D48" i="48"/>
  <c r="D48" i="51" s="1"/>
  <c r="D56" i="48"/>
  <c r="D56" i="51" s="1"/>
  <c r="D44" i="48"/>
  <c r="D44" i="51" s="1"/>
  <c r="D32" i="48"/>
  <c r="D32" i="51" s="1"/>
  <c r="D20" i="48"/>
  <c r="D20" i="51" s="1"/>
  <c r="D8" i="48"/>
  <c r="D8" i="51" s="1"/>
  <c r="D38" i="48"/>
  <c r="D38" i="51" s="1"/>
  <c r="D25" i="48"/>
  <c r="D25" i="51" s="1"/>
  <c r="D24" i="48"/>
  <c r="D24" i="51" s="1"/>
  <c r="D55" i="48"/>
  <c r="D55" i="51" s="1"/>
  <c r="D43" i="48"/>
  <c r="D43" i="51" s="1"/>
  <c r="D31" i="48"/>
  <c r="D31" i="51" s="1"/>
  <c r="D19" i="48"/>
  <c r="D19" i="51" s="1"/>
  <c r="D7" i="48"/>
  <c r="D7" i="51" s="1"/>
  <c r="D27" i="48"/>
  <c r="D27" i="51" s="1"/>
  <c r="D26" i="48"/>
  <c r="D26" i="51" s="1"/>
  <c r="D47" i="48"/>
  <c r="D47" i="51" s="1"/>
  <c r="D54" i="48"/>
  <c r="D54" i="51" s="1"/>
  <c r="D42" i="48"/>
  <c r="D42" i="51" s="1"/>
  <c r="D30" i="48"/>
  <c r="D30" i="51" s="1"/>
  <c r="D18" i="48"/>
  <c r="D18" i="51" s="1"/>
  <c r="D6" i="48"/>
  <c r="D6" i="51" s="1"/>
  <c r="D51" i="48"/>
  <c r="D51" i="51" s="1"/>
  <c r="D49" i="48"/>
  <c r="D49" i="51" s="1"/>
  <c r="D53" i="48"/>
  <c r="D53" i="51" s="1"/>
  <c r="D41" i="48"/>
  <c r="D41" i="51" s="1"/>
  <c r="D29" i="48"/>
  <c r="D29" i="51" s="1"/>
  <c r="D17" i="48"/>
  <c r="D17" i="51" s="1"/>
  <c r="D15" i="48"/>
  <c r="D15" i="51" s="1"/>
  <c r="D36" i="48"/>
  <c r="D36" i="51" s="1"/>
  <c r="D23" i="48"/>
  <c r="D23" i="51" s="1"/>
  <c r="D52" i="48"/>
  <c r="D52" i="51" s="1"/>
  <c r="D40" i="48"/>
  <c r="D40" i="51" s="1"/>
  <c r="D28" i="48"/>
  <c r="D28" i="51" s="1"/>
  <c r="D16" i="48"/>
  <c r="D16" i="51" s="1"/>
  <c r="D14" i="48"/>
  <c r="D14" i="51" s="1"/>
  <c r="D37" i="48"/>
  <c r="D37" i="51" s="1"/>
  <c r="D35" i="48"/>
  <c r="D35" i="51" s="1"/>
  <c r="D13" i="48"/>
  <c r="D13" i="51" s="1"/>
  <c r="D11" i="48"/>
  <c r="D11" i="51" s="1"/>
  <c r="I57" i="28"/>
  <c r="E4" i="43"/>
  <c r="D57" i="48" l="1"/>
  <c r="D57" i="51"/>
  <c r="E12" i="43"/>
  <c r="X57" i="1" l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X58" i="1" l="1"/>
  <c r="Z8" i="1"/>
  <c r="Z10" i="1"/>
  <c r="Z12" i="1"/>
  <c r="Z14" i="1"/>
  <c r="Z16" i="1"/>
  <c r="Z18" i="1"/>
  <c r="Z20" i="1"/>
  <c r="Z22" i="1"/>
  <c r="Z24" i="1"/>
  <c r="Z26" i="1"/>
  <c r="Z28" i="1"/>
  <c r="Z30" i="1"/>
  <c r="Z32" i="1"/>
  <c r="Z34" i="1"/>
  <c r="Z36" i="1"/>
  <c r="Z38" i="1"/>
  <c r="Z40" i="1"/>
  <c r="Z42" i="1"/>
  <c r="Z44" i="1"/>
  <c r="Z46" i="1"/>
  <c r="Z48" i="1"/>
  <c r="Z50" i="1"/>
  <c r="Z52" i="1"/>
  <c r="Z54" i="1"/>
  <c r="Z56" i="1"/>
  <c r="Z7" i="1"/>
  <c r="Z9" i="1"/>
  <c r="Z11" i="1"/>
  <c r="Z13" i="1"/>
  <c r="Z15" i="1"/>
  <c r="Z17" i="1"/>
  <c r="Z19" i="1"/>
  <c r="Z21" i="1"/>
  <c r="Z23" i="1"/>
  <c r="Z25" i="1"/>
  <c r="Z27" i="1"/>
  <c r="Z29" i="1"/>
  <c r="Z31" i="1"/>
  <c r="Z33" i="1"/>
  <c r="Z35" i="1"/>
  <c r="Z37" i="1"/>
  <c r="Z39" i="1"/>
  <c r="Z41" i="1"/>
  <c r="Z43" i="1"/>
  <c r="Z45" i="1"/>
  <c r="Z47" i="1"/>
  <c r="Z49" i="1"/>
  <c r="Z51" i="1"/>
  <c r="Z53" i="1"/>
  <c r="Z55" i="1"/>
  <c r="Z57" i="1"/>
  <c r="E5" i="44" l="1"/>
  <c r="H5" i="44"/>
  <c r="I5" i="44" s="1"/>
  <c r="E6" i="44"/>
  <c r="H6" i="44"/>
  <c r="I6" i="44" s="1"/>
  <c r="E7" i="44"/>
  <c r="H7" i="44"/>
  <c r="I7" i="44" s="1"/>
  <c r="E8" i="44"/>
  <c r="H8" i="44"/>
  <c r="I8" i="44" s="1"/>
  <c r="E9" i="44"/>
  <c r="H9" i="44"/>
  <c r="I9" i="44" s="1"/>
  <c r="E10" i="44"/>
  <c r="H10" i="44"/>
  <c r="I10" i="44" s="1"/>
  <c r="E11" i="44"/>
  <c r="H11" i="44"/>
  <c r="I11" i="44" s="1"/>
  <c r="E12" i="44"/>
  <c r="H12" i="44"/>
  <c r="I12" i="44" s="1"/>
  <c r="E13" i="44"/>
  <c r="H13" i="44"/>
  <c r="I13" i="44" s="1"/>
  <c r="E14" i="44"/>
  <c r="H14" i="44"/>
  <c r="I14" i="44" s="1"/>
  <c r="E15" i="44"/>
  <c r="H15" i="44"/>
  <c r="I15" i="44" s="1"/>
  <c r="E16" i="44"/>
  <c r="H16" i="44"/>
  <c r="I16" i="44" s="1"/>
  <c r="E17" i="44"/>
  <c r="H17" i="44"/>
  <c r="I17" i="44" s="1"/>
  <c r="E18" i="44"/>
  <c r="H18" i="44"/>
  <c r="I18" i="44" s="1"/>
  <c r="E19" i="44"/>
  <c r="H19" i="44"/>
  <c r="I19" i="44" s="1"/>
  <c r="E20" i="44"/>
  <c r="H20" i="44"/>
  <c r="I20" i="44" s="1"/>
  <c r="E21" i="44"/>
  <c r="H21" i="44"/>
  <c r="I21" i="44" s="1"/>
  <c r="E22" i="44"/>
  <c r="H22" i="44"/>
  <c r="I22" i="44" s="1"/>
  <c r="E23" i="44"/>
  <c r="H23" i="44"/>
  <c r="I23" i="44" s="1"/>
  <c r="E24" i="44"/>
  <c r="H24" i="44"/>
  <c r="I24" i="44" s="1"/>
  <c r="E25" i="44"/>
  <c r="H25" i="44"/>
  <c r="I25" i="44" s="1"/>
  <c r="E26" i="44"/>
  <c r="H26" i="44"/>
  <c r="I26" i="44" s="1"/>
  <c r="E27" i="44"/>
  <c r="H27" i="44"/>
  <c r="I27" i="44" s="1"/>
  <c r="E28" i="44"/>
  <c r="H28" i="44"/>
  <c r="I28" i="44" s="1"/>
  <c r="E29" i="44"/>
  <c r="H29" i="44"/>
  <c r="I29" i="44" s="1"/>
  <c r="E30" i="44"/>
  <c r="H30" i="44"/>
  <c r="I30" i="44" s="1"/>
  <c r="E31" i="44"/>
  <c r="H31" i="44"/>
  <c r="I31" i="44" s="1"/>
  <c r="E32" i="44"/>
  <c r="H32" i="44"/>
  <c r="I32" i="44" s="1"/>
  <c r="E33" i="44"/>
  <c r="H33" i="44"/>
  <c r="I33" i="44" s="1"/>
  <c r="E34" i="44"/>
  <c r="H34" i="44"/>
  <c r="I34" i="44" s="1"/>
  <c r="E35" i="44"/>
  <c r="H35" i="44"/>
  <c r="I35" i="44" s="1"/>
  <c r="E36" i="44"/>
  <c r="H36" i="44"/>
  <c r="I36" i="44" s="1"/>
  <c r="E37" i="44"/>
  <c r="H37" i="44"/>
  <c r="I37" i="44" s="1"/>
  <c r="E38" i="44"/>
  <c r="H38" i="44"/>
  <c r="I38" i="44" s="1"/>
  <c r="E39" i="44"/>
  <c r="H39" i="44"/>
  <c r="I39" i="44" s="1"/>
  <c r="E40" i="44"/>
  <c r="H40" i="44"/>
  <c r="I40" i="44" s="1"/>
  <c r="E41" i="44"/>
  <c r="H41" i="44"/>
  <c r="I41" i="44" s="1"/>
  <c r="E42" i="44"/>
  <c r="H42" i="44"/>
  <c r="I42" i="44" s="1"/>
  <c r="E43" i="44"/>
  <c r="H43" i="44"/>
  <c r="I43" i="44" s="1"/>
  <c r="E44" i="44"/>
  <c r="H44" i="44"/>
  <c r="I44" i="44" s="1"/>
  <c r="E45" i="44"/>
  <c r="H45" i="44"/>
  <c r="I45" i="44" s="1"/>
  <c r="E46" i="44"/>
  <c r="H46" i="44"/>
  <c r="I46" i="44" s="1"/>
  <c r="E47" i="44"/>
  <c r="H47" i="44"/>
  <c r="I47" i="44" s="1"/>
  <c r="E48" i="44"/>
  <c r="H48" i="44"/>
  <c r="I48" i="44" s="1"/>
  <c r="E49" i="44"/>
  <c r="H49" i="44"/>
  <c r="I49" i="44" s="1"/>
  <c r="E50" i="44"/>
  <c r="H50" i="44"/>
  <c r="I50" i="44" s="1"/>
  <c r="E51" i="44"/>
  <c r="H51" i="44"/>
  <c r="I51" i="44" s="1"/>
  <c r="E52" i="44"/>
  <c r="H52" i="44"/>
  <c r="I52" i="44" s="1"/>
  <c r="E53" i="44"/>
  <c r="H53" i="44"/>
  <c r="I53" i="44" s="1"/>
  <c r="E54" i="44"/>
  <c r="H54" i="44"/>
  <c r="I54" i="44" s="1"/>
  <c r="E55" i="44"/>
  <c r="H55" i="44"/>
  <c r="I55" i="44" s="1"/>
  <c r="C56" i="44"/>
  <c r="D56" i="44"/>
  <c r="K55" i="44" s="1"/>
  <c r="G56" i="44"/>
  <c r="E56" i="44" l="1"/>
  <c r="F54" i="44" s="1"/>
  <c r="I56" i="44"/>
  <c r="J54" i="44" s="1"/>
  <c r="K54" i="44"/>
  <c r="K5" i="44"/>
  <c r="K6" i="44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J14" i="44" l="1"/>
  <c r="J9" i="44"/>
  <c r="J16" i="44"/>
  <c r="J20" i="44"/>
  <c r="J26" i="44"/>
  <c r="J28" i="44"/>
  <c r="J30" i="44"/>
  <c r="J32" i="44"/>
  <c r="J34" i="44"/>
  <c r="J5" i="44"/>
  <c r="J36" i="44"/>
  <c r="J7" i="44"/>
  <c r="J38" i="44"/>
  <c r="J18" i="44"/>
  <c r="F8" i="44"/>
  <c r="F10" i="44"/>
  <c r="F18" i="44"/>
  <c r="F32" i="44"/>
  <c r="F52" i="44"/>
  <c r="F36" i="44"/>
  <c r="F14" i="44"/>
  <c r="F50" i="44"/>
  <c r="F6" i="44"/>
  <c r="F23" i="44"/>
  <c r="F25" i="44"/>
  <c r="F34" i="44"/>
  <c r="F27" i="44"/>
  <c r="F12" i="44"/>
  <c r="F38" i="44"/>
  <c r="F40" i="44"/>
  <c r="F16" i="44"/>
  <c r="F42" i="44"/>
  <c r="F44" i="44"/>
  <c r="F46" i="44"/>
  <c r="F48" i="44"/>
  <c r="F21" i="44"/>
  <c r="F30" i="44"/>
  <c r="J11" i="44"/>
  <c r="J22" i="44"/>
  <c r="J40" i="44"/>
  <c r="J24" i="44"/>
  <c r="J6" i="44"/>
  <c r="J8" i="44"/>
  <c r="J10" i="44"/>
  <c r="J12" i="44"/>
  <c r="J13" i="44"/>
  <c r="J15" i="44"/>
  <c r="J17" i="44"/>
  <c r="J19" i="44"/>
  <c r="J21" i="44"/>
  <c r="J23" i="44"/>
  <c r="J25" i="44"/>
  <c r="J27" i="44"/>
  <c r="J29" i="44"/>
  <c r="J31" i="44"/>
  <c r="J33" i="44"/>
  <c r="J35" i="44"/>
  <c r="J37" i="44"/>
  <c r="J39" i="44"/>
  <c r="J41" i="44"/>
  <c r="F5" i="44"/>
  <c r="F7" i="44"/>
  <c r="F9" i="44"/>
  <c r="F11" i="44"/>
  <c r="F13" i="44"/>
  <c r="F15" i="44"/>
  <c r="F17" i="44"/>
  <c r="F19" i="44"/>
  <c r="F20" i="44"/>
  <c r="F22" i="44"/>
  <c r="F24" i="44"/>
  <c r="F26" i="44"/>
  <c r="F28" i="44"/>
  <c r="F29" i="44"/>
  <c r="F31" i="44"/>
  <c r="F33" i="44"/>
  <c r="F35" i="44"/>
  <c r="F37" i="44"/>
  <c r="F39" i="44"/>
  <c r="F41" i="44"/>
  <c r="F43" i="44"/>
  <c r="F45" i="44"/>
  <c r="F47" i="44"/>
  <c r="F49" i="44"/>
  <c r="F51" i="44"/>
  <c r="F53" i="44"/>
  <c r="J43" i="44"/>
  <c r="J46" i="44"/>
  <c r="J49" i="44"/>
  <c r="F55" i="44"/>
  <c r="J45" i="44"/>
  <c r="J50" i="44"/>
  <c r="J53" i="44"/>
  <c r="K56" i="44"/>
  <c r="J42" i="44"/>
  <c r="J44" i="44"/>
  <c r="J48" i="44"/>
  <c r="J52" i="44"/>
  <c r="J55" i="44"/>
  <c r="J47" i="44"/>
  <c r="J51" i="44"/>
  <c r="J56" i="44" l="1"/>
  <c r="F56" i="44"/>
  <c r="N3" i="44" l="1"/>
  <c r="P3" i="44"/>
  <c r="O3" i="44"/>
  <c r="P55" i="44" l="1"/>
  <c r="P43" i="44"/>
  <c r="P47" i="44"/>
  <c r="P51" i="44"/>
  <c r="P40" i="44"/>
  <c r="P36" i="44"/>
  <c r="P32" i="44"/>
  <c r="P28" i="44"/>
  <c r="P24" i="44"/>
  <c r="P20" i="44"/>
  <c r="P16" i="44"/>
  <c r="P12" i="44"/>
  <c r="P8" i="44"/>
  <c r="P54" i="44"/>
  <c r="P42" i="44"/>
  <c r="P46" i="44"/>
  <c r="P50" i="44"/>
  <c r="P41" i="44"/>
  <c r="P37" i="44"/>
  <c r="P33" i="44"/>
  <c r="P29" i="44"/>
  <c r="P25" i="44"/>
  <c r="P21" i="44"/>
  <c r="P17" i="44"/>
  <c r="P13" i="44"/>
  <c r="P9" i="44"/>
  <c r="P45" i="44"/>
  <c r="P49" i="44"/>
  <c r="P53" i="44"/>
  <c r="P38" i="44"/>
  <c r="P34" i="44"/>
  <c r="P30" i="44"/>
  <c r="P26" i="44"/>
  <c r="P22" i="44"/>
  <c r="P18" i="44"/>
  <c r="P14" i="44"/>
  <c r="P10" i="44"/>
  <c r="P6" i="44"/>
  <c r="P44" i="44"/>
  <c r="P48" i="44"/>
  <c r="P52" i="44"/>
  <c r="P39" i="44"/>
  <c r="P35" i="44"/>
  <c r="P31" i="44"/>
  <c r="P27" i="44"/>
  <c r="P23" i="44"/>
  <c r="P19" i="44"/>
  <c r="P15" i="44"/>
  <c r="P11" i="44"/>
  <c r="P7" i="44"/>
  <c r="P5" i="44"/>
  <c r="O9" i="44"/>
  <c r="O20" i="44"/>
  <c r="O28" i="44"/>
  <c r="O36" i="44"/>
  <c r="O7" i="44"/>
  <c r="O18" i="44"/>
  <c r="O26" i="44"/>
  <c r="O34" i="44"/>
  <c r="O54" i="44"/>
  <c r="O16" i="44"/>
  <c r="O24" i="44"/>
  <c r="O32" i="44"/>
  <c r="O40" i="44"/>
  <c r="O11" i="44"/>
  <c r="O14" i="44"/>
  <c r="O22" i="44"/>
  <c r="O30" i="44"/>
  <c r="O38" i="44"/>
  <c r="O5" i="44"/>
  <c r="O47" i="44"/>
  <c r="O52" i="44"/>
  <c r="O35" i="44"/>
  <c r="O27" i="44"/>
  <c r="O19" i="44"/>
  <c r="O10" i="44"/>
  <c r="O51" i="44"/>
  <c r="O48" i="44"/>
  <c r="O53" i="44"/>
  <c r="O49" i="44"/>
  <c r="O41" i="44"/>
  <c r="O33" i="44"/>
  <c r="O25" i="44"/>
  <c r="O17" i="44"/>
  <c r="O12" i="44"/>
  <c r="O44" i="44"/>
  <c r="O50" i="44"/>
  <c r="O46" i="44"/>
  <c r="O39" i="44"/>
  <c r="O31" i="44"/>
  <c r="O23" i="44"/>
  <c r="O15" i="44"/>
  <c r="O6" i="44"/>
  <c r="O55" i="44"/>
  <c r="O42" i="44"/>
  <c r="O45" i="44"/>
  <c r="O43" i="44"/>
  <c r="O37" i="44"/>
  <c r="O29" i="44"/>
  <c r="O21" i="44"/>
  <c r="O13" i="44"/>
  <c r="O8" i="44"/>
  <c r="N10" i="44"/>
  <c r="N18" i="44"/>
  <c r="N25" i="44"/>
  <c r="N30" i="44"/>
  <c r="N38" i="44"/>
  <c r="N46" i="44"/>
  <c r="N8" i="44"/>
  <c r="N16" i="44"/>
  <c r="N23" i="44"/>
  <c r="N32" i="44"/>
  <c r="N40" i="44"/>
  <c r="N48" i="44"/>
  <c r="N5" i="44"/>
  <c r="N6" i="44"/>
  <c r="N14" i="44"/>
  <c r="N21" i="44"/>
  <c r="N34" i="44"/>
  <c r="Q34" i="44" s="1"/>
  <c r="N42" i="44"/>
  <c r="N50" i="44"/>
  <c r="N54" i="44"/>
  <c r="N12" i="44"/>
  <c r="N27" i="44"/>
  <c r="N36" i="44"/>
  <c r="N44" i="44"/>
  <c r="N52" i="44"/>
  <c r="N55" i="44"/>
  <c r="N53" i="44"/>
  <c r="N45" i="44"/>
  <c r="N37" i="44"/>
  <c r="N29" i="44"/>
  <c r="N22" i="44"/>
  <c r="N15" i="44"/>
  <c r="N7" i="44"/>
  <c r="N51" i="44"/>
  <c r="N43" i="44"/>
  <c r="N35" i="44"/>
  <c r="N28" i="44"/>
  <c r="N20" i="44"/>
  <c r="N13" i="44"/>
  <c r="N49" i="44"/>
  <c r="N41" i="44"/>
  <c r="N33" i="44"/>
  <c r="N26" i="44"/>
  <c r="N19" i="44"/>
  <c r="N11" i="44"/>
  <c r="N47" i="44"/>
  <c r="N39" i="44"/>
  <c r="N31" i="44"/>
  <c r="N24" i="44"/>
  <c r="N17" i="44"/>
  <c r="N9" i="44"/>
  <c r="Q13" i="44" l="1"/>
  <c r="Q33" i="44"/>
  <c r="Q29" i="44"/>
  <c r="Q46" i="44"/>
  <c r="Q30" i="44"/>
  <c r="Q51" i="44"/>
  <c r="Q11" i="44"/>
  <c r="Q20" i="44"/>
  <c r="Q55" i="44"/>
  <c r="Q17" i="44"/>
  <c r="Q21" i="44"/>
  <c r="Q31" i="44"/>
  <c r="Q35" i="44"/>
  <c r="Q47" i="44"/>
  <c r="Q32" i="44"/>
  <c r="Q18" i="44"/>
  <c r="Q54" i="44"/>
  <c r="Q19" i="44"/>
  <c r="Q15" i="44"/>
  <c r="Q16" i="44"/>
  <c r="Q9" i="44"/>
  <c r="Q24" i="44"/>
  <c r="Q39" i="44"/>
  <c r="Q26" i="44"/>
  <c r="Q41" i="44"/>
  <c r="Q28" i="44"/>
  <c r="Q43" i="44"/>
  <c r="Q7" i="44"/>
  <c r="Q22" i="44"/>
  <c r="Q37" i="44"/>
  <c r="Q36" i="44"/>
  <c r="Q12" i="44"/>
  <c r="Q14" i="44"/>
  <c r="Q40" i="44"/>
  <c r="Q8" i="44"/>
  <c r="Q38" i="44"/>
  <c r="P56" i="44"/>
  <c r="Q45" i="44"/>
  <c r="Q44" i="44"/>
  <c r="Q49" i="44"/>
  <c r="Q48" i="44"/>
  <c r="Q10" i="44"/>
  <c r="Q27" i="44"/>
  <c r="Q52" i="44"/>
  <c r="O56" i="44"/>
  <c r="N56" i="44"/>
  <c r="Q5" i="44"/>
  <c r="Q42" i="44"/>
  <c r="Q6" i="44"/>
  <c r="Q23" i="44"/>
  <c r="Q50" i="44"/>
  <c r="Q25" i="44"/>
  <c r="Q53" i="44"/>
  <c r="Q56" i="44" l="1"/>
  <c r="R23" i="44" s="1"/>
  <c r="R49" i="44" l="1"/>
  <c r="R25" i="44"/>
  <c r="R52" i="44"/>
  <c r="R48" i="44"/>
  <c r="R45" i="44"/>
  <c r="R10" i="44"/>
  <c r="R42" i="44"/>
  <c r="R44" i="44"/>
  <c r="R27" i="44"/>
  <c r="R5" i="44"/>
  <c r="R9" i="44"/>
  <c r="R17" i="44"/>
  <c r="R31" i="44"/>
  <c r="R47" i="44"/>
  <c r="R19" i="44"/>
  <c r="R33" i="44"/>
  <c r="R20" i="44"/>
  <c r="R35" i="44"/>
  <c r="R51" i="44"/>
  <c r="R15" i="44"/>
  <c r="R29" i="44"/>
  <c r="R55" i="44"/>
  <c r="R54" i="44"/>
  <c r="R21" i="44"/>
  <c r="R32" i="44"/>
  <c r="R16" i="44"/>
  <c r="R46" i="44"/>
  <c r="R30" i="44"/>
  <c r="R18" i="44"/>
  <c r="R24" i="44"/>
  <c r="R39" i="44"/>
  <c r="R11" i="44"/>
  <c r="R26" i="44"/>
  <c r="R41" i="44"/>
  <c r="R13" i="44"/>
  <c r="R28" i="44"/>
  <c r="R43" i="44"/>
  <c r="R7" i="44"/>
  <c r="R22" i="44"/>
  <c r="R37" i="44"/>
  <c r="R36" i="44"/>
  <c r="R12" i="44"/>
  <c r="R34" i="44"/>
  <c r="R14" i="44"/>
  <c r="R40" i="44"/>
  <c r="R8" i="44"/>
  <c r="R38" i="44"/>
  <c r="R6" i="44"/>
  <c r="R50" i="44"/>
  <c r="R53" i="44"/>
  <c r="D58" i="1"/>
  <c r="C58" i="1"/>
  <c r="I5" i="36"/>
  <c r="AA53" i="1"/>
  <c r="Y51" i="1"/>
  <c r="AA49" i="1"/>
  <c r="Y43" i="1"/>
  <c r="Y40" i="1"/>
  <c r="Y39" i="1"/>
  <c r="AA37" i="1"/>
  <c r="AA34" i="1"/>
  <c r="Y31" i="1"/>
  <c r="AA26" i="1"/>
  <c r="AA22" i="1"/>
  <c r="AA57" i="1"/>
  <c r="AA55" i="1"/>
  <c r="AA52" i="1"/>
  <c r="AA50" i="1"/>
  <c r="AA48" i="1"/>
  <c r="AA46" i="1"/>
  <c r="AA44" i="1"/>
  <c r="AA42" i="1"/>
  <c r="AA40" i="1"/>
  <c r="AA38" i="1"/>
  <c r="AA36" i="1"/>
  <c r="AA32" i="1"/>
  <c r="AA30" i="1"/>
  <c r="AA28" i="1"/>
  <c r="AA24" i="1"/>
  <c r="AA20" i="1"/>
  <c r="AA17" i="1"/>
  <c r="AA15" i="1"/>
  <c r="AA12" i="1"/>
  <c r="AA10" i="1"/>
  <c r="Y23" i="1"/>
  <c r="Y7" i="1"/>
  <c r="D58" i="36"/>
  <c r="E58" i="36" s="1"/>
  <c r="B58" i="36"/>
  <c r="C57" i="36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Y57" i="1"/>
  <c r="AA56" i="1"/>
  <c r="Y56" i="1"/>
  <c r="Y55" i="1"/>
  <c r="Y53" i="1"/>
  <c r="Y52" i="1"/>
  <c r="AA51" i="1"/>
  <c r="Y50" i="1"/>
  <c r="Y49" i="1"/>
  <c r="Y48" i="1"/>
  <c r="AA47" i="1"/>
  <c r="Y47" i="1"/>
  <c r="Y46" i="1"/>
  <c r="AA45" i="1"/>
  <c r="Y45" i="1"/>
  <c r="Y44" i="1"/>
  <c r="AA43" i="1"/>
  <c r="Y42" i="1"/>
  <c r="AA41" i="1"/>
  <c r="Y41" i="1"/>
  <c r="AA39" i="1"/>
  <c r="Y38" i="1"/>
  <c r="Y37" i="1"/>
  <c r="Y36" i="1"/>
  <c r="AA35" i="1"/>
  <c r="Y35" i="1"/>
  <c r="Y34" i="1"/>
  <c r="AA33" i="1"/>
  <c r="Y33" i="1"/>
  <c r="Y32" i="1"/>
  <c r="AA31" i="1"/>
  <c r="Y30" i="1"/>
  <c r="AA29" i="1"/>
  <c r="Y29" i="1"/>
  <c r="Y28" i="1"/>
  <c r="AA27" i="1"/>
  <c r="Y27" i="1"/>
  <c r="AA25" i="1"/>
  <c r="Y25" i="1"/>
  <c r="Y24" i="1"/>
  <c r="AA23" i="1"/>
  <c r="Y22" i="1"/>
  <c r="AA21" i="1"/>
  <c r="Y21" i="1"/>
  <c r="Y20" i="1"/>
  <c r="AA19" i="1"/>
  <c r="Y19" i="1"/>
  <c r="AA18" i="1"/>
  <c r="Y18" i="1"/>
  <c r="Y17" i="1"/>
  <c r="AA16" i="1"/>
  <c r="Y16" i="1"/>
  <c r="Y15" i="1"/>
  <c r="Y14" i="1"/>
  <c r="AA13" i="1"/>
  <c r="Y13" i="1"/>
  <c r="Y12" i="1"/>
  <c r="AA11" i="1"/>
  <c r="Y11" i="1"/>
  <c r="Y10" i="1"/>
  <c r="AA9" i="1"/>
  <c r="Y9" i="1"/>
  <c r="Y8" i="1"/>
  <c r="AA7" i="1"/>
  <c r="C11" i="36"/>
  <c r="C7" i="36"/>
  <c r="C26" i="36"/>
  <c r="C8" i="36"/>
  <c r="C16" i="36"/>
  <c r="C33" i="36"/>
  <c r="C17" i="36"/>
  <c r="C21" i="36"/>
  <c r="C25" i="36"/>
  <c r="C29" i="36"/>
  <c r="C34" i="36"/>
  <c r="C38" i="36"/>
  <c r="C46" i="36"/>
  <c r="C39" i="36"/>
  <c r="C48" i="36"/>
  <c r="C56" i="36"/>
  <c r="E7" i="1"/>
  <c r="F7" i="1" s="1"/>
  <c r="C47" i="36"/>
  <c r="C51" i="36"/>
  <c r="C55" i="36"/>
  <c r="K58" i="1"/>
  <c r="L10" i="1" s="1"/>
  <c r="M10" i="1" s="1"/>
  <c r="H58" i="1"/>
  <c r="I10" i="1" s="1"/>
  <c r="J10" i="1" s="1"/>
  <c r="L26" i="1"/>
  <c r="M26" i="1" s="1"/>
  <c r="L13" i="1"/>
  <c r="M13" i="1" s="1"/>
  <c r="L9" i="1"/>
  <c r="M9" i="1" s="1"/>
  <c r="C24" i="36" l="1"/>
  <c r="C43" i="36"/>
  <c r="I43" i="36" s="1"/>
  <c r="C12" i="36"/>
  <c r="I28" i="1"/>
  <c r="J28" i="1" s="1"/>
  <c r="I13" i="1"/>
  <c r="J13" i="1" s="1"/>
  <c r="I30" i="1"/>
  <c r="J30" i="1" s="1"/>
  <c r="I40" i="1"/>
  <c r="J40" i="1" s="1"/>
  <c r="I16" i="1"/>
  <c r="J16" i="1" s="1"/>
  <c r="I22" i="1"/>
  <c r="J22" i="1" s="1"/>
  <c r="I48" i="1"/>
  <c r="J48" i="1" s="1"/>
  <c r="I33" i="1"/>
  <c r="J33" i="1" s="1"/>
  <c r="I38" i="1"/>
  <c r="J38" i="1" s="1"/>
  <c r="C50" i="36"/>
  <c r="I50" i="36" s="1"/>
  <c r="C13" i="36"/>
  <c r="C35" i="36"/>
  <c r="C30" i="36"/>
  <c r="I24" i="1"/>
  <c r="J24" i="1" s="1"/>
  <c r="L34" i="1"/>
  <c r="M34" i="1" s="1"/>
  <c r="I25" i="1"/>
  <c r="J25" i="1" s="1"/>
  <c r="I51" i="1"/>
  <c r="J51" i="1" s="1"/>
  <c r="C53" i="36"/>
  <c r="I53" i="36" s="1"/>
  <c r="C49" i="36"/>
  <c r="I49" i="36" s="1"/>
  <c r="C52" i="36"/>
  <c r="I52" i="36" s="1"/>
  <c r="C45" i="36"/>
  <c r="I45" i="36" s="1"/>
  <c r="C41" i="36"/>
  <c r="I41" i="36" s="1"/>
  <c r="C54" i="36"/>
  <c r="C42" i="36"/>
  <c r="C36" i="36"/>
  <c r="C32" i="36"/>
  <c r="C40" i="36"/>
  <c r="C31" i="36"/>
  <c r="I31" i="36" s="1"/>
  <c r="C27" i="36"/>
  <c r="C23" i="36"/>
  <c r="I23" i="36" s="1"/>
  <c r="C19" i="36"/>
  <c r="I19" i="36" s="1"/>
  <c r="C44" i="36"/>
  <c r="I44" i="36" s="1"/>
  <c r="C28" i="36"/>
  <c r="I28" i="36" s="1"/>
  <c r="C20" i="36"/>
  <c r="I20" i="36" s="1"/>
  <c r="C14" i="36"/>
  <c r="C10" i="36"/>
  <c r="C37" i="36"/>
  <c r="I37" i="36" s="1"/>
  <c r="C18" i="36"/>
  <c r="I18" i="36" s="1"/>
  <c r="C9" i="36"/>
  <c r="C15" i="36"/>
  <c r="I15" i="36" s="1"/>
  <c r="C22" i="36"/>
  <c r="I22" i="36" s="1"/>
  <c r="E7" i="36"/>
  <c r="E16" i="36"/>
  <c r="L11" i="1"/>
  <c r="M11" i="1" s="1"/>
  <c r="L15" i="1"/>
  <c r="M15" i="1" s="1"/>
  <c r="I18" i="1"/>
  <c r="J18" i="1" s="1"/>
  <c r="I26" i="1"/>
  <c r="J26" i="1" s="1"/>
  <c r="N26" i="1" s="1"/>
  <c r="I34" i="1"/>
  <c r="J34" i="1" s="1"/>
  <c r="I8" i="1"/>
  <c r="J8" i="1" s="1"/>
  <c r="I41" i="1"/>
  <c r="J41" i="1" s="1"/>
  <c r="I50" i="1"/>
  <c r="J50" i="1" s="1"/>
  <c r="I20" i="1"/>
  <c r="J20" i="1" s="1"/>
  <c r="I36" i="1"/>
  <c r="J36" i="1" s="1"/>
  <c r="I44" i="1"/>
  <c r="J44" i="1" s="1"/>
  <c r="I56" i="1"/>
  <c r="J56" i="1" s="1"/>
  <c r="I47" i="1"/>
  <c r="J47" i="1" s="1"/>
  <c r="I9" i="1"/>
  <c r="J9" i="1" s="1"/>
  <c r="N9" i="1" s="1"/>
  <c r="I54" i="1"/>
  <c r="J54" i="1" s="1"/>
  <c r="I46" i="1"/>
  <c r="J46" i="1" s="1"/>
  <c r="AA54" i="1"/>
  <c r="Y54" i="1"/>
  <c r="L18" i="1"/>
  <c r="M18" i="1" s="1"/>
  <c r="L58" i="1"/>
  <c r="L7" i="1"/>
  <c r="M7" i="1" s="1"/>
  <c r="L54" i="1"/>
  <c r="M54" i="1" s="1"/>
  <c r="L46" i="1"/>
  <c r="M46" i="1" s="1"/>
  <c r="L38" i="1"/>
  <c r="M38" i="1" s="1"/>
  <c r="L30" i="1"/>
  <c r="M30" i="1" s="1"/>
  <c r="N30" i="1" s="1"/>
  <c r="L22" i="1"/>
  <c r="M22" i="1" s="1"/>
  <c r="L14" i="1"/>
  <c r="M14" i="1" s="1"/>
  <c r="L56" i="1"/>
  <c r="M56" i="1" s="1"/>
  <c r="L52" i="1"/>
  <c r="M52" i="1" s="1"/>
  <c r="L48" i="1"/>
  <c r="M48" i="1" s="1"/>
  <c r="L44" i="1"/>
  <c r="M44" i="1" s="1"/>
  <c r="L40" i="1"/>
  <c r="M40" i="1" s="1"/>
  <c r="N40" i="1" s="1"/>
  <c r="L36" i="1"/>
  <c r="M36" i="1" s="1"/>
  <c r="L32" i="1"/>
  <c r="M32" i="1" s="1"/>
  <c r="L28" i="1"/>
  <c r="M28" i="1" s="1"/>
  <c r="N28" i="1" s="1"/>
  <c r="L24" i="1"/>
  <c r="M24" i="1" s="1"/>
  <c r="N24" i="1" s="1"/>
  <c r="L20" i="1"/>
  <c r="M20" i="1" s="1"/>
  <c r="N20" i="1" s="1"/>
  <c r="L16" i="1"/>
  <c r="M16" i="1" s="1"/>
  <c r="N16" i="1" s="1"/>
  <c r="L12" i="1"/>
  <c r="M12" i="1" s="1"/>
  <c r="L8" i="1"/>
  <c r="M8" i="1" s="1"/>
  <c r="L57" i="1"/>
  <c r="M57" i="1" s="1"/>
  <c r="L55" i="1"/>
  <c r="M55" i="1" s="1"/>
  <c r="L53" i="1"/>
  <c r="M53" i="1" s="1"/>
  <c r="L51" i="1"/>
  <c r="M51" i="1" s="1"/>
  <c r="N51" i="1" s="1"/>
  <c r="L49" i="1"/>
  <c r="M49" i="1" s="1"/>
  <c r="L47" i="1"/>
  <c r="M47" i="1" s="1"/>
  <c r="L45" i="1"/>
  <c r="M45" i="1" s="1"/>
  <c r="L43" i="1"/>
  <c r="M43" i="1" s="1"/>
  <c r="L41" i="1"/>
  <c r="M41" i="1" s="1"/>
  <c r="N41" i="1" s="1"/>
  <c r="L39" i="1"/>
  <c r="M39" i="1" s="1"/>
  <c r="L37" i="1"/>
  <c r="M37" i="1" s="1"/>
  <c r="L35" i="1"/>
  <c r="M35" i="1" s="1"/>
  <c r="L33" i="1"/>
  <c r="M33" i="1" s="1"/>
  <c r="L31" i="1"/>
  <c r="M31" i="1" s="1"/>
  <c r="L29" i="1"/>
  <c r="M29" i="1" s="1"/>
  <c r="L27" i="1"/>
  <c r="M27" i="1" s="1"/>
  <c r="L25" i="1"/>
  <c r="M25" i="1" s="1"/>
  <c r="L23" i="1"/>
  <c r="M23" i="1" s="1"/>
  <c r="L21" i="1"/>
  <c r="M21" i="1" s="1"/>
  <c r="L19" i="1"/>
  <c r="M19" i="1" s="1"/>
  <c r="L17" i="1"/>
  <c r="M17" i="1" s="1"/>
  <c r="L50" i="1"/>
  <c r="M50" i="1" s="1"/>
  <c r="N50" i="1" s="1"/>
  <c r="N25" i="1"/>
  <c r="N13" i="1"/>
  <c r="L42" i="1"/>
  <c r="M42" i="1" s="1"/>
  <c r="Y26" i="1"/>
  <c r="AA14" i="1"/>
  <c r="N10" i="1"/>
  <c r="AA8" i="1"/>
  <c r="R56" i="44"/>
  <c r="E27" i="36"/>
  <c r="E22" i="36"/>
  <c r="E43" i="36"/>
  <c r="E54" i="36"/>
  <c r="E28" i="36"/>
  <c r="E51" i="36"/>
  <c r="E35" i="36"/>
  <c r="E19" i="36"/>
  <c r="E38" i="36"/>
  <c r="E10" i="36"/>
  <c r="E40" i="36"/>
  <c r="E55" i="36"/>
  <c r="E47" i="36"/>
  <c r="E39" i="36"/>
  <c r="E31" i="36"/>
  <c r="E23" i="36"/>
  <c r="E15" i="36"/>
  <c r="E48" i="36"/>
  <c r="E50" i="36"/>
  <c r="E46" i="36"/>
  <c r="E30" i="36"/>
  <c r="E14" i="36"/>
  <c r="E44" i="36"/>
  <c r="E13" i="36"/>
  <c r="E11" i="36"/>
  <c r="E57" i="36"/>
  <c r="E53" i="36"/>
  <c r="E49" i="36"/>
  <c r="E45" i="36"/>
  <c r="E41" i="36"/>
  <c r="E37" i="36"/>
  <c r="E33" i="36"/>
  <c r="E29" i="36"/>
  <c r="E25" i="36"/>
  <c r="E21" i="36"/>
  <c r="E17" i="36"/>
  <c r="E56" i="36"/>
  <c r="E52" i="36"/>
  <c r="E42" i="36"/>
  <c r="E34" i="36"/>
  <c r="E26" i="36"/>
  <c r="E18" i="36"/>
  <c r="E12" i="36"/>
  <c r="E8" i="36"/>
  <c r="E36" i="36"/>
  <c r="E20" i="36"/>
  <c r="E9" i="36"/>
  <c r="E24" i="36"/>
  <c r="E32" i="36"/>
  <c r="I14" i="1"/>
  <c r="J14" i="1" s="1"/>
  <c r="I19" i="1"/>
  <c r="J19" i="1" s="1"/>
  <c r="I23" i="1"/>
  <c r="J23" i="1" s="1"/>
  <c r="I27" i="1"/>
  <c r="J27" i="1" s="1"/>
  <c r="I31" i="1"/>
  <c r="J31" i="1" s="1"/>
  <c r="I35" i="1"/>
  <c r="J35" i="1" s="1"/>
  <c r="I39" i="1"/>
  <c r="J39" i="1" s="1"/>
  <c r="N39" i="1" s="1"/>
  <c r="I43" i="1"/>
  <c r="J43" i="1" s="1"/>
  <c r="I12" i="1"/>
  <c r="J12" i="1" s="1"/>
  <c r="I21" i="1"/>
  <c r="J21" i="1" s="1"/>
  <c r="I29" i="1"/>
  <c r="J29" i="1" s="1"/>
  <c r="N29" i="1" s="1"/>
  <c r="I37" i="1"/>
  <c r="J37" i="1" s="1"/>
  <c r="I45" i="1"/>
  <c r="J45" i="1" s="1"/>
  <c r="I49" i="1"/>
  <c r="J49" i="1" s="1"/>
  <c r="I53" i="1"/>
  <c r="J53" i="1" s="1"/>
  <c r="N53" i="1" s="1"/>
  <c r="I57" i="1"/>
  <c r="J57" i="1" s="1"/>
  <c r="I7" i="1"/>
  <c r="I11" i="1"/>
  <c r="J11" i="1" s="1"/>
  <c r="I15" i="1"/>
  <c r="J15" i="1" s="1"/>
  <c r="N15" i="1" s="1"/>
  <c r="I55" i="1"/>
  <c r="J55" i="1" s="1"/>
  <c r="I17" i="1"/>
  <c r="J17" i="1" s="1"/>
  <c r="I32" i="1"/>
  <c r="J32" i="1" s="1"/>
  <c r="I42" i="1"/>
  <c r="J42" i="1" s="1"/>
  <c r="I52" i="1"/>
  <c r="J52" i="1" s="1"/>
  <c r="I55" i="36"/>
  <c r="I34" i="36"/>
  <c r="I47" i="36"/>
  <c r="I10" i="36"/>
  <c r="I26" i="36"/>
  <c r="I42" i="36"/>
  <c r="I7" i="36"/>
  <c r="I39" i="36"/>
  <c r="AF5" i="1"/>
  <c r="I57" i="36"/>
  <c r="I33" i="36"/>
  <c r="I29" i="36"/>
  <c r="I25" i="36"/>
  <c r="I21" i="36"/>
  <c r="I17" i="36"/>
  <c r="I13" i="36"/>
  <c r="I56" i="36"/>
  <c r="I48" i="36"/>
  <c r="I40" i="36"/>
  <c r="I36" i="36"/>
  <c r="I32" i="36"/>
  <c r="I24" i="36"/>
  <c r="I16" i="36"/>
  <c r="I12" i="36"/>
  <c r="I8" i="36"/>
  <c r="J5" i="36"/>
  <c r="K5" i="36"/>
  <c r="I14" i="36"/>
  <c r="I30" i="36"/>
  <c r="I38" i="36"/>
  <c r="I46" i="36"/>
  <c r="I54" i="36"/>
  <c r="I11" i="36"/>
  <c r="I27" i="36"/>
  <c r="I35" i="36"/>
  <c r="I51" i="36"/>
  <c r="E58" i="1"/>
  <c r="F58" i="1"/>
  <c r="G7" i="1" s="1"/>
  <c r="N38" i="1" l="1"/>
  <c r="N17" i="1"/>
  <c r="N12" i="1"/>
  <c r="N22" i="1"/>
  <c r="N11" i="1"/>
  <c r="N33" i="1"/>
  <c r="N34" i="1"/>
  <c r="N23" i="1"/>
  <c r="N56" i="1"/>
  <c r="N46" i="1"/>
  <c r="N48" i="1"/>
  <c r="C58" i="36"/>
  <c r="I9" i="36"/>
  <c r="N8" i="1"/>
  <c r="N45" i="1"/>
  <c r="N14" i="1"/>
  <c r="N42" i="1"/>
  <c r="N31" i="1"/>
  <c r="N44" i="1"/>
  <c r="N18" i="1"/>
  <c r="G50" i="1"/>
  <c r="AF50" i="1" s="1"/>
  <c r="G48" i="1"/>
  <c r="AF48" i="1" s="1"/>
  <c r="G39" i="1"/>
  <c r="AF39" i="1" s="1"/>
  <c r="G33" i="1"/>
  <c r="AF33" i="1" s="1"/>
  <c r="G31" i="1"/>
  <c r="AF31" i="1" s="1"/>
  <c r="G27" i="1"/>
  <c r="AF27" i="1" s="1"/>
  <c r="G43" i="1"/>
  <c r="AF43" i="1" s="1"/>
  <c r="N32" i="1"/>
  <c r="N55" i="1"/>
  <c r="N43" i="1"/>
  <c r="N35" i="1"/>
  <c r="N27" i="1"/>
  <c r="N19" i="1"/>
  <c r="N36" i="1"/>
  <c r="G25" i="1"/>
  <c r="AF25" i="1" s="1"/>
  <c r="G17" i="1"/>
  <c r="AF17" i="1" s="1"/>
  <c r="G15" i="1"/>
  <c r="AF15" i="1" s="1"/>
  <c r="G10" i="1"/>
  <c r="AF10" i="1" s="1"/>
  <c r="G8" i="1"/>
  <c r="AF8" i="1" s="1"/>
  <c r="G51" i="1"/>
  <c r="AF51" i="1" s="1"/>
  <c r="G49" i="1"/>
  <c r="AF49" i="1" s="1"/>
  <c r="G45" i="1"/>
  <c r="AF45" i="1" s="1"/>
  <c r="G40" i="1"/>
  <c r="AF40" i="1" s="1"/>
  <c r="G34" i="1"/>
  <c r="AF34" i="1" s="1"/>
  <c r="G32" i="1"/>
  <c r="AF32" i="1" s="1"/>
  <c r="G28" i="1"/>
  <c r="AF28" i="1" s="1"/>
  <c r="G26" i="1"/>
  <c r="AF26" i="1" s="1"/>
  <c r="G18" i="1"/>
  <c r="AF18" i="1" s="1"/>
  <c r="G16" i="1"/>
  <c r="AF16" i="1" s="1"/>
  <c r="G13" i="1"/>
  <c r="AF13" i="1" s="1"/>
  <c r="G9" i="1"/>
  <c r="AF9" i="1" s="1"/>
  <c r="N54" i="1"/>
  <c r="N47" i="1"/>
  <c r="M58" i="1"/>
  <c r="N52" i="1"/>
  <c r="N57" i="1"/>
  <c r="N49" i="1"/>
  <c r="N37" i="1"/>
  <c r="N21" i="1"/>
  <c r="Y58" i="1"/>
  <c r="AA58" i="1"/>
  <c r="J7" i="1"/>
  <c r="I58" i="1"/>
  <c r="AH5" i="1"/>
  <c r="AG5" i="1"/>
  <c r="I58" i="36"/>
  <c r="J13" i="36"/>
  <c r="J50" i="36"/>
  <c r="J9" i="36"/>
  <c r="J8" i="36"/>
  <c r="J12" i="36"/>
  <c r="J20" i="36"/>
  <c r="J54" i="36"/>
  <c r="J56" i="36"/>
  <c r="J15" i="36"/>
  <c r="J17" i="36"/>
  <c r="J19" i="36"/>
  <c r="J21" i="36"/>
  <c r="J23" i="36"/>
  <c r="J25" i="36"/>
  <c r="J27" i="36"/>
  <c r="J29" i="36"/>
  <c r="J31" i="36"/>
  <c r="J33" i="36"/>
  <c r="J35" i="36"/>
  <c r="J37" i="36"/>
  <c r="J39" i="36"/>
  <c r="J41" i="36"/>
  <c r="J43" i="36"/>
  <c r="J45" i="36"/>
  <c r="J47" i="36"/>
  <c r="J49" i="36"/>
  <c r="J51" i="36"/>
  <c r="J53" i="36"/>
  <c r="J55" i="36"/>
  <c r="J57" i="36"/>
  <c r="J28" i="36"/>
  <c r="J36" i="36"/>
  <c r="J44" i="36"/>
  <c r="J18" i="36"/>
  <c r="J22" i="36"/>
  <c r="J26" i="36"/>
  <c r="J30" i="36"/>
  <c r="J34" i="36"/>
  <c r="J38" i="36"/>
  <c r="J42" i="36"/>
  <c r="J46" i="36"/>
  <c r="J48" i="36"/>
  <c r="J52" i="36"/>
  <c r="J7" i="36"/>
  <c r="J10" i="36"/>
  <c r="J32" i="36"/>
  <c r="J16" i="36"/>
  <c r="J24" i="36"/>
  <c r="J40" i="36"/>
  <c r="J11" i="36"/>
  <c r="J14" i="36"/>
  <c r="AF7" i="1"/>
  <c r="G57" i="1"/>
  <c r="AF57" i="1" s="1"/>
  <c r="G37" i="1"/>
  <c r="AF37" i="1" s="1"/>
  <c r="G53" i="1"/>
  <c r="AF53" i="1" s="1"/>
  <c r="G21" i="1"/>
  <c r="AF21" i="1" s="1"/>
  <c r="G38" i="1"/>
  <c r="AF38" i="1" s="1"/>
  <c r="G54" i="1"/>
  <c r="AF54" i="1" s="1"/>
  <c r="G42" i="1"/>
  <c r="AF42" i="1" s="1"/>
  <c r="G23" i="1"/>
  <c r="AF23" i="1" s="1"/>
  <c r="G55" i="1"/>
  <c r="AF55" i="1" s="1"/>
  <c r="G46" i="1"/>
  <c r="AF46" i="1" s="1"/>
  <c r="G36" i="1"/>
  <c r="AF36" i="1" s="1"/>
  <c r="G29" i="1"/>
  <c r="AF29" i="1" s="1"/>
  <c r="G14" i="1"/>
  <c r="AF14" i="1" s="1"/>
  <c r="G44" i="1"/>
  <c r="AF44" i="1" s="1"/>
  <c r="G30" i="1"/>
  <c r="AF30" i="1" s="1"/>
  <c r="G20" i="1"/>
  <c r="AF20" i="1" s="1"/>
  <c r="G41" i="1"/>
  <c r="AF41" i="1" s="1"/>
  <c r="G19" i="1"/>
  <c r="AF19" i="1" s="1"/>
  <c r="G22" i="1"/>
  <c r="AF22" i="1" s="1"/>
  <c r="G12" i="1"/>
  <c r="AF12" i="1" s="1"/>
  <c r="G56" i="1"/>
  <c r="AF56" i="1" s="1"/>
  <c r="G52" i="1"/>
  <c r="AF52" i="1" s="1"/>
  <c r="G47" i="1"/>
  <c r="AF47" i="1" s="1"/>
  <c r="G11" i="1"/>
  <c r="AF11" i="1" s="1"/>
  <c r="G24" i="1"/>
  <c r="AF24" i="1" s="1"/>
  <c r="G35" i="1"/>
  <c r="AF35" i="1" s="1"/>
  <c r="AG36" i="1" l="1"/>
  <c r="AB54" i="1"/>
  <c r="AC54" i="1" s="1"/>
  <c r="AD54" i="1" s="1"/>
  <c r="AH54" i="1" s="1"/>
  <c r="AB33" i="1"/>
  <c r="AC33" i="1" s="1"/>
  <c r="AD33" i="1" s="1"/>
  <c r="AH33" i="1" s="1"/>
  <c r="AB25" i="1"/>
  <c r="AC25" i="1" s="1"/>
  <c r="AD25" i="1" s="1"/>
  <c r="AH25" i="1" s="1"/>
  <c r="AB37" i="1"/>
  <c r="AC37" i="1" s="1"/>
  <c r="AD37" i="1" s="1"/>
  <c r="AH37" i="1" s="1"/>
  <c r="AB32" i="1"/>
  <c r="AC32" i="1" s="1"/>
  <c r="AD32" i="1" s="1"/>
  <c r="AH32" i="1" s="1"/>
  <c r="AB52" i="1"/>
  <c r="AC52" i="1" s="1"/>
  <c r="AD52" i="1" s="1"/>
  <c r="AH52" i="1" s="1"/>
  <c r="AB36" i="1"/>
  <c r="AC36" i="1" s="1"/>
  <c r="AD36" i="1" s="1"/>
  <c r="AH36" i="1" s="1"/>
  <c r="AB57" i="1"/>
  <c r="AC57" i="1" s="1"/>
  <c r="AD57" i="1" s="1"/>
  <c r="AH57" i="1" s="1"/>
  <c r="AB46" i="1"/>
  <c r="AC46" i="1" s="1"/>
  <c r="AD46" i="1" s="1"/>
  <c r="AH46" i="1" s="1"/>
  <c r="AB28" i="1"/>
  <c r="AC28" i="1" s="1"/>
  <c r="AD28" i="1" s="1"/>
  <c r="AH28" i="1" s="1"/>
  <c r="AB12" i="1"/>
  <c r="AC12" i="1" s="1"/>
  <c r="AD12" i="1" s="1"/>
  <c r="AH12" i="1" s="1"/>
  <c r="AB44" i="1"/>
  <c r="AC44" i="1" s="1"/>
  <c r="AD44" i="1" s="1"/>
  <c r="AH44" i="1" s="1"/>
  <c r="AB51" i="1"/>
  <c r="AC51" i="1" s="1"/>
  <c r="AD51" i="1" s="1"/>
  <c r="AH51" i="1" s="1"/>
  <c r="AB35" i="1"/>
  <c r="AC35" i="1" s="1"/>
  <c r="AD35" i="1" s="1"/>
  <c r="AH35" i="1" s="1"/>
  <c r="AB19" i="1"/>
  <c r="AC19" i="1" s="1"/>
  <c r="AD19" i="1" s="1"/>
  <c r="AH19" i="1" s="1"/>
  <c r="AB14" i="1"/>
  <c r="AC14" i="1" s="1"/>
  <c r="AD14" i="1" s="1"/>
  <c r="AH14" i="1" s="1"/>
  <c r="AB16" i="1"/>
  <c r="AC16" i="1" s="1"/>
  <c r="AD16" i="1" s="1"/>
  <c r="AH16" i="1" s="1"/>
  <c r="AB11" i="1"/>
  <c r="AC11" i="1" s="1"/>
  <c r="AD11" i="1" s="1"/>
  <c r="AH11" i="1" s="1"/>
  <c r="AB43" i="1"/>
  <c r="AC43" i="1" s="1"/>
  <c r="AD43" i="1" s="1"/>
  <c r="AH43" i="1" s="1"/>
  <c r="AB7" i="1"/>
  <c r="AB23" i="1"/>
  <c r="AC23" i="1" s="1"/>
  <c r="AD23" i="1" s="1"/>
  <c r="AH23" i="1" s="1"/>
  <c r="AB39" i="1"/>
  <c r="AC39" i="1" s="1"/>
  <c r="AD39" i="1" s="1"/>
  <c r="AH39" i="1" s="1"/>
  <c r="AB56" i="1"/>
  <c r="AC56" i="1" s="1"/>
  <c r="AD56" i="1" s="1"/>
  <c r="AH56" i="1" s="1"/>
  <c r="AB17" i="1"/>
  <c r="AC17" i="1" s="1"/>
  <c r="AD17" i="1" s="1"/>
  <c r="AH17" i="1" s="1"/>
  <c r="AB26" i="1"/>
  <c r="AC26" i="1" s="1"/>
  <c r="AD26" i="1" s="1"/>
  <c r="AH26" i="1" s="1"/>
  <c r="AB38" i="1"/>
  <c r="AC38" i="1" s="1"/>
  <c r="AD38" i="1" s="1"/>
  <c r="AH38" i="1" s="1"/>
  <c r="AB50" i="1"/>
  <c r="AC50" i="1" s="1"/>
  <c r="AD50" i="1" s="1"/>
  <c r="AH50" i="1" s="1"/>
  <c r="AB9" i="1"/>
  <c r="AC9" i="1" s="1"/>
  <c r="AD9" i="1" s="1"/>
  <c r="AH9" i="1" s="1"/>
  <c r="AB18" i="1"/>
  <c r="AC18" i="1" s="1"/>
  <c r="AD18" i="1" s="1"/>
  <c r="AH18" i="1" s="1"/>
  <c r="AB29" i="1"/>
  <c r="AC29" i="1" s="1"/>
  <c r="AD29" i="1" s="1"/>
  <c r="AH29" i="1" s="1"/>
  <c r="AB45" i="1"/>
  <c r="AC45" i="1" s="1"/>
  <c r="AD45" i="1" s="1"/>
  <c r="AH45" i="1" s="1"/>
  <c r="AB53" i="1"/>
  <c r="AC53" i="1" s="1"/>
  <c r="AD53" i="1" s="1"/>
  <c r="AH53" i="1" s="1"/>
  <c r="AB20" i="1"/>
  <c r="AC20" i="1" s="1"/>
  <c r="AD20" i="1" s="1"/>
  <c r="AH20" i="1" s="1"/>
  <c r="AB40" i="1"/>
  <c r="AC40" i="1" s="1"/>
  <c r="AD40" i="1" s="1"/>
  <c r="AH40" i="1" s="1"/>
  <c r="AB27" i="1"/>
  <c r="AC27" i="1" s="1"/>
  <c r="AD27" i="1" s="1"/>
  <c r="AH27" i="1" s="1"/>
  <c r="AB30" i="1"/>
  <c r="AC30" i="1" s="1"/>
  <c r="AD30" i="1" s="1"/>
  <c r="AH30" i="1" s="1"/>
  <c r="AB31" i="1"/>
  <c r="AC31" i="1" s="1"/>
  <c r="AD31" i="1" s="1"/>
  <c r="AH31" i="1" s="1"/>
  <c r="AB47" i="1"/>
  <c r="AC47" i="1" s="1"/>
  <c r="AD47" i="1" s="1"/>
  <c r="AH47" i="1" s="1"/>
  <c r="AB15" i="1"/>
  <c r="AC15" i="1" s="1"/>
  <c r="AD15" i="1" s="1"/>
  <c r="AH15" i="1" s="1"/>
  <c r="AB22" i="1"/>
  <c r="AC22" i="1" s="1"/>
  <c r="AD22" i="1" s="1"/>
  <c r="AH22" i="1" s="1"/>
  <c r="AB34" i="1"/>
  <c r="AC34" i="1" s="1"/>
  <c r="AD34" i="1" s="1"/>
  <c r="AH34" i="1" s="1"/>
  <c r="AB42" i="1"/>
  <c r="AC42" i="1" s="1"/>
  <c r="AD42" i="1" s="1"/>
  <c r="AH42" i="1" s="1"/>
  <c r="AB55" i="1"/>
  <c r="AC55" i="1" s="1"/>
  <c r="AD55" i="1" s="1"/>
  <c r="AH55" i="1" s="1"/>
  <c r="AB13" i="1"/>
  <c r="AC13" i="1" s="1"/>
  <c r="AD13" i="1" s="1"/>
  <c r="AH13" i="1" s="1"/>
  <c r="AB21" i="1"/>
  <c r="AC21" i="1" s="1"/>
  <c r="AD21" i="1" s="1"/>
  <c r="AH21" i="1" s="1"/>
  <c r="AB41" i="1"/>
  <c r="AC41" i="1" s="1"/>
  <c r="AD41" i="1" s="1"/>
  <c r="AH41" i="1" s="1"/>
  <c r="AB49" i="1"/>
  <c r="AC49" i="1" s="1"/>
  <c r="AD49" i="1" s="1"/>
  <c r="AH49" i="1" s="1"/>
  <c r="AB10" i="1"/>
  <c r="AC10" i="1" s="1"/>
  <c r="AD10" i="1" s="1"/>
  <c r="AH10" i="1" s="1"/>
  <c r="AB24" i="1"/>
  <c r="AC24" i="1" s="1"/>
  <c r="AD24" i="1" s="1"/>
  <c r="AH24" i="1" s="1"/>
  <c r="AB48" i="1"/>
  <c r="AC48" i="1" s="1"/>
  <c r="AD48" i="1" s="1"/>
  <c r="AH48" i="1" s="1"/>
  <c r="AB8" i="1"/>
  <c r="AC8" i="1" s="1"/>
  <c r="AD8" i="1" s="1"/>
  <c r="AH8" i="1" s="1"/>
  <c r="N7" i="1"/>
  <c r="N58" i="1" s="1"/>
  <c r="J58" i="1"/>
  <c r="AG54" i="1"/>
  <c r="AG16" i="1"/>
  <c r="AG53" i="1"/>
  <c r="AG24" i="1"/>
  <c r="AG12" i="1"/>
  <c r="AG35" i="1"/>
  <c r="AG48" i="1"/>
  <c r="AG9" i="1"/>
  <c r="AG26" i="1"/>
  <c r="AG15" i="1"/>
  <c r="AG46" i="1"/>
  <c r="AG47" i="1"/>
  <c r="AG21" i="1"/>
  <c r="AG11" i="1"/>
  <c r="AG38" i="1"/>
  <c r="AG34" i="1"/>
  <c r="AG10" i="1"/>
  <c r="AG40" i="1"/>
  <c r="AG22" i="1"/>
  <c r="AG50" i="1"/>
  <c r="AG43" i="1"/>
  <c r="AG8" i="1"/>
  <c r="AG25" i="1"/>
  <c r="AG17" i="1"/>
  <c r="AG51" i="1"/>
  <c r="AG39" i="1"/>
  <c r="AG27" i="1"/>
  <c r="AG30" i="1"/>
  <c r="AG45" i="1"/>
  <c r="AG42" i="1"/>
  <c r="AG19" i="1"/>
  <c r="AG32" i="1"/>
  <c r="AG41" i="1"/>
  <c r="AG20" i="1"/>
  <c r="AG52" i="1"/>
  <c r="AG37" i="1"/>
  <c r="AG44" i="1"/>
  <c r="AG56" i="1"/>
  <c r="AG29" i="1"/>
  <c r="AG55" i="1"/>
  <c r="AG18" i="1"/>
  <c r="AG14" i="1"/>
  <c r="AG49" i="1"/>
  <c r="AG57" i="1"/>
  <c r="AG28" i="1"/>
  <c r="AG23" i="1"/>
  <c r="AG31" i="1"/>
  <c r="AG13" i="1"/>
  <c r="AG33" i="1"/>
  <c r="J58" i="36"/>
  <c r="G58" i="1"/>
  <c r="AF58" i="1"/>
  <c r="AI36" i="1" l="1"/>
  <c r="K35" i="28" s="1"/>
  <c r="AG7" i="1"/>
  <c r="AG58" i="1" s="1"/>
  <c r="AI46" i="1"/>
  <c r="K45" i="28" s="1"/>
  <c r="AI55" i="1"/>
  <c r="K54" i="28" s="1"/>
  <c r="AI32" i="1"/>
  <c r="K31" i="28" s="1"/>
  <c r="AI37" i="1"/>
  <c r="K36" i="28" s="1"/>
  <c r="AI45" i="1"/>
  <c r="K44" i="28" s="1"/>
  <c r="AB58" i="1"/>
  <c r="AC7" i="1"/>
  <c r="AI8" i="1"/>
  <c r="K7" i="28" s="1"/>
  <c r="AI47" i="1"/>
  <c r="K46" i="28" s="1"/>
  <c r="AI54" i="1"/>
  <c r="K53" i="28" s="1"/>
  <c r="AI35" i="1"/>
  <c r="K34" i="28" s="1"/>
  <c r="AI33" i="1"/>
  <c r="K32" i="28" s="1"/>
  <c r="AI11" i="1"/>
  <c r="K10" i="28" s="1"/>
  <c r="AI31" i="1"/>
  <c r="K30" i="28" s="1"/>
  <c r="AI10" i="1"/>
  <c r="K9" i="28" s="1"/>
  <c r="AI21" i="1"/>
  <c r="K20" i="28" s="1"/>
  <c r="AI28" i="1"/>
  <c r="K27" i="28" s="1"/>
  <c r="AI14" i="1"/>
  <c r="K13" i="28" s="1"/>
  <c r="AI56" i="1"/>
  <c r="K55" i="28" s="1"/>
  <c r="AI19" i="1"/>
  <c r="K18" i="28" s="1"/>
  <c r="AI44" i="1"/>
  <c r="K43" i="28" s="1"/>
  <c r="AI20" i="1"/>
  <c r="K19" i="28" s="1"/>
  <c r="AI42" i="1"/>
  <c r="K41" i="28" s="1"/>
  <c r="AI53" i="1"/>
  <c r="K52" i="28" s="1"/>
  <c r="AI27" i="1"/>
  <c r="K26" i="28" s="1"/>
  <c r="AI24" i="1"/>
  <c r="K23" i="28" s="1"/>
  <c r="AI16" i="1"/>
  <c r="K15" i="28" s="1"/>
  <c r="AI41" i="1"/>
  <c r="K40" i="28" s="1"/>
  <c r="AI38" i="1"/>
  <c r="K37" i="28" s="1"/>
  <c r="AI26" i="1"/>
  <c r="K25" i="28" s="1"/>
  <c r="AI12" i="1"/>
  <c r="K11" i="28" s="1"/>
  <c r="AI50" i="1"/>
  <c r="K49" i="28" s="1"/>
  <c r="AI40" i="1"/>
  <c r="K39" i="28" s="1"/>
  <c r="AI34" i="1"/>
  <c r="K33" i="28" s="1"/>
  <c r="AI48" i="1"/>
  <c r="K47" i="28" s="1"/>
  <c r="AI9" i="1"/>
  <c r="K8" i="28" s="1"/>
  <c r="AI23" i="1"/>
  <c r="K22" i="28" s="1"/>
  <c r="AI52" i="1"/>
  <c r="K51" i="28" s="1"/>
  <c r="AI15" i="1"/>
  <c r="K14" i="28" s="1"/>
  <c r="AI17" i="1"/>
  <c r="K16" i="28" s="1"/>
  <c r="AI51" i="1"/>
  <c r="K50" i="28" s="1"/>
  <c r="AI25" i="1"/>
  <c r="K24" i="28" s="1"/>
  <c r="AI22" i="1"/>
  <c r="K21" i="28" s="1"/>
  <c r="AI39" i="1"/>
  <c r="K38" i="28" s="1"/>
  <c r="AI13" i="1"/>
  <c r="K12" i="28" s="1"/>
  <c r="AI49" i="1"/>
  <c r="K48" i="28" s="1"/>
  <c r="AI43" i="1"/>
  <c r="K42" i="28" s="1"/>
  <c r="AI29" i="1"/>
  <c r="K28" i="28" s="1"/>
  <c r="AI18" i="1"/>
  <c r="K17" i="28" s="1"/>
  <c r="AI57" i="1"/>
  <c r="K56" i="28" s="1"/>
  <c r="AI30" i="1"/>
  <c r="K29" i="28" s="1"/>
  <c r="AD7" i="1" l="1"/>
  <c r="AC58" i="1"/>
  <c r="AD58" i="1" l="1"/>
  <c r="AH7" i="1"/>
  <c r="AI7" i="1" l="1"/>
  <c r="K6" i="28" s="1"/>
  <c r="AH58" i="1"/>
  <c r="K57" i="28" l="1"/>
  <c r="A60" i="28" s="1"/>
  <c r="J4" i="28" s="1"/>
  <c r="AI58" i="1"/>
  <c r="J55" i="28" l="1"/>
  <c r="J28" i="28"/>
  <c r="J26" i="28"/>
  <c r="J44" i="28"/>
  <c r="J8" i="28"/>
  <c r="J10" i="28"/>
  <c r="J13" i="28"/>
  <c r="J34" i="28"/>
  <c r="J15" i="28"/>
  <c r="J19" i="28"/>
  <c r="J21" i="28"/>
  <c r="J23" i="28"/>
  <c r="J35" i="28"/>
  <c r="J49" i="28"/>
  <c r="J39" i="28"/>
  <c r="J53" i="28"/>
  <c r="J43" i="28"/>
  <c r="J56" i="28"/>
  <c r="J47" i="28"/>
  <c r="J52" i="28"/>
  <c r="J30" i="28"/>
  <c r="J48" i="28"/>
  <c r="J22" i="28"/>
  <c r="J18" i="28"/>
  <c r="J40" i="28"/>
  <c r="J9" i="28"/>
  <c r="J14" i="28"/>
  <c r="J36" i="28"/>
  <c r="J11" i="28"/>
  <c r="J7" i="28"/>
  <c r="J17" i="28"/>
  <c r="J32" i="28"/>
  <c r="J31" i="28"/>
  <c r="J25" i="28"/>
  <c r="J29" i="28"/>
  <c r="J37" i="28"/>
  <c r="J27" i="28"/>
  <c r="J45" i="28"/>
  <c r="J24" i="28"/>
  <c r="J54" i="28"/>
  <c r="J20" i="28"/>
  <c r="J50" i="28"/>
  <c r="J6" i="28"/>
  <c r="J42" i="28"/>
  <c r="J16" i="28"/>
  <c r="J12" i="28"/>
  <c r="J41" i="28"/>
  <c r="J46" i="28"/>
  <c r="J38" i="28"/>
  <c r="J51" i="28"/>
  <c r="J33" i="28"/>
  <c r="AJ7" i="1"/>
  <c r="AJ34" i="1"/>
  <c r="G34" i="36" s="1"/>
  <c r="K34" i="36" s="1"/>
  <c r="L34" i="36" s="1"/>
  <c r="AJ44" i="1"/>
  <c r="G44" i="36" s="1"/>
  <c r="K44" i="36" s="1"/>
  <c r="L44" i="36" s="1"/>
  <c r="AJ47" i="1"/>
  <c r="G47" i="36" s="1"/>
  <c r="K47" i="36" s="1"/>
  <c r="L47" i="36" s="1"/>
  <c r="AJ21" i="1"/>
  <c r="G21" i="36" s="1"/>
  <c r="K21" i="36" s="1"/>
  <c r="L21" i="36" s="1"/>
  <c r="AJ36" i="1"/>
  <c r="G36" i="36" s="1"/>
  <c r="K36" i="36" s="1"/>
  <c r="L36" i="36" s="1"/>
  <c r="AJ54" i="1"/>
  <c r="G54" i="36" s="1"/>
  <c r="K54" i="36" s="1"/>
  <c r="L54" i="36" s="1"/>
  <c r="AJ31" i="1"/>
  <c r="G31" i="36" s="1"/>
  <c r="K31" i="36" s="1"/>
  <c r="L31" i="36" s="1"/>
  <c r="AJ48" i="1"/>
  <c r="G48" i="36" s="1"/>
  <c r="K48" i="36" s="1"/>
  <c r="L48" i="36" s="1"/>
  <c r="AJ45" i="1"/>
  <c r="G45" i="36" s="1"/>
  <c r="K45" i="36" s="1"/>
  <c r="L45" i="36" s="1"/>
  <c r="AJ14" i="1"/>
  <c r="G14" i="36" s="1"/>
  <c r="K14" i="36" s="1"/>
  <c r="L14" i="36" s="1"/>
  <c r="AJ46" i="1"/>
  <c r="G46" i="36" s="1"/>
  <c r="K46" i="36" s="1"/>
  <c r="L46" i="36" s="1"/>
  <c r="AJ39" i="1"/>
  <c r="G39" i="36" s="1"/>
  <c r="K39" i="36" s="1"/>
  <c r="L39" i="36" s="1"/>
  <c r="AJ50" i="1"/>
  <c r="G50" i="36" s="1"/>
  <c r="K50" i="36" s="1"/>
  <c r="L50" i="36" s="1"/>
  <c r="AJ51" i="1"/>
  <c r="G51" i="36" s="1"/>
  <c r="K51" i="36" s="1"/>
  <c r="L51" i="36" s="1"/>
  <c r="AJ22" i="1"/>
  <c r="G22" i="36" s="1"/>
  <c r="K22" i="36" s="1"/>
  <c r="L22" i="36" s="1"/>
  <c r="AJ29" i="1"/>
  <c r="G29" i="36" s="1"/>
  <c r="K29" i="36" s="1"/>
  <c r="L29" i="36" s="1"/>
  <c r="AJ8" i="1"/>
  <c r="G8" i="36" s="1"/>
  <c r="K8" i="36" s="1"/>
  <c r="L8" i="36" s="1"/>
  <c r="AJ9" i="1"/>
  <c r="G9" i="36" s="1"/>
  <c r="K9" i="36" s="1"/>
  <c r="L9" i="36" s="1"/>
  <c r="AJ57" i="1"/>
  <c r="G57" i="36" s="1"/>
  <c r="K57" i="36" s="1"/>
  <c r="L57" i="36" s="1"/>
  <c r="AJ56" i="1"/>
  <c r="G56" i="36" s="1"/>
  <c r="K56" i="36" s="1"/>
  <c r="L56" i="36" s="1"/>
  <c r="AJ23" i="1"/>
  <c r="G23" i="36" s="1"/>
  <c r="K23" i="36" s="1"/>
  <c r="L23" i="36" s="1"/>
  <c r="AJ11" i="1"/>
  <c r="G11" i="36" s="1"/>
  <c r="K11" i="36" s="1"/>
  <c r="L11" i="36" s="1"/>
  <c r="AJ17" i="1"/>
  <c r="G17" i="36" s="1"/>
  <c r="K17" i="36" s="1"/>
  <c r="L17" i="36" s="1"/>
  <c r="AJ13" i="1"/>
  <c r="G13" i="36" s="1"/>
  <c r="K13" i="36" s="1"/>
  <c r="L13" i="36" s="1"/>
  <c r="AJ49" i="1"/>
  <c r="G49" i="36" s="1"/>
  <c r="K49" i="36" s="1"/>
  <c r="L49" i="36" s="1"/>
  <c r="AJ10" i="1"/>
  <c r="G10" i="36" s="1"/>
  <c r="K10" i="36" s="1"/>
  <c r="L10" i="36" s="1"/>
  <c r="AJ42" i="1"/>
  <c r="G42" i="36" s="1"/>
  <c r="K42" i="36" s="1"/>
  <c r="L42" i="36" s="1"/>
  <c r="AJ35" i="1"/>
  <c r="G35" i="36" s="1"/>
  <c r="K35" i="36" s="1"/>
  <c r="L35" i="36" s="1"/>
  <c r="AJ16" i="1"/>
  <c r="G16" i="36" s="1"/>
  <c r="K16" i="36" s="1"/>
  <c r="L16" i="36" s="1"/>
  <c r="AJ33" i="1"/>
  <c r="G33" i="36" s="1"/>
  <c r="K33" i="36" s="1"/>
  <c r="L33" i="36" s="1"/>
  <c r="AJ24" i="1"/>
  <c r="G24" i="36" s="1"/>
  <c r="K24" i="36" s="1"/>
  <c r="L24" i="36" s="1"/>
  <c r="AJ19" i="1"/>
  <c r="G19" i="36" s="1"/>
  <c r="K19" i="36" s="1"/>
  <c r="L19" i="36" s="1"/>
  <c r="AJ15" i="1"/>
  <c r="G15" i="36" s="1"/>
  <c r="K15" i="36" s="1"/>
  <c r="L15" i="36" s="1"/>
  <c r="AJ18" i="1"/>
  <c r="G18" i="36" s="1"/>
  <c r="K18" i="36" s="1"/>
  <c r="L18" i="36" s="1"/>
  <c r="AJ53" i="1"/>
  <c r="G53" i="36" s="1"/>
  <c r="K53" i="36" s="1"/>
  <c r="L53" i="36" s="1"/>
  <c r="AJ37" i="1"/>
  <c r="G37" i="36" s="1"/>
  <c r="K37" i="36" s="1"/>
  <c r="L37" i="36" s="1"/>
  <c r="AJ12" i="1"/>
  <c r="G12" i="36" s="1"/>
  <c r="K12" i="36" s="1"/>
  <c r="L12" i="36" s="1"/>
  <c r="AJ25" i="1"/>
  <c r="G25" i="36" s="1"/>
  <c r="K25" i="36" s="1"/>
  <c r="L25" i="36" s="1"/>
  <c r="AJ26" i="1"/>
  <c r="G26" i="36" s="1"/>
  <c r="K26" i="36" s="1"/>
  <c r="L26" i="36" s="1"/>
  <c r="AJ38" i="1"/>
  <c r="G38" i="36" s="1"/>
  <c r="K38" i="36" s="1"/>
  <c r="L38" i="36" s="1"/>
  <c r="AJ41" i="1"/>
  <c r="G41" i="36" s="1"/>
  <c r="K41" i="36" s="1"/>
  <c r="L41" i="36" s="1"/>
  <c r="AJ52" i="1"/>
  <c r="G52" i="36" s="1"/>
  <c r="K52" i="36" s="1"/>
  <c r="L52" i="36" s="1"/>
  <c r="AJ27" i="1"/>
  <c r="G27" i="36" s="1"/>
  <c r="K27" i="36" s="1"/>
  <c r="L27" i="36" s="1"/>
  <c r="AJ32" i="1"/>
  <c r="G32" i="36" s="1"/>
  <c r="K32" i="36" s="1"/>
  <c r="L32" i="36" s="1"/>
  <c r="AJ55" i="1"/>
  <c r="G55" i="36" s="1"/>
  <c r="K55" i="36" s="1"/>
  <c r="L55" i="36" s="1"/>
  <c r="AJ30" i="1"/>
  <c r="G30" i="36" s="1"/>
  <c r="K30" i="36" s="1"/>
  <c r="L30" i="36" s="1"/>
  <c r="AJ20" i="1"/>
  <c r="G20" i="36" s="1"/>
  <c r="K20" i="36" s="1"/>
  <c r="L20" i="36" s="1"/>
  <c r="AJ40" i="1"/>
  <c r="G40" i="36" s="1"/>
  <c r="K40" i="36" s="1"/>
  <c r="L40" i="36" s="1"/>
  <c r="AJ43" i="1"/>
  <c r="G43" i="36" s="1"/>
  <c r="K43" i="36" s="1"/>
  <c r="L43" i="36" s="1"/>
  <c r="AJ28" i="1"/>
  <c r="G28" i="36" s="1"/>
  <c r="K28" i="36" s="1"/>
  <c r="L28" i="36" s="1"/>
  <c r="L21" i="28" l="1"/>
  <c r="M21" i="28"/>
  <c r="M25" i="28"/>
  <c r="L25" i="28"/>
  <c r="L46" i="28"/>
  <c r="M46" i="28"/>
  <c r="L30" i="28"/>
  <c r="M30" i="28"/>
  <c r="L15" i="28"/>
  <c r="M15" i="28"/>
  <c r="L23" i="28"/>
  <c r="M23" i="28"/>
  <c r="L42" i="28"/>
  <c r="M42" i="28"/>
  <c r="L32" i="28"/>
  <c r="M32" i="28"/>
  <c r="M52" i="28"/>
  <c r="L52" i="28"/>
  <c r="L34" i="28"/>
  <c r="M34" i="28"/>
  <c r="M22" i="28"/>
  <c r="L22" i="28"/>
  <c r="M6" i="28"/>
  <c r="J57" i="28"/>
  <c r="L6" i="28"/>
  <c r="L17" i="28"/>
  <c r="M17" i="28"/>
  <c r="L47" i="28"/>
  <c r="O47" i="28" s="1"/>
  <c r="M47" i="28"/>
  <c r="L13" i="28"/>
  <c r="M13" i="28"/>
  <c r="L19" i="28"/>
  <c r="M19" i="28"/>
  <c r="L50" i="28"/>
  <c r="M50" i="28"/>
  <c r="L7" i="28"/>
  <c r="M7" i="28"/>
  <c r="M56" i="28"/>
  <c r="L56" i="28"/>
  <c r="O56" i="28" s="1"/>
  <c r="M10" i="28"/>
  <c r="L10" i="28"/>
  <c r="L20" i="28"/>
  <c r="M20" i="28"/>
  <c r="L11" i="28"/>
  <c r="M11" i="28"/>
  <c r="L43" i="28"/>
  <c r="M43" i="28"/>
  <c r="L8" i="28"/>
  <c r="M8" i="28"/>
  <c r="L29" i="28"/>
  <c r="M29" i="28"/>
  <c r="L54" i="28"/>
  <c r="M54" i="28"/>
  <c r="L36" i="28"/>
  <c r="M36" i="28"/>
  <c r="L53" i="28"/>
  <c r="M53" i="28"/>
  <c r="L44" i="28"/>
  <c r="M44" i="28"/>
  <c r="L18" i="28"/>
  <c r="M18" i="28"/>
  <c r="L41" i="28"/>
  <c r="M41" i="28"/>
  <c r="L31" i="28"/>
  <c r="O31" i="28" s="1"/>
  <c r="M31" i="28"/>
  <c r="L33" i="28"/>
  <c r="M33" i="28"/>
  <c r="M24" i="28"/>
  <c r="L24" i="28"/>
  <c r="M14" i="28"/>
  <c r="L14" i="28"/>
  <c r="L39" i="28"/>
  <c r="M39" i="28"/>
  <c r="L26" i="28"/>
  <c r="M26" i="28"/>
  <c r="L37" i="28"/>
  <c r="M37" i="28"/>
  <c r="L48" i="28"/>
  <c r="M48" i="28"/>
  <c r="L51" i="28"/>
  <c r="M51" i="28"/>
  <c r="L45" i="28"/>
  <c r="M45" i="28"/>
  <c r="L9" i="28"/>
  <c r="M9" i="28"/>
  <c r="L49" i="28"/>
  <c r="O49" i="28" s="1"/>
  <c r="M49" i="28"/>
  <c r="M28" i="28"/>
  <c r="L28" i="28"/>
  <c r="L12" i="28"/>
  <c r="M12" i="28"/>
  <c r="L16" i="28"/>
  <c r="M16" i="28"/>
  <c r="L38" i="28"/>
  <c r="M38" i="28"/>
  <c r="L27" i="28"/>
  <c r="M27" i="28"/>
  <c r="L40" i="28"/>
  <c r="M40" i="28"/>
  <c r="L35" i="28"/>
  <c r="M35" i="28"/>
  <c r="L55" i="28"/>
  <c r="M55" i="28"/>
  <c r="G7" i="36"/>
  <c r="AJ58" i="1"/>
  <c r="P47" i="28" l="1"/>
  <c r="M57" i="28"/>
  <c r="P56" i="28"/>
  <c r="P31" i="28"/>
  <c r="P49" i="28"/>
  <c r="L57" i="28"/>
  <c r="K7" i="36"/>
  <c r="G58" i="36"/>
  <c r="N4" i="28" l="1"/>
  <c r="L7" i="36"/>
  <c r="L58" i="36" s="1"/>
  <c r="K58" i="36"/>
  <c r="N48" i="28" l="1"/>
  <c r="O48" i="28" s="1"/>
  <c r="N20" i="28"/>
  <c r="O20" i="28" s="1"/>
  <c r="N46" i="28"/>
  <c r="O46" i="28" s="1"/>
  <c r="N31" i="28"/>
  <c r="N49" i="28"/>
  <c r="N51" i="28"/>
  <c r="O51" i="28" s="1"/>
  <c r="P51" i="28" s="1"/>
  <c r="N56" i="28"/>
  <c r="N18" i="28"/>
  <c r="O18" i="28" s="1"/>
  <c r="P18" i="28" s="1"/>
  <c r="N7" i="28"/>
  <c r="O7" i="28" s="1"/>
  <c r="P7" i="28" s="1"/>
  <c r="N21" i="28"/>
  <c r="O21" i="28" s="1"/>
  <c r="P21" i="28" s="1"/>
  <c r="N24" i="28"/>
  <c r="O24" i="28" s="1"/>
  <c r="P24" i="28" s="1"/>
  <c r="N55" i="28"/>
  <c r="O55" i="28" s="1"/>
  <c r="P55" i="28" s="1"/>
  <c r="N25" i="28"/>
  <c r="O25" i="28" s="1"/>
  <c r="N16" i="28"/>
  <c r="O16" i="28" s="1"/>
  <c r="N13" i="28"/>
  <c r="O13" i="28" s="1"/>
  <c r="P13" i="28" s="1"/>
  <c r="N45" i="28"/>
  <c r="O45" i="28" s="1"/>
  <c r="P45" i="28" s="1"/>
  <c r="N26" i="28"/>
  <c r="O26" i="28" s="1"/>
  <c r="P26" i="28" s="1"/>
  <c r="N12" i="28"/>
  <c r="O12" i="28" s="1"/>
  <c r="N8" i="28"/>
  <c r="O8" i="28" s="1"/>
  <c r="N41" i="28"/>
  <c r="O41" i="28" s="1"/>
  <c r="P41" i="28" s="1"/>
  <c r="N30" i="28"/>
  <c r="O30" i="28" s="1"/>
  <c r="N29" i="28"/>
  <c r="O29" i="28" s="1"/>
  <c r="N42" i="28"/>
  <c r="O42" i="28" s="1"/>
  <c r="P42" i="28" s="1"/>
  <c r="N50" i="28"/>
  <c r="O50" i="28" s="1"/>
  <c r="N15" i="28"/>
  <c r="O15" i="28" s="1"/>
  <c r="N32" i="28"/>
  <c r="O32" i="28" s="1"/>
  <c r="P32" i="28" s="1"/>
  <c r="N17" i="28"/>
  <c r="O17" i="28" s="1"/>
  <c r="P17" i="28" s="1"/>
  <c r="N14" i="28"/>
  <c r="O14" i="28" s="1"/>
  <c r="P14" i="28" s="1"/>
  <c r="N6" i="28"/>
  <c r="O6" i="28" s="1"/>
  <c r="P6" i="28" s="1"/>
  <c r="N53" i="28"/>
  <c r="O53" i="28" s="1"/>
  <c r="P53" i="28" s="1"/>
  <c r="N35" i="28"/>
  <c r="O35" i="28" s="1"/>
  <c r="N27" i="28"/>
  <c r="O27" i="28" s="1"/>
  <c r="P27" i="28" s="1"/>
  <c r="N54" i="28"/>
  <c r="O54" i="28" s="1"/>
  <c r="N23" i="28"/>
  <c r="O23" i="28" s="1"/>
  <c r="N34" i="28"/>
  <c r="O34" i="28" s="1"/>
  <c r="P34" i="28" s="1"/>
  <c r="N28" i="28"/>
  <c r="O28" i="28" s="1"/>
  <c r="N37" i="28"/>
  <c r="O37" i="28" s="1"/>
  <c r="P37" i="28" s="1"/>
  <c r="N10" i="28"/>
  <c r="O10" i="28" s="1"/>
  <c r="P10" i="28" s="1"/>
  <c r="N38" i="28"/>
  <c r="O38" i="28" s="1"/>
  <c r="P38" i="28" s="1"/>
  <c r="N11" i="28"/>
  <c r="O11" i="28" s="1"/>
  <c r="N39" i="28"/>
  <c r="O39" i="28" s="1"/>
  <c r="N44" i="28"/>
  <c r="O44" i="28" s="1"/>
  <c r="N47" i="28"/>
  <c r="N52" i="28"/>
  <c r="O52" i="28" s="1"/>
  <c r="N33" i="28"/>
  <c r="O33" i="28" s="1"/>
  <c r="N36" i="28"/>
  <c r="O36" i="28" s="1"/>
  <c r="N40" i="28"/>
  <c r="O40" i="28" s="1"/>
  <c r="N19" i="28"/>
  <c r="O19" i="28" s="1"/>
  <c r="P19" i="28" s="1"/>
  <c r="N43" i="28"/>
  <c r="O43" i="28" s="1"/>
  <c r="P43" i="28" s="1"/>
  <c r="N22" i="28"/>
  <c r="O22" i="28" s="1"/>
  <c r="P22" i="28" s="1"/>
  <c r="N9" i="28"/>
  <c r="O9" i="28" s="1"/>
  <c r="M7" i="36"/>
  <c r="M57" i="36"/>
  <c r="M55" i="36"/>
  <c r="M56" i="36"/>
  <c r="M30" i="36"/>
  <c r="M23" i="36"/>
  <c r="M20" i="36"/>
  <c r="M11" i="36"/>
  <c r="M40" i="36"/>
  <c r="M17" i="36"/>
  <c r="M43" i="36"/>
  <c r="M13" i="36"/>
  <c r="M28" i="36"/>
  <c r="M49" i="36"/>
  <c r="M42" i="36"/>
  <c r="M22" i="36"/>
  <c r="M37" i="36"/>
  <c r="M54" i="36"/>
  <c r="M44" i="36"/>
  <c r="M52" i="36"/>
  <c r="M15" i="36"/>
  <c r="M33" i="36"/>
  <c r="M9" i="36"/>
  <c r="M26" i="36"/>
  <c r="M45" i="36"/>
  <c r="M24" i="36"/>
  <c r="M12" i="36"/>
  <c r="M31" i="36"/>
  <c r="M27" i="36"/>
  <c r="M50" i="36"/>
  <c r="M34" i="36"/>
  <c r="M53" i="36"/>
  <c r="M36" i="36"/>
  <c r="M47" i="36"/>
  <c r="M41" i="36"/>
  <c r="M46" i="36"/>
  <c r="M8" i="36"/>
  <c r="M16" i="36"/>
  <c r="M32" i="36"/>
  <c r="M25" i="36"/>
  <c r="M19" i="36"/>
  <c r="M10" i="36"/>
  <c r="M51" i="36"/>
  <c r="M14" i="36"/>
  <c r="M21" i="36"/>
  <c r="M38" i="36"/>
  <c r="M18" i="36"/>
  <c r="M35" i="36"/>
  <c r="M29" i="36"/>
  <c r="M39" i="36"/>
  <c r="M48" i="36"/>
  <c r="I13" i="48" l="1"/>
  <c r="I13" i="51" s="1"/>
  <c r="I51" i="48"/>
  <c r="I51" i="51" s="1"/>
  <c r="I9" i="48"/>
  <c r="I9" i="51" s="1"/>
  <c r="I36" i="48"/>
  <c r="I36" i="51" s="1"/>
  <c r="I20" i="48"/>
  <c r="I20" i="51" s="1"/>
  <c r="I14" i="48"/>
  <c r="I14" i="51" s="1"/>
  <c r="I43" i="48"/>
  <c r="I43" i="51" s="1"/>
  <c r="I53" i="48"/>
  <c r="I53" i="51" s="1"/>
  <c r="I18" i="48"/>
  <c r="I18" i="51" s="1"/>
  <c r="I33" i="48"/>
  <c r="I33" i="51" s="1"/>
  <c r="I26" i="48"/>
  <c r="I26" i="51" s="1"/>
  <c r="I29" i="48"/>
  <c r="I29" i="51" s="1"/>
  <c r="I31" i="48"/>
  <c r="I31" i="51" s="1"/>
  <c r="I23" i="48"/>
  <c r="I23" i="51" s="1"/>
  <c r="I30" i="48"/>
  <c r="I30" i="51" s="1"/>
  <c r="I55" i="48"/>
  <c r="I55" i="51" s="1"/>
  <c r="I47" i="48"/>
  <c r="I47" i="51" s="1"/>
  <c r="I11" i="48"/>
  <c r="I11" i="51" s="1"/>
  <c r="I54" i="48"/>
  <c r="I54" i="51" s="1"/>
  <c r="I44" i="48"/>
  <c r="I44" i="51" s="1"/>
  <c r="I35" i="48"/>
  <c r="I35" i="51" s="1"/>
  <c r="I41" i="48"/>
  <c r="I41" i="51" s="1"/>
  <c r="I15" i="48"/>
  <c r="I15" i="51" s="1"/>
  <c r="I48" i="48"/>
  <c r="I48" i="51" s="1"/>
  <c r="I56" i="48"/>
  <c r="I56" i="51" s="1"/>
  <c r="I28" i="48"/>
  <c r="I28" i="51" s="1"/>
  <c r="I45" i="48"/>
  <c r="I45" i="51" s="1"/>
  <c r="I52" i="48"/>
  <c r="I52" i="51" s="1"/>
  <c r="I10" i="48"/>
  <c r="I10" i="51" s="1"/>
  <c r="I49" i="48"/>
  <c r="I49" i="51" s="1"/>
  <c r="I22" i="48"/>
  <c r="I22" i="51" s="1"/>
  <c r="I38" i="48"/>
  <c r="I38" i="51" s="1"/>
  <c r="I7" i="48"/>
  <c r="I7" i="51" s="1"/>
  <c r="I27" i="48"/>
  <c r="I27" i="51" s="1"/>
  <c r="I34" i="48"/>
  <c r="I34" i="51" s="1"/>
  <c r="I12" i="48"/>
  <c r="I12" i="51" s="1"/>
  <c r="I17" i="48"/>
  <c r="I17" i="51" s="1"/>
  <c r="I42" i="48"/>
  <c r="I42" i="51" s="1"/>
  <c r="I39" i="48"/>
  <c r="I39" i="51" s="1"/>
  <c r="I50" i="48"/>
  <c r="I50" i="51" s="1"/>
  <c r="I19" i="48"/>
  <c r="I19" i="51" s="1"/>
  <c r="I24" i="48"/>
  <c r="I24" i="51" s="1"/>
  <c r="I21" i="48"/>
  <c r="I21" i="51" s="1"/>
  <c r="I6" i="48"/>
  <c r="I6" i="51" s="1"/>
  <c r="I25" i="48"/>
  <c r="I25" i="51" s="1"/>
  <c r="I40" i="48"/>
  <c r="I40" i="51" s="1"/>
  <c r="I8" i="48"/>
  <c r="I8" i="51" s="1"/>
  <c r="I37" i="48"/>
  <c r="I37" i="51" s="1"/>
  <c r="I46" i="48"/>
  <c r="I46" i="51" s="1"/>
  <c r="I32" i="48"/>
  <c r="I32" i="51" s="1"/>
  <c r="I16" i="48"/>
  <c r="I16" i="51" s="1"/>
  <c r="P28" i="28"/>
  <c r="P50" i="28"/>
  <c r="P15" i="28"/>
  <c r="P40" i="28"/>
  <c r="P36" i="28"/>
  <c r="P23" i="28"/>
  <c r="P29" i="28"/>
  <c r="P25" i="28"/>
  <c r="P33" i="28"/>
  <c r="P54" i="28"/>
  <c r="P30" i="28"/>
  <c r="P52" i="28"/>
  <c r="P44" i="28"/>
  <c r="P12" i="28"/>
  <c r="P48" i="28"/>
  <c r="P35" i="28"/>
  <c r="P39" i="28"/>
  <c r="N57" i="28"/>
  <c r="P8" i="28"/>
  <c r="O57" i="28"/>
  <c r="Q29" i="28" s="1"/>
  <c r="P11" i="28"/>
  <c r="P9" i="28"/>
  <c r="P46" i="28"/>
  <c r="P16" i="28"/>
  <c r="P20" i="28"/>
  <c r="M58" i="36"/>
  <c r="I57" i="48" l="1"/>
  <c r="I57" i="51"/>
  <c r="C29" i="48"/>
  <c r="C29" i="51" s="1"/>
  <c r="H29" i="48"/>
  <c r="H29" i="51" s="1"/>
  <c r="G29" i="48"/>
  <c r="G29" i="51" s="1"/>
  <c r="E29" i="48"/>
  <c r="E29" i="51" s="1"/>
  <c r="B29" i="48"/>
  <c r="B29" i="51" s="1"/>
  <c r="F29" i="48"/>
  <c r="F29" i="51" s="1"/>
  <c r="Q11" i="28"/>
  <c r="Q23" i="28"/>
  <c r="Q44" i="28"/>
  <c r="Q20" i="28"/>
  <c r="Q30" i="28"/>
  <c r="Q40" i="28"/>
  <c r="Q39" i="28"/>
  <c r="Q16" i="28"/>
  <c r="Q28" i="28"/>
  <c r="Q54" i="28"/>
  <c r="Q15" i="28"/>
  <c r="Q35" i="28"/>
  <c r="Q46" i="28"/>
  <c r="Q50" i="28"/>
  <c r="Q48" i="28"/>
  <c r="Q25" i="28"/>
  <c r="Q9" i="28"/>
  <c r="Q12" i="28"/>
  <c r="Q19" i="28"/>
  <c r="P57" i="28"/>
  <c r="Q43" i="28"/>
  <c r="Q34" i="28"/>
  <c r="Q27" i="28"/>
  <c r="Q18" i="28"/>
  <c r="Q24" i="28"/>
  <c r="Q38" i="28"/>
  <c r="Q7" i="28"/>
  <c r="Q17" i="28"/>
  <c r="Q56" i="28"/>
  <c r="Q37" i="28"/>
  <c r="Q22" i="28"/>
  <c r="Q47" i="28"/>
  <c r="Q31" i="28"/>
  <c r="Q14" i="28"/>
  <c r="Q10" i="28"/>
  <c r="Q53" i="28"/>
  <c r="Q49" i="28"/>
  <c r="Q13" i="28"/>
  <c r="Q51" i="28"/>
  <c r="Q42" i="28"/>
  <c r="Q45" i="28"/>
  <c r="Q41" i="28"/>
  <c r="Q32" i="28"/>
  <c r="Q21" i="28"/>
  <c r="Q26" i="28"/>
  <c r="Q55" i="28"/>
  <c r="Q6" i="28"/>
  <c r="Q36" i="28"/>
  <c r="Q8" i="28"/>
  <c r="Q52" i="28"/>
  <c r="Q33" i="28"/>
  <c r="J29" i="51" l="1"/>
  <c r="E55" i="48"/>
  <c r="E55" i="51" s="1"/>
  <c r="H55" i="48"/>
  <c r="H55" i="51" s="1"/>
  <c r="G55" i="48"/>
  <c r="G55" i="51" s="1"/>
  <c r="F55" i="48"/>
  <c r="F55" i="51" s="1"/>
  <c r="C55" i="48"/>
  <c r="C55" i="51" s="1"/>
  <c r="B55" i="48"/>
  <c r="B55" i="51" s="1"/>
  <c r="B26" i="48"/>
  <c r="B26" i="51" s="1"/>
  <c r="C26" i="48"/>
  <c r="C26" i="51" s="1"/>
  <c r="H26" i="48"/>
  <c r="H26" i="51" s="1"/>
  <c r="G26" i="48"/>
  <c r="G26" i="51" s="1"/>
  <c r="E26" i="48"/>
  <c r="E26" i="51" s="1"/>
  <c r="F26" i="48"/>
  <c r="F26" i="51" s="1"/>
  <c r="C47" i="48"/>
  <c r="C47" i="51" s="1"/>
  <c r="B47" i="48"/>
  <c r="B47" i="51" s="1"/>
  <c r="H47" i="48"/>
  <c r="H47" i="51" s="1"/>
  <c r="G47" i="48"/>
  <c r="G47" i="51" s="1"/>
  <c r="F47" i="48"/>
  <c r="F47" i="51" s="1"/>
  <c r="E47" i="48"/>
  <c r="E47" i="51" s="1"/>
  <c r="H34" i="48"/>
  <c r="H34" i="51" s="1"/>
  <c r="E34" i="48"/>
  <c r="E34" i="51" s="1"/>
  <c r="G34" i="48"/>
  <c r="G34" i="51" s="1"/>
  <c r="F34" i="48"/>
  <c r="F34" i="51" s="1"/>
  <c r="C34" i="48"/>
  <c r="C34" i="51" s="1"/>
  <c r="B34" i="48"/>
  <c r="B34" i="51" s="1"/>
  <c r="H22" i="48"/>
  <c r="H22" i="51" s="1"/>
  <c r="G22" i="48"/>
  <c r="G22" i="51" s="1"/>
  <c r="E22" i="48"/>
  <c r="E22" i="51" s="1"/>
  <c r="F22" i="48"/>
  <c r="F22" i="51" s="1"/>
  <c r="C22" i="48"/>
  <c r="C22" i="51" s="1"/>
  <c r="B22" i="48"/>
  <c r="B22" i="51" s="1"/>
  <c r="H19" i="48"/>
  <c r="H19" i="51" s="1"/>
  <c r="E19" i="48"/>
  <c r="E19" i="51" s="1"/>
  <c r="G19" i="48"/>
  <c r="G19" i="51" s="1"/>
  <c r="F19" i="48"/>
  <c r="F19" i="51" s="1"/>
  <c r="C19" i="48"/>
  <c r="C19" i="51" s="1"/>
  <c r="B19" i="48"/>
  <c r="B19" i="51" s="1"/>
  <c r="H31" i="48"/>
  <c r="H31" i="51" s="1"/>
  <c r="G31" i="48"/>
  <c r="G31" i="51" s="1"/>
  <c r="F31" i="48"/>
  <c r="F31" i="51" s="1"/>
  <c r="E31" i="48"/>
  <c r="E31" i="51" s="1"/>
  <c r="C31" i="48"/>
  <c r="C31" i="51" s="1"/>
  <c r="B31" i="48"/>
  <c r="B31" i="51" s="1"/>
  <c r="H28" i="48"/>
  <c r="H28" i="51" s="1"/>
  <c r="G28" i="48"/>
  <c r="G28" i="51" s="1"/>
  <c r="F28" i="48"/>
  <c r="F28" i="51" s="1"/>
  <c r="C28" i="48"/>
  <c r="C28" i="51" s="1"/>
  <c r="B28" i="48"/>
  <c r="B28" i="51" s="1"/>
  <c r="E28" i="48"/>
  <c r="E28" i="51" s="1"/>
  <c r="H21" i="48"/>
  <c r="H21" i="51" s="1"/>
  <c r="G21" i="48"/>
  <c r="G21" i="51" s="1"/>
  <c r="F21" i="48"/>
  <c r="F21" i="51" s="1"/>
  <c r="E21" i="48"/>
  <c r="E21" i="51" s="1"/>
  <c r="C21" i="48"/>
  <c r="C21" i="51" s="1"/>
  <c r="B21" i="48"/>
  <c r="B21" i="51" s="1"/>
  <c r="H16" i="48"/>
  <c r="H16" i="51" s="1"/>
  <c r="G16" i="48"/>
  <c r="G16" i="51" s="1"/>
  <c r="F16" i="48"/>
  <c r="F16" i="51" s="1"/>
  <c r="E16" i="48"/>
  <c r="E16" i="51" s="1"/>
  <c r="C16" i="48"/>
  <c r="C16" i="51" s="1"/>
  <c r="B16" i="48"/>
  <c r="B16" i="51" s="1"/>
  <c r="H37" i="48"/>
  <c r="H37" i="51" s="1"/>
  <c r="G37" i="48"/>
  <c r="G37" i="51" s="1"/>
  <c r="F37" i="48"/>
  <c r="F37" i="51" s="1"/>
  <c r="E37" i="48"/>
  <c r="E37" i="51" s="1"/>
  <c r="C37" i="48"/>
  <c r="C37" i="51" s="1"/>
  <c r="B37" i="48"/>
  <c r="B37" i="51" s="1"/>
  <c r="H12" i="48"/>
  <c r="H12" i="51" s="1"/>
  <c r="G12" i="48"/>
  <c r="G12" i="51" s="1"/>
  <c r="E12" i="48"/>
  <c r="E12" i="51" s="1"/>
  <c r="C12" i="48"/>
  <c r="C12" i="51" s="1"/>
  <c r="B12" i="48"/>
  <c r="B12" i="51" s="1"/>
  <c r="F12" i="48"/>
  <c r="F12" i="51" s="1"/>
  <c r="C56" i="48"/>
  <c r="C56" i="51" s="1"/>
  <c r="H56" i="48"/>
  <c r="H56" i="51" s="1"/>
  <c r="F56" i="48"/>
  <c r="F56" i="51" s="1"/>
  <c r="G56" i="48"/>
  <c r="G56" i="51" s="1"/>
  <c r="E56" i="48"/>
  <c r="E56" i="51" s="1"/>
  <c r="B56" i="48"/>
  <c r="B56" i="51" s="1"/>
  <c r="C17" i="48"/>
  <c r="C17" i="51" s="1"/>
  <c r="H17" i="48"/>
  <c r="H17" i="51" s="1"/>
  <c r="G17" i="48"/>
  <c r="G17" i="51" s="1"/>
  <c r="E17" i="48"/>
  <c r="E17" i="51" s="1"/>
  <c r="F17" i="48"/>
  <c r="F17" i="51" s="1"/>
  <c r="B17" i="48"/>
  <c r="B17" i="51" s="1"/>
  <c r="C20" i="48"/>
  <c r="C20" i="51" s="1"/>
  <c r="H20" i="48"/>
  <c r="H20" i="51" s="1"/>
  <c r="G20" i="48"/>
  <c r="G20" i="51" s="1"/>
  <c r="E20" i="48"/>
  <c r="E20" i="51" s="1"/>
  <c r="B20" i="48"/>
  <c r="B20" i="51" s="1"/>
  <c r="F20" i="48"/>
  <c r="F20" i="51" s="1"/>
  <c r="H33" i="48"/>
  <c r="H33" i="51" s="1"/>
  <c r="G33" i="48"/>
  <c r="G33" i="51" s="1"/>
  <c r="F33" i="48"/>
  <c r="F33" i="51" s="1"/>
  <c r="E33" i="48"/>
  <c r="E33" i="51" s="1"/>
  <c r="C33" i="48"/>
  <c r="C33" i="51" s="1"/>
  <c r="B33" i="48"/>
  <c r="B33" i="51" s="1"/>
  <c r="H52" i="48"/>
  <c r="H52" i="51" s="1"/>
  <c r="E52" i="48"/>
  <c r="E52" i="51" s="1"/>
  <c r="G52" i="48"/>
  <c r="G52" i="51" s="1"/>
  <c r="F52" i="48"/>
  <c r="F52" i="51" s="1"/>
  <c r="B52" i="48"/>
  <c r="B52" i="51" s="1"/>
  <c r="C52" i="48"/>
  <c r="C52" i="51" s="1"/>
  <c r="C50" i="48"/>
  <c r="C50" i="51" s="1"/>
  <c r="H50" i="48"/>
  <c r="H50" i="51" s="1"/>
  <c r="G50" i="48"/>
  <c r="G50" i="51" s="1"/>
  <c r="F50" i="48"/>
  <c r="F50" i="51" s="1"/>
  <c r="E50" i="48"/>
  <c r="E50" i="51" s="1"/>
  <c r="B50" i="48"/>
  <c r="B50" i="51" s="1"/>
  <c r="B23" i="48"/>
  <c r="B23" i="51" s="1"/>
  <c r="C23" i="48"/>
  <c r="C23" i="51" s="1"/>
  <c r="H23" i="48"/>
  <c r="H23" i="51" s="1"/>
  <c r="G23" i="48"/>
  <c r="G23" i="51" s="1"/>
  <c r="E23" i="48"/>
  <c r="E23" i="51" s="1"/>
  <c r="F23" i="48"/>
  <c r="F23" i="51" s="1"/>
  <c r="C14" i="48"/>
  <c r="C14" i="51" s="1"/>
  <c r="H14" i="48"/>
  <c r="H14" i="51" s="1"/>
  <c r="G14" i="48"/>
  <c r="G14" i="51" s="1"/>
  <c r="E14" i="48"/>
  <c r="E14" i="51" s="1"/>
  <c r="B14" i="48"/>
  <c r="B14" i="51" s="1"/>
  <c r="F14" i="48"/>
  <c r="F14" i="51" s="1"/>
  <c r="E43" i="48"/>
  <c r="E43" i="51" s="1"/>
  <c r="H43" i="48"/>
  <c r="H43" i="51" s="1"/>
  <c r="G43" i="48"/>
  <c r="G43" i="51" s="1"/>
  <c r="F43" i="48"/>
  <c r="F43" i="51" s="1"/>
  <c r="C43" i="48"/>
  <c r="C43" i="51" s="1"/>
  <c r="B43" i="48"/>
  <c r="B43" i="51" s="1"/>
  <c r="H39" i="48"/>
  <c r="H39" i="51" s="1"/>
  <c r="G39" i="48"/>
  <c r="G39" i="51" s="1"/>
  <c r="F39" i="48"/>
  <c r="F39" i="51" s="1"/>
  <c r="E39" i="48"/>
  <c r="E39" i="51" s="1"/>
  <c r="C39" i="48"/>
  <c r="C39" i="51" s="1"/>
  <c r="B39" i="48"/>
  <c r="B39" i="51" s="1"/>
  <c r="H40" i="48"/>
  <c r="H40" i="51" s="1"/>
  <c r="G40" i="48"/>
  <c r="G40" i="51" s="1"/>
  <c r="E40" i="48"/>
  <c r="E40" i="51" s="1"/>
  <c r="F40" i="48"/>
  <c r="F40" i="51" s="1"/>
  <c r="C40" i="48"/>
  <c r="C40" i="51" s="1"/>
  <c r="B40" i="48"/>
  <c r="B40" i="51" s="1"/>
  <c r="H9" i="48"/>
  <c r="H9" i="51" s="1"/>
  <c r="G9" i="48"/>
  <c r="G9" i="51" s="1"/>
  <c r="E9" i="48"/>
  <c r="E9" i="51" s="1"/>
  <c r="C9" i="48"/>
  <c r="C9" i="51" s="1"/>
  <c r="B9" i="48"/>
  <c r="B9" i="51" s="1"/>
  <c r="F9" i="48"/>
  <c r="F9" i="51" s="1"/>
  <c r="H7" i="48"/>
  <c r="H7" i="51" s="1"/>
  <c r="E7" i="48"/>
  <c r="E7" i="51" s="1"/>
  <c r="G7" i="48"/>
  <c r="G7" i="51" s="1"/>
  <c r="F7" i="48"/>
  <c r="F7" i="51" s="1"/>
  <c r="C7" i="48"/>
  <c r="C7" i="51" s="1"/>
  <c r="B7" i="48"/>
  <c r="B7" i="51" s="1"/>
  <c r="B44" i="48"/>
  <c r="B44" i="51" s="1"/>
  <c r="C44" i="48"/>
  <c r="C44" i="51" s="1"/>
  <c r="H44" i="48"/>
  <c r="H44" i="51" s="1"/>
  <c r="G44" i="48"/>
  <c r="G44" i="51" s="1"/>
  <c r="E44" i="48"/>
  <c r="E44" i="51" s="1"/>
  <c r="F44" i="48"/>
  <c r="F44" i="51" s="1"/>
  <c r="H13" i="48"/>
  <c r="H13" i="51" s="1"/>
  <c r="E13" i="48"/>
  <c r="E13" i="51" s="1"/>
  <c r="G13" i="48"/>
  <c r="G13" i="51" s="1"/>
  <c r="F13" i="48"/>
  <c r="F13" i="51" s="1"/>
  <c r="C13" i="48"/>
  <c r="C13" i="51" s="1"/>
  <c r="B13" i="48"/>
  <c r="B13" i="51" s="1"/>
  <c r="C8" i="48"/>
  <c r="C8" i="51" s="1"/>
  <c r="H8" i="48"/>
  <c r="H8" i="51" s="1"/>
  <c r="G8" i="48"/>
  <c r="G8" i="51" s="1"/>
  <c r="E8" i="48"/>
  <c r="E8" i="51" s="1"/>
  <c r="B8" i="48"/>
  <c r="B8" i="51" s="1"/>
  <c r="F8" i="48"/>
  <c r="F8" i="51" s="1"/>
  <c r="H49" i="48"/>
  <c r="H49" i="51" s="1"/>
  <c r="G49" i="48"/>
  <c r="G49" i="51" s="1"/>
  <c r="E49" i="48"/>
  <c r="E49" i="51" s="1"/>
  <c r="F49" i="48"/>
  <c r="F49" i="51" s="1"/>
  <c r="B49" i="48"/>
  <c r="B49" i="51" s="1"/>
  <c r="C49" i="48"/>
  <c r="C49" i="51" s="1"/>
  <c r="H24" i="48"/>
  <c r="H24" i="51" s="1"/>
  <c r="G24" i="48"/>
  <c r="G24" i="51" s="1"/>
  <c r="E24" i="48"/>
  <c r="E24" i="51" s="1"/>
  <c r="C24" i="48"/>
  <c r="C24" i="51" s="1"/>
  <c r="B24" i="48"/>
  <c r="B24" i="51" s="1"/>
  <c r="F24" i="48"/>
  <c r="F24" i="51" s="1"/>
  <c r="H46" i="48"/>
  <c r="H46" i="51" s="1"/>
  <c r="E46" i="48"/>
  <c r="E46" i="51" s="1"/>
  <c r="G46" i="48"/>
  <c r="G46" i="51" s="1"/>
  <c r="F46" i="48"/>
  <c r="F46" i="51" s="1"/>
  <c r="B46" i="48"/>
  <c r="B46" i="51" s="1"/>
  <c r="C46" i="48"/>
  <c r="C46" i="51" s="1"/>
  <c r="C11" i="48"/>
  <c r="C11" i="51" s="1"/>
  <c r="H11" i="48"/>
  <c r="H11" i="51" s="1"/>
  <c r="G11" i="48"/>
  <c r="G11" i="51" s="1"/>
  <c r="E11" i="48"/>
  <c r="E11" i="51" s="1"/>
  <c r="F11" i="48"/>
  <c r="F11" i="51" s="1"/>
  <c r="B11" i="48"/>
  <c r="B11" i="51" s="1"/>
  <c r="H54" i="48"/>
  <c r="H54" i="51" s="1"/>
  <c r="G54" i="48"/>
  <c r="G54" i="51" s="1"/>
  <c r="F54" i="48"/>
  <c r="F54" i="51" s="1"/>
  <c r="E54" i="48"/>
  <c r="E54" i="51" s="1"/>
  <c r="C54" i="48"/>
  <c r="C54" i="51" s="1"/>
  <c r="B54" i="48"/>
  <c r="B54" i="51" s="1"/>
  <c r="H30" i="48"/>
  <c r="H30" i="51" s="1"/>
  <c r="F30" i="48"/>
  <c r="F30" i="51" s="1"/>
  <c r="G30" i="48"/>
  <c r="G30" i="51" s="1"/>
  <c r="E30" i="48"/>
  <c r="E30" i="51" s="1"/>
  <c r="C30" i="48"/>
  <c r="C30" i="51" s="1"/>
  <c r="B30" i="48"/>
  <c r="B30" i="51" s="1"/>
  <c r="H42" i="48"/>
  <c r="H42" i="51" s="1"/>
  <c r="G42" i="48"/>
  <c r="G42" i="51" s="1"/>
  <c r="E42" i="48"/>
  <c r="E42" i="51" s="1"/>
  <c r="C42" i="48"/>
  <c r="C42" i="51" s="1"/>
  <c r="B42" i="48"/>
  <c r="B42" i="51" s="1"/>
  <c r="F42" i="48"/>
  <c r="F42" i="51" s="1"/>
  <c r="H25" i="48"/>
  <c r="H25" i="51" s="1"/>
  <c r="E25" i="48"/>
  <c r="E25" i="51" s="1"/>
  <c r="G25" i="48"/>
  <c r="G25" i="51" s="1"/>
  <c r="F25" i="48"/>
  <c r="F25" i="51" s="1"/>
  <c r="C25" i="48"/>
  <c r="C25" i="51" s="1"/>
  <c r="B25" i="48"/>
  <c r="B25" i="51" s="1"/>
  <c r="H51" i="48"/>
  <c r="H51" i="51" s="1"/>
  <c r="G51" i="48"/>
  <c r="G51" i="51" s="1"/>
  <c r="E51" i="48"/>
  <c r="E51" i="51" s="1"/>
  <c r="C51" i="48"/>
  <c r="C51" i="51" s="1"/>
  <c r="B51" i="48"/>
  <c r="B51" i="51" s="1"/>
  <c r="F51" i="48"/>
  <c r="F51" i="51" s="1"/>
  <c r="H48" i="48"/>
  <c r="H48" i="51" s="1"/>
  <c r="F48" i="48"/>
  <c r="F48" i="51" s="1"/>
  <c r="G48" i="48"/>
  <c r="G48" i="51" s="1"/>
  <c r="E48" i="48"/>
  <c r="E48" i="51" s="1"/>
  <c r="C48" i="48"/>
  <c r="C48" i="51" s="1"/>
  <c r="B48" i="48"/>
  <c r="B48" i="51" s="1"/>
  <c r="B38" i="48"/>
  <c r="B38" i="51" s="1"/>
  <c r="C38" i="48"/>
  <c r="C38" i="51" s="1"/>
  <c r="H38" i="48"/>
  <c r="H38" i="51" s="1"/>
  <c r="G38" i="48"/>
  <c r="G38" i="51" s="1"/>
  <c r="E38" i="48"/>
  <c r="E38" i="51" s="1"/>
  <c r="F38" i="48"/>
  <c r="F38" i="51" s="1"/>
  <c r="H36" i="48"/>
  <c r="H36" i="51" s="1"/>
  <c r="G36" i="48"/>
  <c r="G36" i="51" s="1"/>
  <c r="E36" i="48"/>
  <c r="E36" i="51" s="1"/>
  <c r="C36" i="48"/>
  <c r="C36" i="51" s="1"/>
  <c r="B36" i="48"/>
  <c r="B36" i="51" s="1"/>
  <c r="F36" i="48"/>
  <c r="F36" i="51" s="1"/>
  <c r="B53" i="48"/>
  <c r="B53" i="51" s="1"/>
  <c r="C53" i="48"/>
  <c r="C53" i="51" s="1"/>
  <c r="H53" i="48"/>
  <c r="H53" i="51" s="1"/>
  <c r="G53" i="48"/>
  <c r="G53" i="51" s="1"/>
  <c r="F53" i="48"/>
  <c r="F53" i="51" s="1"/>
  <c r="E53" i="48"/>
  <c r="E53" i="51" s="1"/>
  <c r="H18" i="48"/>
  <c r="H18" i="51" s="1"/>
  <c r="F18" i="48"/>
  <c r="F18" i="51" s="1"/>
  <c r="G18" i="48"/>
  <c r="G18" i="51" s="1"/>
  <c r="E18" i="48"/>
  <c r="E18" i="51" s="1"/>
  <c r="C18" i="48"/>
  <c r="C18" i="51" s="1"/>
  <c r="B18" i="48"/>
  <c r="B18" i="51" s="1"/>
  <c r="B35" i="48"/>
  <c r="B35" i="51" s="1"/>
  <c r="C35" i="48"/>
  <c r="C35" i="51" s="1"/>
  <c r="H35" i="48"/>
  <c r="H35" i="51" s="1"/>
  <c r="G35" i="48"/>
  <c r="G35" i="51" s="1"/>
  <c r="E35" i="48"/>
  <c r="E35" i="51" s="1"/>
  <c r="F35" i="48"/>
  <c r="F35" i="51" s="1"/>
  <c r="C32" i="48"/>
  <c r="C32" i="51" s="1"/>
  <c r="H32" i="48"/>
  <c r="H32" i="51" s="1"/>
  <c r="G32" i="48"/>
  <c r="G32" i="51" s="1"/>
  <c r="E32" i="48"/>
  <c r="E32" i="51" s="1"/>
  <c r="B32" i="48"/>
  <c r="B32" i="51" s="1"/>
  <c r="F32" i="48"/>
  <c r="F32" i="51" s="1"/>
  <c r="C41" i="48"/>
  <c r="C41" i="51" s="1"/>
  <c r="H41" i="48"/>
  <c r="H41" i="51" s="1"/>
  <c r="G41" i="48"/>
  <c r="G41" i="51" s="1"/>
  <c r="E41" i="48"/>
  <c r="E41" i="51" s="1"/>
  <c r="B41" i="48"/>
  <c r="B41" i="51" s="1"/>
  <c r="F41" i="48"/>
  <c r="F41" i="51" s="1"/>
  <c r="H45" i="48"/>
  <c r="H45" i="51" s="1"/>
  <c r="G45" i="48"/>
  <c r="G45" i="51" s="1"/>
  <c r="E45" i="48"/>
  <c r="E45" i="51" s="1"/>
  <c r="C45" i="48"/>
  <c r="C45" i="51" s="1"/>
  <c r="B45" i="48"/>
  <c r="B45" i="51" s="1"/>
  <c r="F45" i="48"/>
  <c r="F45" i="51" s="1"/>
  <c r="H10" i="48"/>
  <c r="H10" i="51" s="1"/>
  <c r="G10" i="48"/>
  <c r="G10" i="51" s="1"/>
  <c r="F10" i="48"/>
  <c r="F10" i="51" s="1"/>
  <c r="E10" i="48"/>
  <c r="E10" i="51" s="1"/>
  <c r="C10" i="48"/>
  <c r="C10" i="51" s="1"/>
  <c r="B10" i="48"/>
  <c r="B10" i="51" s="1"/>
  <c r="H27" i="48"/>
  <c r="H27" i="51" s="1"/>
  <c r="G27" i="48"/>
  <c r="G27" i="51" s="1"/>
  <c r="F27" i="48"/>
  <c r="F27" i="51" s="1"/>
  <c r="E27" i="48"/>
  <c r="E27" i="51" s="1"/>
  <c r="C27" i="48"/>
  <c r="C27" i="51" s="1"/>
  <c r="B27" i="48"/>
  <c r="B27" i="51" s="1"/>
  <c r="H15" i="48"/>
  <c r="H15" i="51" s="1"/>
  <c r="G15" i="48"/>
  <c r="G15" i="51" s="1"/>
  <c r="E15" i="48"/>
  <c r="E15" i="51" s="1"/>
  <c r="C15" i="48"/>
  <c r="C15" i="51" s="1"/>
  <c r="B15" i="48"/>
  <c r="B15" i="51" s="1"/>
  <c r="F15" i="48"/>
  <c r="F15" i="51" s="1"/>
  <c r="J29" i="48"/>
  <c r="B6" i="48"/>
  <c r="B6" i="51" s="1"/>
  <c r="H6" i="48"/>
  <c r="H6" i="51" s="1"/>
  <c r="G6" i="48"/>
  <c r="G6" i="51" s="1"/>
  <c r="F6" i="48"/>
  <c r="F6" i="51" s="1"/>
  <c r="E6" i="48"/>
  <c r="E6" i="51" s="1"/>
  <c r="C6" i="48"/>
  <c r="C6" i="51" s="1"/>
  <c r="Q57" i="28"/>
  <c r="J45" i="51" l="1"/>
  <c r="J32" i="51"/>
  <c r="J36" i="51"/>
  <c r="J24" i="51"/>
  <c r="J8" i="51"/>
  <c r="J9" i="51"/>
  <c r="J14" i="51"/>
  <c r="J12" i="51"/>
  <c r="J28" i="51"/>
  <c r="J6" i="51"/>
  <c r="J44" i="51"/>
  <c r="J17" i="51"/>
  <c r="J26" i="51"/>
  <c r="J10" i="51"/>
  <c r="J54" i="51"/>
  <c r="J13" i="51"/>
  <c r="J7" i="51"/>
  <c r="J40" i="51"/>
  <c r="J43" i="51"/>
  <c r="J56" i="51"/>
  <c r="J37" i="51"/>
  <c r="J21" i="51"/>
  <c r="J31" i="51"/>
  <c r="J22" i="51"/>
  <c r="J55" i="51"/>
  <c r="J42" i="51"/>
  <c r="J46" i="51"/>
  <c r="J49" i="51"/>
  <c r="J52" i="51"/>
  <c r="J20" i="51"/>
  <c r="J15" i="51"/>
  <c r="J51" i="51"/>
  <c r="J53" i="51"/>
  <c r="J47" i="51"/>
  <c r="J41" i="51"/>
  <c r="J35" i="51"/>
  <c r="J38" i="51"/>
  <c r="J23" i="51"/>
  <c r="J27" i="51"/>
  <c r="J18" i="51"/>
  <c r="J48" i="51"/>
  <c r="J25" i="51"/>
  <c r="J30" i="51"/>
  <c r="J11" i="51"/>
  <c r="J39" i="51"/>
  <c r="J50" i="51"/>
  <c r="J33" i="51"/>
  <c r="J16" i="51"/>
  <c r="J19" i="51"/>
  <c r="J34" i="51"/>
  <c r="J21" i="48"/>
  <c r="J24" i="48"/>
  <c r="J28" i="48"/>
  <c r="J19" i="48"/>
  <c r="J54" i="48"/>
  <c r="F57" i="48"/>
  <c r="E57" i="48"/>
  <c r="J13" i="48"/>
  <c r="J12" i="48"/>
  <c r="J14" i="48"/>
  <c r="J18" i="48"/>
  <c r="J43" i="48"/>
  <c r="J33" i="48"/>
  <c r="J31" i="48"/>
  <c r="J25" i="48"/>
  <c r="J30" i="48"/>
  <c r="J8" i="48"/>
  <c r="J40" i="48"/>
  <c r="J50" i="48"/>
  <c r="J20" i="48"/>
  <c r="J17" i="48"/>
  <c r="J56" i="48"/>
  <c r="J37" i="48"/>
  <c r="J22" i="48"/>
  <c r="J34" i="48"/>
  <c r="J41" i="48"/>
  <c r="J46" i="48"/>
  <c r="J49" i="48"/>
  <c r="J55" i="48"/>
  <c r="J36" i="48"/>
  <c r="J7" i="48"/>
  <c r="J39" i="48"/>
  <c r="J52" i="48"/>
  <c r="J48" i="48"/>
  <c r="J42" i="48"/>
  <c r="J9" i="48"/>
  <c r="J45" i="48"/>
  <c r="J51" i="48"/>
  <c r="J47" i="48"/>
  <c r="J16" i="48"/>
  <c r="F57" i="51"/>
  <c r="C57" i="51"/>
  <c r="E57" i="51"/>
  <c r="J35" i="48"/>
  <c r="J23" i="48"/>
  <c r="J32" i="48"/>
  <c r="H57" i="48"/>
  <c r="J10" i="48"/>
  <c r="J27" i="48"/>
  <c r="H57" i="51"/>
  <c r="G57" i="48"/>
  <c r="G57" i="51"/>
  <c r="J38" i="48"/>
  <c r="J11" i="48"/>
  <c r="J26" i="48"/>
  <c r="J6" i="48"/>
  <c r="C57" i="48"/>
  <c r="J15" i="48"/>
  <c r="B57" i="51"/>
  <c r="J53" i="48"/>
  <c r="J44" i="48"/>
  <c r="B57" i="48"/>
  <c r="J57" i="48" l="1"/>
  <c r="J57" i="51"/>
</calcChain>
</file>

<file path=xl/comments1.xml><?xml version="1.0" encoding="utf-8"?>
<comments xmlns="http://schemas.openxmlformats.org/spreadsheetml/2006/main">
  <authors>
    <author>cesar.rivera</author>
  </authors>
  <commentList>
    <comment ref="L57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<sst xmlns="http://schemas.openxmlformats.org/spreadsheetml/2006/main" count="728" uniqueCount="267">
  <si>
    <t>MUNICIPIO</t>
  </si>
  <si>
    <t>ABASOLO</t>
  </si>
  <si>
    <t>AGUALEGUAS</t>
  </si>
  <si>
    <t>ALLENDE</t>
  </si>
  <si>
    <t>APODACA</t>
  </si>
  <si>
    <t>ARAMBERRI</t>
  </si>
  <si>
    <t>BUSTAMANTE</t>
  </si>
  <si>
    <t>CHINA</t>
  </si>
  <si>
    <t>DOCTOR ARROYO</t>
  </si>
  <si>
    <t>DOCTOR COSS</t>
  </si>
  <si>
    <t>GALEANA</t>
  </si>
  <si>
    <t>GENERAL BRAVO</t>
  </si>
  <si>
    <t>GENERAL ESCOBEDO</t>
  </si>
  <si>
    <t>GENERAL TREVIÑO</t>
  </si>
  <si>
    <t>GENERAL ZARAGOZA</t>
  </si>
  <si>
    <t>GENERAL ZUAZUA</t>
  </si>
  <si>
    <t>GUADALUPE</t>
  </si>
  <si>
    <t>HIDALGO</t>
  </si>
  <si>
    <t>HIGUERAS</t>
  </si>
  <si>
    <t>HUALAHUISES</t>
  </si>
  <si>
    <t>ITURBIDE</t>
  </si>
  <si>
    <t>LAMPAZOS DE NARANJO</t>
  </si>
  <si>
    <t>LINARES</t>
  </si>
  <si>
    <t>MELCHOR OCAMPO</t>
  </si>
  <si>
    <t>MIER Y NORIEGA</t>
  </si>
  <si>
    <t>MINA</t>
  </si>
  <si>
    <t>MONTEMORELOS</t>
  </si>
  <si>
    <t>MONTERREY</t>
  </si>
  <si>
    <t>RAYONES</t>
  </si>
  <si>
    <t>SABINAS HIDALGO</t>
  </si>
  <si>
    <t>SALINAS VICTORIA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</si>
  <si>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</si>
  <si>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</si>
  <si>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</si>
  <si>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</si>
  <si>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</si>
  <si>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</si>
  <si>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</si>
  <si>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</si>
  <si>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</si>
  <si>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</si>
  <si>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</si>
  <si>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</si>
  <si>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MS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</si>
  <si>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</si>
  <si>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</si>
  <si>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</si>
  <si>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</si>
  <si>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</si>
  <si>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</si>
  <si>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</si>
  <si>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</si>
  <si>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</si>
  <si>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</si>
  <si>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</si>
  <si>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</si>
  <si>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</si>
  <si>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</si>
  <si>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</si>
  <si>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</si>
  <si>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</si>
  <si>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</si>
  <si>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</si>
  <si>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</si>
  <si>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</si>
  <si>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R1</t>
  </si>
  <si>
    <t>R2</t>
  </si>
  <si>
    <t>R3</t>
  </si>
  <si>
    <t>R4</t>
  </si>
  <si>
    <t>POB ING &lt; A 2 SALARIOS MIN
2010</t>
  </si>
  <si>
    <t xml:space="preserve">FUENTE: </t>
  </si>
  <si>
    <t>ESTRUCTURA      %</t>
  </si>
  <si>
    <t>ESTRUCTURA     %</t>
  </si>
  <si>
    <t>COEFICIENTE  POBLACIÓN Y TERRITORIO</t>
  </si>
  <si>
    <t>COEFICIENTE  ÍNDICE MUNICIPAL DE POBREZA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</si>
  <si>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</si>
  <si>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</si>
  <si>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</si>
  <si>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</si>
  <si>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</si>
  <si>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</si>
  <si>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</si>
  <si>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</si>
  <si>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</si>
  <si>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</si>
  <si>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</si>
  <si>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</si>
  <si>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</si>
  <si>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</si>
  <si>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</si>
  <si>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</si>
  <si>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</si>
  <si>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MAE2=(PI*35%)+(PC*35%)+(CD*30%)</t>
  </si>
  <si>
    <t>FGP</t>
  </si>
  <si>
    <t>IEPS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</si>
  <si>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</si>
  <si>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</si>
  <si>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</si>
  <si>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</si>
  <si>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</si>
  <si>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</si>
  <si>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</si>
  <si>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</si>
  <si>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</si>
  <si>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SECRETARÍA DE FINANZAS Y TESORERÍA GENERAL DEL ESTADO</t>
  </si>
  <si>
    <t>FEXHI</t>
  </si>
  <si>
    <t>Art 19 - I</t>
  </si>
  <si>
    <t>Art 19 - III y IV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</si>
  <si>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</si>
  <si>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</si>
  <si>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</si>
  <si>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</si>
  <si>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</si>
  <si>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</si>
  <si>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</si>
  <si>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</si>
  <si>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</si>
  <si>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</si>
  <si>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</si>
  <si>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</si>
  <si>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</si>
  <si>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</si>
  <si>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</si>
  <si>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DETERMINACIÓN  DEL  COEFICIENTE DE PARTICIPACIÓN DE RECURSOS A MUNICIPIOS</t>
  </si>
  <si>
    <t>ISAN</t>
  </si>
  <si>
    <t>COMP ISAN</t>
  </si>
  <si>
    <t>30% FFM</t>
  </si>
  <si>
    <t>70% FFM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</si>
  <si>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</si>
  <si>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</si>
  <si>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</si>
  <si>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</si>
  <si>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</si>
  <si>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</si>
  <si>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</si>
  <si>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</si>
  <si>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</si>
  <si>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</si>
  <si>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</si>
  <si>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</si>
  <si>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</si>
  <si>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</si>
  <si>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</si>
  <si>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</si>
  <si>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</si>
  <si>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</si>
  <si>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</si>
  <si>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</si>
  <si>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</si>
  <si>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</si>
  <si>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</si>
  <si>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</si>
  <si>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</si>
  <si>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</si>
  <si>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BGt-2</t>
  </si>
  <si>
    <t>RPt-1</t>
  </si>
  <si>
    <t>PARTICIPACIONES DISTRIBUIDAS AÑO ANTERIOR
FGP, FFM 70%,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</si>
  <si>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AÑO ANT. MÁS INFLACIÓN O CRECIMIENTO</t>
    </r>
  </si>
  <si>
    <t>MONTO NECESARIO PARA ALCANZAR EL AÑO ANTERIOR</t>
  </si>
  <si>
    <t>RECAUDACIÓN 2019</t>
  </si>
  <si>
    <t>CADEREYTA JIMÉNEZ</t>
  </si>
  <si>
    <t>EL CARMEN</t>
  </si>
  <si>
    <t>CERRALVO</t>
  </si>
  <si>
    <t>CIÉNEGA DE FLORES</t>
  </si>
  <si>
    <t>DOCTOR GONZÁLEZ</t>
  </si>
  <si>
    <t>GARCÍA</t>
  </si>
  <si>
    <t>GENERAL TERÁN</t>
  </si>
  <si>
    <t>LOS HERRERAS</t>
  </si>
  <si>
    <t>JUÁREZ</t>
  </si>
  <si>
    <t>MARÍN</t>
  </si>
  <si>
    <t>PARÁS</t>
  </si>
  <si>
    <t>PESQUERÍA</t>
  </si>
  <si>
    <t>LOS RAMONES</t>
  </si>
  <si>
    <t>SAN NICOLÁS DE LOS GARZA</t>
  </si>
  <si>
    <t>SAN PEDRO GARZA GARCÍA</t>
  </si>
  <si>
    <t>LOS ALDAMAS</t>
  </si>
  <si>
    <t>ANÁHUAC</t>
  </si>
  <si>
    <t>FACTURACIÓN  2019
(2015-2019)</t>
  </si>
  <si>
    <t>PARTICIPACIONES ESTIMADAS PTE AÑO</t>
  </si>
  <si>
    <t>MONTO PTE AÑO POR ENCIMA DE AÑO ANT MÁS INFLACIÓN O CRECIMIENTO</t>
  </si>
  <si>
    <t>MONTO A DISMINUIR EN MUNICIPIOS CON INCREMENTO SUPERIOR A AÑO ANT MÁS INFLACIÓN O CREC</t>
  </si>
  <si>
    <t>MONTO A DISTRIBUIR EN PTE AÑO PARA GARANTIZAR AL MENOS EL PAGO DE AÑO ANT MÁS INFLACIÓN O CREC</t>
  </si>
  <si>
    <t>DETERMINACIÓN INCREMENTO PTRE AÑO vs PAGO AÑO ANT MÁS INFLACIÓN O CREC</t>
  </si>
  <si>
    <t>FFM 70%</t>
  </si>
  <si>
    <t>INFLACIÓN 2020</t>
  </si>
  <si>
    <t>COEFICIENTE 1er SEMESTRE PTE AÑO</t>
  </si>
  <si>
    <t>Fondo de Fomento Municipal (FFM)</t>
  </si>
  <si>
    <t>parte fija 2013</t>
  </si>
  <si>
    <t>PROYECCIÓN DE POBLACIÓN 2020</t>
  </si>
  <si>
    <t>POBLACIÓN 2020</t>
  </si>
  <si>
    <t>POBLACIÓN  2020</t>
  </si>
  <si>
    <t xml:space="preserve">  Población 2020, Censo de Población y Vivienda, INEGI</t>
  </si>
  <si>
    <t xml:space="preserve">  Proyecciones de la Población 2015-2030, CONSEJO NACIONAL DE POBLACIÓN</t>
  </si>
  <si>
    <t>CRECIMIENTO ESTIMACIÓN DE PARTICIPACIONES 2021 Vs AÑO ANTERIOR</t>
  </si>
  <si>
    <t>SUBSECRETARÍA DE INGRESOS, COORDINACIÓN DE PLANEACIÓN HACENDARIA</t>
  </si>
  <si>
    <t>Total</t>
  </si>
  <si>
    <t>MES</t>
  </si>
  <si>
    <t>FACTURACIÓN  2020
(2016-2020)</t>
  </si>
  <si>
    <t>RECAUDACIÓN 2020</t>
  </si>
  <si>
    <t>15</t>
  </si>
  <si>
    <t>11</t>
  </si>
  <si>
    <t>12</t>
  </si>
  <si>
    <t>13</t>
  </si>
  <si>
    <t>14</t>
  </si>
  <si>
    <t>17</t>
  </si>
  <si>
    <t>16</t>
  </si>
  <si>
    <t>18</t>
  </si>
  <si>
    <t>19</t>
  </si>
  <si>
    <t>20</t>
  </si>
  <si>
    <t>23</t>
  </si>
  <si>
    <t>21</t>
  </si>
  <si>
    <t>22</t>
  </si>
  <si>
    <t>25</t>
  </si>
  <si>
    <t>27</t>
  </si>
  <si>
    <t>26</t>
  </si>
  <si>
    <t>29</t>
  </si>
  <si>
    <t>30</t>
  </si>
  <si>
    <t>32</t>
  </si>
  <si>
    <t>33</t>
  </si>
  <si>
    <t>34</t>
  </si>
  <si>
    <t>35</t>
  </si>
  <si>
    <t>61</t>
  </si>
  <si>
    <t>36</t>
  </si>
  <si>
    <t>28</t>
  </si>
  <si>
    <t>37</t>
  </si>
  <si>
    <t>39</t>
  </si>
  <si>
    <t>38</t>
  </si>
  <si>
    <t>40</t>
  </si>
  <si>
    <t>41</t>
  </si>
  <si>
    <t>42</t>
  </si>
  <si>
    <t>43</t>
  </si>
  <si>
    <t>44</t>
  </si>
  <si>
    <t>46</t>
  </si>
  <si>
    <t>49</t>
  </si>
  <si>
    <t>48</t>
  </si>
  <si>
    <t>47</t>
  </si>
  <si>
    <t>45</t>
  </si>
  <si>
    <t>70</t>
  </si>
  <si>
    <t>50</t>
  </si>
  <si>
    <t>51</t>
  </si>
  <si>
    <t>52</t>
  </si>
  <si>
    <t>53</t>
  </si>
  <si>
    <t>54</t>
  </si>
  <si>
    <t>55</t>
  </si>
  <si>
    <t>58</t>
  </si>
  <si>
    <t>31</t>
  </si>
  <si>
    <t>57</t>
  </si>
  <si>
    <t>56</t>
  </si>
  <si>
    <t>59</t>
  </si>
  <si>
    <t>60</t>
  </si>
  <si>
    <t>La suma puede no coincidr por el cuestiones de redondeo</t>
  </si>
  <si>
    <t>POB 15 AÑOS O + NO SABE LEER NI ESCRIBIR 2010</t>
  </si>
  <si>
    <t>POBL SIN ACCESO A DRENAJE 2010</t>
  </si>
  <si>
    <t>POB SIN ACCESO A  ELECTRICIDAD 2010</t>
  </si>
  <si>
    <t>POB SIN ACCESO A ELECTRICIDAD
2020</t>
  </si>
  <si>
    <t>POBL SIN ACCESO A DRENAJE
2020</t>
  </si>
  <si>
    <t>POB 15 MAS AÑOS NO SABE LEER NI ESCRIBIR
2020</t>
  </si>
  <si>
    <t>COEF. CARENCIA SOCIAL
ULTIMA</t>
  </si>
  <si>
    <t>COEF. CARENCIA SOCIAL
PENULTIMA</t>
  </si>
  <si>
    <t>IEPS GYD</t>
  </si>
  <si>
    <t>Participaciones 1er Sem 2021</t>
  </si>
  <si>
    <t>CÁLCULO DE DISTRIBUCIÓN DE PARTICIPACIONES POR EL AJUSTE DEL 1er SEMESTRE 2021</t>
  </si>
  <si>
    <t>Las sumas puede no coincidr por el cuestiones de redondeo</t>
  </si>
  <si>
    <t>CÁLCULO DE DISTRIBUCIÓN DE PARTICIPACIONES ENERO-JULIO 2021 CON COEFICIENTE ACTUALIZADO</t>
  </si>
  <si>
    <t>CÁLCULO DE DISTRIBUCIÓN DE PARTICIPACIONES ENERO-JULIO 2021</t>
  </si>
  <si>
    <t>MEJORA SOCIAL ÚLTIMA vs PENULTIMA</t>
  </si>
  <si>
    <t>FUENTE:
Facturación de Predial.- Instituto Registral y Catastral
Recaudación de Predial.- Municipios del Estado
Población.- Censo de Población y Vivienda 2020
Territorio.- INEGI
Vairables de Carencia Social 2000, 2010 Y 2020.- Censo de población y vivienda, INEGI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</si>
</sst>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_(* #,##0.000000_);_(* \(#,##0.000000\);_(* &quot;-&quot;??_);_(@_)"/>
    <numFmt numFmtId="173" formatCode="0.00000000%"/>
    <numFmt numFmtId="174" formatCode="_(* #,##0.00000000_);_(* \(#,##0.00000000\);_(* &quot;-&quot;??_);_(@_)"/>
    <numFmt numFmtId="175" formatCode="0.000000"/>
    <numFmt numFmtId="176" formatCode="0.00000000"/>
    <numFmt numFmtId="177" formatCode="0.0000000000"/>
    <numFmt numFmtId="178" formatCode="0.000000000"/>
    <numFmt numFmtId="179" formatCode="0.0000"/>
    <numFmt numFmtId="180" formatCode="#,##0.0000;\-#,##0.0000"/>
    <numFmt numFmtId="181" formatCode="#,##0.00000000000;\-#,##0.00000000000"/>
    <numFmt numFmtId="182" formatCode="0.0000%"/>
    <numFmt numFmtId="183" formatCode="General_)"/>
    <numFmt numFmtId="184" formatCode="_-[$€-2]* #,##0.00_-;\-[$€-2]* #,##0.00_-;_-[$€-2]* &quot;-&quot;??_-"/>
    <numFmt numFmtId="185" formatCode="_-* #,##0_-;\-* #,##0_-;_-* &quot;-&quot;??_-;_-@_-"/>
    <numFmt numFmtId="186" formatCode="_-* #,##0.0000_-;\-* #,##0.0000_-;_-* &quot;-&quot;????_-;_-@_-"/>
    <numFmt numFmtId="187" formatCode="_-* #,##0.0000_-;\-* #,##0.0000_-;_-* &quot;-&quot;_-;_-@_-"/>
    <numFmt numFmtId="188" formatCode="_-* #,##0.0000_-;\-* #,##0.0000_-;_-* &quot;-&quot;??_-;_-@_-"/>
    <numFmt numFmtId="189" formatCode="#,##0.0000_ ;[Red]\-#,##0.0000\ "/>
    <numFmt numFmtId="190" formatCode="#,##0_ ;[Red]\-#,##0\ "/>
    <numFmt numFmtId="191" formatCode="0.00000000000"/>
    <numFmt numFmtId="192" formatCode="#,##0.00_ ;[Red]\-#,##0.00\ 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MS Sans Serif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1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9" fontId="6" fillId="0" borderId="0" applyFont="0" applyFill="0" applyBorder="0" applyAlignment="0" applyProtection="0"/>
    <xf numFmtId="0" fontId="20" fillId="3" borderId="0" applyNumberFormat="0" applyBorder="0" applyAlignment="0" applyProtection="0"/>
    <xf numFmtId="164" fontId="6" fillId="0" borderId="0" applyFont="0" applyFill="0" applyBorder="0" applyAlignment="0" applyProtection="0"/>
    <xf numFmtId="0" fontId="21" fillId="22" borderId="0" applyNumberFormat="0" applyBorder="0" applyAlignment="0" applyProtection="0"/>
    <xf numFmtId="0" fontId="31" fillId="0" borderId="0"/>
    <xf numFmtId="0" fontId="8" fillId="0" borderId="0"/>
    <xf numFmtId="37" fontId="7" fillId="0" borderId="0"/>
    <xf numFmtId="0" fontId="12" fillId="23" borderId="4" applyNumberFormat="0" applyFont="0" applyAlignment="0" applyProtection="0"/>
    <xf numFmtId="170" fontId="8" fillId="0" borderId="0" applyFont="0" applyFill="0" applyBorder="0" applyAlignment="0" applyProtection="0">
      <alignment horizontal="right"/>
    </xf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171" fontId="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3" fontId="6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6" fillId="0" borderId="0" applyFont="0" applyFill="0" applyBorder="0" applyAlignment="0" applyProtection="0"/>
    <xf numFmtId="0" fontId="20" fillId="3" borderId="0" applyNumberFormat="0" applyBorder="0" applyAlignment="0" applyProtection="0"/>
    <xf numFmtId="41" fontId="6" fillId="0" borderId="0" applyFont="0" applyFill="0" applyBorder="0" applyAlignment="0" applyProtection="0"/>
    <xf numFmtId="0" fontId="21" fillId="22" borderId="0" applyNumberFormat="0" applyBorder="0" applyAlignment="0" applyProtection="0"/>
    <xf numFmtId="0" fontId="6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5" fillId="0" borderId="0"/>
    <xf numFmtId="43" fontId="6" fillId="0" borderId="0" applyFont="0" applyFill="0" applyBorder="0" applyAlignment="0" applyProtection="0"/>
    <xf numFmtId="0" fontId="50" fillId="0" borderId="0"/>
    <xf numFmtId="0" fontId="4" fillId="0" borderId="0"/>
    <xf numFmtId="43" fontId="51" fillId="0" borderId="0" applyFont="0" applyFill="0" applyBorder="0" applyAlignment="0" applyProtection="0"/>
    <xf numFmtId="0" fontId="6" fillId="0" borderId="0"/>
    <xf numFmtId="9" fontId="3" fillId="0" borderId="0" applyFont="0" applyFill="0" applyBorder="0" applyAlignment="0" applyProtection="0"/>
    <xf numFmtId="0" fontId="6" fillId="0" borderId="0"/>
    <xf numFmtId="0" fontId="55" fillId="0" borderId="0"/>
    <xf numFmtId="43" fontId="5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6" fillId="2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288">
    <xf numFmtId="0" fontId="0" fillId="0" borderId="0" xfId="0"/>
    <xf numFmtId="37" fontId="11" fillId="0" borderId="0" xfId="37" applyFont="1" applyBorder="1" applyAlignment="1" applyProtection="1">
      <alignment horizontal="center" vertical="center" wrapText="1"/>
      <protection hidden="1"/>
    </xf>
    <xf numFmtId="37" fontId="6" fillId="0" borderId="11" xfId="37" applyFont="1" applyFill="1" applyBorder="1" applyAlignment="1" applyProtection="1">
      <alignment horizontal="left"/>
      <protection hidden="1"/>
    </xf>
    <xf numFmtId="37" fontId="6" fillId="0" borderId="20" xfId="37" applyFont="1" applyFill="1" applyBorder="1" applyAlignment="1" applyProtection="1">
      <alignment horizontal="right"/>
      <protection hidden="1"/>
    </xf>
    <xf numFmtId="37" fontId="6" fillId="0" borderId="12" xfId="37" applyFont="1" applyFill="1" applyBorder="1" applyAlignment="1" applyProtection="1">
      <alignment horizontal="left"/>
      <protection hidden="1"/>
    </xf>
    <xf numFmtId="37" fontId="6" fillId="0" borderId="22" xfId="37" applyFont="1" applyFill="1" applyBorder="1" applyAlignment="1" applyProtection="1">
      <alignment horizontal="right"/>
      <protection hidden="1"/>
    </xf>
    <xf numFmtId="37" fontId="10" fillId="0" borderId="13" xfId="37" applyFont="1" applyFill="1" applyBorder="1" applyAlignment="1" applyProtection="1">
      <alignment horizontal="left"/>
      <protection hidden="1"/>
    </xf>
    <xf numFmtId="37" fontId="10" fillId="0" borderId="14" xfId="37" applyFont="1" applyFill="1" applyBorder="1" applyAlignment="1" applyProtection="1">
      <alignment horizontal="right"/>
      <protection hidden="1"/>
    </xf>
    <xf numFmtId="37" fontId="10" fillId="0" borderId="10" xfId="37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9" fontId="10" fillId="0" borderId="10" xfId="40" applyFont="1" applyFill="1" applyBorder="1" applyAlignment="1" applyProtection="1">
      <alignment horizontal="center" vertical="center" wrapText="1"/>
      <protection hidden="1"/>
    </xf>
    <xf numFmtId="37" fontId="6" fillId="0" borderId="0" xfId="37" applyFont="1" applyFill="1" applyProtection="1">
      <protection hidden="1"/>
    </xf>
    <xf numFmtId="9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10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6" fillId="0" borderId="0" xfId="37" applyFont="1" applyProtection="1">
      <protection hidden="1"/>
    </xf>
    <xf numFmtId="37" fontId="33" fillId="0" borderId="0" xfId="37" applyFont="1" applyAlignment="1" applyProtection="1">
      <alignment horizontal="center" vertical="center"/>
      <protection hidden="1"/>
    </xf>
    <xf numFmtId="37" fontId="33" fillId="0" borderId="0" xfId="37" applyFont="1" applyFill="1" applyProtection="1">
      <protection hidden="1"/>
    </xf>
    <xf numFmtId="37" fontId="33" fillId="0" borderId="0" xfId="37" applyFont="1" applyProtection="1">
      <protection hidden="1"/>
    </xf>
    <xf numFmtId="37" fontId="38" fillId="0" borderId="0" xfId="37" applyFont="1" applyFill="1" applyBorder="1" applyAlignment="1" applyProtection="1">
      <alignment horizontal="center" vertical="center" wrapText="1"/>
      <protection hidden="1"/>
    </xf>
    <xf numFmtId="37" fontId="38" fillId="0" borderId="0" xfId="37" applyFont="1" applyFill="1" applyProtection="1">
      <protection hidden="1"/>
    </xf>
    <xf numFmtId="175" fontId="38" fillId="0" borderId="0" xfId="37" applyNumberFormat="1" applyFont="1" applyFill="1" applyProtection="1">
      <protection hidden="1"/>
    </xf>
    <xf numFmtId="176" fontId="39" fillId="0" borderId="0" xfId="0" applyNumberFormat="1" applyFont="1" applyFill="1" applyAlignment="1" applyProtection="1">
      <alignment horizontal="center" vertical="center" wrapText="1"/>
      <protection hidden="1"/>
    </xf>
    <xf numFmtId="175" fontId="38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Alignment="1" applyProtection="1">
      <alignment horizontal="center" vertical="center" wrapText="1"/>
      <protection hidden="1"/>
    </xf>
    <xf numFmtId="37" fontId="33" fillId="0" borderId="0" xfId="37" applyFont="1" applyAlignment="1" applyProtection="1">
      <alignment horizontal="center" vertical="center" wrapText="1"/>
      <protection hidden="1"/>
    </xf>
    <xf numFmtId="37" fontId="38" fillId="0" borderId="0" xfId="37" applyFont="1" applyProtection="1">
      <protection hidden="1"/>
    </xf>
    <xf numFmtId="3" fontId="32" fillId="0" borderId="20" xfId="0" applyNumberFormat="1" applyFont="1" applyBorder="1" applyProtection="1">
      <protection hidden="1"/>
    </xf>
    <xf numFmtId="173" fontId="6" fillId="0" borderId="20" xfId="40" applyNumberFormat="1" applyFont="1" applyFill="1" applyBorder="1" applyProtection="1">
      <protection hidden="1"/>
    </xf>
    <xf numFmtId="175" fontId="6" fillId="0" borderId="20" xfId="40" applyNumberFormat="1" applyFont="1" applyFill="1" applyBorder="1" applyProtection="1">
      <protection hidden="1"/>
    </xf>
    <xf numFmtId="165" fontId="6" fillId="0" borderId="20" xfId="33" applyNumberFormat="1" applyFont="1" applyFill="1" applyBorder="1" applyProtection="1">
      <protection hidden="1"/>
    </xf>
    <xf numFmtId="175" fontId="6" fillId="0" borderId="25" xfId="40" applyNumberFormat="1" applyFont="1" applyFill="1" applyBorder="1" applyProtection="1">
      <protection hidden="1"/>
    </xf>
    <xf numFmtId="173" fontId="32" fillId="0" borderId="20" xfId="40" applyNumberFormat="1" applyFont="1" applyBorder="1" applyProtection="1">
      <protection hidden="1"/>
    </xf>
    <xf numFmtId="175" fontId="32" fillId="0" borderId="20" xfId="40" applyNumberFormat="1" applyFont="1" applyBorder="1" applyProtection="1">
      <protection hidden="1"/>
    </xf>
    <xf numFmtId="172" fontId="6" fillId="0" borderId="20" xfId="33" applyNumberFormat="1" applyFont="1" applyFill="1" applyBorder="1" applyProtection="1">
      <protection hidden="1"/>
    </xf>
    <xf numFmtId="165" fontId="6" fillId="0" borderId="25" xfId="33" applyNumberFormat="1" applyFont="1" applyFill="1" applyBorder="1" applyProtection="1">
      <protection hidden="1"/>
    </xf>
    <xf numFmtId="37" fontId="6" fillId="0" borderId="11" xfId="37" applyFont="1" applyBorder="1" applyProtection="1">
      <protection hidden="1"/>
    </xf>
    <xf numFmtId="37" fontId="6" fillId="0" borderId="20" xfId="37" applyFont="1" applyBorder="1" applyProtection="1">
      <protection hidden="1"/>
    </xf>
    <xf numFmtId="176" fontId="6" fillId="0" borderId="21" xfId="40" applyNumberFormat="1" applyFont="1" applyBorder="1" applyProtection="1">
      <protection hidden="1"/>
    </xf>
    <xf numFmtId="3" fontId="32" fillId="0" borderId="22" xfId="0" applyNumberFormat="1" applyFont="1" applyBorder="1" applyProtection="1">
      <protection hidden="1"/>
    </xf>
    <xf numFmtId="173" fontId="6" fillId="0" borderId="22" xfId="40" applyNumberFormat="1" applyFont="1" applyFill="1" applyBorder="1" applyProtection="1">
      <protection hidden="1"/>
    </xf>
    <xf numFmtId="175" fontId="6" fillId="0" borderId="22" xfId="40" applyNumberFormat="1" applyFont="1" applyFill="1" applyBorder="1" applyProtection="1">
      <protection hidden="1"/>
    </xf>
    <xf numFmtId="165" fontId="6" fillId="0" borderId="22" xfId="33" applyNumberFormat="1" applyFont="1" applyFill="1" applyBorder="1" applyProtection="1">
      <protection hidden="1"/>
    </xf>
    <xf numFmtId="175" fontId="6" fillId="0" borderId="26" xfId="40" applyNumberFormat="1" applyFont="1" applyFill="1" applyBorder="1" applyProtection="1">
      <protection hidden="1"/>
    </xf>
    <xf numFmtId="173" fontId="32" fillId="0" borderId="22" xfId="40" applyNumberFormat="1" applyFont="1" applyBorder="1" applyProtection="1">
      <protection hidden="1"/>
    </xf>
    <xf numFmtId="175" fontId="32" fillId="0" borderId="22" xfId="40" applyNumberFormat="1" applyFont="1" applyBorder="1" applyProtection="1">
      <protection hidden="1"/>
    </xf>
    <xf numFmtId="172" fontId="6" fillId="0" borderId="22" xfId="33" applyNumberFormat="1" applyFont="1" applyFill="1" applyBorder="1" applyProtection="1">
      <protection hidden="1"/>
    </xf>
    <xf numFmtId="165" fontId="6" fillId="0" borderId="26" xfId="33" applyNumberFormat="1" applyFont="1" applyFill="1" applyBorder="1" applyProtection="1">
      <protection hidden="1"/>
    </xf>
    <xf numFmtId="37" fontId="6" fillId="0" borderId="12" xfId="37" applyFont="1" applyBorder="1" applyProtection="1">
      <protection hidden="1"/>
    </xf>
    <xf numFmtId="37" fontId="6" fillId="0" borderId="22" xfId="37" applyFont="1" applyBorder="1" applyProtection="1">
      <protection hidden="1"/>
    </xf>
    <xf numFmtId="176" fontId="6" fillId="0" borderId="19" xfId="40" applyNumberFormat="1" applyFont="1" applyBorder="1" applyProtection="1">
      <protection hidden="1"/>
    </xf>
    <xf numFmtId="3" fontId="34" fillId="0" borderId="14" xfId="0" applyNumberFormat="1" applyFont="1" applyBorder="1" applyProtection="1">
      <protection hidden="1"/>
    </xf>
    <xf numFmtId="173" fontId="10" fillId="0" borderId="14" xfId="40" applyNumberFormat="1" applyFont="1" applyFill="1" applyBorder="1" applyProtection="1">
      <protection hidden="1"/>
    </xf>
    <xf numFmtId="175" fontId="10" fillId="0" borderId="14" xfId="40" applyNumberFormat="1" applyFont="1" applyFill="1" applyBorder="1" applyProtection="1">
      <protection hidden="1"/>
    </xf>
    <xf numFmtId="165" fontId="10" fillId="0" borderId="14" xfId="33" applyNumberFormat="1" applyFont="1" applyFill="1" applyBorder="1" applyProtection="1">
      <protection hidden="1"/>
    </xf>
    <xf numFmtId="175" fontId="10" fillId="0" borderId="24" xfId="40" applyNumberFormat="1" applyFont="1" applyFill="1" applyBorder="1" applyProtection="1">
      <protection hidden="1"/>
    </xf>
    <xf numFmtId="173" fontId="34" fillId="0" borderId="14" xfId="40" applyNumberFormat="1" applyFont="1" applyBorder="1" applyProtection="1">
      <protection hidden="1"/>
    </xf>
    <xf numFmtId="175" fontId="34" fillId="0" borderId="14" xfId="40" applyNumberFormat="1" applyFont="1" applyBorder="1" applyProtection="1">
      <protection hidden="1"/>
    </xf>
    <xf numFmtId="168" fontId="10" fillId="0" borderId="14" xfId="40" applyNumberFormat="1" applyFont="1" applyFill="1" applyBorder="1" applyProtection="1">
      <protection hidden="1"/>
    </xf>
    <xf numFmtId="175" fontId="10" fillId="0" borderId="14" xfId="33" applyNumberFormat="1" applyFont="1" applyFill="1" applyBorder="1" applyProtection="1">
      <protection hidden="1"/>
    </xf>
    <xf numFmtId="172" fontId="10" fillId="0" borderId="14" xfId="33" applyNumberFormat="1" applyFont="1" applyFill="1" applyBorder="1" applyProtection="1">
      <protection hidden="1"/>
    </xf>
    <xf numFmtId="165" fontId="10" fillId="0" borderId="24" xfId="40" applyNumberFormat="1" applyFont="1" applyFill="1" applyBorder="1" applyProtection="1">
      <protection hidden="1"/>
    </xf>
    <xf numFmtId="37" fontId="10" fillId="0" borderId="13" xfId="37" applyFont="1" applyBorder="1" applyProtection="1">
      <protection hidden="1"/>
    </xf>
    <xf numFmtId="37" fontId="10" fillId="0" borderId="14" xfId="37" applyFont="1" applyBorder="1" applyProtection="1">
      <protection hidden="1"/>
    </xf>
    <xf numFmtId="176" fontId="10" fillId="0" borderId="15" xfId="40" applyNumberFormat="1" applyFont="1" applyBorder="1" applyProtection="1">
      <protection hidden="1"/>
    </xf>
    <xf numFmtId="175" fontId="6" fillId="0" borderId="0" xfId="37" applyNumberFormat="1" applyFont="1" applyProtection="1">
      <protection hidden="1"/>
    </xf>
    <xf numFmtId="39" fontId="6" fillId="0" borderId="0" xfId="37" applyNumberFormat="1" applyFont="1" applyProtection="1">
      <protection hidden="1"/>
    </xf>
    <xf numFmtId="176" fontId="6" fillId="0" borderId="0" xfId="37" applyNumberFormat="1" applyFont="1" applyProtection="1">
      <protection hidden="1"/>
    </xf>
    <xf numFmtId="166" fontId="6" fillId="0" borderId="0" xfId="40" applyNumberFormat="1" applyFont="1" applyProtection="1">
      <protection hidden="1"/>
    </xf>
    <xf numFmtId="175" fontId="6" fillId="0" borderId="0" xfId="37" applyNumberFormat="1" applyFont="1" applyFill="1" applyProtection="1">
      <protection hidden="1"/>
    </xf>
    <xf numFmtId="176" fontId="6" fillId="0" borderId="0" xfId="37" applyNumberFormat="1" applyFont="1" applyFill="1" applyProtection="1">
      <protection hidden="1"/>
    </xf>
    <xf numFmtId="166" fontId="6" fillId="0" borderId="0" xfId="40" applyNumberFormat="1" applyFont="1" applyFill="1" applyProtection="1">
      <protection hidden="1"/>
    </xf>
    <xf numFmtId="39" fontId="10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5" fillId="0" borderId="0" xfId="37" applyFont="1" applyFill="1" applyBorder="1" applyAlignment="1" applyProtection="1">
      <alignment horizontal="center" vertical="center" wrapText="1"/>
      <protection hidden="1"/>
    </xf>
    <xf numFmtId="39" fontId="33" fillId="0" borderId="0" xfId="37" applyNumberFormat="1" applyFont="1" applyFill="1" applyBorder="1" applyAlignment="1" applyProtection="1">
      <alignment horizontal="center" vertical="center" wrapText="1"/>
      <protection hidden="1"/>
    </xf>
    <xf numFmtId="176" fontId="38" fillId="0" borderId="0" xfId="37" applyNumberFormat="1" applyFont="1" applyFill="1" applyProtection="1">
      <protection hidden="1"/>
    </xf>
    <xf numFmtId="39" fontId="38" fillId="0" borderId="0" xfId="37" applyNumberFormat="1" applyFont="1" applyFill="1" applyBorder="1" applyAlignment="1" applyProtection="1">
      <alignment horizontal="center" vertical="center" wrapText="1"/>
      <protection hidden="1"/>
    </xf>
    <xf numFmtId="176" fontId="38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6" fillId="0" borderId="11" xfId="37" applyNumberFormat="1" applyFont="1" applyFill="1" applyBorder="1" applyProtection="1">
      <protection hidden="1"/>
    </xf>
    <xf numFmtId="37" fontId="6" fillId="0" borderId="12" xfId="37" applyNumberFormat="1" applyFont="1" applyFill="1" applyBorder="1" applyProtection="1"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37" fontId="45" fillId="0" borderId="0" xfId="37" applyFont="1" applyAlignment="1" applyProtection="1">
      <alignment horizontal="center"/>
      <protection hidden="1"/>
    </xf>
    <xf numFmtId="37" fontId="6" fillId="0" borderId="0" xfId="37" applyFont="1" applyAlignment="1" applyProtection="1">
      <alignment wrapText="1"/>
      <protection hidden="1"/>
    </xf>
    <xf numFmtId="37" fontId="6" fillId="0" borderId="28" xfId="37" applyFont="1" applyBorder="1" applyAlignment="1" applyProtection="1">
      <alignment wrapText="1"/>
      <protection hidden="1"/>
    </xf>
    <xf numFmtId="37" fontId="49" fillId="0" borderId="0" xfId="37" applyFont="1" applyProtection="1"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175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35" fillId="0" borderId="0" xfId="39" applyNumberFormat="1" applyFont="1" applyFill="1" applyBorder="1" applyAlignment="1" applyProtection="1">
      <alignment horizontal="center" vertical="center" wrapText="1"/>
      <protection hidden="1"/>
    </xf>
    <xf numFmtId="176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3" fillId="0" borderId="0" xfId="39" applyFont="1" applyFill="1" applyBorder="1" applyAlignment="1" applyProtection="1">
      <alignment horizontal="center" vertical="center" wrapText="1"/>
      <protection hidden="1"/>
    </xf>
    <xf numFmtId="177" fontId="6" fillId="0" borderId="20" xfId="40" applyNumberFormat="1" applyFont="1" applyFill="1" applyBorder="1" applyProtection="1">
      <protection hidden="1"/>
    </xf>
    <xf numFmtId="177" fontId="6" fillId="0" borderId="22" xfId="40" applyNumberFormat="1" applyFont="1" applyFill="1" applyBorder="1" applyProtection="1">
      <protection hidden="1"/>
    </xf>
    <xf numFmtId="177" fontId="10" fillId="0" borderId="14" xfId="40" applyNumberFormat="1" applyFont="1" applyFill="1" applyBorder="1" applyProtection="1">
      <protection hidden="1"/>
    </xf>
    <xf numFmtId="178" fontId="6" fillId="0" borderId="20" xfId="40" applyNumberFormat="1" applyFont="1" applyFill="1" applyBorder="1" applyProtection="1">
      <protection hidden="1"/>
    </xf>
    <xf numFmtId="178" fontId="6" fillId="0" borderId="22" xfId="40" applyNumberFormat="1" applyFont="1" applyFill="1" applyBorder="1" applyProtection="1">
      <protection hidden="1"/>
    </xf>
    <xf numFmtId="178" fontId="10" fillId="0" borderId="14" xfId="40" applyNumberFormat="1" applyFont="1" applyFill="1" applyBorder="1" applyProtection="1">
      <protection hidden="1"/>
    </xf>
    <xf numFmtId="176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44" fillId="0" borderId="0" xfId="37" applyNumberFormat="1" applyFont="1" applyAlignment="1" applyProtection="1">
      <alignment horizontal="center" vertical="center"/>
      <protection hidden="1"/>
    </xf>
    <xf numFmtId="176" fontId="43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21" xfId="40" applyNumberFormat="1" applyFont="1" applyFill="1" applyBorder="1" applyProtection="1">
      <protection hidden="1"/>
    </xf>
    <xf numFmtId="176" fontId="6" fillId="0" borderId="19" xfId="40" applyNumberFormat="1" applyFont="1" applyFill="1" applyBorder="1" applyProtection="1">
      <protection hidden="1"/>
    </xf>
    <xf numFmtId="176" fontId="10" fillId="0" borderId="15" xfId="40" applyNumberFormat="1" applyFont="1" applyFill="1" applyBorder="1" applyProtection="1">
      <protection hidden="1"/>
    </xf>
    <xf numFmtId="37" fontId="45" fillId="0" borderId="0" xfId="37" applyFont="1" applyAlignment="1" applyProtection="1"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 hidden="1"/>
    </xf>
    <xf numFmtId="165" fontId="34" fillId="0" borderId="14" xfId="33" applyNumberFormat="1" applyFont="1" applyFill="1" applyBorder="1" applyProtection="1">
      <protection hidden="1"/>
    </xf>
    <xf numFmtId="0" fontId="10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/>
    <xf numFmtId="176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Alignment="1" applyProtection="1">
      <alignment horizontal="center" vertical="center"/>
      <protection hidden="1"/>
    </xf>
    <xf numFmtId="176" fontId="33" fillId="0" borderId="0" xfId="37" applyNumberFormat="1" applyFont="1" applyFill="1" applyProtection="1">
      <protection hidden="1"/>
    </xf>
    <xf numFmtId="37" fontId="33" fillId="0" borderId="0" xfId="37" applyFont="1" applyFill="1" applyAlignment="1" applyProtection="1">
      <alignment horizontal="center" vertical="center" wrapText="1"/>
      <protection hidden="1"/>
    </xf>
    <xf numFmtId="176" fontId="33" fillId="0" borderId="0" xfId="37" applyNumberFormat="1" applyFont="1" applyFill="1" applyAlignment="1" applyProtection="1">
      <alignment horizontal="center" vertical="center" wrapText="1"/>
      <protection hidden="1"/>
    </xf>
    <xf numFmtId="3" fontId="32" fillId="0" borderId="20" xfId="0" applyNumberFormat="1" applyFont="1" applyFill="1" applyBorder="1" applyProtection="1">
      <protection hidden="1"/>
    </xf>
    <xf numFmtId="176" fontId="6" fillId="0" borderId="16" xfId="33" applyNumberFormat="1" applyFont="1" applyFill="1" applyBorder="1" applyProtection="1">
      <protection hidden="1"/>
    </xf>
    <xf numFmtId="37" fontId="6" fillId="0" borderId="11" xfId="37" applyFont="1" applyFill="1" applyBorder="1" applyProtection="1">
      <protection hidden="1"/>
    </xf>
    <xf numFmtId="37" fontId="6" fillId="0" borderId="20" xfId="37" applyFont="1" applyFill="1" applyBorder="1" applyProtection="1">
      <protection hidden="1"/>
    </xf>
    <xf numFmtId="176" fontId="6" fillId="0" borderId="21" xfId="37" applyNumberFormat="1" applyFont="1" applyFill="1" applyBorder="1" applyProtection="1">
      <protection hidden="1"/>
    </xf>
    <xf numFmtId="3" fontId="32" fillId="0" borderId="22" xfId="0" applyNumberFormat="1" applyFont="1" applyFill="1" applyBorder="1" applyProtection="1">
      <protection hidden="1"/>
    </xf>
    <xf numFmtId="176" fontId="6" fillId="0" borderId="17" xfId="33" applyNumberFormat="1" applyFont="1" applyFill="1" applyBorder="1" applyProtection="1">
      <protection hidden="1"/>
    </xf>
    <xf numFmtId="37" fontId="6" fillId="0" borderId="12" xfId="37" applyFont="1" applyFill="1" applyBorder="1" applyProtection="1">
      <protection hidden="1"/>
    </xf>
    <xf numFmtId="37" fontId="6" fillId="0" borderId="22" xfId="37" applyFont="1" applyFill="1" applyBorder="1" applyProtection="1">
      <protection hidden="1"/>
    </xf>
    <xf numFmtId="176" fontId="6" fillId="0" borderId="19" xfId="37" applyNumberFormat="1" applyFont="1" applyFill="1" applyBorder="1" applyProtection="1">
      <protection hidden="1"/>
    </xf>
    <xf numFmtId="3" fontId="34" fillId="0" borderId="14" xfId="0" applyNumberFormat="1" applyFont="1" applyFill="1" applyBorder="1" applyProtection="1">
      <protection hidden="1"/>
    </xf>
    <xf numFmtId="37" fontId="10" fillId="0" borderId="13" xfId="37" applyNumberFormat="1" applyFont="1" applyFill="1" applyBorder="1" applyProtection="1">
      <protection hidden="1"/>
    </xf>
    <xf numFmtId="176" fontId="10" fillId="0" borderId="18" xfId="40" applyNumberFormat="1" applyFont="1" applyFill="1" applyBorder="1" applyProtection="1">
      <protection hidden="1"/>
    </xf>
    <xf numFmtId="37" fontId="10" fillId="0" borderId="13" xfId="37" applyFont="1" applyFill="1" applyBorder="1" applyProtection="1">
      <protection hidden="1"/>
    </xf>
    <xf numFmtId="37" fontId="10" fillId="0" borderId="14" xfId="37" applyFont="1" applyFill="1" applyBorder="1" applyProtection="1">
      <protection hidden="1"/>
    </xf>
    <xf numFmtId="176" fontId="10" fillId="0" borderId="15" xfId="37" applyNumberFormat="1" applyFont="1" applyFill="1" applyBorder="1" applyProtection="1">
      <protection hidden="1"/>
    </xf>
    <xf numFmtId="10" fontId="46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/>
    <xf numFmtId="0" fontId="6" fillId="0" borderId="0" xfId="53" applyFont="1" applyBorder="1" applyAlignment="1">
      <alignment vertical="center"/>
    </xf>
    <xf numFmtId="3" fontId="6" fillId="0" borderId="0" xfId="53" applyNumberFormat="1" applyBorder="1" applyAlignment="1">
      <alignment horizontal="center" vertical="center"/>
    </xf>
    <xf numFmtId="0" fontId="6" fillId="0" borderId="0" xfId="53" applyBorder="1" applyAlignment="1">
      <alignment horizontal="center" vertical="center"/>
    </xf>
    <xf numFmtId="0" fontId="6" fillId="0" borderId="0" xfId="53" applyFont="1"/>
    <xf numFmtId="185" fontId="0" fillId="0" borderId="0" xfId="51" applyNumberFormat="1" applyFont="1"/>
    <xf numFmtId="185" fontId="6" fillId="0" borderId="0" xfId="51" applyNumberFormat="1" applyFont="1"/>
    <xf numFmtId="185" fontId="10" fillId="0" borderId="34" xfId="51" applyNumberFormat="1" applyFont="1" applyFill="1" applyBorder="1" applyAlignment="1">
      <alignment horizontal="center" vertical="center" wrapText="1"/>
    </xf>
    <xf numFmtId="185" fontId="10" fillId="0" borderId="37" xfId="51" applyNumberFormat="1" applyFont="1" applyFill="1" applyBorder="1"/>
    <xf numFmtId="185" fontId="10" fillId="0" borderId="34" xfId="51" applyNumberFormat="1" applyFont="1" applyFill="1" applyBorder="1"/>
    <xf numFmtId="185" fontId="10" fillId="0" borderId="0" xfId="51" applyNumberFormat="1" applyFont="1" applyFill="1" applyBorder="1"/>
    <xf numFmtId="10" fontId="46" fillId="0" borderId="31" xfId="56" applyNumberFormat="1" applyFont="1" applyFill="1" applyBorder="1" applyAlignment="1" applyProtection="1">
      <alignment horizontal="center" vertical="center" wrapText="1"/>
      <protection hidden="1"/>
    </xf>
    <xf numFmtId="179" fontId="6" fillId="0" borderId="20" xfId="40" applyNumberFormat="1" applyFont="1" applyFill="1" applyBorder="1" applyProtection="1">
      <protection hidden="1"/>
    </xf>
    <xf numFmtId="179" fontId="6" fillId="0" borderId="22" xfId="40" applyNumberFormat="1" applyFont="1" applyFill="1" applyBorder="1" applyProtection="1">
      <protection hidden="1"/>
    </xf>
    <xf numFmtId="179" fontId="10" fillId="0" borderId="14" xfId="40" applyNumberFormat="1" applyFont="1" applyFill="1" applyBorder="1" applyProtection="1">
      <protection hidden="1"/>
    </xf>
    <xf numFmtId="174" fontId="6" fillId="0" borderId="21" xfId="33" applyNumberFormat="1" applyFont="1" applyFill="1" applyBorder="1" applyProtection="1">
      <protection hidden="1"/>
    </xf>
    <xf numFmtId="174" fontId="6" fillId="0" borderId="19" xfId="33" applyNumberFormat="1" applyFont="1" applyFill="1" applyBorder="1" applyProtection="1">
      <protection hidden="1"/>
    </xf>
    <xf numFmtId="174" fontId="10" fillId="0" borderId="15" xfId="33" applyNumberFormat="1" applyFont="1" applyFill="1" applyBorder="1" applyProtection="1">
      <protection hidden="1"/>
    </xf>
    <xf numFmtId="167" fontId="52" fillId="0" borderId="0" xfId="40" applyNumberFormat="1" applyFont="1" applyProtection="1">
      <protection hidden="1"/>
    </xf>
    <xf numFmtId="37" fontId="53" fillId="0" borderId="0" xfId="37" applyFont="1" applyBorder="1" applyAlignment="1" applyProtection="1">
      <alignment horizontal="center" vertical="center" wrapText="1"/>
      <protection hidden="1"/>
    </xf>
    <xf numFmtId="37" fontId="10" fillId="0" borderId="0" xfId="37" applyFont="1" applyProtection="1">
      <protection hidden="1"/>
    </xf>
    <xf numFmtId="173" fontId="6" fillId="0" borderId="0" xfId="40" applyNumberFormat="1" applyFont="1" applyProtection="1">
      <protection hidden="1"/>
    </xf>
    <xf numFmtId="37" fontId="6" fillId="0" borderId="0" xfId="37" applyFont="1" applyBorder="1" applyProtection="1">
      <protection hidden="1"/>
    </xf>
    <xf numFmtId="164" fontId="6" fillId="0" borderId="0" xfId="33" applyFont="1" applyBorder="1" applyProtection="1">
      <protection hidden="1"/>
    </xf>
    <xf numFmtId="167" fontId="52" fillId="0" borderId="0" xfId="40" applyNumberFormat="1" applyFont="1" applyBorder="1" applyProtection="1">
      <protection hidden="1"/>
    </xf>
    <xf numFmtId="182" fontId="6" fillId="0" borderId="0" xfId="40" applyNumberFormat="1" applyFont="1" applyProtection="1">
      <protection hidden="1"/>
    </xf>
    <xf numFmtId="181" fontId="6" fillId="0" borderId="0" xfId="37" applyNumberFormat="1" applyFont="1" applyProtection="1">
      <protection hidden="1"/>
    </xf>
    <xf numFmtId="180" fontId="6" fillId="0" borderId="0" xfId="37" applyNumberFormat="1" applyFont="1" applyProtection="1">
      <protection hidden="1"/>
    </xf>
    <xf numFmtId="37" fontId="6" fillId="0" borderId="23" xfId="37" applyFont="1" applyFill="1" applyBorder="1" applyAlignment="1" applyProtection="1">
      <protection hidden="1"/>
    </xf>
    <xf numFmtId="0" fontId="6" fillId="24" borderId="0" xfId="106" applyFill="1"/>
    <xf numFmtId="185" fontId="0" fillId="24" borderId="0" xfId="51" applyNumberFormat="1" applyFont="1" applyFill="1"/>
    <xf numFmtId="186" fontId="10" fillId="24" borderId="41" xfId="106" applyNumberFormat="1" applyFont="1" applyFill="1" applyBorder="1"/>
    <xf numFmtId="185" fontId="10" fillId="24" borderId="42" xfId="51" applyNumberFormat="1" applyFont="1" applyFill="1" applyBorder="1"/>
    <xf numFmtId="185" fontId="10" fillId="24" borderId="43" xfId="106" applyNumberFormat="1" applyFont="1" applyFill="1" applyBorder="1"/>
    <xf numFmtId="185" fontId="10" fillId="24" borderId="44" xfId="106" applyNumberFormat="1" applyFont="1" applyFill="1" applyBorder="1"/>
    <xf numFmtId="185" fontId="10" fillId="24" borderId="45" xfId="106" applyNumberFormat="1" applyFont="1" applyFill="1" applyBorder="1"/>
    <xf numFmtId="0" fontId="10" fillId="24" borderId="46" xfId="106" applyFont="1" applyFill="1" applyBorder="1"/>
    <xf numFmtId="187" fontId="10" fillId="24" borderId="42" xfId="106" applyNumberFormat="1" applyFont="1" applyFill="1" applyBorder="1"/>
    <xf numFmtId="188" fontId="10" fillId="24" borderId="44" xfId="51" applyNumberFormat="1" applyFont="1" applyFill="1" applyBorder="1"/>
    <xf numFmtId="188" fontId="10" fillId="24" borderId="44" xfId="106" applyNumberFormat="1" applyFont="1" applyFill="1" applyBorder="1"/>
    <xf numFmtId="188" fontId="10" fillId="24" borderId="43" xfId="51" applyNumberFormat="1" applyFont="1" applyFill="1" applyBorder="1"/>
    <xf numFmtId="188" fontId="10" fillId="24" borderId="44" xfId="107" applyNumberFormat="1" applyFont="1" applyFill="1" applyBorder="1"/>
    <xf numFmtId="185" fontId="10" fillId="24" borderId="44" xfId="51" applyNumberFormat="1" applyFont="1" applyFill="1" applyBorder="1"/>
    <xf numFmtId="185" fontId="10" fillId="24" borderId="45" xfId="51" applyNumberFormat="1" applyFont="1" applyFill="1" applyBorder="1"/>
    <xf numFmtId="186" fontId="6" fillId="24" borderId="38" xfId="106" applyNumberFormat="1" applyFill="1" applyBorder="1"/>
    <xf numFmtId="41" fontId="6" fillId="24" borderId="47" xfId="106" applyNumberFormat="1" applyFill="1" applyBorder="1"/>
    <xf numFmtId="185" fontId="0" fillId="24" borderId="48" xfId="51" applyNumberFormat="1" applyFont="1" applyFill="1" applyBorder="1"/>
    <xf numFmtId="185" fontId="0" fillId="24" borderId="0" xfId="51" applyNumberFormat="1" applyFont="1" applyFill="1" applyBorder="1"/>
    <xf numFmtId="185" fontId="0" fillId="24" borderId="49" xfId="51" applyNumberFormat="1" applyFont="1" applyFill="1" applyBorder="1"/>
    <xf numFmtId="0" fontId="10" fillId="24" borderId="37" xfId="106" applyFont="1" applyFill="1" applyBorder="1"/>
    <xf numFmtId="187" fontId="6" fillId="24" borderId="47" xfId="106" applyNumberFormat="1" applyFill="1" applyBorder="1"/>
    <xf numFmtId="188" fontId="0" fillId="24" borderId="0" xfId="51" applyNumberFormat="1" applyFont="1" applyFill="1" applyBorder="1"/>
    <xf numFmtId="188" fontId="0" fillId="24" borderId="48" xfId="51" applyNumberFormat="1" applyFont="1" applyFill="1" applyBorder="1"/>
    <xf numFmtId="188" fontId="0" fillId="24" borderId="0" xfId="107" applyNumberFormat="1" applyFont="1" applyFill="1" applyBorder="1"/>
    <xf numFmtId="186" fontId="6" fillId="24" borderId="50" xfId="106" applyNumberFormat="1" applyFill="1" applyBorder="1"/>
    <xf numFmtId="41" fontId="0" fillId="24" borderId="51" xfId="51" applyNumberFormat="1" applyFont="1" applyFill="1" applyBorder="1"/>
    <xf numFmtId="185" fontId="0" fillId="24" borderId="52" xfId="51" applyNumberFormat="1" applyFont="1" applyFill="1" applyBorder="1"/>
    <xf numFmtId="185" fontId="0" fillId="24" borderId="53" xfId="51" applyNumberFormat="1" applyFont="1" applyFill="1" applyBorder="1"/>
    <xf numFmtId="185" fontId="0" fillId="24" borderId="54" xfId="51" applyNumberFormat="1" applyFont="1" applyFill="1" applyBorder="1"/>
    <xf numFmtId="0" fontId="10" fillId="24" borderId="55" xfId="106" applyFont="1" applyFill="1" applyBorder="1"/>
    <xf numFmtId="187" fontId="6" fillId="24" borderId="51" xfId="106" applyNumberFormat="1" applyFill="1" applyBorder="1"/>
    <xf numFmtId="188" fontId="0" fillId="24" borderId="53" xfId="51" applyNumberFormat="1" applyFont="1" applyFill="1" applyBorder="1"/>
    <xf numFmtId="188" fontId="0" fillId="24" borderId="52" xfId="51" applyNumberFormat="1" applyFont="1" applyFill="1" applyBorder="1"/>
    <xf numFmtId="188" fontId="0" fillId="24" borderId="53" xfId="107" applyNumberFormat="1" applyFont="1" applyFill="1" applyBorder="1"/>
    <xf numFmtId="0" fontId="54" fillId="24" borderId="0" xfId="106" applyFont="1" applyFill="1"/>
    <xf numFmtId="9" fontId="54" fillId="24" borderId="0" xfId="107" applyFont="1" applyFill="1" applyAlignment="1">
      <alignment horizontal="center" vertical="center"/>
    </xf>
    <xf numFmtId="0" fontId="10" fillId="24" borderId="0" xfId="106" applyFont="1" applyFill="1"/>
    <xf numFmtId="0" fontId="10" fillId="0" borderId="0" xfId="106" applyFont="1"/>
    <xf numFmtId="185" fontId="54" fillId="24" borderId="0" xfId="51" applyNumberFormat="1" applyFont="1" applyFill="1" applyAlignment="1">
      <alignment horizontal="center" vertical="center"/>
    </xf>
    <xf numFmtId="0" fontId="33" fillId="24" borderId="0" xfId="106" applyFont="1" applyFill="1" applyAlignment="1">
      <alignment horizontal="center" vertical="center" wrapText="1"/>
    </xf>
    <xf numFmtId="0" fontId="10" fillId="24" borderId="36" xfId="106" applyFont="1" applyFill="1" applyBorder="1" applyAlignment="1">
      <alignment horizontal="center" vertical="center" wrapText="1"/>
    </xf>
    <xf numFmtId="0" fontId="10" fillId="24" borderId="56" xfId="106" applyFont="1" applyFill="1" applyBorder="1" applyAlignment="1">
      <alignment horizontal="center" vertical="center" wrapText="1"/>
    </xf>
    <xf numFmtId="0" fontId="10" fillId="24" borderId="57" xfId="106" applyFont="1" applyFill="1" applyBorder="1" applyAlignment="1">
      <alignment horizontal="center" vertical="center" wrapText="1"/>
    </xf>
    <xf numFmtId="0" fontId="10" fillId="24" borderId="35" xfId="106" applyFont="1" applyFill="1" applyBorder="1" applyAlignment="1">
      <alignment horizontal="center" vertical="center" wrapText="1"/>
    </xf>
    <xf numFmtId="0" fontId="10" fillId="24" borderId="58" xfId="106" applyFont="1" applyFill="1" applyBorder="1" applyAlignment="1">
      <alignment horizontal="center" vertical="center" wrapText="1"/>
    </xf>
    <xf numFmtId="0" fontId="10" fillId="24" borderId="34" xfId="106" applyFont="1" applyFill="1" applyBorder="1" applyAlignment="1">
      <alignment horizontal="center" vertical="center"/>
    </xf>
    <xf numFmtId="0" fontId="10" fillId="24" borderId="0" xfId="106" applyFont="1" applyFill="1" applyAlignment="1">
      <alignment horizontal="center" vertical="center" wrapText="1"/>
    </xf>
    <xf numFmtId="0" fontId="6" fillId="0" borderId="60" xfId="53" applyFont="1" applyBorder="1" applyAlignment="1">
      <alignment vertical="center" wrapText="1"/>
    </xf>
    <xf numFmtId="43" fontId="10" fillId="0" borderId="35" xfId="51" applyNumberFormat="1" applyFont="1" applyFill="1" applyBorder="1" applyAlignment="1">
      <alignment horizontal="center" vertical="center" wrapText="1"/>
    </xf>
    <xf numFmtId="43" fontId="10" fillId="0" borderId="36" xfId="51" applyNumberFormat="1" applyFont="1" applyFill="1" applyBorder="1" applyAlignment="1">
      <alignment horizontal="center" vertical="center"/>
    </xf>
    <xf numFmtId="43" fontId="10" fillId="0" borderId="0" xfId="51" applyNumberFormat="1" applyFont="1" applyFill="1" applyBorder="1"/>
    <xf numFmtId="43" fontId="6" fillId="0" borderId="0" xfId="53" applyNumberFormat="1" applyFont="1"/>
    <xf numFmtId="43" fontId="0" fillId="0" borderId="0" xfId="51" applyNumberFormat="1" applyFont="1"/>
    <xf numFmtId="49" fontId="46" fillId="0" borderId="30" xfId="54" applyNumberFormat="1" applyFont="1" applyFill="1" applyBorder="1" applyAlignment="1" applyProtection="1">
      <alignment horizontal="center" vertical="center" wrapText="1"/>
      <protection hidden="1"/>
    </xf>
    <xf numFmtId="165" fontId="6" fillId="0" borderId="0" xfId="53" applyNumberFormat="1"/>
    <xf numFmtId="0" fontId="10" fillId="0" borderId="60" xfId="53" applyFont="1" applyBorder="1" applyAlignment="1">
      <alignment horizontal="center" vertical="center" wrapText="1"/>
    </xf>
    <xf numFmtId="165" fontId="6" fillId="0" borderId="60" xfId="33" applyNumberFormat="1" applyFont="1" applyFill="1" applyBorder="1" applyAlignment="1">
      <alignment vertical="center" wrapText="1"/>
    </xf>
    <xf numFmtId="0" fontId="6" fillId="0" borderId="60" xfId="53" applyFont="1" applyBorder="1" applyAlignment="1">
      <alignment horizontal="center" vertical="center" wrapText="1"/>
    </xf>
    <xf numFmtId="3" fontId="6" fillId="0" borderId="60" xfId="53" applyNumberFormat="1" applyFont="1" applyBorder="1" applyAlignment="1">
      <alignment horizontal="center" vertical="center" wrapText="1"/>
    </xf>
    <xf numFmtId="0" fontId="10" fillId="0" borderId="60" xfId="53" applyFont="1" applyBorder="1" applyAlignment="1">
      <alignment horizontal="center" vertical="center"/>
    </xf>
    <xf numFmtId="165" fontId="10" fillId="0" borderId="60" xfId="53" applyNumberFormat="1" applyFont="1" applyBorder="1" applyAlignment="1">
      <alignment horizontal="center" vertical="center"/>
    </xf>
    <xf numFmtId="3" fontId="10" fillId="0" borderId="60" xfId="53" applyNumberFormat="1" applyFont="1" applyBorder="1" applyAlignment="1">
      <alignment horizontal="center" vertical="center"/>
    </xf>
    <xf numFmtId="189" fontId="6" fillId="24" borderId="53" xfId="106" applyNumberFormat="1" applyFill="1" applyBorder="1"/>
    <xf numFmtId="189" fontId="6" fillId="24" borderId="0" xfId="106" applyNumberFormat="1" applyFill="1" applyBorder="1"/>
    <xf numFmtId="176" fontId="43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61" xfId="33" applyNumberFormat="1" applyFont="1" applyFill="1" applyBorder="1" applyProtection="1">
      <protection hidden="1"/>
    </xf>
    <xf numFmtId="176" fontId="10" fillId="0" borderId="61" xfId="40" applyNumberFormat="1" applyFont="1" applyFill="1" applyBorder="1" applyProtection="1">
      <protection hidden="1"/>
    </xf>
    <xf numFmtId="165" fontId="6" fillId="0" borderId="0" xfId="33" applyNumberFormat="1"/>
    <xf numFmtId="191" fontId="6" fillId="0" borderId="0" xfId="53" applyNumberFormat="1"/>
    <xf numFmtId="191" fontId="6" fillId="0" borderId="0" xfId="33" applyNumberFormat="1"/>
    <xf numFmtId="178" fontId="6" fillId="0" borderId="0" xfId="53" applyNumberFormat="1"/>
    <xf numFmtId="178" fontId="6" fillId="0" borderId="0" xfId="33" applyNumberFormat="1"/>
    <xf numFmtId="190" fontId="10" fillId="0" borderId="38" xfId="51" applyNumberFormat="1" applyFont="1" applyFill="1" applyBorder="1"/>
    <xf numFmtId="10" fontId="6" fillId="0" borderId="0" xfId="40" applyNumberFormat="1" applyFont="1" applyAlignment="1" applyProtection="1">
      <alignment horizontal="center"/>
      <protection hidden="1"/>
    </xf>
    <xf numFmtId="190" fontId="0" fillId="0" borderId="0" xfId="51" applyNumberFormat="1" applyFont="1" applyFill="1" applyBorder="1"/>
    <xf numFmtId="190" fontId="10" fillId="0" borderId="35" xfId="51" applyNumberFormat="1" applyFont="1" applyFill="1" applyBorder="1"/>
    <xf numFmtId="190" fontId="10" fillId="0" borderId="36" xfId="51" applyNumberFormat="1" applyFont="1" applyFill="1" applyBorder="1"/>
    <xf numFmtId="185" fontId="6" fillId="0" borderId="59" xfId="51" applyNumberFormat="1" applyFont="1" applyBorder="1" applyAlignment="1"/>
    <xf numFmtId="0" fontId="6" fillId="0" borderId="0" xfId="53" applyFont="1" applyBorder="1" applyAlignment="1">
      <alignment vertical="center" wrapText="1"/>
    </xf>
    <xf numFmtId="165" fontId="6" fillId="0" borderId="60" xfId="33" applyNumberFormat="1" applyFont="1" applyBorder="1" applyAlignment="1">
      <alignment vertical="center" wrapText="1"/>
    </xf>
    <xf numFmtId="0" fontId="10" fillId="0" borderId="55" xfId="106" applyFont="1" applyFill="1" applyBorder="1"/>
    <xf numFmtId="0" fontId="10" fillId="0" borderId="37" xfId="106" applyFont="1" applyFill="1" applyBorder="1"/>
    <xf numFmtId="192" fontId="6" fillId="0" borderId="59" xfId="51" applyNumberFormat="1" applyFont="1" applyBorder="1" applyAlignment="1"/>
    <xf numFmtId="192" fontId="10" fillId="0" borderId="35" xfId="51" applyNumberFormat="1" applyFont="1" applyFill="1" applyBorder="1" applyAlignment="1">
      <alignment horizontal="center" vertical="center" wrapText="1"/>
    </xf>
    <xf numFmtId="192" fontId="10" fillId="0" borderId="0" xfId="51" applyNumberFormat="1" applyFont="1" applyFill="1" applyBorder="1"/>
    <xf numFmtId="192" fontId="6" fillId="0" borderId="0" xfId="53" applyNumberFormat="1" applyFont="1"/>
    <xf numFmtId="192" fontId="6" fillId="0" borderId="0" xfId="51" applyNumberFormat="1" applyFont="1"/>
    <xf numFmtId="192" fontId="0" fillId="0" borderId="0" xfId="51" applyNumberFormat="1" applyFont="1"/>
    <xf numFmtId="164" fontId="6" fillId="0" borderId="59" xfId="33" applyFont="1" applyBorder="1" applyAlignment="1"/>
    <xf numFmtId="164" fontId="10" fillId="0" borderId="35" xfId="33" applyFont="1" applyFill="1" applyBorder="1" applyAlignment="1">
      <alignment horizontal="center" vertical="center" wrapText="1"/>
    </xf>
    <xf numFmtId="164" fontId="10" fillId="0" borderId="0" xfId="33" applyFont="1" applyFill="1" applyBorder="1"/>
    <xf numFmtId="164" fontId="6" fillId="0" borderId="0" xfId="33" applyFont="1"/>
    <xf numFmtId="164" fontId="0" fillId="0" borderId="0" xfId="33" applyFont="1"/>
    <xf numFmtId="185" fontId="0" fillId="0" borderId="0" xfId="51" applyNumberFormat="1" applyFont="1" applyFill="1" applyBorder="1"/>
    <xf numFmtId="190" fontId="0" fillId="0" borderId="0" xfId="33" applyNumberFormat="1" applyFont="1" applyFill="1" applyBorder="1"/>
    <xf numFmtId="165" fontId="42" fillId="0" borderId="14" xfId="33" applyNumberFormat="1" applyFont="1" applyBorder="1" applyProtection="1">
      <protection hidden="1"/>
    </xf>
    <xf numFmtId="165" fontId="41" fillId="0" borderId="20" xfId="33" applyNumberFormat="1" applyFont="1" applyBorder="1" applyProtection="1">
      <protection hidden="1"/>
    </xf>
    <xf numFmtId="165" fontId="41" fillId="0" borderId="22" xfId="33" applyNumberFormat="1" applyFont="1" applyBorder="1" applyProtection="1">
      <protection hidden="1"/>
    </xf>
    <xf numFmtId="165" fontId="6" fillId="0" borderId="11" xfId="33" applyNumberFormat="1" applyFont="1" applyFill="1" applyBorder="1" applyAlignment="1" applyProtection="1">
      <protection hidden="1"/>
    </xf>
    <xf numFmtId="165" fontId="6" fillId="0" borderId="12" xfId="33" applyNumberFormat="1" applyFont="1" applyFill="1" applyBorder="1" applyAlignment="1" applyProtection="1">
      <protection hidden="1"/>
    </xf>
    <xf numFmtId="165" fontId="40" fillId="0" borderId="62" xfId="33" applyNumberFormat="1" applyFont="1" applyFill="1" applyBorder="1" applyAlignment="1" applyProtection="1">
      <protection hidden="1"/>
    </xf>
    <xf numFmtId="165" fontId="40" fillId="0" borderId="63" xfId="33" applyNumberFormat="1" applyFont="1" applyFill="1" applyBorder="1" applyAlignment="1" applyProtection="1">
      <protection hidden="1"/>
    </xf>
    <xf numFmtId="165" fontId="40" fillId="0" borderId="14" xfId="33" applyNumberFormat="1" applyFont="1" applyFill="1" applyBorder="1" applyAlignment="1" applyProtection="1">
      <protection hidden="1"/>
    </xf>
    <xf numFmtId="0" fontId="10" fillId="0" borderId="0" xfId="53" applyFont="1" applyAlignment="1">
      <alignment horizontal="center" vertical="center"/>
    </xf>
    <xf numFmtId="185" fontId="10" fillId="0" borderId="0" xfId="51" applyNumberFormat="1" applyFont="1" applyAlignment="1">
      <alignment horizontal="center"/>
    </xf>
    <xf numFmtId="37" fontId="6" fillId="0" borderId="0" xfId="37" applyFont="1" applyAlignment="1" applyProtection="1">
      <alignment horizontal="left" vertical="top" wrapText="1"/>
      <protection hidden="1"/>
    </xf>
    <xf numFmtId="0" fontId="44" fillId="0" borderId="28" xfId="0" applyFont="1" applyBorder="1" applyAlignment="1">
      <alignment horizontal="center"/>
    </xf>
    <xf numFmtId="37" fontId="44" fillId="0" borderId="28" xfId="37" applyFont="1" applyBorder="1" applyAlignment="1" applyProtection="1">
      <alignment horizontal="center"/>
      <protection hidden="1"/>
    </xf>
    <xf numFmtId="37" fontId="10" fillId="0" borderId="27" xfId="37" applyFont="1" applyFill="1" applyBorder="1" applyAlignment="1" applyProtection="1">
      <alignment horizontal="center" vertical="center" wrapText="1"/>
      <protection hidden="1"/>
    </xf>
    <xf numFmtId="37" fontId="10" fillId="0" borderId="0" xfId="37" applyFont="1" applyFill="1" applyBorder="1" applyAlignment="1" applyProtection="1">
      <alignment horizontal="center" vertical="center" wrapText="1"/>
      <protection hidden="1"/>
    </xf>
    <xf numFmtId="37" fontId="10" fillId="0" borderId="33" xfId="37" applyFont="1" applyFill="1" applyBorder="1" applyAlignment="1" applyProtection="1">
      <alignment horizontal="center" vertical="center" wrapText="1"/>
      <protection hidden="1"/>
    </xf>
    <xf numFmtId="37" fontId="10" fillId="0" borderId="40" xfId="37" applyFont="1" applyFill="1" applyBorder="1" applyAlignment="1" applyProtection="1">
      <alignment horizontal="center" vertical="center" wrapText="1"/>
      <protection hidden="1"/>
    </xf>
    <xf numFmtId="37" fontId="48" fillId="0" borderId="0" xfId="37" applyFont="1" applyAlignment="1" applyProtection="1">
      <alignment horizontal="center" vertical="center" wrapText="1"/>
      <protection hidden="1"/>
    </xf>
    <xf numFmtId="37" fontId="6" fillId="0" borderId="0" xfId="37" applyFont="1" applyAlignment="1" applyProtection="1">
      <alignment horizontal="center" vertical="center" wrapText="1"/>
      <protection hidden="1"/>
    </xf>
    <xf numFmtId="49" fontId="46" fillId="0" borderId="30" xfId="54" applyNumberFormat="1" applyFont="1" applyFill="1" applyBorder="1" applyAlignment="1" applyProtection="1">
      <alignment horizontal="center" vertical="center" wrapText="1"/>
      <protection hidden="1"/>
    </xf>
    <xf numFmtId="49" fontId="10" fillId="0" borderId="31" xfId="54" applyNumberFormat="1" applyFont="1" applyFill="1" applyBorder="1" applyAlignment="1" applyProtection="1">
      <alignment horizontal="center" vertical="center" wrapText="1"/>
      <protection hidden="1"/>
    </xf>
    <xf numFmtId="37" fontId="10" fillId="0" borderId="30" xfId="37" applyFont="1" applyFill="1" applyBorder="1" applyAlignment="1" applyProtection="1">
      <alignment horizontal="center" vertical="center" wrapText="1"/>
      <protection hidden="1"/>
    </xf>
    <xf numFmtId="37" fontId="10" fillId="0" borderId="31" xfId="37" applyFont="1" applyFill="1" applyBorder="1" applyAlignment="1" applyProtection="1">
      <alignment horizontal="center" vertical="center" wrapText="1"/>
      <protection hidden="1"/>
    </xf>
    <xf numFmtId="49" fontId="46" fillId="0" borderId="31" xfId="54" applyNumberFormat="1" applyFont="1" applyFill="1" applyBorder="1" applyAlignment="1" applyProtection="1">
      <alignment horizontal="center" vertical="center" wrapText="1"/>
      <protection hidden="1"/>
    </xf>
    <xf numFmtId="37" fontId="10" fillId="0" borderId="32" xfId="37" applyFont="1" applyFill="1" applyBorder="1" applyAlignment="1" applyProtection="1">
      <alignment horizontal="center" vertical="center" wrapText="1"/>
      <protection hidden="1"/>
    </xf>
    <xf numFmtId="37" fontId="10" fillId="0" borderId="39" xfId="37" applyFont="1" applyFill="1" applyBorder="1" applyAlignment="1" applyProtection="1">
      <alignment horizontal="center" vertical="center" wrapText="1"/>
      <protection hidden="1"/>
    </xf>
    <xf numFmtId="37" fontId="45" fillId="0" borderId="0" xfId="37" applyFont="1" applyAlignment="1" applyProtection="1">
      <alignment horizontal="center" wrapText="1"/>
      <protection hidden="1"/>
    </xf>
    <xf numFmtId="37" fontId="47" fillId="0" borderId="0" xfId="37" applyFont="1" applyAlignment="1" applyProtection="1">
      <alignment horizontal="center" wrapText="1"/>
      <protection hidden="1"/>
    </xf>
    <xf numFmtId="37" fontId="44" fillId="0" borderId="28" xfId="37" applyFont="1" applyBorder="1" applyAlignment="1" applyProtection="1">
      <alignment horizontal="center" vertical="center"/>
      <protection hidden="1"/>
    </xf>
    <xf numFmtId="37" fontId="6" fillId="0" borderId="28" xfId="37" applyFont="1" applyBorder="1" applyAlignment="1" applyProtection="1">
      <alignment horizontal="center" vertical="center"/>
      <protection hidden="1"/>
    </xf>
    <xf numFmtId="37" fontId="44" fillId="0" borderId="28" xfId="37" applyFont="1" applyBorder="1" applyAlignment="1" applyProtection="1">
      <alignment horizontal="center" vertical="center" wrapText="1"/>
      <protection hidden="1"/>
    </xf>
    <xf numFmtId="0" fontId="10" fillId="24" borderId="59" xfId="106" applyFont="1" applyFill="1" applyBorder="1" applyAlignment="1">
      <alignment horizontal="center" vertical="center"/>
    </xf>
    <xf numFmtId="0" fontId="10" fillId="24" borderId="59" xfId="106" applyFont="1" applyFill="1" applyBorder="1" applyAlignment="1">
      <alignment horizontal="center"/>
    </xf>
    <xf numFmtId="0" fontId="6" fillId="24" borderId="0" xfId="106" applyFill="1" applyAlignment="1">
      <alignment horizontal="center" vertical="center"/>
    </xf>
  </cellXfs>
  <cellStyles count="118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Buena 3" xfId="112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Millares 4" xfId="110"/>
    <cellStyle name="Millares 5" xfId="114"/>
    <cellStyle name="Millares 6" xfId="116"/>
    <cellStyle name="Moneda 2" xfId="111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2 4" xfId="108"/>
    <cellStyle name="Normal 2 5" xfId="117"/>
    <cellStyle name="Normal 3" xfId="36"/>
    <cellStyle name="Normal 4" xfId="53"/>
    <cellStyle name="Normal 5" xfId="101"/>
    <cellStyle name="Normal 6" xfId="104"/>
    <cellStyle name="Normal 7" xfId="109"/>
    <cellStyle name="Normal 8" xfId="113"/>
    <cellStyle name="Normal 9" xfId="115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dial%20y%20Agua%202021\Predial\Resumen%202204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1\Variables\INEGI_Exporta_202103291114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1\Variables\INEGI_Exporta_202103291056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ón general de "/>
    </sheetNames>
    <sheetDataSet>
      <sheetData sheetId="0">
        <row r="17">
          <cell r="B17" t="str">
            <v>Abasolo</v>
          </cell>
          <cell r="C17">
            <v>75348</v>
          </cell>
          <cell r="D17">
            <v>35336</v>
          </cell>
          <cell r="E17">
            <v>110684</v>
          </cell>
          <cell r="F17">
            <v>79922</v>
          </cell>
          <cell r="G17">
            <v>65750.850000000006</v>
          </cell>
          <cell r="H17">
            <v>145672.85</v>
          </cell>
          <cell r="I17">
            <v>34988.85</v>
          </cell>
          <cell r="J17">
            <v>0.31609999999999999</v>
          </cell>
        </row>
        <row r="18">
          <cell r="B18" t="str">
            <v>Agualeguas</v>
          </cell>
          <cell r="C18">
            <v>625138</v>
          </cell>
          <cell r="D18">
            <v>328276</v>
          </cell>
          <cell r="E18">
            <v>953414</v>
          </cell>
          <cell r="F18">
            <v>582604</v>
          </cell>
          <cell r="G18">
            <v>185448</v>
          </cell>
          <cell r="H18">
            <v>768052</v>
          </cell>
          <cell r="I18">
            <v>-185362</v>
          </cell>
          <cell r="J18">
            <v>-0.19439999999999999</v>
          </cell>
        </row>
        <row r="19">
          <cell r="B19" t="str">
            <v>Los Aldamas</v>
          </cell>
          <cell r="C19">
            <v>188019</v>
          </cell>
          <cell r="D19">
            <v>105382</v>
          </cell>
          <cell r="E19">
            <v>293401</v>
          </cell>
          <cell r="F19">
            <v>179680</v>
          </cell>
          <cell r="G19">
            <v>93197</v>
          </cell>
          <cell r="H19">
            <v>272877</v>
          </cell>
          <cell r="I19">
            <v>-20524</v>
          </cell>
          <cell r="J19">
            <v>-7.0000000000000007E-2</v>
          </cell>
        </row>
        <row r="20">
          <cell r="B20" t="str">
            <v>Allende</v>
          </cell>
          <cell r="C20">
            <v>14401076</v>
          </cell>
          <cell r="D20">
            <v>3799048</v>
          </cell>
          <cell r="E20">
            <v>18200124</v>
          </cell>
          <cell r="F20">
            <v>18923186</v>
          </cell>
          <cell r="G20">
            <v>4219776</v>
          </cell>
          <cell r="H20">
            <v>23142962</v>
          </cell>
          <cell r="I20">
            <v>4942838</v>
          </cell>
          <cell r="J20">
            <v>0.27160000000000001</v>
          </cell>
        </row>
        <row r="21">
          <cell r="B21" t="str">
            <v>Anáhuac</v>
          </cell>
          <cell r="C21">
            <v>1120911</v>
          </cell>
          <cell r="D21">
            <v>636065</v>
          </cell>
          <cell r="E21">
            <v>1756976</v>
          </cell>
          <cell r="F21">
            <v>1570086</v>
          </cell>
          <cell r="G21">
            <v>961178</v>
          </cell>
          <cell r="H21">
            <v>2531264</v>
          </cell>
          <cell r="I21">
            <v>774288</v>
          </cell>
          <cell r="J21">
            <v>0.44069999999999998</v>
          </cell>
        </row>
        <row r="22">
          <cell r="B22" t="str">
            <v>Apodaca</v>
          </cell>
          <cell r="C22">
            <v>215933349.84999999</v>
          </cell>
          <cell r="D22">
            <v>76907478.590000004</v>
          </cell>
          <cell r="E22">
            <v>292840828.44</v>
          </cell>
          <cell r="F22">
            <v>212904316.30000001</v>
          </cell>
          <cell r="G22">
            <v>86589338.680000007</v>
          </cell>
          <cell r="H22">
            <v>299493654.98000002</v>
          </cell>
          <cell r="I22">
            <v>6652826.54</v>
          </cell>
          <cell r="J22">
            <v>2.2700000000000001E-2</v>
          </cell>
        </row>
        <row r="23">
          <cell r="B23" t="str">
            <v>Aramberri</v>
          </cell>
          <cell r="C23">
            <v>326547.45</v>
          </cell>
          <cell r="D23">
            <v>459264</v>
          </cell>
          <cell r="E23">
            <v>785811.45</v>
          </cell>
          <cell r="F23">
            <v>348094.4</v>
          </cell>
          <cell r="G23">
            <v>440684</v>
          </cell>
          <cell r="H23">
            <v>788778.4</v>
          </cell>
          <cell r="I23">
            <v>2966.95</v>
          </cell>
          <cell r="J23">
            <v>3.8E-3</v>
          </cell>
        </row>
        <row r="24">
          <cell r="B24" t="str">
            <v>Bustamante</v>
          </cell>
          <cell r="C24">
            <v>584467</v>
          </cell>
          <cell r="D24">
            <v>343189</v>
          </cell>
          <cell r="E24">
            <v>927656</v>
          </cell>
          <cell r="F24">
            <v>544348</v>
          </cell>
          <cell r="G24">
            <v>255062</v>
          </cell>
          <cell r="H24">
            <v>799410</v>
          </cell>
          <cell r="I24">
            <v>-128246</v>
          </cell>
          <cell r="J24">
            <v>-0.13819999999999999</v>
          </cell>
        </row>
        <row r="25">
          <cell r="B25" t="str">
            <v>Cadereyta Jiménez</v>
          </cell>
          <cell r="C25">
            <v>20146933.75</v>
          </cell>
          <cell r="D25">
            <v>8372561.75</v>
          </cell>
          <cell r="E25">
            <v>28519495.5</v>
          </cell>
          <cell r="F25">
            <v>17231964</v>
          </cell>
          <cell r="G25">
            <v>10295718</v>
          </cell>
          <cell r="H25">
            <v>27527682</v>
          </cell>
          <cell r="I25">
            <v>-991813.5</v>
          </cell>
          <cell r="J25">
            <v>-3.4799999999999998E-2</v>
          </cell>
        </row>
        <row r="26">
          <cell r="B26" t="str">
            <v>El Carmen</v>
          </cell>
          <cell r="C26">
            <v>4032286.5</v>
          </cell>
          <cell r="D26">
            <v>2071675.22</v>
          </cell>
          <cell r="E26">
            <v>6103961.7199999997</v>
          </cell>
          <cell r="F26">
            <v>3458820</v>
          </cell>
          <cell r="G26">
            <v>1488022.92</v>
          </cell>
          <cell r="H26">
            <v>4946842.92</v>
          </cell>
          <cell r="I26">
            <v>-1157118.8</v>
          </cell>
          <cell r="J26">
            <v>-0.18959999999999999</v>
          </cell>
        </row>
        <row r="27">
          <cell r="B27" t="str">
            <v>Cerralvo</v>
          </cell>
          <cell r="C27">
            <v>822953</v>
          </cell>
          <cell r="D27">
            <v>3902</v>
          </cell>
          <cell r="E27">
            <v>826855</v>
          </cell>
          <cell r="F27">
            <v>934071</v>
          </cell>
          <cell r="G27">
            <v>287742</v>
          </cell>
          <cell r="H27">
            <v>1221813</v>
          </cell>
          <cell r="I27">
            <v>394958</v>
          </cell>
          <cell r="J27">
            <v>0.47770000000000001</v>
          </cell>
        </row>
        <row r="28">
          <cell r="B28" t="str">
            <v>Ciénega de Flores</v>
          </cell>
          <cell r="C28">
            <v>9509951</v>
          </cell>
          <cell r="D28">
            <v>4715190</v>
          </cell>
          <cell r="E28">
            <v>14225141</v>
          </cell>
          <cell r="F28">
            <v>8778456</v>
          </cell>
          <cell r="G28">
            <v>4211749</v>
          </cell>
          <cell r="H28">
            <v>12990205</v>
          </cell>
          <cell r="I28">
            <v>-1234936</v>
          </cell>
          <cell r="J28">
            <v>-8.6800000000000002E-2</v>
          </cell>
        </row>
        <row r="29">
          <cell r="B29" t="str">
            <v>China</v>
          </cell>
          <cell r="C29">
            <v>1006067</v>
          </cell>
          <cell r="D29">
            <v>642543</v>
          </cell>
          <cell r="E29">
            <v>1648610</v>
          </cell>
          <cell r="F29">
            <v>938831</v>
          </cell>
          <cell r="G29">
            <v>469374</v>
          </cell>
          <cell r="H29">
            <v>1408205</v>
          </cell>
          <cell r="I29">
            <v>-240405</v>
          </cell>
          <cell r="J29">
            <v>-0.14580000000000001</v>
          </cell>
        </row>
        <row r="30">
          <cell r="B30" t="str">
            <v>Doctor Arroyo</v>
          </cell>
          <cell r="C30">
            <v>396545</v>
          </cell>
          <cell r="D30">
            <v>369969</v>
          </cell>
          <cell r="E30">
            <v>766514</v>
          </cell>
          <cell r="F30">
            <v>380554</v>
          </cell>
          <cell r="G30">
            <v>311258</v>
          </cell>
          <cell r="H30">
            <v>691812</v>
          </cell>
          <cell r="I30">
            <v>-74702</v>
          </cell>
          <cell r="J30">
            <v>-9.7500000000000003E-2</v>
          </cell>
        </row>
        <row r="31">
          <cell r="B31" t="str">
            <v>Doctor Coss</v>
          </cell>
          <cell r="C31">
            <v>245782</v>
          </cell>
          <cell r="D31">
            <v>82714</v>
          </cell>
          <cell r="E31">
            <v>328496</v>
          </cell>
          <cell r="F31">
            <v>213878</v>
          </cell>
          <cell r="G31">
            <v>115292</v>
          </cell>
          <cell r="H31">
            <v>329170</v>
          </cell>
          <cell r="I31">
            <v>674</v>
          </cell>
          <cell r="J31">
            <v>2.0999999999999999E-3</v>
          </cell>
        </row>
        <row r="32">
          <cell r="B32" t="str">
            <v>Doctor González</v>
          </cell>
          <cell r="C32">
            <v>390278</v>
          </cell>
          <cell r="D32">
            <v>313914</v>
          </cell>
          <cell r="E32">
            <v>704192</v>
          </cell>
          <cell r="F32">
            <v>382233</v>
          </cell>
          <cell r="G32">
            <v>249863</v>
          </cell>
          <cell r="H32">
            <v>632096</v>
          </cell>
          <cell r="I32">
            <v>-72096</v>
          </cell>
          <cell r="J32">
            <v>-0.1024</v>
          </cell>
        </row>
        <row r="33">
          <cell r="B33" t="str">
            <v>Galeana</v>
          </cell>
          <cell r="C33">
            <v>586230</v>
          </cell>
          <cell r="D33">
            <v>666851</v>
          </cell>
          <cell r="E33">
            <v>1253081</v>
          </cell>
          <cell r="F33">
            <v>549986</v>
          </cell>
          <cell r="G33">
            <v>643427</v>
          </cell>
          <cell r="H33">
            <v>1193413</v>
          </cell>
          <cell r="I33">
            <v>-59668</v>
          </cell>
          <cell r="J33">
            <v>-4.7600000000000003E-2</v>
          </cell>
        </row>
        <row r="34">
          <cell r="B34" t="str">
            <v>García</v>
          </cell>
          <cell r="C34">
            <v>66685170.32</v>
          </cell>
          <cell r="D34">
            <v>22969551</v>
          </cell>
          <cell r="E34">
            <v>89654721.319999993</v>
          </cell>
          <cell r="F34">
            <v>67199213</v>
          </cell>
          <cell r="G34">
            <v>22812295</v>
          </cell>
          <cell r="H34">
            <v>90011508</v>
          </cell>
          <cell r="I34">
            <v>356786.68</v>
          </cell>
          <cell r="J34">
            <v>4.0000000000000001E-3</v>
          </cell>
        </row>
        <row r="35">
          <cell r="B35" t="str">
            <v>San Pedro Garza García</v>
          </cell>
          <cell r="C35">
            <v>566328442.15999997</v>
          </cell>
          <cell r="D35">
            <v>141046337.97</v>
          </cell>
          <cell r="E35">
            <v>707374780.13</v>
          </cell>
          <cell r="F35">
            <v>559001425.63999999</v>
          </cell>
          <cell r="G35">
            <v>112269610.77</v>
          </cell>
          <cell r="H35">
            <v>671271036.40999997</v>
          </cell>
          <cell r="I35">
            <v>-36103743.719999999</v>
          </cell>
          <cell r="J35">
            <v>-5.0999999999999997E-2</v>
          </cell>
        </row>
        <row r="36">
          <cell r="B36" t="str">
            <v>General Bravo</v>
          </cell>
          <cell r="C36">
            <v>690614</v>
          </cell>
          <cell r="D36">
            <v>410396</v>
          </cell>
          <cell r="E36">
            <v>1101010</v>
          </cell>
          <cell r="F36">
            <v>536876</v>
          </cell>
          <cell r="G36">
            <v>340441</v>
          </cell>
          <cell r="H36">
            <v>877317</v>
          </cell>
          <cell r="I36">
            <v>-223693</v>
          </cell>
          <cell r="J36">
            <v>-0.20319999999999999</v>
          </cell>
        </row>
        <row r="37">
          <cell r="B37" t="str">
            <v>General Escobedo</v>
          </cell>
          <cell r="C37">
            <v>96367813.019999996</v>
          </cell>
          <cell r="D37">
            <v>52876328.299999997</v>
          </cell>
          <cell r="E37">
            <v>149244141.31999999</v>
          </cell>
          <cell r="F37">
            <v>93831668.75</v>
          </cell>
          <cell r="G37">
            <v>36830608.490000002</v>
          </cell>
          <cell r="H37">
            <v>130662277.23999999</v>
          </cell>
          <cell r="I37">
            <v>-18581864.079999998</v>
          </cell>
          <cell r="J37">
            <v>-0.1245</v>
          </cell>
        </row>
        <row r="38">
          <cell r="B38" t="str">
            <v>General Terán</v>
          </cell>
          <cell r="C38">
            <v>2815289</v>
          </cell>
          <cell r="D38">
            <v>1602458</v>
          </cell>
          <cell r="E38">
            <v>4417747</v>
          </cell>
          <cell r="F38">
            <v>2655631.25</v>
          </cell>
          <cell r="G38">
            <v>993130.78</v>
          </cell>
          <cell r="H38">
            <v>3648762.03</v>
          </cell>
          <cell r="I38">
            <v>-768984.97</v>
          </cell>
          <cell r="J38">
            <v>-0.1741</v>
          </cell>
        </row>
        <row r="39">
          <cell r="B39" t="str">
            <v>General Treviño</v>
          </cell>
          <cell r="C39">
            <v>183123.25</v>
          </cell>
          <cell r="D39">
            <v>137483</v>
          </cell>
          <cell r="E39">
            <v>320606.25</v>
          </cell>
          <cell r="F39">
            <v>157859</v>
          </cell>
          <cell r="G39">
            <v>61079</v>
          </cell>
          <cell r="H39">
            <v>218938</v>
          </cell>
          <cell r="I39">
            <v>-101668.25</v>
          </cell>
          <cell r="J39">
            <v>-0.31709999999999999</v>
          </cell>
        </row>
        <row r="40">
          <cell r="B40" t="str">
            <v>General Zaragoza</v>
          </cell>
          <cell r="C40">
            <v>136058</v>
          </cell>
          <cell r="D40">
            <v>58614</v>
          </cell>
          <cell r="E40">
            <v>194672</v>
          </cell>
          <cell r="F40">
            <v>109618</v>
          </cell>
          <cell r="G40">
            <v>30796</v>
          </cell>
          <cell r="H40">
            <v>140414</v>
          </cell>
          <cell r="I40">
            <v>-54258</v>
          </cell>
          <cell r="J40">
            <v>-0.2787</v>
          </cell>
        </row>
        <row r="41">
          <cell r="B41" t="str">
            <v>General Zuazua</v>
          </cell>
          <cell r="C41">
            <v>4678031</v>
          </cell>
          <cell r="D41">
            <v>2455071</v>
          </cell>
          <cell r="E41">
            <v>7133102</v>
          </cell>
          <cell r="F41">
            <v>4410873</v>
          </cell>
          <cell r="G41">
            <v>4745933</v>
          </cell>
          <cell r="H41">
            <v>9156806</v>
          </cell>
          <cell r="I41">
            <v>2023704</v>
          </cell>
          <cell r="J41">
            <v>0.28370000000000001</v>
          </cell>
        </row>
        <row r="42">
          <cell r="B42" t="str">
            <v>Guadalupe</v>
          </cell>
          <cell r="C42">
            <v>197045270.52000001</v>
          </cell>
          <cell r="D42">
            <v>62308276.509999998</v>
          </cell>
          <cell r="E42">
            <v>259353547.03</v>
          </cell>
          <cell r="F42">
            <v>182185647.40000001</v>
          </cell>
          <cell r="G42">
            <v>33190343.710000001</v>
          </cell>
          <cell r="H42">
            <v>215375991.11000001</v>
          </cell>
          <cell r="I42">
            <v>-43977555.920000002</v>
          </cell>
          <cell r="J42">
            <v>-0.1696</v>
          </cell>
        </row>
        <row r="43">
          <cell r="B43" t="str">
            <v>Los Herreras</v>
          </cell>
          <cell r="C43">
            <v>181165</v>
          </cell>
          <cell r="D43">
            <v>113586</v>
          </cell>
          <cell r="E43">
            <v>294751</v>
          </cell>
          <cell r="F43">
            <v>176407</v>
          </cell>
          <cell r="G43">
            <v>111809.5</v>
          </cell>
          <cell r="H43">
            <v>288216.5</v>
          </cell>
          <cell r="I43">
            <v>-6534.5</v>
          </cell>
          <cell r="J43">
            <v>-2.2200000000000001E-2</v>
          </cell>
        </row>
        <row r="44">
          <cell r="B44" t="str">
            <v>Higueras</v>
          </cell>
          <cell r="C44">
            <v>224159</v>
          </cell>
          <cell r="D44">
            <v>90592</v>
          </cell>
          <cell r="E44">
            <v>314751</v>
          </cell>
          <cell r="F44">
            <v>212416</v>
          </cell>
          <cell r="G44">
            <v>124513</v>
          </cell>
          <cell r="H44">
            <v>336929</v>
          </cell>
          <cell r="I44">
            <v>22178</v>
          </cell>
          <cell r="J44">
            <v>7.0499999999999993E-2</v>
          </cell>
        </row>
        <row r="45">
          <cell r="B45" t="str">
            <v>Hualahuises</v>
          </cell>
          <cell r="C45">
            <v>367719</v>
          </cell>
          <cell r="D45">
            <v>218554</v>
          </cell>
          <cell r="E45">
            <v>586273</v>
          </cell>
          <cell r="F45">
            <v>366935</v>
          </cell>
          <cell r="G45">
            <v>262236</v>
          </cell>
          <cell r="H45">
            <v>629171</v>
          </cell>
          <cell r="I45">
            <v>42898</v>
          </cell>
          <cell r="J45">
            <v>7.3200000000000001E-2</v>
          </cell>
        </row>
        <row r="46">
          <cell r="B46" t="str">
            <v>Iturbide</v>
          </cell>
          <cell r="C46">
            <v>74772</v>
          </cell>
          <cell r="D46">
            <v>32903</v>
          </cell>
          <cell r="E46">
            <v>107675</v>
          </cell>
          <cell r="F46">
            <v>73612</v>
          </cell>
          <cell r="G46">
            <v>39303</v>
          </cell>
          <cell r="H46">
            <v>112915</v>
          </cell>
          <cell r="I46">
            <v>5240</v>
          </cell>
          <cell r="J46">
            <v>4.87E-2</v>
          </cell>
        </row>
        <row r="47">
          <cell r="B47" t="str">
            <v>Juárez</v>
          </cell>
          <cell r="C47">
            <v>61983933.310000002</v>
          </cell>
          <cell r="D47">
            <v>19912123.109999999</v>
          </cell>
          <cell r="E47">
            <v>81896056.420000002</v>
          </cell>
          <cell r="F47">
            <v>68365480.700000003</v>
          </cell>
          <cell r="G47">
            <v>30721367.190000001</v>
          </cell>
          <cell r="H47">
            <v>99086847.890000001</v>
          </cell>
          <cell r="I47">
            <v>17190791.469999999</v>
          </cell>
          <cell r="J47">
            <v>0.2099</v>
          </cell>
        </row>
        <row r="48">
          <cell r="B48" t="str">
            <v>Lampazos de Naranjo</v>
          </cell>
          <cell r="C48">
            <v>773881</v>
          </cell>
          <cell r="D48">
            <v>609999</v>
          </cell>
          <cell r="E48">
            <v>1383880</v>
          </cell>
          <cell r="F48">
            <v>774713</v>
          </cell>
          <cell r="G48">
            <v>419370</v>
          </cell>
          <cell r="H48">
            <v>1194083</v>
          </cell>
          <cell r="I48">
            <v>-189797</v>
          </cell>
          <cell r="J48">
            <v>-0.1371</v>
          </cell>
        </row>
        <row r="49">
          <cell r="B49" t="str">
            <v>Linares</v>
          </cell>
          <cell r="C49">
            <v>7504374</v>
          </cell>
          <cell r="D49">
            <v>3361022</v>
          </cell>
          <cell r="E49">
            <v>10865396</v>
          </cell>
          <cell r="F49">
            <v>7169598</v>
          </cell>
          <cell r="G49">
            <v>3110641</v>
          </cell>
          <cell r="H49">
            <v>10280239</v>
          </cell>
          <cell r="I49">
            <v>-585157</v>
          </cell>
          <cell r="J49">
            <v>-5.3900000000000003E-2</v>
          </cell>
        </row>
        <row r="50">
          <cell r="B50" t="str">
            <v>Marín</v>
          </cell>
          <cell r="C50">
            <v>818142</v>
          </cell>
          <cell r="D50">
            <v>307910</v>
          </cell>
          <cell r="E50">
            <v>1126052</v>
          </cell>
          <cell r="F50">
            <v>744227</v>
          </cell>
          <cell r="G50">
            <v>196720</v>
          </cell>
          <cell r="H50">
            <v>940947</v>
          </cell>
          <cell r="I50">
            <v>-185105</v>
          </cell>
          <cell r="J50">
            <v>-0.16439999999999999</v>
          </cell>
        </row>
        <row r="51">
          <cell r="B51" t="str">
            <v>Melchor Ocampo</v>
          </cell>
          <cell r="C51">
            <v>217472</v>
          </cell>
          <cell r="D51">
            <v>101779</v>
          </cell>
          <cell r="E51">
            <v>319251</v>
          </cell>
          <cell r="F51">
            <v>211186</v>
          </cell>
          <cell r="G51">
            <v>90483</v>
          </cell>
          <cell r="H51">
            <v>301669</v>
          </cell>
          <cell r="I51">
            <v>-17582</v>
          </cell>
          <cell r="J51">
            <v>-5.5100000000000003E-2</v>
          </cell>
        </row>
        <row r="52">
          <cell r="B52" t="str">
            <v>Mier y Noriega</v>
          </cell>
          <cell r="C52">
            <v>49784</v>
          </cell>
          <cell r="D52">
            <v>20033</v>
          </cell>
          <cell r="E52">
            <v>69817</v>
          </cell>
          <cell r="F52">
            <v>41327</v>
          </cell>
          <cell r="G52">
            <v>23447</v>
          </cell>
          <cell r="H52">
            <v>64774</v>
          </cell>
          <cell r="I52">
            <v>-5043</v>
          </cell>
          <cell r="J52">
            <v>-7.22E-2</v>
          </cell>
        </row>
        <row r="53">
          <cell r="B53" t="str">
            <v>Mina</v>
          </cell>
          <cell r="C53">
            <v>456565</v>
          </cell>
          <cell r="D53">
            <v>419167</v>
          </cell>
          <cell r="E53">
            <v>875732</v>
          </cell>
          <cell r="F53">
            <v>435000</v>
          </cell>
          <cell r="G53">
            <v>670076</v>
          </cell>
          <cell r="H53">
            <v>1105076</v>
          </cell>
          <cell r="I53">
            <v>229344</v>
          </cell>
          <cell r="J53">
            <v>0.26190000000000002</v>
          </cell>
        </row>
        <row r="54">
          <cell r="B54" t="str">
            <v>Montemorelos</v>
          </cell>
          <cell r="C54">
            <v>10200911</v>
          </cell>
          <cell r="D54">
            <v>4934282.17</v>
          </cell>
          <cell r="E54">
            <v>15135193.17</v>
          </cell>
          <cell r="F54">
            <v>10423534.800000001</v>
          </cell>
          <cell r="G54">
            <v>6468148.4000000004</v>
          </cell>
          <cell r="H54">
            <v>16891683.199999999</v>
          </cell>
          <cell r="I54">
            <v>1756490.03</v>
          </cell>
          <cell r="J54">
            <v>0.11609999999999999</v>
          </cell>
        </row>
        <row r="55">
          <cell r="B55" t="str">
            <v>Monterrey</v>
          </cell>
          <cell r="C55">
            <v>979682194.38999999</v>
          </cell>
          <cell r="D55">
            <v>254754551.37</v>
          </cell>
          <cell r="E55">
            <v>1234436745.76</v>
          </cell>
          <cell r="F55">
            <v>947913050.40999997</v>
          </cell>
          <cell r="G55">
            <v>257974441.27000001</v>
          </cell>
          <cell r="H55">
            <v>1205887491.6800001</v>
          </cell>
          <cell r="I55">
            <v>-28549254.079999998</v>
          </cell>
          <cell r="J55">
            <v>-2.3099999999999999E-2</v>
          </cell>
        </row>
        <row r="56">
          <cell r="B56" t="str">
            <v>Parás</v>
          </cell>
          <cell r="C56">
            <v>298693</v>
          </cell>
          <cell r="D56">
            <v>170196</v>
          </cell>
          <cell r="E56">
            <v>468889</v>
          </cell>
          <cell r="F56">
            <v>298261</v>
          </cell>
          <cell r="G56">
            <v>153159</v>
          </cell>
          <cell r="H56">
            <v>451420</v>
          </cell>
          <cell r="I56">
            <v>-17469</v>
          </cell>
          <cell r="J56">
            <v>-3.73E-2</v>
          </cell>
        </row>
        <row r="57">
          <cell r="B57" t="str">
            <v>Pesquería</v>
          </cell>
          <cell r="C57">
            <v>13096743</v>
          </cell>
          <cell r="D57">
            <v>2760267</v>
          </cell>
          <cell r="E57">
            <v>15857010</v>
          </cell>
          <cell r="F57">
            <v>12227875</v>
          </cell>
          <cell r="G57">
            <v>5024783</v>
          </cell>
          <cell r="H57">
            <v>17252658</v>
          </cell>
          <cell r="I57">
            <v>1395648</v>
          </cell>
          <cell r="J57">
            <v>8.7999999999999995E-2</v>
          </cell>
        </row>
        <row r="58">
          <cell r="B58" t="str">
            <v>Los Ramones</v>
          </cell>
          <cell r="C58">
            <v>582832</v>
          </cell>
          <cell r="D58">
            <v>556951</v>
          </cell>
          <cell r="E58">
            <v>1139783</v>
          </cell>
          <cell r="F58">
            <v>569695</v>
          </cell>
          <cell r="G58">
            <v>506238</v>
          </cell>
          <cell r="H58">
            <v>1075933</v>
          </cell>
          <cell r="I58">
            <v>-63850</v>
          </cell>
          <cell r="J58">
            <v>-5.6000000000000001E-2</v>
          </cell>
        </row>
        <row r="59">
          <cell r="B59" t="str">
            <v>Rayones</v>
          </cell>
          <cell r="C59">
            <v>170193</v>
          </cell>
          <cell r="D59">
            <v>452615</v>
          </cell>
          <cell r="E59">
            <v>622808</v>
          </cell>
          <cell r="F59">
            <v>126595</v>
          </cell>
          <cell r="G59">
            <v>95853</v>
          </cell>
          <cell r="H59">
            <v>222448</v>
          </cell>
          <cell r="I59">
            <v>-400360</v>
          </cell>
          <cell r="J59">
            <v>-0.64280000000000004</v>
          </cell>
        </row>
        <row r="60">
          <cell r="B60" t="str">
            <v>Sabinas Hidalgo</v>
          </cell>
          <cell r="C60">
            <v>5237847</v>
          </cell>
          <cell r="D60">
            <v>4075171</v>
          </cell>
          <cell r="E60">
            <v>9313018</v>
          </cell>
          <cell r="F60">
            <v>4911864</v>
          </cell>
          <cell r="G60">
            <v>2969937</v>
          </cell>
          <cell r="H60">
            <v>7881801</v>
          </cell>
          <cell r="I60">
            <v>-1431217</v>
          </cell>
          <cell r="J60">
            <v>-0.1537</v>
          </cell>
        </row>
        <row r="61">
          <cell r="B61" t="str">
            <v>Salinas Victoria</v>
          </cell>
          <cell r="C61">
            <v>14991350.85</v>
          </cell>
          <cell r="D61">
            <v>5389456.3899999997</v>
          </cell>
          <cell r="E61">
            <v>20380807.239999998</v>
          </cell>
          <cell r="F61">
            <v>14442917.109999999</v>
          </cell>
          <cell r="G61">
            <v>4595796.78</v>
          </cell>
          <cell r="H61">
            <v>19038713.890000001</v>
          </cell>
          <cell r="I61">
            <v>-1342093.3500000001</v>
          </cell>
          <cell r="J61">
            <v>-6.59E-2</v>
          </cell>
        </row>
        <row r="62">
          <cell r="B62" t="str">
            <v>San Nicolás de los Garza</v>
          </cell>
          <cell r="C62">
            <v>220325623</v>
          </cell>
          <cell r="D62">
            <v>71585497</v>
          </cell>
          <cell r="E62">
            <v>291911120</v>
          </cell>
          <cell r="F62">
            <v>223206042.11000001</v>
          </cell>
          <cell r="G62">
            <v>83488570.480000004</v>
          </cell>
          <cell r="H62">
            <v>306694612.58999997</v>
          </cell>
          <cell r="I62">
            <v>14783492.59</v>
          </cell>
          <cell r="J62">
            <v>5.0599999999999999E-2</v>
          </cell>
        </row>
        <row r="63">
          <cell r="B63" t="str">
            <v>Hidalgo</v>
          </cell>
          <cell r="C63">
            <v>377879</v>
          </cell>
          <cell r="D63">
            <v>123825</v>
          </cell>
          <cell r="E63">
            <v>501704</v>
          </cell>
          <cell r="F63">
            <v>379692</v>
          </cell>
          <cell r="G63">
            <v>139132</v>
          </cell>
          <cell r="H63">
            <v>518824</v>
          </cell>
          <cell r="I63">
            <v>17120</v>
          </cell>
          <cell r="J63">
            <v>3.4099999999999998E-2</v>
          </cell>
        </row>
        <row r="64">
          <cell r="B64" t="str">
            <v>Santa Catarina</v>
          </cell>
          <cell r="C64">
            <v>83923492.900000006</v>
          </cell>
          <cell r="D64">
            <v>30256141.300000001</v>
          </cell>
          <cell r="E64">
            <v>114179634.2</v>
          </cell>
          <cell r="F64">
            <v>86085427</v>
          </cell>
          <cell r="G64">
            <v>26056292.379999999</v>
          </cell>
          <cell r="H64">
            <v>112141719.38</v>
          </cell>
          <cell r="I64">
            <v>-2037914.82</v>
          </cell>
          <cell r="J64">
            <v>-1.78E-2</v>
          </cell>
        </row>
        <row r="65">
          <cell r="B65" t="str">
            <v>Santiago</v>
          </cell>
          <cell r="C65">
            <v>55025163.729999997</v>
          </cell>
          <cell r="D65">
            <v>22732765.07</v>
          </cell>
          <cell r="E65">
            <v>77757928.799999997</v>
          </cell>
          <cell r="F65">
            <v>61783754.049999997</v>
          </cell>
          <cell r="G65">
            <v>23578341.120000001</v>
          </cell>
          <cell r="H65">
            <v>85362095.170000002</v>
          </cell>
          <cell r="I65">
            <v>7604166.3700000001</v>
          </cell>
          <cell r="J65">
            <v>9.7799999999999998E-2</v>
          </cell>
        </row>
        <row r="66">
          <cell r="B66" t="str">
            <v>Vallecillo</v>
          </cell>
          <cell r="C66">
            <v>772668</v>
          </cell>
          <cell r="D66">
            <v>551723</v>
          </cell>
          <cell r="E66">
            <v>1324391</v>
          </cell>
          <cell r="F66">
            <v>806987</v>
          </cell>
          <cell r="G66">
            <v>649882</v>
          </cell>
          <cell r="H66">
            <v>1456869</v>
          </cell>
          <cell r="I66">
            <v>132478</v>
          </cell>
          <cell r="J66">
            <v>0.1</v>
          </cell>
        </row>
        <row r="67">
          <cell r="B67" t="str">
            <v>Villaldama</v>
          </cell>
          <cell r="C67">
            <v>435606</v>
          </cell>
          <cell r="D67">
            <v>170641</v>
          </cell>
          <cell r="E67">
            <v>606247</v>
          </cell>
          <cell r="F67">
            <v>448558</v>
          </cell>
          <cell r="G67">
            <v>219610</v>
          </cell>
          <cell r="H67">
            <v>668168</v>
          </cell>
          <cell r="I67">
            <v>61921</v>
          </cell>
          <cell r="J67">
            <v>0.1021</v>
          </cell>
        </row>
        <row r="68">
          <cell r="B68" t="str">
            <v>Total</v>
          </cell>
          <cell r="C68">
            <v>2663094857</v>
          </cell>
          <cell r="D68">
            <v>807419624.75</v>
          </cell>
          <cell r="E68">
            <v>3470514481.75</v>
          </cell>
          <cell r="F68">
            <v>2620284995.9200001</v>
          </cell>
          <cell r="G68">
            <v>769847268.32000005</v>
          </cell>
          <cell r="H68">
            <v>3390132264.2399998</v>
          </cell>
          <cell r="I68">
            <v>-80382217.510000005</v>
          </cell>
          <cell r="J68">
            <v>-2.3199999999999998E-2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GI_Exporta_20210329111405"/>
    </sheetNames>
    <sheetDataSet>
      <sheetData sheetId="0">
        <row r="9">
          <cell r="B9" t="str">
            <v>Abasolo</v>
          </cell>
          <cell r="C9">
            <v>50</v>
          </cell>
          <cell r="D9">
            <v>2</v>
          </cell>
          <cell r="F9">
            <v>1</v>
          </cell>
          <cell r="G9">
            <v>2</v>
          </cell>
          <cell r="I9">
            <v>2</v>
          </cell>
          <cell r="J9">
            <v>1</v>
          </cell>
          <cell r="K9">
            <v>3</v>
          </cell>
          <cell r="L9">
            <v>2</v>
          </cell>
          <cell r="M9">
            <v>5</v>
          </cell>
          <cell r="N9">
            <v>2</v>
          </cell>
          <cell r="O9">
            <v>2</v>
          </cell>
          <cell r="P9">
            <v>7</v>
          </cell>
          <cell r="Q9">
            <v>8</v>
          </cell>
          <cell r="R9">
            <v>6</v>
          </cell>
          <cell r="S9">
            <v>7</v>
          </cell>
          <cell r="T9">
            <v>48</v>
          </cell>
        </row>
        <row r="10">
          <cell r="B10" t="str">
            <v>Agualeguas</v>
          </cell>
          <cell r="C10">
            <v>132</v>
          </cell>
          <cell r="D10">
            <v>1</v>
          </cell>
          <cell r="G10">
            <v>2</v>
          </cell>
          <cell r="H10">
            <v>6</v>
          </cell>
          <cell r="I10">
            <v>3</v>
          </cell>
          <cell r="J10">
            <v>5</v>
          </cell>
          <cell r="K10">
            <v>5</v>
          </cell>
          <cell r="L10">
            <v>4</v>
          </cell>
          <cell r="M10">
            <v>7</v>
          </cell>
          <cell r="N10">
            <v>17</v>
          </cell>
          <cell r="O10">
            <v>23</v>
          </cell>
          <cell r="P10">
            <v>22</v>
          </cell>
          <cell r="Q10">
            <v>9</v>
          </cell>
          <cell r="R10">
            <v>11</v>
          </cell>
          <cell r="S10">
            <v>17</v>
          </cell>
          <cell r="T10">
            <v>131</v>
          </cell>
        </row>
        <row r="11">
          <cell r="B11" t="str">
            <v>Allende</v>
          </cell>
          <cell r="C11">
            <v>469</v>
          </cell>
          <cell r="D11">
            <v>10</v>
          </cell>
          <cell r="E11">
            <v>18</v>
          </cell>
          <cell r="F11">
            <v>18</v>
          </cell>
          <cell r="G11">
            <v>20</v>
          </cell>
          <cell r="H11">
            <v>11</v>
          </cell>
          <cell r="I11">
            <v>17</v>
          </cell>
          <cell r="J11">
            <v>35</v>
          </cell>
          <cell r="K11">
            <v>32</v>
          </cell>
          <cell r="L11">
            <v>29</v>
          </cell>
          <cell r="M11">
            <v>19</v>
          </cell>
          <cell r="N11">
            <v>34</v>
          </cell>
          <cell r="O11">
            <v>42</v>
          </cell>
          <cell r="P11">
            <v>43</v>
          </cell>
          <cell r="Q11">
            <v>46</v>
          </cell>
          <cell r="R11">
            <v>49</v>
          </cell>
          <cell r="S11">
            <v>46</v>
          </cell>
          <cell r="T11">
            <v>459</v>
          </cell>
        </row>
        <row r="12">
          <cell r="B12" t="str">
            <v>Anáhuac</v>
          </cell>
          <cell r="C12">
            <v>478</v>
          </cell>
          <cell r="D12">
            <v>2</v>
          </cell>
          <cell r="E12">
            <v>8</v>
          </cell>
          <cell r="F12">
            <v>8</v>
          </cell>
          <cell r="G12">
            <v>17</v>
          </cell>
          <cell r="H12">
            <v>19</v>
          </cell>
          <cell r="I12">
            <v>22</v>
          </cell>
          <cell r="J12">
            <v>40</v>
          </cell>
          <cell r="K12">
            <v>43</v>
          </cell>
          <cell r="L12">
            <v>53</v>
          </cell>
          <cell r="M12">
            <v>47</v>
          </cell>
          <cell r="N12">
            <v>43</v>
          </cell>
          <cell r="O12">
            <v>35</v>
          </cell>
          <cell r="P12">
            <v>37</v>
          </cell>
          <cell r="Q12">
            <v>31</v>
          </cell>
          <cell r="R12">
            <v>33</v>
          </cell>
          <cell r="S12">
            <v>40</v>
          </cell>
          <cell r="T12">
            <v>476</v>
          </cell>
        </row>
        <row r="13">
          <cell r="B13" t="str">
            <v>Apodaca</v>
          </cell>
          <cell r="C13">
            <v>3729</v>
          </cell>
          <cell r="D13">
            <v>130</v>
          </cell>
          <cell r="E13">
            <v>146</v>
          </cell>
          <cell r="F13">
            <v>142</v>
          </cell>
          <cell r="G13">
            <v>148</v>
          </cell>
          <cell r="H13">
            <v>117</v>
          </cell>
          <cell r="I13">
            <v>134</v>
          </cell>
          <cell r="J13">
            <v>222</v>
          </cell>
          <cell r="K13">
            <v>195</v>
          </cell>
          <cell r="L13">
            <v>226</v>
          </cell>
          <cell r="M13">
            <v>260</v>
          </cell>
          <cell r="N13">
            <v>316</v>
          </cell>
          <cell r="O13">
            <v>335</v>
          </cell>
          <cell r="P13">
            <v>374</v>
          </cell>
          <cell r="Q13">
            <v>364</v>
          </cell>
          <cell r="R13">
            <v>310</v>
          </cell>
          <cell r="S13">
            <v>310</v>
          </cell>
          <cell r="T13">
            <v>3599</v>
          </cell>
        </row>
        <row r="14">
          <cell r="B14" t="str">
            <v>Aramberri</v>
          </cell>
          <cell r="C14">
            <v>885</v>
          </cell>
          <cell r="D14">
            <v>3</v>
          </cell>
          <cell r="E14">
            <v>9</v>
          </cell>
          <cell r="F14">
            <v>11</v>
          </cell>
          <cell r="G14">
            <v>15</v>
          </cell>
          <cell r="H14">
            <v>16</v>
          </cell>
          <cell r="I14">
            <v>30</v>
          </cell>
          <cell r="J14">
            <v>49</v>
          </cell>
          <cell r="K14">
            <v>38</v>
          </cell>
          <cell r="L14">
            <v>41</v>
          </cell>
          <cell r="M14">
            <v>54</v>
          </cell>
          <cell r="N14">
            <v>50</v>
          </cell>
          <cell r="O14">
            <v>83</v>
          </cell>
          <cell r="P14">
            <v>84</v>
          </cell>
          <cell r="Q14">
            <v>143</v>
          </cell>
          <cell r="R14">
            <v>122</v>
          </cell>
          <cell r="S14">
            <v>137</v>
          </cell>
          <cell r="T14">
            <v>882</v>
          </cell>
        </row>
        <row r="15">
          <cell r="B15" t="str">
            <v>Bustamante</v>
          </cell>
          <cell r="C15">
            <v>107</v>
          </cell>
          <cell r="D15">
            <v>3</v>
          </cell>
          <cell r="E15">
            <v>2</v>
          </cell>
          <cell r="F15">
            <v>4</v>
          </cell>
          <cell r="G15">
            <v>1</v>
          </cell>
          <cell r="H15">
            <v>1</v>
          </cell>
          <cell r="I15">
            <v>2</v>
          </cell>
          <cell r="J15">
            <v>9</v>
          </cell>
          <cell r="K15">
            <v>4</v>
          </cell>
          <cell r="L15">
            <v>6</v>
          </cell>
          <cell r="M15">
            <v>9</v>
          </cell>
          <cell r="N15">
            <v>10</v>
          </cell>
          <cell r="O15">
            <v>5</v>
          </cell>
          <cell r="P15">
            <v>10</v>
          </cell>
          <cell r="Q15">
            <v>11</v>
          </cell>
          <cell r="R15">
            <v>15</v>
          </cell>
          <cell r="S15">
            <v>15</v>
          </cell>
          <cell r="T15">
            <v>104</v>
          </cell>
        </row>
        <row r="16">
          <cell r="B16" t="str">
            <v>Cadereyta Jiménez</v>
          </cell>
          <cell r="C16">
            <v>1603</v>
          </cell>
          <cell r="D16">
            <v>25</v>
          </cell>
          <cell r="E16">
            <v>39</v>
          </cell>
          <cell r="F16">
            <v>39</v>
          </cell>
          <cell r="G16">
            <v>49</v>
          </cell>
          <cell r="H16">
            <v>70</v>
          </cell>
          <cell r="I16">
            <v>92</v>
          </cell>
          <cell r="J16">
            <v>113</v>
          </cell>
          <cell r="K16">
            <v>106</v>
          </cell>
          <cell r="L16">
            <v>159</v>
          </cell>
          <cell r="M16">
            <v>109</v>
          </cell>
          <cell r="N16">
            <v>114</v>
          </cell>
          <cell r="O16">
            <v>119</v>
          </cell>
          <cell r="P16">
            <v>157</v>
          </cell>
          <cell r="Q16">
            <v>148</v>
          </cell>
          <cell r="R16">
            <v>135</v>
          </cell>
          <cell r="S16">
            <v>129</v>
          </cell>
          <cell r="T16">
            <v>1578</v>
          </cell>
        </row>
        <row r="17">
          <cell r="B17" t="str">
            <v>Cerralvo</v>
          </cell>
          <cell r="C17">
            <v>233</v>
          </cell>
          <cell r="D17">
            <v>8</v>
          </cell>
          <cell r="E17">
            <v>6</v>
          </cell>
          <cell r="F17">
            <v>5</v>
          </cell>
          <cell r="G17">
            <v>5</v>
          </cell>
          <cell r="H17">
            <v>8</v>
          </cell>
          <cell r="I17">
            <v>6</v>
          </cell>
          <cell r="J17">
            <v>13</v>
          </cell>
          <cell r="K17">
            <v>17</v>
          </cell>
          <cell r="L17">
            <v>18</v>
          </cell>
          <cell r="M17">
            <v>18</v>
          </cell>
          <cell r="N17">
            <v>17</v>
          </cell>
          <cell r="O17">
            <v>18</v>
          </cell>
          <cell r="P17">
            <v>23</v>
          </cell>
          <cell r="Q17">
            <v>22</v>
          </cell>
          <cell r="R17">
            <v>25</v>
          </cell>
          <cell r="S17">
            <v>24</v>
          </cell>
          <cell r="T17">
            <v>225</v>
          </cell>
        </row>
        <row r="18">
          <cell r="B18" t="str">
            <v>China</v>
          </cell>
          <cell r="C18">
            <v>297</v>
          </cell>
          <cell r="E18">
            <v>2</v>
          </cell>
          <cell r="F18">
            <v>6</v>
          </cell>
          <cell r="G18">
            <v>5</v>
          </cell>
          <cell r="H18">
            <v>6</v>
          </cell>
          <cell r="I18">
            <v>12</v>
          </cell>
          <cell r="J18">
            <v>22</v>
          </cell>
          <cell r="K18">
            <v>9</v>
          </cell>
          <cell r="L18">
            <v>16</v>
          </cell>
          <cell r="M18">
            <v>31</v>
          </cell>
          <cell r="N18">
            <v>26</v>
          </cell>
          <cell r="O18">
            <v>29</v>
          </cell>
          <cell r="P18">
            <v>35</v>
          </cell>
          <cell r="Q18">
            <v>42</v>
          </cell>
          <cell r="R18">
            <v>26</v>
          </cell>
          <cell r="S18">
            <v>30</v>
          </cell>
          <cell r="T18">
            <v>297</v>
          </cell>
        </row>
        <row r="19">
          <cell r="B19" t="str">
            <v>Ciénega de Flores</v>
          </cell>
          <cell r="C19">
            <v>711</v>
          </cell>
          <cell r="D19">
            <v>20</v>
          </cell>
          <cell r="E19">
            <v>26</v>
          </cell>
          <cell r="F19">
            <v>26</v>
          </cell>
          <cell r="G19">
            <v>19</v>
          </cell>
          <cell r="H19">
            <v>50</v>
          </cell>
          <cell r="I19">
            <v>40</v>
          </cell>
          <cell r="J19">
            <v>60</v>
          </cell>
          <cell r="K19">
            <v>50</v>
          </cell>
          <cell r="L19">
            <v>53</v>
          </cell>
          <cell r="M19">
            <v>71</v>
          </cell>
          <cell r="N19">
            <v>76</v>
          </cell>
          <cell r="O19">
            <v>55</v>
          </cell>
          <cell r="P19">
            <v>50</v>
          </cell>
          <cell r="Q19">
            <v>44</v>
          </cell>
          <cell r="R19">
            <v>39</v>
          </cell>
          <cell r="S19">
            <v>32</v>
          </cell>
          <cell r="T19">
            <v>691</v>
          </cell>
        </row>
        <row r="20">
          <cell r="B20" t="str">
            <v>Doctor Arroyo</v>
          </cell>
          <cell r="C20">
            <v>2309</v>
          </cell>
          <cell r="D20">
            <v>12</v>
          </cell>
          <cell r="E20">
            <v>17</v>
          </cell>
          <cell r="F20">
            <v>18</v>
          </cell>
          <cell r="G20">
            <v>25</v>
          </cell>
          <cell r="H20">
            <v>42</v>
          </cell>
          <cell r="I20">
            <v>63</v>
          </cell>
          <cell r="J20">
            <v>135</v>
          </cell>
          <cell r="K20">
            <v>116</v>
          </cell>
          <cell r="L20">
            <v>171</v>
          </cell>
          <cell r="M20">
            <v>168</v>
          </cell>
          <cell r="N20">
            <v>182</v>
          </cell>
          <cell r="O20">
            <v>226</v>
          </cell>
          <cell r="P20">
            <v>267</v>
          </cell>
          <cell r="Q20">
            <v>312</v>
          </cell>
          <cell r="R20">
            <v>228</v>
          </cell>
          <cell r="S20">
            <v>327</v>
          </cell>
          <cell r="T20">
            <v>2297</v>
          </cell>
        </row>
        <row r="21">
          <cell r="B21" t="str">
            <v>Doctor Coss</v>
          </cell>
          <cell r="C21">
            <v>46</v>
          </cell>
          <cell r="F21">
            <v>1</v>
          </cell>
          <cell r="H21">
            <v>3</v>
          </cell>
          <cell r="I21">
            <v>1</v>
          </cell>
          <cell r="J21">
            <v>4</v>
          </cell>
          <cell r="K21">
            <v>2</v>
          </cell>
          <cell r="L21">
            <v>6</v>
          </cell>
          <cell r="M21">
            <v>6</v>
          </cell>
          <cell r="N21">
            <v>8</v>
          </cell>
          <cell r="O21">
            <v>4</v>
          </cell>
          <cell r="P21">
            <v>2</v>
          </cell>
          <cell r="Q21">
            <v>4</v>
          </cell>
          <cell r="R21">
            <v>2</v>
          </cell>
          <cell r="S21">
            <v>3</v>
          </cell>
          <cell r="T21">
            <v>46</v>
          </cell>
        </row>
        <row r="22">
          <cell r="B22" t="str">
            <v>Doctor González</v>
          </cell>
          <cell r="C22">
            <v>122</v>
          </cell>
          <cell r="D22">
            <v>2</v>
          </cell>
          <cell r="E22">
            <v>1</v>
          </cell>
          <cell r="F22">
            <v>3</v>
          </cell>
          <cell r="G22">
            <v>1</v>
          </cell>
          <cell r="H22">
            <v>3</v>
          </cell>
          <cell r="I22">
            <v>7</v>
          </cell>
          <cell r="J22">
            <v>11</v>
          </cell>
          <cell r="K22">
            <v>10</v>
          </cell>
          <cell r="L22">
            <v>10</v>
          </cell>
          <cell r="M22">
            <v>9</v>
          </cell>
          <cell r="N22">
            <v>15</v>
          </cell>
          <cell r="O22">
            <v>6</v>
          </cell>
          <cell r="P22">
            <v>7</v>
          </cell>
          <cell r="Q22">
            <v>11</v>
          </cell>
          <cell r="R22">
            <v>14</v>
          </cell>
          <cell r="S22">
            <v>12</v>
          </cell>
          <cell r="T22">
            <v>120</v>
          </cell>
        </row>
        <row r="23">
          <cell r="B23" t="str">
            <v>El Carmen</v>
          </cell>
          <cell r="C23">
            <v>754</v>
          </cell>
          <cell r="D23">
            <v>36</v>
          </cell>
          <cell r="E23">
            <v>30</v>
          </cell>
          <cell r="F23">
            <v>29</v>
          </cell>
          <cell r="G23">
            <v>40</v>
          </cell>
          <cell r="H23">
            <v>47</v>
          </cell>
          <cell r="I23">
            <v>63</v>
          </cell>
          <cell r="J23">
            <v>79</v>
          </cell>
          <cell r="K23">
            <v>50</v>
          </cell>
          <cell r="L23">
            <v>65</v>
          </cell>
          <cell r="M23">
            <v>77</v>
          </cell>
          <cell r="N23">
            <v>61</v>
          </cell>
          <cell r="O23">
            <v>45</v>
          </cell>
          <cell r="P23">
            <v>53</v>
          </cell>
          <cell r="Q23">
            <v>39</v>
          </cell>
          <cell r="R23">
            <v>21</v>
          </cell>
          <cell r="S23">
            <v>19</v>
          </cell>
          <cell r="T23">
            <v>718</v>
          </cell>
        </row>
        <row r="24">
          <cell r="B24" t="str">
            <v>Galeana</v>
          </cell>
          <cell r="C24">
            <v>1914</v>
          </cell>
          <cell r="D24">
            <v>7</v>
          </cell>
          <cell r="E24">
            <v>26</v>
          </cell>
          <cell r="F24">
            <v>29</v>
          </cell>
          <cell r="G24">
            <v>31</v>
          </cell>
          <cell r="H24">
            <v>55</v>
          </cell>
          <cell r="I24">
            <v>77</v>
          </cell>
          <cell r="J24">
            <v>129</v>
          </cell>
          <cell r="K24">
            <v>131</v>
          </cell>
          <cell r="L24">
            <v>165</v>
          </cell>
          <cell r="M24">
            <v>147</v>
          </cell>
          <cell r="N24">
            <v>154</v>
          </cell>
          <cell r="O24">
            <v>158</v>
          </cell>
          <cell r="P24">
            <v>185</v>
          </cell>
          <cell r="Q24">
            <v>214</v>
          </cell>
          <cell r="R24">
            <v>161</v>
          </cell>
          <cell r="S24">
            <v>245</v>
          </cell>
          <cell r="T24">
            <v>1907</v>
          </cell>
        </row>
        <row r="25">
          <cell r="B25" t="str">
            <v>García</v>
          </cell>
          <cell r="C25">
            <v>2987</v>
          </cell>
          <cell r="D25">
            <v>103</v>
          </cell>
          <cell r="E25">
            <v>126</v>
          </cell>
          <cell r="F25">
            <v>119</v>
          </cell>
          <cell r="G25">
            <v>94</v>
          </cell>
          <cell r="H25">
            <v>149</v>
          </cell>
          <cell r="I25">
            <v>203</v>
          </cell>
          <cell r="J25">
            <v>247</v>
          </cell>
          <cell r="K25">
            <v>237</v>
          </cell>
          <cell r="L25">
            <v>283</v>
          </cell>
          <cell r="M25">
            <v>251</v>
          </cell>
          <cell r="N25">
            <v>230</v>
          </cell>
          <cell r="O25">
            <v>248</v>
          </cell>
          <cell r="P25">
            <v>215</v>
          </cell>
          <cell r="Q25">
            <v>192</v>
          </cell>
          <cell r="R25">
            <v>151</v>
          </cell>
          <cell r="S25">
            <v>139</v>
          </cell>
          <cell r="T25">
            <v>2884</v>
          </cell>
        </row>
        <row r="26">
          <cell r="B26" t="str">
            <v>General Bravo</v>
          </cell>
          <cell r="C26">
            <v>124</v>
          </cell>
          <cell r="D26">
            <v>3</v>
          </cell>
          <cell r="E26">
            <v>1</v>
          </cell>
          <cell r="H26">
            <v>4</v>
          </cell>
          <cell r="I26">
            <v>7</v>
          </cell>
          <cell r="J26">
            <v>8</v>
          </cell>
          <cell r="K26">
            <v>11</v>
          </cell>
          <cell r="L26">
            <v>9</v>
          </cell>
          <cell r="M26">
            <v>12</v>
          </cell>
          <cell r="N26">
            <v>11</v>
          </cell>
          <cell r="O26">
            <v>11</v>
          </cell>
          <cell r="P26">
            <v>15</v>
          </cell>
          <cell r="Q26">
            <v>11</v>
          </cell>
          <cell r="R26">
            <v>9</v>
          </cell>
          <cell r="S26">
            <v>12</v>
          </cell>
          <cell r="T26">
            <v>121</v>
          </cell>
        </row>
        <row r="27">
          <cell r="B27" t="str">
            <v>General Escobedo</v>
          </cell>
          <cell r="C27">
            <v>5055</v>
          </cell>
          <cell r="D27">
            <v>102</v>
          </cell>
          <cell r="E27">
            <v>148</v>
          </cell>
          <cell r="F27">
            <v>154</v>
          </cell>
          <cell r="G27">
            <v>148</v>
          </cell>
          <cell r="H27">
            <v>236</v>
          </cell>
          <cell r="I27">
            <v>255</v>
          </cell>
          <cell r="J27">
            <v>389</v>
          </cell>
          <cell r="K27">
            <v>365</v>
          </cell>
          <cell r="L27">
            <v>418</v>
          </cell>
          <cell r="M27">
            <v>436</v>
          </cell>
          <cell r="N27">
            <v>431</v>
          </cell>
          <cell r="O27">
            <v>439</v>
          </cell>
          <cell r="P27">
            <v>500</v>
          </cell>
          <cell r="Q27">
            <v>413</v>
          </cell>
          <cell r="R27">
            <v>287</v>
          </cell>
          <cell r="S27">
            <v>334</v>
          </cell>
          <cell r="T27">
            <v>4953</v>
          </cell>
        </row>
        <row r="28">
          <cell r="B28" t="str">
            <v>General Terán</v>
          </cell>
          <cell r="C28">
            <v>409</v>
          </cell>
          <cell r="D28">
            <v>2</v>
          </cell>
          <cell r="E28">
            <v>4</v>
          </cell>
          <cell r="F28">
            <v>3</v>
          </cell>
          <cell r="G28">
            <v>6</v>
          </cell>
          <cell r="H28">
            <v>15</v>
          </cell>
          <cell r="I28">
            <v>18</v>
          </cell>
          <cell r="J28">
            <v>22</v>
          </cell>
          <cell r="K28">
            <v>20</v>
          </cell>
          <cell r="L28">
            <v>34</v>
          </cell>
          <cell r="M28">
            <v>24</v>
          </cell>
          <cell r="N28">
            <v>19</v>
          </cell>
          <cell r="O28">
            <v>40</v>
          </cell>
          <cell r="P28">
            <v>52</v>
          </cell>
          <cell r="Q28">
            <v>56</v>
          </cell>
          <cell r="R28">
            <v>47</v>
          </cell>
          <cell r="S28">
            <v>47</v>
          </cell>
          <cell r="T28">
            <v>407</v>
          </cell>
        </row>
        <row r="29">
          <cell r="B29" t="str">
            <v>General Treviño</v>
          </cell>
          <cell r="C29">
            <v>42</v>
          </cell>
          <cell r="E29">
            <v>1</v>
          </cell>
          <cell r="F29">
            <v>1</v>
          </cell>
          <cell r="G29">
            <v>2</v>
          </cell>
          <cell r="H29">
            <v>2</v>
          </cell>
          <cell r="I29">
            <v>2</v>
          </cell>
          <cell r="J29">
            <v>4</v>
          </cell>
          <cell r="K29">
            <v>3</v>
          </cell>
          <cell r="L29">
            <v>3</v>
          </cell>
          <cell r="M29">
            <v>3</v>
          </cell>
          <cell r="N29">
            <v>6</v>
          </cell>
          <cell r="O29">
            <v>2</v>
          </cell>
          <cell r="P29">
            <v>1</v>
          </cell>
          <cell r="Q29">
            <v>4</v>
          </cell>
          <cell r="R29">
            <v>5</v>
          </cell>
          <cell r="S29">
            <v>3</v>
          </cell>
          <cell r="T29">
            <v>42</v>
          </cell>
        </row>
        <row r="30">
          <cell r="B30" t="str">
            <v>General Zaragoza</v>
          </cell>
          <cell r="C30">
            <v>248</v>
          </cell>
          <cell r="E30">
            <v>1</v>
          </cell>
          <cell r="F30">
            <v>2</v>
          </cell>
          <cell r="G30">
            <v>6</v>
          </cell>
          <cell r="H30">
            <v>6</v>
          </cell>
          <cell r="I30">
            <v>11</v>
          </cell>
          <cell r="J30">
            <v>16</v>
          </cell>
          <cell r="K30">
            <v>17</v>
          </cell>
          <cell r="L30">
            <v>26</v>
          </cell>
          <cell r="M30">
            <v>15</v>
          </cell>
          <cell r="N30">
            <v>15</v>
          </cell>
          <cell r="O30">
            <v>22</v>
          </cell>
          <cell r="P30">
            <v>30</v>
          </cell>
          <cell r="Q30">
            <v>29</v>
          </cell>
          <cell r="R30">
            <v>22</v>
          </cell>
          <cell r="S30">
            <v>30</v>
          </cell>
          <cell r="T30">
            <v>248</v>
          </cell>
        </row>
        <row r="31">
          <cell r="B31" t="str">
            <v>General Zuazua</v>
          </cell>
          <cell r="C31">
            <v>755</v>
          </cell>
          <cell r="D31">
            <v>31</v>
          </cell>
          <cell r="E31">
            <v>30</v>
          </cell>
          <cell r="F31">
            <v>24</v>
          </cell>
          <cell r="G31">
            <v>25</v>
          </cell>
          <cell r="H31">
            <v>28</v>
          </cell>
          <cell r="I31">
            <v>41</v>
          </cell>
          <cell r="J31">
            <v>61</v>
          </cell>
          <cell r="K31">
            <v>56</v>
          </cell>
          <cell r="L31">
            <v>60</v>
          </cell>
          <cell r="M31">
            <v>68</v>
          </cell>
          <cell r="N31">
            <v>79</v>
          </cell>
          <cell r="O31">
            <v>64</v>
          </cell>
          <cell r="P31">
            <v>74</v>
          </cell>
          <cell r="Q31">
            <v>57</v>
          </cell>
          <cell r="R31">
            <v>29</v>
          </cell>
          <cell r="S31">
            <v>28</v>
          </cell>
          <cell r="T31">
            <v>724</v>
          </cell>
        </row>
        <row r="32">
          <cell r="B32" t="str">
            <v>Guadalupe</v>
          </cell>
          <cell r="C32">
            <v>7304</v>
          </cell>
          <cell r="D32">
            <v>110</v>
          </cell>
          <cell r="E32">
            <v>143</v>
          </cell>
          <cell r="F32">
            <v>157</v>
          </cell>
          <cell r="G32">
            <v>176</v>
          </cell>
          <cell r="H32">
            <v>211</v>
          </cell>
          <cell r="I32">
            <v>283</v>
          </cell>
          <cell r="J32">
            <v>343</v>
          </cell>
          <cell r="K32">
            <v>309</v>
          </cell>
          <cell r="L32">
            <v>400</v>
          </cell>
          <cell r="M32">
            <v>398</v>
          </cell>
          <cell r="N32">
            <v>545</v>
          </cell>
          <cell r="O32">
            <v>703</v>
          </cell>
          <cell r="P32">
            <v>837</v>
          </cell>
          <cell r="Q32">
            <v>852</v>
          </cell>
          <cell r="R32">
            <v>836</v>
          </cell>
          <cell r="S32">
            <v>1001</v>
          </cell>
          <cell r="T32">
            <v>7194</v>
          </cell>
        </row>
        <row r="33">
          <cell r="B33" t="str">
            <v>Hidalgo</v>
          </cell>
          <cell r="C33">
            <v>349</v>
          </cell>
          <cell r="D33">
            <v>2</v>
          </cell>
          <cell r="E33">
            <v>5</v>
          </cell>
          <cell r="F33">
            <v>6</v>
          </cell>
          <cell r="G33">
            <v>1</v>
          </cell>
          <cell r="H33">
            <v>9</v>
          </cell>
          <cell r="I33">
            <v>23</v>
          </cell>
          <cell r="J33">
            <v>10</v>
          </cell>
          <cell r="K33">
            <v>16</v>
          </cell>
          <cell r="L33">
            <v>17</v>
          </cell>
          <cell r="M33">
            <v>20</v>
          </cell>
          <cell r="N33">
            <v>41</v>
          </cell>
          <cell r="O33">
            <v>41</v>
          </cell>
          <cell r="P33">
            <v>40</v>
          </cell>
          <cell r="Q33">
            <v>47</v>
          </cell>
          <cell r="R33">
            <v>40</v>
          </cell>
          <cell r="S33">
            <v>31</v>
          </cell>
          <cell r="T33">
            <v>347</v>
          </cell>
        </row>
        <row r="34">
          <cell r="B34" t="str">
            <v>Higueras</v>
          </cell>
          <cell r="C34">
            <v>44</v>
          </cell>
          <cell r="F34">
            <v>1</v>
          </cell>
          <cell r="G34">
            <v>1</v>
          </cell>
          <cell r="H34">
            <v>1</v>
          </cell>
          <cell r="I34">
            <v>3</v>
          </cell>
          <cell r="J34">
            <v>1</v>
          </cell>
          <cell r="K34">
            <v>4</v>
          </cell>
          <cell r="L34">
            <v>4</v>
          </cell>
          <cell r="M34">
            <v>5</v>
          </cell>
          <cell r="N34">
            <v>3</v>
          </cell>
          <cell r="O34">
            <v>4</v>
          </cell>
          <cell r="P34">
            <v>5</v>
          </cell>
          <cell r="Q34">
            <v>4</v>
          </cell>
          <cell r="R34">
            <v>4</v>
          </cell>
          <cell r="S34">
            <v>4</v>
          </cell>
          <cell r="T34">
            <v>44</v>
          </cell>
        </row>
        <row r="35">
          <cell r="B35" t="str">
            <v>Hualahuises</v>
          </cell>
          <cell r="C35">
            <v>164</v>
          </cell>
          <cell r="D35">
            <v>1</v>
          </cell>
          <cell r="F35">
            <v>3</v>
          </cell>
          <cell r="G35">
            <v>1</v>
          </cell>
          <cell r="H35">
            <v>8</v>
          </cell>
          <cell r="I35">
            <v>3</v>
          </cell>
          <cell r="J35">
            <v>6</v>
          </cell>
          <cell r="K35">
            <v>10</v>
          </cell>
          <cell r="L35">
            <v>8</v>
          </cell>
          <cell r="M35">
            <v>20</v>
          </cell>
          <cell r="N35">
            <v>15</v>
          </cell>
          <cell r="O35">
            <v>13</v>
          </cell>
          <cell r="P35">
            <v>12</v>
          </cell>
          <cell r="Q35">
            <v>22</v>
          </cell>
          <cell r="R35">
            <v>16</v>
          </cell>
          <cell r="S35">
            <v>26</v>
          </cell>
          <cell r="T35">
            <v>163</v>
          </cell>
        </row>
        <row r="36">
          <cell r="B36" t="str">
            <v>Iturbide</v>
          </cell>
          <cell r="C36">
            <v>134</v>
          </cell>
          <cell r="F36">
            <v>2</v>
          </cell>
          <cell r="G36">
            <v>1</v>
          </cell>
          <cell r="H36">
            <v>1</v>
          </cell>
          <cell r="I36">
            <v>5</v>
          </cell>
          <cell r="J36">
            <v>2</v>
          </cell>
          <cell r="K36">
            <v>8</v>
          </cell>
          <cell r="L36">
            <v>12</v>
          </cell>
          <cell r="M36">
            <v>14</v>
          </cell>
          <cell r="N36">
            <v>13</v>
          </cell>
          <cell r="O36">
            <v>10</v>
          </cell>
          <cell r="P36">
            <v>7</v>
          </cell>
          <cell r="Q36">
            <v>16</v>
          </cell>
          <cell r="R36">
            <v>21</v>
          </cell>
          <cell r="S36">
            <v>22</v>
          </cell>
          <cell r="T36">
            <v>134</v>
          </cell>
        </row>
        <row r="37">
          <cell r="B37" t="str">
            <v>Juárez</v>
          </cell>
          <cell r="C37">
            <v>3691</v>
          </cell>
          <cell r="D37">
            <v>125</v>
          </cell>
          <cell r="E37">
            <v>149</v>
          </cell>
          <cell r="F37">
            <v>144</v>
          </cell>
          <cell r="G37">
            <v>151</v>
          </cell>
          <cell r="H37">
            <v>155</v>
          </cell>
          <cell r="I37">
            <v>221</v>
          </cell>
          <cell r="J37">
            <v>266</v>
          </cell>
          <cell r="K37">
            <v>233</v>
          </cell>
          <cell r="L37">
            <v>371</v>
          </cell>
          <cell r="M37">
            <v>311</v>
          </cell>
          <cell r="N37">
            <v>280</v>
          </cell>
          <cell r="O37">
            <v>326</v>
          </cell>
          <cell r="P37">
            <v>274</v>
          </cell>
          <cell r="Q37">
            <v>261</v>
          </cell>
          <cell r="R37">
            <v>206</v>
          </cell>
          <cell r="S37">
            <v>218</v>
          </cell>
          <cell r="T37">
            <v>3566</v>
          </cell>
        </row>
        <row r="38">
          <cell r="B38" t="str">
            <v>Lampazos de Naranjo</v>
          </cell>
          <cell r="C38">
            <v>165</v>
          </cell>
          <cell r="E38">
            <v>2</v>
          </cell>
          <cell r="F38">
            <v>5</v>
          </cell>
          <cell r="G38">
            <v>5</v>
          </cell>
          <cell r="H38">
            <v>4</v>
          </cell>
          <cell r="I38">
            <v>14</v>
          </cell>
          <cell r="J38">
            <v>9</v>
          </cell>
          <cell r="K38">
            <v>11</v>
          </cell>
          <cell r="L38">
            <v>15</v>
          </cell>
          <cell r="M38">
            <v>16</v>
          </cell>
          <cell r="N38">
            <v>19</v>
          </cell>
          <cell r="O38">
            <v>21</v>
          </cell>
          <cell r="P38">
            <v>18</v>
          </cell>
          <cell r="Q38">
            <v>7</v>
          </cell>
          <cell r="R38">
            <v>9</v>
          </cell>
          <cell r="S38">
            <v>10</v>
          </cell>
          <cell r="T38">
            <v>165</v>
          </cell>
        </row>
        <row r="39">
          <cell r="B39" t="str">
            <v>Linares</v>
          </cell>
          <cell r="C39">
            <v>1347</v>
          </cell>
          <cell r="D39">
            <v>13</v>
          </cell>
          <cell r="E39">
            <v>17</v>
          </cell>
          <cell r="F39">
            <v>25</v>
          </cell>
          <cell r="G39">
            <v>34</v>
          </cell>
          <cell r="H39">
            <v>35</v>
          </cell>
          <cell r="I39">
            <v>57</v>
          </cell>
          <cell r="J39">
            <v>66</v>
          </cell>
          <cell r="K39">
            <v>70</v>
          </cell>
          <cell r="L39">
            <v>100</v>
          </cell>
          <cell r="M39">
            <v>99</v>
          </cell>
          <cell r="N39">
            <v>114</v>
          </cell>
          <cell r="O39">
            <v>109</v>
          </cell>
          <cell r="P39">
            <v>127</v>
          </cell>
          <cell r="Q39">
            <v>147</v>
          </cell>
          <cell r="R39">
            <v>150</v>
          </cell>
          <cell r="S39">
            <v>184</v>
          </cell>
          <cell r="T39">
            <v>1334</v>
          </cell>
        </row>
        <row r="40">
          <cell r="B40" t="str">
            <v>Los Aldamas</v>
          </cell>
          <cell r="C40">
            <v>47</v>
          </cell>
          <cell r="H40">
            <v>2</v>
          </cell>
          <cell r="I40">
            <v>2</v>
          </cell>
          <cell r="J40">
            <v>2</v>
          </cell>
          <cell r="K40">
            <v>5</v>
          </cell>
          <cell r="L40">
            <v>5</v>
          </cell>
          <cell r="M40">
            <v>1</v>
          </cell>
          <cell r="N40">
            <v>7</v>
          </cell>
          <cell r="O40">
            <v>7</v>
          </cell>
          <cell r="P40">
            <v>7</v>
          </cell>
          <cell r="Q40">
            <v>2</v>
          </cell>
          <cell r="R40">
            <v>3</v>
          </cell>
          <cell r="S40">
            <v>4</v>
          </cell>
          <cell r="T40">
            <v>47</v>
          </cell>
        </row>
        <row r="41">
          <cell r="B41" t="str">
            <v>Los Herreras</v>
          </cell>
          <cell r="C41">
            <v>61</v>
          </cell>
          <cell r="D41">
            <v>2</v>
          </cell>
          <cell r="F41">
            <v>1</v>
          </cell>
          <cell r="G41">
            <v>1</v>
          </cell>
          <cell r="H41">
            <v>2</v>
          </cell>
          <cell r="I41">
            <v>3</v>
          </cell>
          <cell r="J41">
            <v>4</v>
          </cell>
          <cell r="K41">
            <v>7</v>
          </cell>
          <cell r="L41">
            <v>6</v>
          </cell>
          <cell r="M41">
            <v>2</v>
          </cell>
          <cell r="N41">
            <v>5</v>
          </cell>
          <cell r="O41">
            <v>6</v>
          </cell>
          <cell r="P41">
            <v>5</v>
          </cell>
          <cell r="Q41">
            <v>3</v>
          </cell>
          <cell r="R41">
            <v>7</v>
          </cell>
          <cell r="S41">
            <v>7</v>
          </cell>
          <cell r="T41">
            <v>59</v>
          </cell>
        </row>
        <row r="42">
          <cell r="B42" t="str">
            <v>Los Ramones</v>
          </cell>
          <cell r="C42">
            <v>187</v>
          </cell>
          <cell r="D42">
            <v>2</v>
          </cell>
          <cell r="E42">
            <v>3</v>
          </cell>
          <cell r="F42">
            <v>7</v>
          </cell>
          <cell r="G42">
            <v>1</v>
          </cell>
          <cell r="H42">
            <v>3</v>
          </cell>
          <cell r="I42">
            <v>5</v>
          </cell>
          <cell r="J42">
            <v>5</v>
          </cell>
          <cell r="K42">
            <v>13</v>
          </cell>
          <cell r="L42">
            <v>22</v>
          </cell>
          <cell r="M42">
            <v>17</v>
          </cell>
          <cell r="N42">
            <v>19</v>
          </cell>
          <cell r="O42">
            <v>17</v>
          </cell>
          <cell r="P42">
            <v>13</v>
          </cell>
          <cell r="Q42">
            <v>25</v>
          </cell>
          <cell r="R42">
            <v>18</v>
          </cell>
          <cell r="S42">
            <v>17</v>
          </cell>
          <cell r="T42">
            <v>185</v>
          </cell>
        </row>
        <row r="43">
          <cell r="B43" t="str">
            <v>Marín</v>
          </cell>
          <cell r="C43">
            <v>108</v>
          </cell>
          <cell r="D43">
            <v>2</v>
          </cell>
          <cell r="E43">
            <v>1</v>
          </cell>
          <cell r="F43">
            <v>2</v>
          </cell>
          <cell r="H43">
            <v>4</v>
          </cell>
          <cell r="I43">
            <v>8</v>
          </cell>
          <cell r="J43">
            <v>5</v>
          </cell>
          <cell r="K43">
            <v>7</v>
          </cell>
          <cell r="L43">
            <v>11</v>
          </cell>
          <cell r="M43">
            <v>6</v>
          </cell>
          <cell r="N43">
            <v>12</v>
          </cell>
          <cell r="O43">
            <v>13</v>
          </cell>
          <cell r="P43">
            <v>11</v>
          </cell>
          <cell r="Q43">
            <v>8</v>
          </cell>
          <cell r="R43">
            <v>9</v>
          </cell>
          <cell r="S43">
            <v>9</v>
          </cell>
          <cell r="T43">
            <v>106</v>
          </cell>
        </row>
        <row r="44">
          <cell r="B44" t="str">
            <v>Melchor Ocampo</v>
          </cell>
          <cell r="C44">
            <v>17</v>
          </cell>
          <cell r="H44">
            <v>1</v>
          </cell>
          <cell r="J44">
            <v>2</v>
          </cell>
          <cell r="K44">
            <v>2</v>
          </cell>
          <cell r="L44">
            <v>1</v>
          </cell>
          <cell r="M44">
            <v>2</v>
          </cell>
          <cell r="N44">
            <v>1</v>
          </cell>
          <cell r="O44">
            <v>1</v>
          </cell>
          <cell r="Q44">
            <v>3</v>
          </cell>
          <cell r="R44">
            <v>1</v>
          </cell>
          <cell r="S44">
            <v>3</v>
          </cell>
          <cell r="T44">
            <v>17</v>
          </cell>
        </row>
        <row r="45">
          <cell r="B45" t="str">
            <v>Mier y Noriega</v>
          </cell>
          <cell r="C45">
            <v>597</v>
          </cell>
          <cell r="D45">
            <v>2</v>
          </cell>
          <cell r="E45">
            <v>2</v>
          </cell>
          <cell r="F45">
            <v>7</v>
          </cell>
          <cell r="G45">
            <v>7</v>
          </cell>
          <cell r="H45">
            <v>21</v>
          </cell>
          <cell r="I45">
            <v>14</v>
          </cell>
          <cell r="J45">
            <v>27</v>
          </cell>
          <cell r="K45">
            <v>32</v>
          </cell>
          <cell r="L45">
            <v>36</v>
          </cell>
          <cell r="M45">
            <v>44</v>
          </cell>
          <cell r="N45">
            <v>65</v>
          </cell>
          <cell r="O45">
            <v>66</v>
          </cell>
          <cell r="P45">
            <v>66</v>
          </cell>
          <cell r="Q45">
            <v>85</v>
          </cell>
          <cell r="R45">
            <v>47</v>
          </cell>
          <cell r="S45">
            <v>76</v>
          </cell>
          <cell r="T45">
            <v>595</v>
          </cell>
        </row>
        <row r="46">
          <cell r="B46" t="str">
            <v>Mina</v>
          </cell>
          <cell r="C46">
            <v>205</v>
          </cell>
          <cell r="D46">
            <v>2</v>
          </cell>
          <cell r="E46">
            <v>3</v>
          </cell>
          <cell r="F46">
            <v>1</v>
          </cell>
          <cell r="G46">
            <v>5</v>
          </cell>
          <cell r="H46">
            <v>6</v>
          </cell>
          <cell r="I46">
            <v>8</v>
          </cell>
          <cell r="J46">
            <v>15</v>
          </cell>
          <cell r="K46">
            <v>11</v>
          </cell>
          <cell r="L46">
            <v>17</v>
          </cell>
          <cell r="M46">
            <v>12</v>
          </cell>
          <cell r="N46">
            <v>23</v>
          </cell>
          <cell r="O46">
            <v>17</v>
          </cell>
          <cell r="P46">
            <v>24</v>
          </cell>
          <cell r="Q46">
            <v>24</v>
          </cell>
          <cell r="R46">
            <v>17</v>
          </cell>
          <cell r="S46">
            <v>20</v>
          </cell>
          <cell r="T46">
            <v>203</v>
          </cell>
        </row>
        <row r="47">
          <cell r="B47" t="str">
            <v>Montemorelos</v>
          </cell>
          <cell r="C47">
            <v>992</v>
          </cell>
          <cell r="D47">
            <v>15</v>
          </cell>
          <cell r="E47">
            <v>16</v>
          </cell>
          <cell r="F47">
            <v>18</v>
          </cell>
          <cell r="G47">
            <v>19</v>
          </cell>
          <cell r="H47">
            <v>32</v>
          </cell>
          <cell r="I47">
            <v>43</v>
          </cell>
          <cell r="J47">
            <v>52</v>
          </cell>
          <cell r="K47">
            <v>64</v>
          </cell>
          <cell r="L47">
            <v>58</v>
          </cell>
          <cell r="M47">
            <v>74</v>
          </cell>
          <cell r="N47">
            <v>76</v>
          </cell>
          <cell r="O47">
            <v>85</v>
          </cell>
          <cell r="P47">
            <v>125</v>
          </cell>
          <cell r="Q47">
            <v>108</v>
          </cell>
          <cell r="R47">
            <v>91</v>
          </cell>
          <cell r="S47">
            <v>116</v>
          </cell>
          <cell r="T47">
            <v>977</v>
          </cell>
        </row>
        <row r="48">
          <cell r="B48" t="str">
            <v>Monterrey</v>
          </cell>
          <cell r="C48">
            <v>14297</v>
          </cell>
          <cell r="D48">
            <v>230</v>
          </cell>
          <cell r="E48">
            <v>275</v>
          </cell>
          <cell r="F48">
            <v>345</v>
          </cell>
          <cell r="G48">
            <v>370</v>
          </cell>
          <cell r="H48">
            <v>413</v>
          </cell>
          <cell r="I48">
            <v>553</v>
          </cell>
          <cell r="J48">
            <v>809</v>
          </cell>
          <cell r="K48">
            <v>798</v>
          </cell>
          <cell r="L48">
            <v>899</v>
          </cell>
          <cell r="M48">
            <v>964</v>
          </cell>
          <cell r="N48">
            <v>1258</v>
          </cell>
          <cell r="O48">
            <v>1254</v>
          </cell>
          <cell r="P48">
            <v>1570</v>
          </cell>
          <cell r="Q48">
            <v>1589</v>
          </cell>
          <cell r="R48">
            <v>1332</v>
          </cell>
          <cell r="S48">
            <v>1638</v>
          </cell>
          <cell r="T48">
            <v>14067</v>
          </cell>
        </row>
        <row r="49">
          <cell r="B49" t="str">
            <v>Parás</v>
          </cell>
          <cell r="C49">
            <v>31</v>
          </cell>
          <cell r="E49">
            <v>1</v>
          </cell>
          <cell r="F49">
            <v>1</v>
          </cell>
          <cell r="H49">
            <v>2</v>
          </cell>
          <cell r="I49">
            <v>1</v>
          </cell>
          <cell r="J49">
            <v>2</v>
          </cell>
          <cell r="K49">
            <v>3</v>
          </cell>
          <cell r="L49">
            <v>2</v>
          </cell>
          <cell r="M49">
            <v>1</v>
          </cell>
          <cell r="N49">
            <v>2</v>
          </cell>
          <cell r="O49">
            <v>3</v>
          </cell>
          <cell r="P49">
            <v>6</v>
          </cell>
          <cell r="Q49">
            <v>1</v>
          </cell>
          <cell r="R49">
            <v>2</v>
          </cell>
          <cell r="S49">
            <v>4</v>
          </cell>
          <cell r="T49">
            <v>31</v>
          </cell>
        </row>
        <row r="50">
          <cell r="B50" t="str">
            <v>Pesquería</v>
          </cell>
          <cell r="C50">
            <v>1244</v>
          </cell>
          <cell r="D50">
            <v>34</v>
          </cell>
          <cell r="E50">
            <v>47</v>
          </cell>
          <cell r="F50">
            <v>57</v>
          </cell>
          <cell r="G50">
            <v>58</v>
          </cell>
          <cell r="H50">
            <v>73</v>
          </cell>
          <cell r="I50">
            <v>84</v>
          </cell>
          <cell r="J50">
            <v>108</v>
          </cell>
          <cell r="K50">
            <v>119</v>
          </cell>
          <cell r="L50">
            <v>117</v>
          </cell>
          <cell r="M50">
            <v>126</v>
          </cell>
          <cell r="N50">
            <v>97</v>
          </cell>
          <cell r="O50">
            <v>90</v>
          </cell>
          <cell r="P50">
            <v>76</v>
          </cell>
          <cell r="Q50">
            <v>64</v>
          </cell>
          <cell r="R50">
            <v>48</v>
          </cell>
          <cell r="S50">
            <v>46</v>
          </cell>
          <cell r="T50">
            <v>1210</v>
          </cell>
        </row>
        <row r="51">
          <cell r="B51" t="str">
            <v>Rayones</v>
          </cell>
          <cell r="C51">
            <v>184</v>
          </cell>
          <cell r="D51">
            <v>3</v>
          </cell>
          <cell r="F51">
            <v>5</v>
          </cell>
          <cell r="G51">
            <v>1</v>
          </cell>
          <cell r="H51">
            <v>3</v>
          </cell>
          <cell r="I51">
            <v>11</v>
          </cell>
          <cell r="J51">
            <v>13</v>
          </cell>
          <cell r="K51">
            <v>11</v>
          </cell>
          <cell r="L51">
            <v>13</v>
          </cell>
          <cell r="M51">
            <v>11</v>
          </cell>
          <cell r="N51">
            <v>14</v>
          </cell>
          <cell r="O51">
            <v>17</v>
          </cell>
          <cell r="P51">
            <v>15</v>
          </cell>
          <cell r="Q51">
            <v>22</v>
          </cell>
          <cell r="R51">
            <v>19</v>
          </cell>
          <cell r="S51">
            <v>26</v>
          </cell>
          <cell r="T51">
            <v>181</v>
          </cell>
        </row>
        <row r="52">
          <cell r="B52" t="str">
            <v>Sabinas Hidalgo</v>
          </cell>
          <cell r="C52">
            <v>658</v>
          </cell>
          <cell r="D52">
            <v>7</v>
          </cell>
          <cell r="E52">
            <v>19</v>
          </cell>
          <cell r="F52">
            <v>15</v>
          </cell>
          <cell r="G52">
            <v>12</v>
          </cell>
          <cell r="H52">
            <v>25</v>
          </cell>
          <cell r="I52">
            <v>36</v>
          </cell>
          <cell r="J52">
            <v>42</v>
          </cell>
          <cell r="K52">
            <v>39</v>
          </cell>
          <cell r="L52">
            <v>59</v>
          </cell>
          <cell r="M52">
            <v>61</v>
          </cell>
          <cell r="N52">
            <v>55</v>
          </cell>
          <cell r="O52">
            <v>55</v>
          </cell>
          <cell r="P52">
            <v>67</v>
          </cell>
          <cell r="Q52">
            <v>63</v>
          </cell>
          <cell r="R52">
            <v>56</v>
          </cell>
          <cell r="S52">
            <v>47</v>
          </cell>
          <cell r="T52">
            <v>651</v>
          </cell>
        </row>
        <row r="53">
          <cell r="B53" t="str">
            <v>Salinas Victoria</v>
          </cell>
          <cell r="C53">
            <v>972</v>
          </cell>
          <cell r="D53">
            <v>21</v>
          </cell>
          <cell r="E53">
            <v>21</v>
          </cell>
          <cell r="F53">
            <v>35</v>
          </cell>
          <cell r="G53">
            <v>34</v>
          </cell>
          <cell r="H53">
            <v>39</v>
          </cell>
          <cell r="I53">
            <v>63</v>
          </cell>
          <cell r="J53">
            <v>72</v>
          </cell>
          <cell r="K53">
            <v>66</v>
          </cell>
          <cell r="L53">
            <v>89</v>
          </cell>
          <cell r="M53">
            <v>106</v>
          </cell>
          <cell r="N53">
            <v>89</v>
          </cell>
          <cell r="O53">
            <v>87</v>
          </cell>
          <cell r="P53">
            <v>87</v>
          </cell>
          <cell r="Q53">
            <v>53</v>
          </cell>
          <cell r="R53">
            <v>55</v>
          </cell>
          <cell r="S53">
            <v>55</v>
          </cell>
          <cell r="T53">
            <v>951</v>
          </cell>
        </row>
        <row r="54">
          <cell r="B54" t="str">
            <v>San Nicolás de los Garza</v>
          </cell>
          <cell r="C54">
            <v>3346</v>
          </cell>
          <cell r="D54">
            <v>53</v>
          </cell>
          <cell r="E54">
            <v>75</v>
          </cell>
          <cell r="F54">
            <v>80</v>
          </cell>
          <cell r="G54">
            <v>96</v>
          </cell>
          <cell r="H54">
            <v>119</v>
          </cell>
          <cell r="I54">
            <v>137</v>
          </cell>
          <cell r="J54">
            <v>160</v>
          </cell>
          <cell r="K54">
            <v>172</v>
          </cell>
          <cell r="L54">
            <v>200</v>
          </cell>
          <cell r="M54">
            <v>163</v>
          </cell>
          <cell r="N54">
            <v>236</v>
          </cell>
          <cell r="O54">
            <v>311</v>
          </cell>
          <cell r="P54">
            <v>386</v>
          </cell>
          <cell r="Q54">
            <v>366</v>
          </cell>
          <cell r="R54">
            <v>332</v>
          </cell>
          <cell r="S54">
            <v>460</v>
          </cell>
          <cell r="T54">
            <v>3293</v>
          </cell>
        </row>
        <row r="55">
          <cell r="B55" t="str">
            <v>San Pedro Garza García</v>
          </cell>
          <cell r="C55">
            <v>1066</v>
          </cell>
          <cell r="D55">
            <v>11</v>
          </cell>
          <cell r="E55">
            <v>17</v>
          </cell>
          <cell r="F55">
            <v>24</v>
          </cell>
          <cell r="G55">
            <v>32</v>
          </cell>
          <cell r="H55">
            <v>35</v>
          </cell>
          <cell r="I55">
            <v>34</v>
          </cell>
          <cell r="J55">
            <v>56</v>
          </cell>
          <cell r="K55">
            <v>60</v>
          </cell>
          <cell r="L55">
            <v>63</v>
          </cell>
          <cell r="M55">
            <v>67</v>
          </cell>
          <cell r="N55">
            <v>99</v>
          </cell>
          <cell r="O55">
            <v>115</v>
          </cell>
          <cell r="P55">
            <v>118</v>
          </cell>
          <cell r="Q55">
            <v>96</v>
          </cell>
          <cell r="R55">
            <v>108</v>
          </cell>
          <cell r="S55">
            <v>131</v>
          </cell>
          <cell r="T55">
            <v>1055</v>
          </cell>
        </row>
        <row r="56">
          <cell r="B56" t="str">
            <v>Santa Catarina</v>
          </cell>
          <cell r="C56">
            <v>3655</v>
          </cell>
          <cell r="D56">
            <v>64</v>
          </cell>
          <cell r="E56">
            <v>77</v>
          </cell>
          <cell r="F56">
            <v>81</v>
          </cell>
          <cell r="G56">
            <v>94</v>
          </cell>
          <cell r="H56">
            <v>95</v>
          </cell>
          <cell r="I56">
            <v>161</v>
          </cell>
          <cell r="J56">
            <v>208</v>
          </cell>
          <cell r="K56">
            <v>175</v>
          </cell>
          <cell r="L56">
            <v>221</v>
          </cell>
          <cell r="M56">
            <v>286</v>
          </cell>
          <cell r="N56">
            <v>303</v>
          </cell>
          <cell r="O56">
            <v>326</v>
          </cell>
          <cell r="P56">
            <v>437</v>
          </cell>
          <cell r="Q56">
            <v>416</v>
          </cell>
          <cell r="R56">
            <v>339</v>
          </cell>
          <cell r="S56">
            <v>372</v>
          </cell>
          <cell r="T56">
            <v>3591</v>
          </cell>
        </row>
        <row r="57">
          <cell r="B57" t="str">
            <v>Santiago</v>
          </cell>
          <cell r="C57">
            <v>717</v>
          </cell>
          <cell r="D57">
            <v>2</v>
          </cell>
          <cell r="E57">
            <v>23</v>
          </cell>
          <cell r="F57">
            <v>13</v>
          </cell>
          <cell r="G57">
            <v>18</v>
          </cell>
          <cell r="H57">
            <v>22</v>
          </cell>
          <cell r="I57">
            <v>33</v>
          </cell>
          <cell r="J57">
            <v>44</v>
          </cell>
          <cell r="K57">
            <v>40</v>
          </cell>
          <cell r="L57">
            <v>60</v>
          </cell>
          <cell r="M57">
            <v>49</v>
          </cell>
          <cell r="N57">
            <v>42</v>
          </cell>
          <cell r="O57">
            <v>48</v>
          </cell>
          <cell r="P57">
            <v>84</v>
          </cell>
          <cell r="Q57">
            <v>87</v>
          </cell>
          <cell r="R57">
            <v>80</v>
          </cell>
          <cell r="S57">
            <v>72</v>
          </cell>
          <cell r="T57">
            <v>715</v>
          </cell>
        </row>
        <row r="58">
          <cell r="B58" t="str">
            <v>Vallecillo</v>
          </cell>
          <cell r="C58">
            <v>57</v>
          </cell>
          <cell r="E58">
            <v>1</v>
          </cell>
          <cell r="F58">
            <v>1</v>
          </cell>
          <cell r="G58">
            <v>2</v>
          </cell>
          <cell r="J58">
            <v>6</v>
          </cell>
          <cell r="K58">
            <v>2</v>
          </cell>
          <cell r="L58">
            <v>10</v>
          </cell>
          <cell r="M58">
            <v>9</v>
          </cell>
          <cell r="N58">
            <v>3</v>
          </cell>
          <cell r="O58">
            <v>6</v>
          </cell>
          <cell r="P58">
            <v>7</v>
          </cell>
          <cell r="Q58">
            <v>4</v>
          </cell>
          <cell r="R58">
            <v>2</v>
          </cell>
          <cell r="S58">
            <v>4</v>
          </cell>
          <cell r="T58">
            <v>57</v>
          </cell>
        </row>
        <row r="59">
          <cell r="B59" t="str">
            <v>Villaldama</v>
          </cell>
          <cell r="C59">
            <v>85</v>
          </cell>
          <cell r="E59">
            <v>2</v>
          </cell>
          <cell r="G59">
            <v>1</v>
          </cell>
          <cell r="H59">
            <v>1</v>
          </cell>
          <cell r="I59">
            <v>1</v>
          </cell>
          <cell r="J59">
            <v>2</v>
          </cell>
          <cell r="K59">
            <v>5</v>
          </cell>
          <cell r="L59">
            <v>2</v>
          </cell>
          <cell r="M59">
            <v>11</v>
          </cell>
          <cell r="N59">
            <v>7</v>
          </cell>
          <cell r="O59">
            <v>8</v>
          </cell>
          <cell r="P59">
            <v>13</v>
          </cell>
          <cell r="Q59">
            <v>7</v>
          </cell>
          <cell r="R59">
            <v>12</v>
          </cell>
          <cell r="S59">
            <v>13</v>
          </cell>
          <cell r="T59">
            <v>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GI_Exporta_20210329105635"/>
    </sheetNames>
    <sheetDataSet>
      <sheetData sheetId="0">
        <row r="8">
          <cell r="B8" t="str">
            <v>Abasolo</v>
          </cell>
          <cell r="C8">
            <v>2965</v>
          </cell>
          <cell r="D8">
            <v>2957</v>
          </cell>
          <cell r="E8">
            <v>7</v>
          </cell>
          <cell r="F8">
            <v>1</v>
          </cell>
        </row>
        <row r="9">
          <cell r="B9" t="str">
            <v>Agualeguas</v>
          </cell>
          <cell r="C9">
            <v>3370</v>
          </cell>
          <cell r="D9">
            <v>3354</v>
          </cell>
          <cell r="E9">
            <v>16</v>
          </cell>
        </row>
        <row r="10">
          <cell r="B10" t="str">
            <v>Allende</v>
          </cell>
          <cell r="C10">
            <v>35076</v>
          </cell>
          <cell r="D10">
            <v>35029</v>
          </cell>
          <cell r="E10">
            <v>11</v>
          </cell>
          <cell r="F10">
            <v>36</v>
          </cell>
        </row>
        <row r="11">
          <cell r="B11" t="str">
            <v>Anáhuac</v>
          </cell>
          <cell r="C11">
            <v>18004</v>
          </cell>
          <cell r="D11">
            <v>17800</v>
          </cell>
          <cell r="E11">
            <v>204</v>
          </cell>
        </row>
        <row r="12">
          <cell r="B12" t="str">
            <v>Apodaca</v>
          </cell>
          <cell r="C12">
            <v>651706</v>
          </cell>
          <cell r="D12">
            <v>651369</v>
          </cell>
          <cell r="E12">
            <v>93</v>
          </cell>
          <cell r="F12">
            <v>244</v>
          </cell>
        </row>
        <row r="13">
          <cell r="B13" t="str">
            <v>Aramberri</v>
          </cell>
          <cell r="C13">
            <v>14938</v>
          </cell>
          <cell r="D13">
            <v>14582</v>
          </cell>
          <cell r="E13">
            <v>356</v>
          </cell>
        </row>
        <row r="14">
          <cell r="B14" t="str">
            <v>Bustamante</v>
          </cell>
          <cell r="C14">
            <v>3560</v>
          </cell>
          <cell r="D14">
            <v>3529</v>
          </cell>
          <cell r="E14">
            <v>26</v>
          </cell>
          <cell r="F14">
            <v>5</v>
          </cell>
        </row>
        <row r="15">
          <cell r="B15" t="str">
            <v>Cadereyta Jiménez</v>
          </cell>
          <cell r="C15">
            <v>120233</v>
          </cell>
          <cell r="D15">
            <v>120009</v>
          </cell>
          <cell r="E15">
            <v>132</v>
          </cell>
          <cell r="F15">
            <v>92</v>
          </cell>
        </row>
        <row r="16">
          <cell r="B16" t="str">
            <v>Cerralvo</v>
          </cell>
          <cell r="C16">
            <v>7333</v>
          </cell>
          <cell r="D16">
            <v>7255</v>
          </cell>
          <cell r="E16">
            <v>78</v>
          </cell>
        </row>
        <row r="17">
          <cell r="B17" t="str">
            <v>China</v>
          </cell>
          <cell r="C17">
            <v>9927</v>
          </cell>
          <cell r="D17">
            <v>9685</v>
          </cell>
          <cell r="E17">
            <v>242</v>
          </cell>
        </row>
        <row r="18">
          <cell r="B18" t="str">
            <v>Ciénega de Flores</v>
          </cell>
          <cell r="C18">
            <v>68723</v>
          </cell>
          <cell r="D18">
            <v>68628</v>
          </cell>
          <cell r="E18">
            <v>67</v>
          </cell>
          <cell r="F18">
            <v>28</v>
          </cell>
        </row>
        <row r="19">
          <cell r="B19" t="str">
            <v>Doctor Arroyo</v>
          </cell>
          <cell r="C19">
            <v>36041</v>
          </cell>
          <cell r="D19">
            <v>35479</v>
          </cell>
          <cell r="E19">
            <v>477</v>
          </cell>
          <cell r="F19">
            <v>85</v>
          </cell>
        </row>
        <row r="20">
          <cell r="B20" t="str">
            <v>Doctor Coss</v>
          </cell>
          <cell r="C20">
            <v>1356</v>
          </cell>
          <cell r="D20">
            <v>1341</v>
          </cell>
          <cell r="E20">
            <v>15</v>
          </cell>
        </row>
        <row r="21">
          <cell r="B21" t="str">
            <v>Doctor González</v>
          </cell>
          <cell r="C21">
            <v>3252</v>
          </cell>
          <cell r="D21">
            <v>3229</v>
          </cell>
          <cell r="E21">
            <v>23</v>
          </cell>
        </row>
        <row r="22">
          <cell r="B22" t="str">
            <v>El Carmen</v>
          </cell>
          <cell r="C22">
            <v>104356</v>
          </cell>
          <cell r="D22">
            <v>104076</v>
          </cell>
          <cell r="E22">
            <v>186</v>
          </cell>
          <cell r="F22">
            <v>94</v>
          </cell>
        </row>
        <row r="23">
          <cell r="B23" t="str">
            <v>Galeana</v>
          </cell>
          <cell r="C23">
            <v>40603</v>
          </cell>
          <cell r="D23">
            <v>40248</v>
          </cell>
          <cell r="E23">
            <v>352</v>
          </cell>
          <cell r="F23">
            <v>3</v>
          </cell>
        </row>
        <row r="24">
          <cell r="B24" t="str">
            <v>García</v>
          </cell>
          <cell r="C24">
            <v>397040</v>
          </cell>
          <cell r="D24">
            <v>396571</v>
          </cell>
          <cell r="E24">
            <v>329</v>
          </cell>
          <cell r="F24">
            <v>140</v>
          </cell>
        </row>
        <row r="25">
          <cell r="B25" t="str">
            <v>General Bravo</v>
          </cell>
          <cell r="C25">
            <v>5489</v>
          </cell>
          <cell r="D25">
            <v>5404</v>
          </cell>
          <cell r="E25">
            <v>76</v>
          </cell>
          <cell r="F25">
            <v>9</v>
          </cell>
        </row>
        <row r="26">
          <cell r="B26" t="str">
            <v>General Escobedo</v>
          </cell>
          <cell r="C26">
            <v>480366</v>
          </cell>
          <cell r="D26">
            <v>479733</v>
          </cell>
          <cell r="E26">
            <v>297</v>
          </cell>
          <cell r="F26">
            <v>336</v>
          </cell>
        </row>
        <row r="27">
          <cell r="B27" t="str">
            <v>General Terán</v>
          </cell>
          <cell r="C27">
            <v>14016</v>
          </cell>
          <cell r="D27">
            <v>13916</v>
          </cell>
          <cell r="E27">
            <v>100</v>
          </cell>
        </row>
        <row r="28">
          <cell r="B28" t="str">
            <v>General Treviño</v>
          </cell>
          <cell r="C28">
            <v>1806</v>
          </cell>
          <cell r="D28">
            <v>1794</v>
          </cell>
          <cell r="E28">
            <v>12</v>
          </cell>
        </row>
        <row r="29">
          <cell r="B29" t="str">
            <v>General Zaragoza</v>
          </cell>
          <cell r="C29">
            <v>6242</v>
          </cell>
          <cell r="D29">
            <v>6131</v>
          </cell>
          <cell r="E29">
            <v>111</v>
          </cell>
        </row>
        <row r="30">
          <cell r="B30" t="str">
            <v>General Zuazua</v>
          </cell>
          <cell r="C30">
            <v>102143</v>
          </cell>
          <cell r="D30">
            <v>101668</v>
          </cell>
          <cell r="E30">
            <v>417</v>
          </cell>
          <cell r="F30">
            <v>58</v>
          </cell>
        </row>
        <row r="31">
          <cell r="B31" t="str">
            <v>Guadalupe</v>
          </cell>
          <cell r="C31">
            <v>641776</v>
          </cell>
          <cell r="D31">
            <v>641426</v>
          </cell>
          <cell r="E31">
            <v>247</v>
          </cell>
          <cell r="F31">
            <v>103</v>
          </cell>
        </row>
        <row r="32">
          <cell r="B32" t="str">
            <v>Hidalgo</v>
          </cell>
          <cell r="C32">
            <v>16079</v>
          </cell>
          <cell r="D32">
            <v>16030</v>
          </cell>
          <cell r="E32">
            <v>43</v>
          </cell>
          <cell r="F32">
            <v>6</v>
          </cell>
        </row>
        <row r="33">
          <cell r="B33" t="str">
            <v>Higueras</v>
          </cell>
          <cell r="C33">
            <v>1382</v>
          </cell>
          <cell r="D33">
            <v>1351</v>
          </cell>
          <cell r="E33">
            <v>31</v>
          </cell>
        </row>
        <row r="34">
          <cell r="B34" t="str">
            <v>Hualahuises</v>
          </cell>
          <cell r="C34">
            <v>7024</v>
          </cell>
          <cell r="D34">
            <v>7013</v>
          </cell>
          <cell r="E34">
            <v>10</v>
          </cell>
          <cell r="F34">
            <v>1</v>
          </cell>
        </row>
        <row r="35">
          <cell r="B35" t="str">
            <v>Iturbide</v>
          </cell>
          <cell r="C35">
            <v>3234</v>
          </cell>
          <cell r="D35">
            <v>3159</v>
          </cell>
          <cell r="E35">
            <v>75</v>
          </cell>
        </row>
        <row r="36">
          <cell r="B36" t="str">
            <v>Juárez</v>
          </cell>
          <cell r="C36">
            <v>471274</v>
          </cell>
          <cell r="D36">
            <v>470515</v>
          </cell>
          <cell r="E36">
            <v>271</v>
          </cell>
          <cell r="F36">
            <v>488</v>
          </cell>
        </row>
        <row r="37">
          <cell r="B37" t="str">
            <v>Lampazos de Naranjo</v>
          </cell>
          <cell r="C37">
            <v>5347</v>
          </cell>
          <cell r="D37">
            <v>5321</v>
          </cell>
          <cell r="E37">
            <v>26</v>
          </cell>
        </row>
        <row r="38">
          <cell r="B38" t="str">
            <v>Linares</v>
          </cell>
          <cell r="C38">
            <v>84440</v>
          </cell>
          <cell r="D38">
            <v>84080</v>
          </cell>
          <cell r="E38">
            <v>346</v>
          </cell>
          <cell r="F38">
            <v>14</v>
          </cell>
        </row>
        <row r="39">
          <cell r="B39" t="str">
            <v>Los Aldamas</v>
          </cell>
          <cell r="C39">
            <v>1406</v>
          </cell>
          <cell r="D39">
            <v>1404</v>
          </cell>
          <cell r="E39">
            <v>2</v>
          </cell>
        </row>
        <row r="40">
          <cell r="B40" t="str">
            <v>Los Herreras</v>
          </cell>
          <cell r="C40">
            <v>1947</v>
          </cell>
          <cell r="D40">
            <v>1927</v>
          </cell>
          <cell r="E40">
            <v>19</v>
          </cell>
          <cell r="F40">
            <v>1</v>
          </cell>
        </row>
        <row r="41">
          <cell r="B41" t="str">
            <v>Los Ramones</v>
          </cell>
          <cell r="C41">
            <v>5311</v>
          </cell>
          <cell r="D41">
            <v>5298</v>
          </cell>
          <cell r="E41">
            <v>13</v>
          </cell>
        </row>
        <row r="42">
          <cell r="B42" t="str">
            <v>Marín</v>
          </cell>
          <cell r="C42">
            <v>5118</v>
          </cell>
          <cell r="D42">
            <v>5117</v>
          </cell>
          <cell r="F42">
            <v>1</v>
          </cell>
        </row>
        <row r="43">
          <cell r="B43" t="str">
            <v>Melchor Ocampo</v>
          </cell>
          <cell r="C43">
            <v>1470</v>
          </cell>
          <cell r="D43">
            <v>1467</v>
          </cell>
          <cell r="E43">
            <v>3</v>
          </cell>
        </row>
        <row r="44">
          <cell r="B44" t="str">
            <v>Mier y Noriega</v>
          </cell>
          <cell r="C44">
            <v>7652</v>
          </cell>
          <cell r="D44">
            <v>7527</v>
          </cell>
          <cell r="E44">
            <v>125</v>
          </cell>
        </row>
        <row r="45">
          <cell r="B45" t="str">
            <v>Mina</v>
          </cell>
          <cell r="C45">
            <v>5993</v>
          </cell>
          <cell r="D45">
            <v>5954</v>
          </cell>
          <cell r="E45">
            <v>39</v>
          </cell>
        </row>
        <row r="46">
          <cell r="B46" t="str">
            <v>Montemorelos</v>
          </cell>
          <cell r="C46">
            <v>66606</v>
          </cell>
          <cell r="D46">
            <v>66181</v>
          </cell>
          <cell r="E46">
            <v>206</v>
          </cell>
          <cell r="F46">
            <v>219</v>
          </cell>
        </row>
        <row r="47">
          <cell r="B47" t="str">
            <v>Monterrey</v>
          </cell>
          <cell r="C47">
            <v>1138221</v>
          </cell>
          <cell r="D47">
            <v>1128876</v>
          </cell>
          <cell r="E47">
            <v>390</v>
          </cell>
          <cell r="F47">
            <v>8955</v>
          </cell>
        </row>
        <row r="48">
          <cell r="B48" t="str">
            <v>Parás</v>
          </cell>
          <cell r="C48">
            <v>905</v>
          </cell>
          <cell r="D48">
            <v>896</v>
          </cell>
          <cell r="E48">
            <v>9</v>
          </cell>
        </row>
        <row r="49">
          <cell r="B49" t="str">
            <v>Pesquería</v>
          </cell>
          <cell r="C49">
            <v>147496</v>
          </cell>
          <cell r="D49">
            <v>147277</v>
          </cell>
          <cell r="E49">
            <v>178</v>
          </cell>
          <cell r="F49">
            <v>41</v>
          </cell>
        </row>
        <row r="50">
          <cell r="B50" t="str">
            <v>Rayones</v>
          </cell>
          <cell r="C50">
            <v>2373</v>
          </cell>
          <cell r="D50">
            <v>2338</v>
          </cell>
          <cell r="E50">
            <v>35</v>
          </cell>
        </row>
        <row r="51">
          <cell r="B51" t="str">
            <v>Sabinas Hidalgo</v>
          </cell>
          <cell r="C51">
            <v>34586</v>
          </cell>
          <cell r="D51">
            <v>34511</v>
          </cell>
          <cell r="E51">
            <v>54</v>
          </cell>
          <cell r="F51">
            <v>21</v>
          </cell>
        </row>
        <row r="52">
          <cell r="B52" t="str">
            <v>Salinas Victoria</v>
          </cell>
          <cell r="C52">
            <v>86714</v>
          </cell>
          <cell r="D52">
            <v>86546</v>
          </cell>
          <cell r="E52">
            <v>86</v>
          </cell>
          <cell r="F52">
            <v>82</v>
          </cell>
        </row>
        <row r="53">
          <cell r="B53" t="str">
            <v>San Nicolás de los Garza</v>
          </cell>
          <cell r="C53">
            <v>411742</v>
          </cell>
          <cell r="D53">
            <v>411554</v>
          </cell>
          <cell r="E53">
            <v>74</v>
          </cell>
          <cell r="F53">
            <v>114</v>
          </cell>
        </row>
        <row r="54">
          <cell r="B54" t="str">
            <v>San Pedro Garza García</v>
          </cell>
          <cell r="C54">
            <v>131719</v>
          </cell>
          <cell r="D54">
            <v>126826</v>
          </cell>
          <cell r="E54">
            <v>43</v>
          </cell>
          <cell r="F54">
            <v>4850</v>
          </cell>
        </row>
        <row r="55">
          <cell r="B55" t="str">
            <v>Santa Catarina</v>
          </cell>
          <cell r="C55">
            <v>305999</v>
          </cell>
          <cell r="D55">
            <v>303158</v>
          </cell>
          <cell r="E55">
            <v>199</v>
          </cell>
          <cell r="F55">
            <v>2642</v>
          </cell>
        </row>
        <row r="56">
          <cell r="B56" t="str">
            <v>Santiago</v>
          </cell>
          <cell r="C56">
            <v>46412</v>
          </cell>
          <cell r="D56">
            <v>45771</v>
          </cell>
          <cell r="E56">
            <v>122</v>
          </cell>
          <cell r="F56">
            <v>519</v>
          </cell>
        </row>
        <row r="57">
          <cell r="B57" t="str">
            <v>Vallecillo</v>
          </cell>
          <cell r="C57">
            <v>1550</v>
          </cell>
          <cell r="D57">
            <v>1543</v>
          </cell>
          <cell r="E57">
            <v>7</v>
          </cell>
        </row>
        <row r="58">
          <cell r="B58" t="str">
            <v>Villaldama</v>
          </cell>
          <cell r="C58">
            <v>3572</v>
          </cell>
          <cell r="D58">
            <v>3558</v>
          </cell>
          <cell r="E58">
            <v>11</v>
          </cell>
          <cell r="F5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Normal="100" zoomScaleSheetLayoutView="100" workbookViewId="0">
      <selection activeCell="A2" sqref="A2:K16"/>
    </sheetView>
  </sheetViews>
  <sheetFormatPr baseColWidth="10" defaultColWidth="11.42578125" defaultRowHeight="12.75"/>
  <cols>
    <col min="1" max="1" width="55" style="129" customWidth="1"/>
    <col min="2" max="2" width="15.28515625" style="129" bestFit="1" customWidth="1"/>
    <col min="3" max="3" width="17.5703125" style="129" customWidth="1"/>
    <col min="4" max="5" width="17.28515625" style="129" customWidth="1"/>
    <col min="6" max="16384" width="11.42578125" style="129"/>
  </cols>
  <sheetData>
    <row r="1" spans="1:5" ht="18.75" customHeight="1">
      <c r="A1" s="262" t="s">
        <v>260</v>
      </c>
      <c r="B1" s="262"/>
      <c r="C1" s="262"/>
      <c r="D1" s="262"/>
      <c r="E1" s="262"/>
    </row>
    <row r="3" spans="1:5" ht="25.5">
      <c r="A3" s="214" t="s">
        <v>99</v>
      </c>
      <c r="B3" s="214" t="s">
        <v>196</v>
      </c>
      <c r="C3" s="214" t="s">
        <v>100</v>
      </c>
      <c r="D3" s="214" t="s">
        <v>101</v>
      </c>
      <c r="E3" s="214" t="s">
        <v>117</v>
      </c>
    </row>
    <row r="4" spans="1:5" ht="25.5" customHeight="1">
      <c r="A4" s="206" t="s">
        <v>102</v>
      </c>
      <c r="B4" s="238">
        <v>17781423531.508492</v>
      </c>
      <c r="C4" s="215">
        <f t="shared" ref="C4:C11" si="0">SUM(B4:B4)</f>
        <v>17781423531.508492</v>
      </c>
      <c r="D4" s="216">
        <v>20</v>
      </c>
      <c r="E4" s="217">
        <f>+D4/100*C4</f>
        <v>3556284706.3016987</v>
      </c>
    </row>
    <row r="5" spans="1:5" ht="25.5" customHeight="1">
      <c r="A5" s="206" t="s">
        <v>129</v>
      </c>
      <c r="B5" s="238">
        <v>484848459.79168302</v>
      </c>
      <c r="C5" s="215">
        <f t="shared" si="0"/>
        <v>484848459.79168302</v>
      </c>
      <c r="D5" s="216">
        <v>100</v>
      </c>
      <c r="E5" s="217">
        <f t="shared" ref="E5:E11" si="1">+D5/100*C5</f>
        <v>484848459.79168302</v>
      </c>
    </row>
    <row r="6" spans="1:5" ht="25.5" customHeight="1">
      <c r="A6" s="206" t="s">
        <v>128</v>
      </c>
      <c r="B6" s="238">
        <v>151948209.50242156</v>
      </c>
      <c r="C6" s="215">
        <f t="shared" si="0"/>
        <v>151948209.50242156</v>
      </c>
      <c r="D6" s="216">
        <v>100</v>
      </c>
      <c r="E6" s="217">
        <f t="shared" si="1"/>
        <v>151948209.50242156</v>
      </c>
    </row>
    <row r="7" spans="1:5" ht="25.5" customHeight="1">
      <c r="A7" s="206" t="s">
        <v>103</v>
      </c>
      <c r="B7" s="238">
        <v>518098123.24923074</v>
      </c>
      <c r="C7" s="215">
        <f t="shared" si="0"/>
        <v>518098123.24923074</v>
      </c>
      <c r="D7" s="216">
        <v>20</v>
      </c>
      <c r="E7" s="217">
        <f t="shared" si="1"/>
        <v>103619624.64984615</v>
      </c>
    </row>
    <row r="8" spans="1:5" ht="25.5" customHeight="1">
      <c r="A8" s="206" t="s">
        <v>116</v>
      </c>
      <c r="B8" s="238">
        <v>844260206.83948517</v>
      </c>
      <c r="C8" s="215">
        <f t="shared" si="0"/>
        <v>844260206.83948517</v>
      </c>
      <c r="D8" s="216">
        <v>20</v>
      </c>
      <c r="E8" s="217">
        <f t="shared" si="1"/>
        <v>168852041.36789703</v>
      </c>
    </row>
    <row r="9" spans="1:5" ht="25.5" customHeight="1">
      <c r="A9" s="206" t="s">
        <v>122</v>
      </c>
      <c r="B9" s="215">
        <v>461954128</v>
      </c>
      <c r="C9" s="215">
        <f t="shared" si="0"/>
        <v>461954128</v>
      </c>
      <c r="D9" s="216">
        <v>20</v>
      </c>
      <c r="E9" s="217">
        <f t="shared" si="1"/>
        <v>92390825.600000009</v>
      </c>
    </row>
    <row r="10" spans="1:5" ht="25.5" customHeight="1">
      <c r="A10" s="206" t="s">
        <v>121</v>
      </c>
      <c r="B10" s="215">
        <v>98072244</v>
      </c>
      <c r="C10" s="215">
        <f t="shared" si="0"/>
        <v>98072244</v>
      </c>
      <c r="D10" s="216">
        <v>20</v>
      </c>
      <c r="E10" s="217">
        <f t="shared" si="1"/>
        <v>19614448.800000001</v>
      </c>
    </row>
    <row r="11" spans="1:5" ht="25.5" customHeight="1">
      <c r="A11" s="206" t="s">
        <v>115</v>
      </c>
      <c r="B11" s="215">
        <v>368955747.09090912</v>
      </c>
      <c r="C11" s="215">
        <f t="shared" si="0"/>
        <v>368955747.09090912</v>
      </c>
      <c r="D11" s="216">
        <v>20</v>
      </c>
      <c r="E11" s="217">
        <f t="shared" si="1"/>
        <v>73791149.418181822</v>
      </c>
    </row>
    <row r="12" spans="1:5" ht="21.75" customHeight="1">
      <c r="A12" s="218" t="s">
        <v>36</v>
      </c>
      <c r="B12" s="219">
        <f t="shared" ref="B12" si="2">SUM(B4:B11)</f>
        <v>20709560649.98222</v>
      </c>
      <c r="C12" s="219">
        <f>SUM(C4:C11)</f>
        <v>20709560649.98222</v>
      </c>
      <c r="D12" s="218"/>
      <c r="E12" s="220">
        <f>SUM(E4:E11)</f>
        <v>4651349465.4317284</v>
      </c>
    </row>
    <row r="13" spans="1:5">
      <c r="A13" s="130"/>
      <c r="B13" s="130"/>
      <c r="C13" s="131"/>
      <c r="D13" s="132"/>
      <c r="E13" s="131"/>
    </row>
    <row r="14" spans="1:5">
      <c r="A14" s="133"/>
      <c r="B14" s="133"/>
    </row>
    <row r="19" spans="1:4" hidden="1">
      <c r="A19" s="206" t="s">
        <v>186</v>
      </c>
      <c r="B19" s="237"/>
      <c r="C19" s="226" t="e">
        <f>+#REF!+#REF!</f>
        <v>#REF!</v>
      </c>
      <c r="D19" s="213">
        <f>+C5+C6</f>
        <v>636796669.29410458</v>
      </c>
    </row>
    <row r="20" spans="1:4" hidden="1">
      <c r="A20" s="129" t="s">
        <v>187</v>
      </c>
      <c r="C20" s="129" t="e">
        <f>+C19*#REF!</f>
        <v>#REF!</v>
      </c>
    </row>
    <row r="21" spans="1:4" hidden="1"/>
    <row r="22" spans="1:4" hidden="1">
      <c r="A22" s="227"/>
      <c r="B22" s="227"/>
      <c r="C22" s="229"/>
    </row>
    <row r="23" spans="1:4" hidden="1">
      <c r="A23" s="228"/>
      <c r="B23" s="228"/>
      <c r="C23" s="230"/>
    </row>
    <row r="24" spans="1:4" hidden="1"/>
    <row r="28" spans="1:4">
      <c r="C28" s="213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&amp;LANEXO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zoomScale="110" zoomScaleNormal="110" zoomScaleSheetLayoutView="100" workbookViewId="0">
      <selection activeCell="B7" sqref="B7"/>
    </sheetView>
  </sheetViews>
  <sheetFormatPr baseColWidth="10" defaultColWidth="11.42578125" defaultRowHeight="12.75"/>
  <cols>
    <col min="1" max="1" width="37.140625" style="134" customWidth="1"/>
    <col min="2" max="2" width="14.42578125" style="246" customWidth="1"/>
    <col min="3" max="4" width="14.140625" style="251" customWidth="1"/>
    <col min="5" max="9" width="14.140625" style="211" customWidth="1"/>
    <col min="10" max="10" width="15.42578125" style="211" customWidth="1"/>
    <col min="11" max="12" width="12.5703125" style="134" bestFit="1" customWidth="1"/>
    <col min="13" max="16384" width="11.42578125" style="134"/>
  </cols>
  <sheetData>
    <row r="1" spans="1:10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2.75" customHeight="1">
      <c r="A2" s="263" t="s">
        <v>194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ht="12.75" customHeight="1">
      <c r="A3" s="263" t="s">
        <v>261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0" ht="13.5" thickBot="1">
      <c r="A4" s="236"/>
      <c r="B4" s="241"/>
      <c r="C4" s="247"/>
      <c r="D4" s="247"/>
      <c r="E4" s="236"/>
      <c r="F4" s="236"/>
      <c r="G4" s="236"/>
      <c r="H4" s="236"/>
      <c r="I4" s="236"/>
      <c r="J4" s="236"/>
    </row>
    <row r="5" spans="1:10" ht="14.25" thickTop="1" thickBot="1">
      <c r="A5" s="136" t="s">
        <v>0</v>
      </c>
      <c r="B5" s="242" t="s">
        <v>93</v>
      </c>
      <c r="C5" s="248" t="s">
        <v>127</v>
      </c>
      <c r="D5" s="248" t="s">
        <v>126</v>
      </c>
      <c r="E5" s="207" t="s">
        <v>94</v>
      </c>
      <c r="F5" s="207" t="s">
        <v>111</v>
      </c>
      <c r="G5" s="207" t="s">
        <v>124</v>
      </c>
      <c r="H5" s="207" t="s">
        <v>125</v>
      </c>
      <c r="I5" s="207" t="s">
        <v>259</v>
      </c>
      <c r="J5" s="208" t="s">
        <v>195</v>
      </c>
    </row>
    <row r="6" spans="1:10" ht="13.5" thickTop="1">
      <c r="A6" s="137" t="s">
        <v>1</v>
      </c>
      <c r="B6" s="233">
        <f>ROUND(+'DIST 1 sem Cof 3'!B6-'DIST 1er Sem'!B6,0)</f>
        <v>0</v>
      </c>
      <c r="C6" s="233">
        <f>ROUND(+'DIST 1 sem Cof 3'!C6-'DIST 1er Sem'!C6,0)</f>
        <v>0</v>
      </c>
      <c r="D6" s="233">
        <f>ROUND(+'DIST 1 sem Cof 3'!D6-'DIST 1er Sem'!D6,2)</f>
        <v>2382719.9</v>
      </c>
      <c r="E6" s="233">
        <f>ROUND(+'DIST 1 sem Cof 3'!E6-'DIST 1er Sem'!E6,0)</f>
        <v>0</v>
      </c>
      <c r="F6" s="233">
        <f>ROUND(+'DIST 1 sem Cof 3'!F6-'DIST 1er Sem'!F6,0)</f>
        <v>0</v>
      </c>
      <c r="G6" s="233">
        <f>ROUND(+'DIST 1 sem Cof 3'!G6-'DIST 1er Sem'!G6,0)</f>
        <v>0</v>
      </c>
      <c r="H6" s="233">
        <f>ROUND(+'DIST 1 sem Cof 3'!H6-'DIST 1er Sem'!H6,0)</f>
        <v>0</v>
      </c>
      <c r="I6" s="233">
        <f>ROUND(+'DIST 1 sem Cof 3'!I6-'DIST 1er Sem'!I6,2)</f>
        <v>46736.85</v>
      </c>
      <c r="J6" s="231">
        <f>SUM(B6:I6)</f>
        <v>2429456.75</v>
      </c>
    </row>
    <row r="7" spans="1:10">
      <c r="A7" s="137" t="s">
        <v>2</v>
      </c>
      <c r="B7" s="233">
        <f>ROUND(+'DIST 1 sem Cof 3'!B7-'DIST 1er Sem'!B7,0)</f>
        <v>0</v>
      </c>
      <c r="C7" s="233">
        <f>ROUND(+'DIST 1 sem Cof 3'!C7-'DIST 1er Sem'!C7,0)</f>
        <v>0</v>
      </c>
      <c r="D7" s="233">
        <f>ROUND(+'DIST 1 sem Cof 3'!D7-'DIST 1er Sem'!D7,2)</f>
        <v>-472334.53</v>
      </c>
      <c r="E7" s="233">
        <f>ROUND(+'DIST 1 sem Cof 3'!E7-'DIST 1er Sem'!E7,0)</f>
        <v>0</v>
      </c>
      <c r="F7" s="233">
        <f>ROUND(+'DIST 1 sem Cof 3'!F7-'DIST 1er Sem'!F7,0)</f>
        <v>0</v>
      </c>
      <c r="G7" s="233">
        <f>ROUND(+'DIST 1 sem Cof 3'!G7-'DIST 1er Sem'!G7,0)</f>
        <v>0</v>
      </c>
      <c r="H7" s="233">
        <f>ROUND(+'DIST 1 sem Cof 3'!H7-'DIST 1er Sem'!H7,0)</f>
        <v>0</v>
      </c>
      <c r="I7" s="233">
        <f>ROUND(+'DIST 1 sem Cof 3'!I7-'DIST 1er Sem'!I7,2)</f>
        <v>-24139.64</v>
      </c>
      <c r="J7" s="231">
        <f t="shared" ref="J7:J56" si="0">SUM(B7:I7)</f>
        <v>-496474.17000000004</v>
      </c>
    </row>
    <row r="8" spans="1:10">
      <c r="A8" s="137" t="s">
        <v>175</v>
      </c>
      <c r="B8" s="233">
        <f>ROUND(+'DIST 1 sem Cof 3'!B8-'DIST 1er Sem'!B8,0)</f>
        <v>0</v>
      </c>
      <c r="C8" s="233">
        <f>ROUND(+'DIST 1 sem Cof 3'!C8-'DIST 1er Sem'!C8,0)</f>
        <v>0</v>
      </c>
      <c r="D8" s="233">
        <f>ROUND(+'DIST 1 sem Cof 3'!D8-'DIST 1er Sem'!D8,2)</f>
        <v>-474261.91</v>
      </c>
      <c r="E8" s="233">
        <f>ROUND(+'DIST 1 sem Cof 3'!E8-'DIST 1er Sem'!E8,0)</f>
        <v>0</v>
      </c>
      <c r="F8" s="233">
        <f>ROUND(+'DIST 1 sem Cof 3'!F8-'DIST 1er Sem'!F8,0)</f>
        <v>0</v>
      </c>
      <c r="G8" s="233">
        <f>ROUND(+'DIST 1 sem Cof 3'!G8-'DIST 1er Sem'!G8,0)</f>
        <v>0</v>
      </c>
      <c r="H8" s="233">
        <f>ROUND(+'DIST 1 sem Cof 3'!H8-'DIST 1er Sem'!H8,0)</f>
        <v>0</v>
      </c>
      <c r="I8" s="233">
        <f>ROUND(+'DIST 1 sem Cof 3'!I8-'DIST 1er Sem'!I8,2)</f>
        <v>15761.16</v>
      </c>
      <c r="J8" s="231">
        <f t="shared" si="0"/>
        <v>-458500.75</v>
      </c>
    </row>
    <row r="9" spans="1:10">
      <c r="A9" s="137" t="s">
        <v>3</v>
      </c>
      <c r="B9" s="233">
        <f>ROUND(+'DIST 1 sem Cof 3'!B9-'DIST 1er Sem'!B9,0)</f>
        <v>0</v>
      </c>
      <c r="C9" s="233">
        <f>ROUND(+'DIST 1 sem Cof 3'!C9-'DIST 1er Sem'!C9,0)</f>
        <v>0</v>
      </c>
      <c r="D9" s="233">
        <f>ROUND(+'DIST 1 sem Cof 3'!D9-'DIST 1er Sem'!D9,2)</f>
        <v>1395994.23</v>
      </c>
      <c r="E9" s="233">
        <f>ROUND(+'DIST 1 sem Cof 3'!E9-'DIST 1er Sem'!E9,0)</f>
        <v>0</v>
      </c>
      <c r="F9" s="233">
        <f>ROUND(+'DIST 1 sem Cof 3'!F9-'DIST 1er Sem'!F9,0)</f>
        <v>0</v>
      </c>
      <c r="G9" s="233">
        <f>ROUND(+'DIST 1 sem Cof 3'!G9-'DIST 1er Sem'!G9,0)</f>
        <v>0</v>
      </c>
      <c r="H9" s="233">
        <f>ROUND(+'DIST 1 sem Cof 3'!H9-'DIST 1er Sem'!H9,0)</f>
        <v>0</v>
      </c>
      <c r="I9" s="233">
        <f>ROUND(+'DIST 1 sem Cof 3'!I9-'DIST 1er Sem'!I9,2)</f>
        <v>-2326.6799999999998</v>
      </c>
      <c r="J9" s="231">
        <f t="shared" si="0"/>
        <v>1393667.55</v>
      </c>
    </row>
    <row r="10" spans="1:10">
      <c r="A10" s="137" t="s">
        <v>176</v>
      </c>
      <c r="B10" s="233">
        <f>ROUND(+'DIST 1 sem Cof 3'!B10-'DIST 1er Sem'!B10,0)</f>
        <v>0</v>
      </c>
      <c r="C10" s="233">
        <f>ROUND(+'DIST 1 sem Cof 3'!C10-'DIST 1er Sem'!C10,0)</f>
        <v>0</v>
      </c>
      <c r="D10" s="233">
        <f>ROUND(+'DIST 1 sem Cof 3'!D10-'DIST 1er Sem'!D10,2)</f>
        <v>3348571.86</v>
      </c>
      <c r="E10" s="233">
        <f>ROUND(+'DIST 1 sem Cof 3'!E10-'DIST 1er Sem'!E10,0)</f>
        <v>0</v>
      </c>
      <c r="F10" s="233">
        <f>ROUND(+'DIST 1 sem Cof 3'!F10-'DIST 1er Sem'!F10,0)</f>
        <v>0</v>
      </c>
      <c r="G10" s="233">
        <f>ROUND(+'DIST 1 sem Cof 3'!G10-'DIST 1er Sem'!G10,0)</f>
        <v>0</v>
      </c>
      <c r="H10" s="233">
        <f>ROUND(+'DIST 1 sem Cof 3'!H10-'DIST 1er Sem'!H10,0)</f>
        <v>0</v>
      </c>
      <c r="I10" s="233">
        <f>ROUND(+'DIST 1 sem Cof 3'!I10-'DIST 1er Sem'!I10,2)</f>
        <v>950.81</v>
      </c>
      <c r="J10" s="231">
        <f t="shared" si="0"/>
        <v>3349522.67</v>
      </c>
    </row>
    <row r="11" spans="1:10">
      <c r="A11" s="137" t="s">
        <v>4</v>
      </c>
      <c r="B11" s="233">
        <f>ROUND(+'DIST 1 sem Cof 3'!B11-'DIST 1er Sem'!B11,0)</f>
        <v>0</v>
      </c>
      <c r="C11" s="233">
        <f>ROUND(+'DIST 1 sem Cof 3'!C11-'DIST 1er Sem'!C11,0)</f>
        <v>0</v>
      </c>
      <c r="D11" s="233">
        <f>ROUND(+'DIST 1 sem Cof 3'!D11-'DIST 1er Sem'!D11,2)</f>
        <v>87158.69</v>
      </c>
      <c r="E11" s="233">
        <f>ROUND(+'DIST 1 sem Cof 3'!E11-'DIST 1er Sem'!E11,0)</f>
        <v>0</v>
      </c>
      <c r="F11" s="233">
        <f>ROUND(+'DIST 1 sem Cof 3'!F11-'DIST 1er Sem'!F11,0)</f>
        <v>0</v>
      </c>
      <c r="G11" s="233">
        <f>ROUND(+'DIST 1 sem Cof 3'!G11-'DIST 1er Sem'!G11,0)</f>
        <v>0</v>
      </c>
      <c r="H11" s="233">
        <f>ROUND(+'DIST 1 sem Cof 3'!H11-'DIST 1er Sem'!H11,0)</f>
        <v>0</v>
      </c>
      <c r="I11" s="233">
        <f>ROUND(+'DIST 1 sem Cof 3'!I11-'DIST 1er Sem'!I11,2)</f>
        <v>29718.42</v>
      </c>
      <c r="J11" s="231">
        <f t="shared" si="0"/>
        <v>116877.11</v>
      </c>
    </row>
    <row r="12" spans="1:10">
      <c r="A12" s="137" t="s">
        <v>5</v>
      </c>
      <c r="B12" s="233">
        <f>ROUND(+'DIST 1 sem Cof 3'!B12-'DIST 1er Sem'!B12,0)</f>
        <v>0</v>
      </c>
      <c r="C12" s="233">
        <f>ROUND(+'DIST 1 sem Cof 3'!C12-'DIST 1er Sem'!C12,0)</f>
        <v>0</v>
      </c>
      <c r="D12" s="233">
        <f>ROUND(+'DIST 1 sem Cof 3'!D12-'DIST 1er Sem'!D12,2)</f>
        <v>0</v>
      </c>
      <c r="E12" s="233">
        <f>ROUND(+'DIST 1 sem Cof 3'!E12-'DIST 1er Sem'!E12,0)</f>
        <v>0</v>
      </c>
      <c r="F12" s="233">
        <f>ROUND(+'DIST 1 sem Cof 3'!F12-'DIST 1er Sem'!F12,0)</f>
        <v>0</v>
      </c>
      <c r="G12" s="233">
        <f>ROUND(+'DIST 1 sem Cof 3'!G12-'DIST 1er Sem'!G12,0)</f>
        <v>0</v>
      </c>
      <c r="H12" s="233">
        <f>ROUND(+'DIST 1 sem Cof 3'!H12-'DIST 1er Sem'!H12,0)</f>
        <v>0</v>
      </c>
      <c r="I12" s="233">
        <f>ROUND(+'DIST 1 sem Cof 3'!I12-'DIST 1er Sem'!I12,2)</f>
        <v>-17090.830000000002</v>
      </c>
      <c r="J12" s="231">
        <f t="shared" si="0"/>
        <v>-17090.830000000002</v>
      </c>
    </row>
    <row r="13" spans="1:10">
      <c r="A13" s="137" t="s">
        <v>6</v>
      </c>
      <c r="B13" s="233">
        <f>ROUND(+'DIST 1 sem Cof 3'!B13-'DIST 1er Sem'!B13,0)</f>
        <v>0</v>
      </c>
      <c r="C13" s="233">
        <f>ROUND(+'DIST 1 sem Cof 3'!C13-'DIST 1er Sem'!C13,0)</f>
        <v>0</v>
      </c>
      <c r="D13" s="233">
        <f>ROUND(+'DIST 1 sem Cof 3'!D13-'DIST 1er Sem'!D13,2)</f>
        <v>-708793.17</v>
      </c>
      <c r="E13" s="233">
        <f>ROUND(+'DIST 1 sem Cof 3'!E13-'DIST 1er Sem'!E13,0)</f>
        <v>0</v>
      </c>
      <c r="F13" s="233">
        <f>ROUND(+'DIST 1 sem Cof 3'!F13-'DIST 1er Sem'!F13,0)</f>
        <v>0</v>
      </c>
      <c r="G13" s="233">
        <f>ROUND(+'DIST 1 sem Cof 3'!G13-'DIST 1er Sem'!G13,0)</f>
        <v>0</v>
      </c>
      <c r="H13" s="233">
        <f>ROUND(+'DIST 1 sem Cof 3'!H13-'DIST 1er Sem'!H13,0)</f>
        <v>0</v>
      </c>
      <c r="I13" s="233">
        <f>ROUND(+'DIST 1 sem Cof 3'!I13-'DIST 1er Sem'!I13,2)</f>
        <v>-9987.68</v>
      </c>
      <c r="J13" s="231">
        <f t="shared" si="0"/>
        <v>-718780.85000000009</v>
      </c>
    </row>
    <row r="14" spans="1:10">
      <c r="A14" s="137" t="s">
        <v>160</v>
      </c>
      <c r="B14" s="233">
        <f>ROUND(+'DIST 1 sem Cof 3'!B14-'DIST 1er Sem'!B14,0)</f>
        <v>0</v>
      </c>
      <c r="C14" s="233">
        <f>ROUND(+'DIST 1 sem Cof 3'!C14-'DIST 1er Sem'!C14,0)</f>
        <v>0</v>
      </c>
      <c r="D14" s="233">
        <f>ROUND(+'DIST 1 sem Cof 3'!D14-'DIST 1er Sem'!D14,2)</f>
        <v>-74715.28</v>
      </c>
      <c r="E14" s="233">
        <f>ROUND(+'DIST 1 sem Cof 3'!E14-'DIST 1er Sem'!E14,0)</f>
        <v>0</v>
      </c>
      <c r="F14" s="233">
        <f>ROUND(+'DIST 1 sem Cof 3'!F14-'DIST 1er Sem'!F14,0)</f>
        <v>0</v>
      </c>
      <c r="G14" s="233">
        <f>ROUND(+'DIST 1 sem Cof 3'!G14-'DIST 1er Sem'!G14,0)</f>
        <v>0</v>
      </c>
      <c r="H14" s="233">
        <f>ROUND(+'DIST 1 sem Cof 3'!H14-'DIST 1er Sem'!H14,0)</f>
        <v>0</v>
      </c>
      <c r="I14" s="233">
        <f>ROUND(+'DIST 1 sem Cof 3'!I14-'DIST 1er Sem'!I14,2)</f>
        <v>10143.14</v>
      </c>
      <c r="J14" s="231">
        <f t="shared" si="0"/>
        <v>-64572.14</v>
      </c>
    </row>
    <row r="15" spans="1:10">
      <c r="A15" s="137" t="s">
        <v>161</v>
      </c>
      <c r="B15" s="233">
        <f>ROUND(+'DIST 1 sem Cof 3'!B15-'DIST 1er Sem'!B15,0)</f>
        <v>0</v>
      </c>
      <c r="C15" s="233">
        <f>ROUND(+'DIST 1 sem Cof 3'!C15-'DIST 1er Sem'!C15,0)</f>
        <v>0</v>
      </c>
      <c r="D15" s="233">
        <f>ROUND(+'DIST 1 sem Cof 3'!D15-'DIST 1er Sem'!D15,2)</f>
        <v>-1355645.02</v>
      </c>
      <c r="E15" s="233">
        <f>ROUND(+'DIST 1 sem Cof 3'!E15-'DIST 1er Sem'!E15,0)</f>
        <v>0</v>
      </c>
      <c r="F15" s="233">
        <f>ROUND(+'DIST 1 sem Cof 3'!F15-'DIST 1er Sem'!F15,0)</f>
        <v>0</v>
      </c>
      <c r="G15" s="233">
        <f>ROUND(+'DIST 1 sem Cof 3'!G15-'DIST 1er Sem'!G15,0)</f>
        <v>0</v>
      </c>
      <c r="H15" s="233">
        <f>ROUND(+'DIST 1 sem Cof 3'!H15-'DIST 1er Sem'!H15,0)</f>
        <v>0</v>
      </c>
      <c r="I15" s="233">
        <f>ROUND(+'DIST 1 sem Cof 3'!I15-'DIST 1er Sem'!I15,2)</f>
        <v>82294.880000000005</v>
      </c>
      <c r="J15" s="231">
        <f t="shared" si="0"/>
        <v>-1273350.1400000001</v>
      </c>
    </row>
    <row r="16" spans="1:10">
      <c r="A16" s="137" t="s">
        <v>162</v>
      </c>
      <c r="B16" s="233">
        <f>ROUND(+'DIST 1 sem Cof 3'!B16-'DIST 1er Sem'!B16,0)</f>
        <v>0</v>
      </c>
      <c r="C16" s="233">
        <f>ROUND(+'DIST 1 sem Cof 3'!C16-'DIST 1er Sem'!C16,0)</f>
        <v>0</v>
      </c>
      <c r="D16" s="233">
        <f>ROUND(+'DIST 1 sem Cof 3'!D16-'DIST 1er Sem'!D16,2)</f>
        <v>3563722.45</v>
      </c>
      <c r="E16" s="233">
        <f>ROUND(+'DIST 1 sem Cof 3'!E16-'DIST 1er Sem'!E16,0)</f>
        <v>0</v>
      </c>
      <c r="F16" s="233">
        <f>ROUND(+'DIST 1 sem Cof 3'!F16-'DIST 1er Sem'!F16,0)</f>
        <v>0</v>
      </c>
      <c r="G16" s="233">
        <f>ROUND(+'DIST 1 sem Cof 3'!G16-'DIST 1er Sem'!G16,0)</f>
        <v>0</v>
      </c>
      <c r="H16" s="233">
        <f>ROUND(+'DIST 1 sem Cof 3'!H16-'DIST 1er Sem'!H16,0)</f>
        <v>0</v>
      </c>
      <c r="I16" s="233">
        <f>ROUND(+'DIST 1 sem Cof 3'!I16-'DIST 1er Sem'!I16,2)</f>
        <v>-21472.99</v>
      </c>
      <c r="J16" s="231">
        <f t="shared" si="0"/>
        <v>3542249.46</v>
      </c>
    </row>
    <row r="17" spans="1:10">
      <c r="A17" s="137" t="s">
        <v>7</v>
      </c>
      <c r="B17" s="233">
        <f>ROUND(+'DIST 1 sem Cof 3'!B17-'DIST 1er Sem'!B17,0)</f>
        <v>0</v>
      </c>
      <c r="C17" s="233">
        <f>ROUND(+'DIST 1 sem Cof 3'!C17-'DIST 1er Sem'!C17,0)</f>
        <v>0</v>
      </c>
      <c r="D17" s="233">
        <f>ROUND(+'DIST 1 sem Cof 3'!D17-'DIST 1er Sem'!D17,2)</f>
        <v>-541622.79</v>
      </c>
      <c r="E17" s="233">
        <f>ROUND(+'DIST 1 sem Cof 3'!E17-'DIST 1er Sem'!E17,0)</f>
        <v>0</v>
      </c>
      <c r="F17" s="233">
        <f>ROUND(+'DIST 1 sem Cof 3'!F17-'DIST 1er Sem'!F17,0)</f>
        <v>0</v>
      </c>
      <c r="G17" s="233">
        <f>ROUND(+'DIST 1 sem Cof 3'!G17-'DIST 1er Sem'!G17,0)</f>
        <v>0</v>
      </c>
      <c r="H17" s="233">
        <f>ROUND(+'DIST 1 sem Cof 3'!H17-'DIST 1er Sem'!H17,0)</f>
        <v>0</v>
      </c>
      <c r="I17" s="233">
        <f>ROUND(+'DIST 1 sem Cof 3'!I17-'DIST 1er Sem'!I17,2)</f>
        <v>-14746.17</v>
      </c>
      <c r="J17" s="231">
        <f t="shared" si="0"/>
        <v>-556368.96000000008</v>
      </c>
    </row>
    <row r="18" spans="1:10">
      <c r="A18" s="137" t="s">
        <v>163</v>
      </c>
      <c r="B18" s="233">
        <f>ROUND(+'DIST 1 sem Cof 3'!B18-'DIST 1er Sem'!B18,0)</f>
        <v>0</v>
      </c>
      <c r="C18" s="233">
        <f>ROUND(+'DIST 1 sem Cof 3'!C18-'DIST 1er Sem'!C18,0)</f>
        <v>0</v>
      </c>
      <c r="D18" s="233">
        <f>ROUND(+'DIST 1 sem Cof 3'!D18-'DIST 1er Sem'!D18,2)</f>
        <v>-347687.67</v>
      </c>
      <c r="E18" s="233">
        <f>ROUND(+'DIST 1 sem Cof 3'!E18-'DIST 1er Sem'!E18,0)</f>
        <v>0</v>
      </c>
      <c r="F18" s="233">
        <f>ROUND(+'DIST 1 sem Cof 3'!F18-'DIST 1er Sem'!F18,0)</f>
        <v>0</v>
      </c>
      <c r="G18" s="233">
        <f>ROUND(+'DIST 1 sem Cof 3'!G18-'DIST 1er Sem'!G18,0)</f>
        <v>0</v>
      </c>
      <c r="H18" s="233">
        <f>ROUND(+'DIST 1 sem Cof 3'!H18-'DIST 1er Sem'!H18,0)</f>
        <v>0</v>
      </c>
      <c r="I18" s="233">
        <f>ROUND(+'DIST 1 sem Cof 3'!I18-'DIST 1er Sem'!I18,2)</f>
        <v>31092.91</v>
      </c>
      <c r="J18" s="231">
        <f t="shared" si="0"/>
        <v>-316594.76</v>
      </c>
    </row>
    <row r="19" spans="1:10">
      <c r="A19" s="137" t="s">
        <v>8</v>
      </c>
      <c r="B19" s="233">
        <f>ROUND(+'DIST 1 sem Cof 3'!B19-'DIST 1er Sem'!B19,0)</f>
        <v>0</v>
      </c>
      <c r="C19" s="233">
        <f>ROUND(+'DIST 1 sem Cof 3'!C19-'DIST 1er Sem'!C19,0)</f>
        <v>0</v>
      </c>
      <c r="D19" s="233">
        <f>ROUND(+'DIST 1 sem Cof 3'!D19-'DIST 1er Sem'!D19,2)</f>
        <v>-726004.4</v>
      </c>
      <c r="E19" s="233">
        <f>ROUND(+'DIST 1 sem Cof 3'!E19-'DIST 1er Sem'!E19,0)</f>
        <v>0</v>
      </c>
      <c r="F19" s="233">
        <f>ROUND(+'DIST 1 sem Cof 3'!F19-'DIST 1er Sem'!F19,0)</f>
        <v>0</v>
      </c>
      <c r="G19" s="233">
        <f>ROUND(+'DIST 1 sem Cof 3'!G19-'DIST 1er Sem'!G19,0)</f>
        <v>0</v>
      </c>
      <c r="H19" s="233">
        <f>ROUND(+'DIST 1 sem Cof 3'!H19-'DIST 1er Sem'!H19,0)</f>
        <v>0</v>
      </c>
      <c r="I19" s="233">
        <f>ROUND(+'DIST 1 sem Cof 3'!I19-'DIST 1er Sem'!I19,2)</f>
        <v>103531.85</v>
      </c>
      <c r="J19" s="231">
        <f t="shared" si="0"/>
        <v>-622472.55000000005</v>
      </c>
    </row>
    <row r="20" spans="1:10">
      <c r="A20" s="137" t="s">
        <v>9</v>
      </c>
      <c r="B20" s="233">
        <f>ROUND(+'DIST 1 sem Cof 3'!B20-'DIST 1er Sem'!B20,0)</f>
        <v>0</v>
      </c>
      <c r="C20" s="233">
        <f>ROUND(+'DIST 1 sem Cof 3'!C20-'DIST 1er Sem'!C20,0)</f>
        <v>0</v>
      </c>
      <c r="D20" s="233">
        <f>ROUND(+'DIST 1 sem Cof 3'!D20-'DIST 1er Sem'!D20,2)</f>
        <v>42383.37</v>
      </c>
      <c r="E20" s="233">
        <f>ROUND(+'DIST 1 sem Cof 3'!E20-'DIST 1er Sem'!E20,0)</f>
        <v>0</v>
      </c>
      <c r="F20" s="233">
        <f>ROUND(+'DIST 1 sem Cof 3'!F20-'DIST 1er Sem'!F20,0)</f>
        <v>0</v>
      </c>
      <c r="G20" s="233">
        <f>ROUND(+'DIST 1 sem Cof 3'!G20-'DIST 1er Sem'!G20,0)</f>
        <v>0</v>
      </c>
      <c r="H20" s="233">
        <f>ROUND(+'DIST 1 sem Cof 3'!H20-'DIST 1er Sem'!H20,0)</f>
        <v>0</v>
      </c>
      <c r="I20" s="233">
        <f>ROUND(+'DIST 1 sem Cof 3'!I20-'DIST 1er Sem'!I20,2)</f>
        <v>-49170.17</v>
      </c>
      <c r="J20" s="231">
        <f t="shared" si="0"/>
        <v>-6786.7999999999956</v>
      </c>
    </row>
    <row r="21" spans="1:10">
      <c r="A21" s="137" t="s">
        <v>164</v>
      </c>
      <c r="B21" s="233">
        <f>ROUND(+'DIST 1 sem Cof 3'!B21-'DIST 1er Sem'!B21,0)</f>
        <v>0</v>
      </c>
      <c r="C21" s="233">
        <f>ROUND(+'DIST 1 sem Cof 3'!C21-'DIST 1er Sem'!C21,0)</f>
        <v>0</v>
      </c>
      <c r="D21" s="233">
        <f>ROUND(+'DIST 1 sem Cof 3'!D21-'DIST 1er Sem'!D21,2)</f>
        <v>-820869.51</v>
      </c>
      <c r="E21" s="233">
        <f>ROUND(+'DIST 1 sem Cof 3'!E21-'DIST 1er Sem'!E21,0)</f>
        <v>0</v>
      </c>
      <c r="F21" s="233">
        <f>ROUND(+'DIST 1 sem Cof 3'!F21-'DIST 1er Sem'!F21,0)</f>
        <v>0</v>
      </c>
      <c r="G21" s="233">
        <f>ROUND(+'DIST 1 sem Cof 3'!G21-'DIST 1er Sem'!G21,0)</f>
        <v>0</v>
      </c>
      <c r="H21" s="233">
        <f>ROUND(+'DIST 1 sem Cof 3'!H21-'DIST 1er Sem'!H21,0)</f>
        <v>0</v>
      </c>
      <c r="I21" s="233">
        <f>ROUND(+'DIST 1 sem Cof 3'!I21-'DIST 1er Sem'!I21,2)</f>
        <v>30231.93</v>
      </c>
      <c r="J21" s="231">
        <f t="shared" si="0"/>
        <v>-790637.58</v>
      </c>
    </row>
    <row r="22" spans="1:10">
      <c r="A22" s="137" t="s">
        <v>10</v>
      </c>
      <c r="B22" s="233">
        <f>ROUND(+'DIST 1 sem Cof 3'!B22-'DIST 1er Sem'!B22,0)</f>
        <v>0</v>
      </c>
      <c r="C22" s="233">
        <f>ROUND(+'DIST 1 sem Cof 3'!C22-'DIST 1er Sem'!C22,0)</f>
        <v>0</v>
      </c>
      <c r="D22" s="233">
        <f>ROUND(+'DIST 1 sem Cof 3'!D22-'DIST 1er Sem'!D22,2)</f>
        <v>-475308.76</v>
      </c>
      <c r="E22" s="233">
        <f>ROUND(+'DIST 1 sem Cof 3'!E22-'DIST 1er Sem'!E22,0)</f>
        <v>0</v>
      </c>
      <c r="F22" s="233">
        <f>ROUND(+'DIST 1 sem Cof 3'!F22-'DIST 1er Sem'!F22,0)</f>
        <v>0</v>
      </c>
      <c r="G22" s="233">
        <f>ROUND(+'DIST 1 sem Cof 3'!G22-'DIST 1er Sem'!G22,0)</f>
        <v>0</v>
      </c>
      <c r="H22" s="233">
        <f>ROUND(+'DIST 1 sem Cof 3'!H22-'DIST 1er Sem'!H22,0)</f>
        <v>0</v>
      </c>
      <c r="I22" s="233">
        <f>ROUND(+'DIST 1 sem Cof 3'!I22-'DIST 1er Sem'!I22,2)</f>
        <v>-31039.89</v>
      </c>
      <c r="J22" s="231">
        <f t="shared" si="0"/>
        <v>-506348.65</v>
      </c>
    </row>
    <row r="23" spans="1:10">
      <c r="A23" s="137" t="s">
        <v>165</v>
      </c>
      <c r="B23" s="233">
        <f>ROUND(+'DIST 1 sem Cof 3'!B23-'DIST 1er Sem'!B23,0)</f>
        <v>0</v>
      </c>
      <c r="C23" s="233">
        <f>ROUND(+'DIST 1 sem Cof 3'!C23-'DIST 1er Sem'!C23,0)</f>
        <v>0</v>
      </c>
      <c r="D23" s="233">
        <f>ROUND(+'DIST 1 sem Cof 3'!D23-'DIST 1er Sem'!D23,2)</f>
        <v>-116065.78</v>
      </c>
      <c r="E23" s="233">
        <f>ROUND(+'DIST 1 sem Cof 3'!E23-'DIST 1er Sem'!E23,0)</f>
        <v>0</v>
      </c>
      <c r="F23" s="233">
        <f>ROUND(+'DIST 1 sem Cof 3'!F23-'DIST 1er Sem'!F23,0)</f>
        <v>0</v>
      </c>
      <c r="G23" s="233">
        <f>ROUND(+'DIST 1 sem Cof 3'!G23-'DIST 1er Sem'!G23,0)</f>
        <v>0</v>
      </c>
      <c r="H23" s="233">
        <f>ROUND(+'DIST 1 sem Cof 3'!H23-'DIST 1er Sem'!H23,0)</f>
        <v>0</v>
      </c>
      <c r="I23" s="233">
        <f>ROUND(+'DIST 1 sem Cof 3'!I23-'DIST 1er Sem'!I23,2)</f>
        <v>113349.46</v>
      </c>
      <c r="J23" s="231">
        <f t="shared" si="0"/>
        <v>-2716.3199999999924</v>
      </c>
    </row>
    <row r="24" spans="1:10">
      <c r="A24" s="137" t="s">
        <v>11</v>
      </c>
      <c r="B24" s="233">
        <f>ROUND(+'DIST 1 sem Cof 3'!B24-'DIST 1er Sem'!B24,0)</f>
        <v>0</v>
      </c>
      <c r="C24" s="233">
        <f>ROUND(+'DIST 1 sem Cof 3'!C24-'DIST 1er Sem'!C24,0)</f>
        <v>0</v>
      </c>
      <c r="D24" s="233">
        <f>ROUND(+'DIST 1 sem Cof 3'!D24-'DIST 1er Sem'!D24,2)</f>
        <v>-115282.06</v>
      </c>
      <c r="E24" s="233">
        <f>ROUND(+'DIST 1 sem Cof 3'!E24-'DIST 1er Sem'!E24,0)</f>
        <v>0</v>
      </c>
      <c r="F24" s="233">
        <f>ROUND(+'DIST 1 sem Cof 3'!F24-'DIST 1er Sem'!F24,0)</f>
        <v>0</v>
      </c>
      <c r="G24" s="233">
        <f>ROUND(+'DIST 1 sem Cof 3'!G24-'DIST 1er Sem'!G24,0)</f>
        <v>0</v>
      </c>
      <c r="H24" s="233">
        <f>ROUND(+'DIST 1 sem Cof 3'!H24-'DIST 1er Sem'!H24,0)</f>
        <v>0</v>
      </c>
      <c r="I24" s="233">
        <f>ROUND(+'DIST 1 sem Cof 3'!I24-'DIST 1er Sem'!I24,2)</f>
        <v>15312.98</v>
      </c>
      <c r="J24" s="231">
        <f t="shared" si="0"/>
        <v>-99969.08</v>
      </c>
    </row>
    <row r="25" spans="1:10">
      <c r="A25" s="137" t="s">
        <v>12</v>
      </c>
      <c r="B25" s="233">
        <f>ROUND(+'DIST 1 sem Cof 3'!B25-'DIST 1er Sem'!B25,0)</f>
        <v>0</v>
      </c>
      <c r="C25" s="233">
        <f>ROUND(+'DIST 1 sem Cof 3'!C25-'DIST 1er Sem'!C25,0)</f>
        <v>0</v>
      </c>
      <c r="D25" s="233">
        <f>ROUND(+'DIST 1 sem Cof 3'!D25-'DIST 1er Sem'!D25,2)</f>
        <v>-330655.55</v>
      </c>
      <c r="E25" s="233">
        <f>ROUND(+'DIST 1 sem Cof 3'!E25-'DIST 1er Sem'!E25,0)</f>
        <v>0</v>
      </c>
      <c r="F25" s="233">
        <f>ROUND(+'DIST 1 sem Cof 3'!F25-'DIST 1er Sem'!F25,0)</f>
        <v>0</v>
      </c>
      <c r="G25" s="233">
        <f>ROUND(+'DIST 1 sem Cof 3'!G25-'DIST 1er Sem'!G25,0)</f>
        <v>0</v>
      </c>
      <c r="H25" s="233">
        <f>ROUND(+'DIST 1 sem Cof 3'!H25-'DIST 1er Sem'!H25,0)</f>
        <v>0</v>
      </c>
      <c r="I25" s="233">
        <f>ROUND(+'DIST 1 sem Cof 3'!I25-'DIST 1er Sem'!I25,2)</f>
        <v>-111310.77</v>
      </c>
      <c r="J25" s="231">
        <f t="shared" si="0"/>
        <v>-441966.32</v>
      </c>
    </row>
    <row r="26" spans="1:10">
      <c r="A26" s="137" t="s">
        <v>166</v>
      </c>
      <c r="B26" s="233">
        <f>ROUND(+'DIST 1 sem Cof 3'!B26-'DIST 1er Sem'!B26,0)</f>
        <v>0</v>
      </c>
      <c r="C26" s="233">
        <f>ROUND(+'DIST 1 sem Cof 3'!C26-'DIST 1er Sem'!C26,0)</f>
        <v>0</v>
      </c>
      <c r="D26" s="233">
        <f>ROUND(+'DIST 1 sem Cof 3'!D26-'DIST 1er Sem'!D26,2)</f>
        <v>-731766.17</v>
      </c>
      <c r="E26" s="233">
        <f>ROUND(+'DIST 1 sem Cof 3'!E26-'DIST 1er Sem'!E26,0)</f>
        <v>0</v>
      </c>
      <c r="F26" s="233">
        <f>ROUND(+'DIST 1 sem Cof 3'!F26-'DIST 1er Sem'!F26,0)</f>
        <v>0</v>
      </c>
      <c r="G26" s="233">
        <f>ROUND(+'DIST 1 sem Cof 3'!G26-'DIST 1er Sem'!G26,0)</f>
        <v>0</v>
      </c>
      <c r="H26" s="233">
        <f>ROUND(+'DIST 1 sem Cof 3'!H26-'DIST 1er Sem'!H26,0)</f>
        <v>0</v>
      </c>
      <c r="I26" s="233">
        <f>ROUND(+'DIST 1 sem Cof 3'!I26-'DIST 1er Sem'!I26,2)</f>
        <v>3623.51</v>
      </c>
      <c r="J26" s="231">
        <f t="shared" si="0"/>
        <v>-728142.66</v>
      </c>
    </row>
    <row r="27" spans="1:10">
      <c r="A27" s="137" t="s">
        <v>13</v>
      </c>
      <c r="B27" s="233">
        <f>ROUND(+'DIST 1 sem Cof 3'!B27-'DIST 1er Sem'!B27,0)</f>
        <v>0</v>
      </c>
      <c r="C27" s="233">
        <f>ROUND(+'DIST 1 sem Cof 3'!C27-'DIST 1er Sem'!C27,0)</f>
        <v>0</v>
      </c>
      <c r="D27" s="233">
        <f>ROUND(+'DIST 1 sem Cof 3'!D27-'DIST 1er Sem'!D27,2)</f>
        <v>-1257257.5</v>
      </c>
      <c r="E27" s="233">
        <f>ROUND(+'DIST 1 sem Cof 3'!E27-'DIST 1er Sem'!E27,0)</f>
        <v>0</v>
      </c>
      <c r="F27" s="233">
        <f>ROUND(+'DIST 1 sem Cof 3'!F27-'DIST 1er Sem'!F27,0)</f>
        <v>0</v>
      </c>
      <c r="G27" s="233">
        <f>ROUND(+'DIST 1 sem Cof 3'!G27-'DIST 1er Sem'!G27,0)</f>
        <v>0</v>
      </c>
      <c r="H27" s="233">
        <f>ROUND(+'DIST 1 sem Cof 3'!H27-'DIST 1er Sem'!H27,0)</f>
        <v>0</v>
      </c>
      <c r="I27" s="233">
        <f>ROUND(+'DIST 1 sem Cof 3'!I27-'DIST 1er Sem'!I27,2)</f>
        <v>25850.09</v>
      </c>
      <c r="J27" s="231">
        <f t="shared" si="0"/>
        <v>-1231407.4099999999</v>
      </c>
    </row>
    <row r="28" spans="1:10">
      <c r="A28" s="137" t="s">
        <v>14</v>
      </c>
      <c r="B28" s="233">
        <f>ROUND(+'DIST 1 sem Cof 3'!B28-'DIST 1er Sem'!B28,0)</f>
        <v>0</v>
      </c>
      <c r="C28" s="233">
        <f>ROUND(+'DIST 1 sem Cof 3'!C28-'DIST 1er Sem'!C28,0)</f>
        <v>0</v>
      </c>
      <c r="D28" s="233">
        <f>ROUND(+'DIST 1 sem Cof 3'!D28-'DIST 1er Sem'!D28,2)</f>
        <v>383566.22</v>
      </c>
      <c r="E28" s="233">
        <f>ROUND(+'DIST 1 sem Cof 3'!E28-'DIST 1er Sem'!E28,0)</f>
        <v>0</v>
      </c>
      <c r="F28" s="233">
        <f>ROUND(+'DIST 1 sem Cof 3'!F28-'DIST 1er Sem'!F28,0)</f>
        <v>0</v>
      </c>
      <c r="G28" s="233">
        <f>ROUND(+'DIST 1 sem Cof 3'!G28-'DIST 1er Sem'!G28,0)</f>
        <v>0</v>
      </c>
      <c r="H28" s="233">
        <f>ROUND(+'DIST 1 sem Cof 3'!H28-'DIST 1er Sem'!H28,0)</f>
        <v>0</v>
      </c>
      <c r="I28" s="233">
        <f>ROUND(+'DIST 1 sem Cof 3'!I28-'DIST 1er Sem'!I28,2)</f>
        <v>4598.08</v>
      </c>
      <c r="J28" s="231">
        <f t="shared" si="0"/>
        <v>388164.3</v>
      </c>
    </row>
    <row r="29" spans="1:10">
      <c r="A29" s="137" t="s">
        <v>15</v>
      </c>
      <c r="B29" s="233">
        <f>ROUND(+'DIST 1 sem Cof 3'!B29-'DIST 1er Sem'!B29,0)</f>
        <v>0</v>
      </c>
      <c r="C29" s="233">
        <f>ROUND(+'DIST 1 sem Cof 3'!C29-'DIST 1er Sem'!C29,0)</f>
        <v>0</v>
      </c>
      <c r="D29" s="233">
        <f>ROUND(+'DIST 1 sem Cof 3'!D29-'DIST 1er Sem'!D29,2)</f>
        <v>2127023.46</v>
      </c>
      <c r="E29" s="233">
        <f>ROUND(+'DIST 1 sem Cof 3'!E29-'DIST 1er Sem'!E29,0)</f>
        <v>0</v>
      </c>
      <c r="F29" s="233">
        <f>ROUND(+'DIST 1 sem Cof 3'!F29-'DIST 1er Sem'!F29,0)</f>
        <v>0</v>
      </c>
      <c r="G29" s="233">
        <f>ROUND(+'DIST 1 sem Cof 3'!G29-'DIST 1er Sem'!G29,0)</f>
        <v>0</v>
      </c>
      <c r="H29" s="233">
        <f>ROUND(+'DIST 1 sem Cof 3'!H29-'DIST 1er Sem'!H29,0)</f>
        <v>0</v>
      </c>
      <c r="I29" s="233">
        <f>ROUND(+'DIST 1 sem Cof 3'!I29-'DIST 1er Sem'!I29,2)</f>
        <v>95951.02</v>
      </c>
      <c r="J29" s="231">
        <f t="shared" si="0"/>
        <v>2222974.48</v>
      </c>
    </row>
    <row r="30" spans="1:10">
      <c r="A30" s="137" t="s">
        <v>16</v>
      </c>
      <c r="B30" s="233">
        <f>ROUND(+'DIST 1 sem Cof 3'!B30-'DIST 1er Sem'!B30,0)</f>
        <v>0</v>
      </c>
      <c r="C30" s="233">
        <f>ROUND(+'DIST 1 sem Cof 3'!C30-'DIST 1er Sem'!C30,0)</f>
        <v>0</v>
      </c>
      <c r="D30" s="233">
        <f>ROUND(+'DIST 1 sem Cof 3'!D30-'DIST 1er Sem'!D30,2)</f>
        <v>-361553.87</v>
      </c>
      <c r="E30" s="233">
        <f>ROUND(+'DIST 1 sem Cof 3'!E30-'DIST 1er Sem'!E30,0)</f>
        <v>0</v>
      </c>
      <c r="F30" s="233">
        <f>ROUND(+'DIST 1 sem Cof 3'!F30-'DIST 1er Sem'!F30,0)</f>
        <v>0</v>
      </c>
      <c r="G30" s="233">
        <f>ROUND(+'DIST 1 sem Cof 3'!G30-'DIST 1er Sem'!G30,0)</f>
        <v>0</v>
      </c>
      <c r="H30" s="233">
        <f>ROUND(+'DIST 1 sem Cof 3'!H30-'DIST 1er Sem'!H30,0)</f>
        <v>0</v>
      </c>
      <c r="I30" s="233">
        <f>ROUND(+'DIST 1 sem Cof 3'!I30-'DIST 1er Sem'!I30,2)</f>
        <v>-277948.13</v>
      </c>
      <c r="J30" s="231">
        <f t="shared" si="0"/>
        <v>-639502</v>
      </c>
    </row>
    <row r="31" spans="1:10">
      <c r="A31" s="137" t="s">
        <v>167</v>
      </c>
      <c r="B31" s="233">
        <f>ROUND(+'DIST 1 sem Cof 3'!B31-'DIST 1er Sem'!B31,0)</f>
        <v>0</v>
      </c>
      <c r="C31" s="233">
        <f>ROUND(+'DIST 1 sem Cof 3'!C31-'DIST 1er Sem'!C31,0)</f>
        <v>0</v>
      </c>
      <c r="D31" s="233">
        <f>ROUND(+'DIST 1 sem Cof 3'!D31-'DIST 1er Sem'!D31,2)</f>
        <v>-699177.34</v>
      </c>
      <c r="E31" s="233">
        <f>ROUND(+'DIST 1 sem Cof 3'!E31-'DIST 1er Sem'!E31,0)</f>
        <v>0</v>
      </c>
      <c r="F31" s="233">
        <f>ROUND(+'DIST 1 sem Cof 3'!F31-'DIST 1er Sem'!F31,0)</f>
        <v>0</v>
      </c>
      <c r="G31" s="233">
        <f>ROUND(+'DIST 1 sem Cof 3'!G31-'DIST 1er Sem'!G31,0)</f>
        <v>0</v>
      </c>
      <c r="H31" s="233">
        <f>ROUND(+'DIST 1 sem Cof 3'!H31-'DIST 1er Sem'!H31,0)</f>
        <v>0</v>
      </c>
      <c r="I31" s="233">
        <f>ROUND(+'DIST 1 sem Cof 3'!I31-'DIST 1er Sem'!I31,2)</f>
        <v>-14682.96</v>
      </c>
      <c r="J31" s="231">
        <f t="shared" si="0"/>
        <v>-713860.29999999993</v>
      </c>
    </row>
    <row r="32" spans="1:10">
      <c r="A32" s="137" t="s">
        <v>17</v>
      </c>
      <c r="B32" s="233">
        <f>ROUND(+'DIST 1 sem Cof 3'!B32-'DIST 1er Sem'!B32,0)</f>
        <v>0</v>
      </c>
      <c r="C32" s="233">
        <f>ROUND(+'DIST 1 sem Cof 3'!C32-'DIST 1er Sem'!C32,0)</f>
        <v>0</v>
      </c>
      <c r="D32" s="233">
        <f>ROUND(+'DIST 1 sem Cof 3'!D32-'DIST 1er Sem'!D32,2)</f>
        <v>323291.21000000002</v>
      </c>
      <c r="E32" s="233">
        <f>ROUND(+'DIST 1 sem Cof 3'!E32-'DIST 1er Sem'!E32,0)</f>
        <v>0</v>
      </c>
      <c r="F32" s="233">
        <f>ROUND(+'DIST 1 sem Cof 3'!F32-'DIST 1er Sem'!F32,0)</f>
        <v>0</v>
      </c>
      <c r="G32" s="233">
        <f>ROUND(+'DIST 1 sem Cof 3'!G32-'DIST 1er Sem'!G32,0)</f>
        <v>0</v>
      </c>
      <c r="H32" s="233">
        <f>ROUND(+'DIST 1 sem Cof 3'!H32-'DIST 1er Sem'!H32,0)</f>
        <v>0</v>
      </c>
      <c r="I32" s="233">
        <f>ROUND(+'DIST 1 sem Cof 3'!I32-'DIST 1er Sem'!I32,2)</f>
        <v>-35618.6</v>
      </c>
      <c r="J32" s="231">
        <f t="shared" si="0"/>
        <v>287672.61000000004</v>
      </c>
    </row>
    <row r="33" spans="1:10">
      <c r="A33" s="137" t="s">
        <v>18</v>
      </c>
      <c r="B33" s="233">
        <f>ROUND(+'DIST 1 sem Cof 3'!B33-'DIST 1er Sem'!B33,0)</f>
        <v>0</v>
      </c>
      <c r="C33" s="233">
        <f>ROUND(+'DIST 1 sem Cof 3'!C33-'DIST 1er Sem'!C33,0)</f>
        <v>0</v>
      </c>
      <c r="D33" s="233">
        <f>ROUND(+'DIST 1 sem Cof 3'!D33-'DIST 1er Sem'!D33,2)</f>
        <v>399576.76</v>
      </c>
      <c r="E33" s="233">
        <f>ROUND(+'DIST 1 sem Cof 3'!E33-'DIST 1er Sem'!E33,0)</f>
        <v>0</v>
      </c>
      <c r="F33" s="233">
        <f>ROUND(+'DIST 1 sem Cof 3'!F33-'DIST 1er Sem'!F33,0)</f>
        <v>0</v>
      </c>
      <c r="G33" s="233">
        <f>ROUND(+'DIST 1 sem Cof 3'!G33-'DIST 1er Sem'!G33,0)</f>
        <v>0</v>
      </c>
      <c r="H33" s="233">
        <f>ROUND(+'DIST 1 sem Cof 3'!H33-'DIST 1er Sem'!H33,0)</f>
        <v>0</v>
      </c>
      <c r="I33" s="233">
        <f>ROUND(+'DIST 1 sem Cof 3'!I33-'DIST 1er Sem'!I33,2)</f>
        <v>-31262.94</v>
      </c>
      <c r="J33" s="231">
        <f t="shared" si="0"/>
        <v>368313.82</v>
      </c>
    </row>
    <row r="34" spans="1:10">
      <c r="A34" s="137" t="s">
        <v>19</v>
      </c>
      <c r="B34" s="233">
        <f>ROUND(+'DIST 1 sem Cof 3'!B34-'DIST 1er Sem'!B34,0)</f>
        <v>0</v>
      </c>
      <c r="C34" s="233">
        <f>ROUND(+'DIST 1 sem Cof 3'!C34-'DIST 1er Sem'!C34,0)</f>
        <v>0</v>
      </c>
      <c r="D34" s="233">
        <f>ROUND(+'DIST 1 sem Cof 3'!D34-'DIST 1er Sem'!D34,2)</f>
        <v>118700.99</v>
      </c>
      <c r="E34" s="233">
        <f>ROUND(+'DIST 1 sem Cof 3'!E34-'DIST 1er Sem'!E34,0)</f>
        <v>0</v>
      </c>
      <c r="F34" s="233">
        <f>ROUND(+'DIST 1 sem Cof 3'!F34-'DIST 1er Sem'!F34,0)</f>
        <v>0</v>
      </c>
      <c r="G34" s="233">
        <f>ROUND(+'DIST 1 sem Cof 3'!G34-'DIST 1er Sem'!G34,0)</f>
        <v>0</v>
      </c>
      <c r="H34" s="233">
        <f>ROUND(+'DIST 1 sem Cof 3'!H34-'DIST 1er Sem'!H34,0)</f>
        <v>0</v>
      </c>
      <c r="I34" s="233">
        <f>ROUND(+'DIST 1 sem Cof 3'!I34-'DIST 1er Sem'!I34,2)</f>
        <v>-13775.22</v>
      </c>
      <c r="J34" s="231">
        <f t="shared" si="0"/>
        <v>104925.77</v>
      </c>
    </row>
    <row r="35" spans="1:10">
      <c r="A35" s="137" t="s">
        <v>20</v>
      </c>
      <c r="B35" s="233">
        <f>ROUND(+'DIST 1 sem Cof 3'!B35-'DIST 1er Sem'!B35,0)</f>
        <v>0</v>
      </c>
      <c r="C35" s="233">
        <f>ROUND(+'DIST 1 sem Cof 3'!C35-'DIST 1er Sem'!C35,0)</f>
        <v>0</v>
      </c>
      <c r="D35" s="233">
        <f>ROUND(+'DIST 1 sem Cof 3'!D35-'DIST 1er Sem'!D35,2)</f>
        <v>405316.7</v>
      </c>
      <c r="E35" s="233">
        <f>ROUND(+'DIST 1 sem Cof 3'!E35-'DIST 1er Sem'!E35,0)</f>
        <v>0</v>
      </c>
      <c r="F35" s="233">
        <f>ROUND(+'DIST 1 sem Cof 3'!F35-'DIST 1er Sem'!F35,0)</f>
        <v>0</v>
      </c>
      <c r="G35" s="233">
        <f>ROUND(+'DIST 1 sem Cof 3'!G35-'DIST 1er Sem'!G35,0)</f>
        <v>0</v>
      </c>
      <c r="H35" s="233">
        <f>ROUND(+'DIST 1 sem Cof 3'!H35-'DIST 1er Sem'!H35,0)</f>
        <v>0</v>
      </c>
      <c r="I35" s="233">
        <f>ROUND(+'DIST 1 sem Cof 3'!I35-'DIST 1er Sem'!I35,2)</f>
        <v>25490.83</v>
      </c>
      <c r="J35" s="231">
        <f t="shared" si="0"/>
        <v>430807.53</v>
      </c>
    </row>
    <row r="36" spans="1:10">
      <c r="A36" s="137" t="s">
        <v>168</v>
      </c>
      <c r="B36" s="233">
        <f>ROUND(+'DIST 1 sem Cof 3'!B36-'DIST 1er Sem'!B36,0)</f>
        <v>0</v>
      </c>
      <c r="C36" s="233">
        <f>ROUND(+'DIST 1 sem Cof 3'!C36-'DIST 1er Sem'!C36,0)</f>
        <v>0</v>
      </c>
      <c r="D36" s="233">
        <f>ROUND(+'DIST 1 sem Cof 3'!D36-'DIST 1er Sem'!D36,2)</f>
        <v>0</v>
      </c>
      <c r="E36" s="233">
        <f>ROUND(+'DIST 1 sem Cof 3'!E36-'DIST 1er Sem'!E36,0)</f>
        <v>0</v>
      </c>
      <c r="F36" s="233">
        <f>ROUND(+'DIST 1 sem Cof 3'!F36-'DIST 1er Sem'!F36,0)</f>
        <v>0</v>
      </c>
      <c r="G36" s="233">
        <f>ROUND(+'DIST 1 sem Cof 3'!G36-'DIST 1er Sem'!G36,0)</f>
        <v>0</v>
      </c>
      <c r="H36" s="233">
        <f>ROUND(+'DIST 1 sem Cof 3'!H36-'DIST 1er Sem'!H36,0)</f>
        <v>0</v>
      </c>
      <c r="I36" s="233">
        <f>ROUND(+'DIST 1 sem Cof 3'!I36-'DIST 1er Sem'!I36,2)</f>
        <v>113115.72</v>
      </c>
      <c r="J36" s="231">
        <f t="shared" si="0"/>
        <v>113115.72</v>
      </c>
    </row>
    <row r="37" spans="1:10">
      <c r="A37" s="137" t="s">
        <v>21</v>
      </c>
      <c r="B37" s="233">
        <f>ROUND(+'DIST 1 sem Cof 3'!B37-'DIST 1er Sem'!B37,0)</f>
        <v>0</v>
      </c>
      <c r="C37" s="233">
        <f>ROUND(+'DIST 1 sem Cof 3'!C37-'DIST 1er Sem'!C37,0)</f>
        <v>0</v>
      </c>
      <c r="D37" s="233">
        <f>ROUND(+'DIST 1 sem Cof 3'!D37-'DIST 1er Sem'!D37,2)</f>
        <v>-594171.73</v>
      </c>
      <c r="E37" s="233">
        <f>ROUND(+'DIST 1 sem Cof 3'!E37-'DIST 1er Sem'!E37,0)</f>
        <v>0</v>
      </c>
      <c r="F37" s="233">
        <f>ROUND(+'DIST 1 sem Cof 3'!F37-'DIST 1er Sem'!F37,0)</f>
        <v>0</v>
      </c>
      <c r="G37" s="233">
        <f>ROUND(+'DIST 1 sem Cof 3'!G37-'DIST 1er Sem'!G37,0)</f>
        <v>0</v>
      </c>
      <c r="H37" s="233">
        <f>ROUND(+'DIST 1 sem Cof 3'!H37-'DIST 1er Sem'!H37,0)</f>
        <v>0</v>
      </c>
      <c r="I37" s="233">
        <f>ROUND(+'DIST 1 sem Cof 3'!I37-'DIST 1er Sem'!I37,2)</f>
        <v>-29597.94</v>
      </c>
      <c r="J37" s="231">
        <f t="shared" si="0"/>
        <v>-623769.66999999993</v>
      </c>
    </row>
    <row r="38" spans="1:10">
      <c r="A38" s="137" t="s">
        <v>22</v>
      </c>
      <c r="B38" s="233">
        <f>ROUND(+'DIST 1 sem Cof 3'!B38-'DIST 1er Sem'!B38,0)</f>
        <v>0</v>
      </c>
      <c r="C38" s="233">
        <f>ROUND(+'DIST 1 sem Cof 3'!C38-'DIST 1er Sem'!C38,0)</f>
        <v>0</v>
      </c>
      <c r="D38" s="233">
        <f>ROUND(+'DIST 1 sem Cof 3'!D38-'DIST 1er Sem'!D38,2)</f>
        <v>-206766.55</v>
      </c>
      <c r="E38" s="233">
        <f>ROUND(+'DIST 1 sem Cof 3'!E38-'DIST 1er Sem'!E38,0)</f>
        <v>0</v>
      </c>
      <c r="F38" s="233">
        <f>ROUND(+'DIST 1 sem Cof 3'!F38-'DIST 1er Sem'!F38,0)</f>
        <v>0</v>
      </c>
      <c r="G38" s="233">
        <f>ROUND(+'DIST 1 sem Cof 3'!G38-'DIST 1er Sem'!G38,0)</f>
        <v>0</v>
      </c>
      <c r="H38" s="233">
        <f>ROUND(+'DIST 1 sem Cof 3'!H38-'DIST 1er Sem'!H38,0)</f>
        <v>0</v>
      </c>
      <c r="I38" s="233">
        <f>ROUND(+'DIST 1 sem Cof 3'!I38-'DIST 1er Sem'!I38,2)</f>
        <v>-11529.23</v>
      </c>
      <c r="J38" s="231">
        <f t="shared" si="0"/>
        <v>-218295.78</v>
      </c>
    </row>
    <row r="39" spans="1:10">
      <c r="A39" s="137" t="s">
        <v>169</v>
      </c>
      <c r="B39" s="233">
        <f>ROUND(+'DIST 1 sem Cof 3'!B39-'DIST 1er Sem'!B39,0)</f>
        <v>0</v>
      </c>
      <c r="C39" s="233">
        <f>ROUND(+'DIST 1 sem Cof 3'!C39-'DIST 1er Sem'!C39,0)</f>
        <v>0</v>
      </c>
      <c r="D39" s="233">
        <f>ROUND(+'DIST 1 sem Cof 3'!D39-'DIST 1er Sem'!D39,2)</f>
        <v>-3517398.01</v>
      </c>
      <c r="E39" s="233">
        <f>ROUND(+'DIST 1 sem Cof 3'!E39-'DIST 1er Sem'!E39,0)</f>
        <v>0</v>
      </c>
      <c r="F39" s="233">
        <f>ROUND(+'DIST 1 sem Cof 3'!F39-'DIST 1er Sem'!F39,0)</f>
        <v>0</v>
      </c>
      <c r="G39" s="233">
        <f>ROUND(+'DIST 1 sem Cof 3'!G39-'DIST 1er Sem'!G39,0)</f>
        <v>0</v>
      </c>
      <c r="H39" s="233">
        <f>ROUND(+'DIST 1 sem Cof 3'!H39-'DIST 1er Sem'!H39,0)</f>
        <v>0</v>
      </c>
      <c r="I39" s="233">
        <f>ROUND(+'DIST 1 sem Cof 3'!I39-'DIST 1er Sem'!I39,2)</f>
        <v>-38332.959999999999</v>
      </c>
      <c r="J39" s="231">
        <f t="shared" si="0"/>
        <v>-3555730.9699999997</v>
      </c>
    </row>
    <row r="40" spans="1:10">
      <c r="A40" s="137" t="s">
        <v>23</v>
      </c>
      <c r="B40" s="233">
        <f>ROUND(+'DIST 1 sem Cof 3'!B40-'DIST 1er Sem'!B40,0)</f>
        <v>0</v>
      </c>
      <c r="C40" s="233">
        <f>ROUND(+'DIST 1 sem Cof 3'!C40-'DIST 1er Sem'!C40,0)</f>
        <v>0</v>
      </c>
      <c r="D40" s="233">
        <f>ROUND(+'DIST 1 sem Cof 3'!D40-'DIST 1er Sem'!D40,2)</f>
        <v>-146236.29</v>
      </c>
      <c r="E40" s="233">
        <f>ROUND(+'DIST 1 sem Cof 3'!E40-'DIST 1er Sem'!E40,0)</f>
        <v>0</v>
      </c>
      <c r="F40" s="233">
        <f>ROUND(+'DIST 1 sem Cof 3'!F40-'DIST 1er Sem'!F40,0)</f>
        <v>0</v>
      </c>
      <c r="G40" s="233">
        <f>ROUND(+'DIST 1 sem Cof 3'!G40-'DIST 1er Sem'!G40,0)</f>
        <v>0</v>
      </c>
      <c r="H40" s="233">
        <f>ROUND(+'DIST 1 sem Cof 3'!H40-'DIST 1er Sem'!H40,0)</f>
        <v>0</v>
      </c>
      <c r="I40" s="233">
        <f>ROUND(+'DIST 1 sem Cof 3'!I40-'DIST 1er Sem'!I40,2)</f>
        <v>-77996.77</v>
      </c>
      <c r="J40" s="231">
        <f t="shared" si="0"/>
        <v>-224233.06</v>
      </c>
    </row>
    <row r="41" spans="1:10">
      <c r="A41" s="137" t="s">
        <v>24</v>
      </c>
      <c r="B41" s="233">
        <f>ROUND(+'DIST 1 sem Cof 3'!B41-'DIST 1er Sem'!B41,0)</f>
        <v>0</v>
      </c>
      <c r="C41" s="233">
        <f>ROUND(+'DIST 1 sem Cof 3'!C41-'DIST 1er Sem'!C41,0)</f>
        <v>0</v>
      </c>
      <c r="D41" s="233">
        <f>ROUND(+'DIST 1 sem Cof 3'!D41-'DIST 1er Sem'!D41,2)</f>
        <v>-21836.14</v>
      </c>
      <c r="E41" s="233">
        <f>ROUND(+'DIST 1 sem Cof 3'!E41-'DIST 1er Sem'!E41,0)</f>
        <v>0</v>
      </c>
      <c r="F41" s="233">
        <f>ROUND(+'DIST 1 sem Cof 3'!F41-'DIST 1er Sem'!F41,0)</f>
        <v>0</v>
      </c>
      <c r="G41" s="233">
        <f>ROUND(+'DIST 1 sem Cof 3'!G41-'DIST 1er Sem'!G41,0)</f>
        <v>0</v>
      </c>
      <c r="H41" s="233">
        <f>ROUND(+'DIST 1 sem Cof 3'!H41-'DIST 1er Sem'!H41,0)</f>
        <v>0</v>
      </c>
      <c r="I41" s="233">
        <f>ROUND(+'DIST 1 sem Cof 3'!I41-'DIST 1er Sem'!I41,2)</f>
        <v>75003.649999999994</v>
      </c>
      <c r="J41" s="231">
        <f t="shared" si="0"/>
        <v>53167.509999999995</v>
      </c>
    </row>
    <row r="42" spans="1:10">
      <c r="A42" s="137" t="s">
        <v>25</v>
      </c>
      <c r="B42" s="233">
        <f>ROUND(+'DIST 1 sem Cof 3'!B42-'DIST 1er Sem'!B42,0)</f>
        <v>0</v>
      </c>
      <c r="C42" s="233">
        <f>ROUND(+'DIST 1 sem Cof 3'!C42-'DIST 1er Sem'!C42,0)</f>
        <v>0</v>
      </c>
      <c r="D42" s="233">
        <f>ROUND(+'DIST 1 sem Cof 3'!D42-'DIST 1er Sem'!D42,2)</f>
        <v>813088.29</v>
      </c>
      <c r="E42" s="233">
        <f>ROUND(+'DIST 1 sem Cof 3'!E42-'DIST 1er Sem'!E42,0)</f>
        <v>0</v>
      </c>
      <c r="F42" s="233">
        <f>ROUND(+'DIST 1 sem Cof 3'!F42-'DIST 1er Sem'!F42,0)</f>
        <v>0</v>
      </c>
      <c r="G42" s="233">
        <f>ROUND(+'DIST 1 sem Cof 3'!G42-'DIST 1er Sem'!G42,0)</f>
        <v>0</v>
      </c>
      <c r="H42" s="233">
        <f>ROUND(+'DIST 1 sem Cof 3'!H42-'DIST 1er Sem'!H42,0)</f>
        <v>0</v>
      </c>
      <c r="I42" s="233">
        <f>ROUND(+'DIST 1 sem Cof 3'!I42-'DIST 1er Sem'!I42,2)</f>
        <v>-8814.57</v>
      </c>
      <c r="J42" s="231">
        <f t="shared" si="0"/>
        <v>804273.72000000009</v>
      </c>
    </row>
    <row r="43" spans="1:10">
      <c r="A43" s="137" t="s">
        <v>26</v>
      </c>
      <c r="B43" s="233">
        <f>ROUND(+'DIST 1 sem Cof 3'!B43-'DIST 1er Sem'!B43,0)</f>
        <v>0</v>
      </c>
      <c r="C43" s="233">
        <f>ROUND(+'DIST 1 sem Cof 3'!C43-'DIST 1er Sem'!C43,0)</f>
        <v>0</v>
      </c>
      <c r="D43" s="233">
        <f>ROUND(+'DIST 1 sem Cof 3'!D43-'DIST 1er Sem'!D43,2)</f>
        <v>943418.06</v>
      </c>
      <c r="E43" s="233">
        <f>ROUND(+'DIST 1 sem Cof 3'!E43-'DIST 1er Sem'!E43,0)</f>
        <v>0</v>
      </c>
      <c r="F43" s="233">
        <f>ROUND(+'DIST 1 sem Cof 3'!F43-'DIST 1er Sem'!F43,0)</f>
        <v>0</v>
      </c>
      <c r="G43" s="233">
        <f>ROUND(+'DIST 1 sem Cof 3'!G43-'DIST 1er Sem'!G43,0)</f>
        <v>0</v>
      </c>
      <c r="H43" s="233">
        <f>ROUND(+'DIST 1 sem Cof 3'!H43-'DIST 1er Sem'!H43,0)</f>
        <v>0</v>
      </c>
      <c r="I43" s="233">
        <f>ROUND(+'DIST 1 sem Cof 3'!I43-'DIST 1er Sem'!I43,2)</f>
        <v>-1035.4000000000001</v>
      </c>
      <c r="J43" s="231">
        <f t="shared" si="0"/>
        <v>942382.66</v>
      </c>
    </row>
    <row r="44" spans="1:10">
      <c r="A44" s="137" t="s">
        <v>27</v>
      </c>
      <c r="B44" s="233">
        <f>ROUND(+'DIST 1 sem Cof 3'!B44-'DIST 1er Sem'!B44,0)</f>
        <v>0</v>
      </c>
      <c r="C44" s="233">
        <f>ROUND(+'DIST 1 sem Cof 3'!C44-'DIST 1er Sem'!C44,0)</f>
        <v>0</v>
      </c>
      <c r="D44" s="233">
        <f>ROUND(+'DIST 1 sem Cof 3'!D44-'DIST 1er Sem'!D44,2)</f>
        <v>0</v>
      </c>
      <c r="E44" s="233">
        <f>ROUND(+'DIST 1 sem Cof 3'!E44-'DIST 1er Sem'!E44,0)</f>
        <v>0</v>
      </c>
      <c r="F44" s="233">
        <f>ROUND(+'DIST 1 sem Cof 3'!F44-'DIST 1er Sem'!F44,0)</f>
        <v>0</v>
      </c>
      <c r="G44" s="233">
        <f>ROUND(+'DIST 1 sem Cof 3'!G44-'DIST 1er Sem'!G44,0)</f>
        <v>0</v>
      </c>
      <c r="H44" s="233">
        <f>ROUND(+'DIST 1 sem Cof 3'!H44-'DIST 1er Sem'!H44,0)</f>
        <v>0</v>
      </c>
      <c r="I44" s="233">
        <f>ROUND(+'DIST 1 sem Cof 3'!I44-'DIST 1er Sem'!I44,2)</f>
        <v>-62751.22</v>
      </c>
      <c r="J44" s="231">
        <f t="shared" si="0"/>
        <v>-62751.22</v>
      </c>
    </row>
    <row r="45" spans="1:10">
      <c r="A45" s="137" t="s">
        <v>170</v>
      </c>
      <c r="B45" s="233">
        <f>ROUND(+'DIST 1 sem Cof 3'!B45-'DIST 1er Sem'!B45,0)</f>
        <v>0</v>
      </c>
      <c r="C45" s="233">
        <f>ROUND(+'DIST 1 sem Cof 3'!C45-'DIST 1er Sem'!C45,0)</f>
        <v>0</v>
      </c>
      <c r="D45" s="233">
        <f>ROUND(+'DIST 1 sem Cof 3'!D45-'DIST 1er Sem'!D45,2)</f>
        <v>45180.07</v>
      </c>
      <c r="E45" s="233">
        <f>ROUND(+'DIST 1 sem Cof 3'!E45-'DIST 1er Sem'!E45,0)</f>
        <v>0</v>
      </c>
      <c r="F45" s="233">
        <f>ROUND(+'DIST 1 sem Cof 3'!F45-'DIST 1er Sem'!F45,0)</f>
        <v>0</v>
      </c>
      <c r="G45" s="233">
        <f>ROUND(+'DIST 1 sem Cof 3'!G45-'DIST 1er Sem'!G45,0)</f>
        <v>0</v>
      </c>
      <c r="H45" s="233">
        <f>ROUND(+'DIST 1 sem Cof 3'!H45-'DIST 1er Sem'!H45,0)</f>
        <v>0</v>
      </c>
      <c r="I45" s="233">
        <f>ROUND(+'DIST 1 sem Cof 3'!I45-'DIST 1er Sem'!I45,2)</f>
        <v>37433.949999999997</v>
      </c>
      <c r="J45" s="231">
        <f t="shared" si="0"/>
        <v>82614.01999999999</v>
      </c>
    </row>
    <row r="46" spans="1:10">
      <c r="A46" s="137" t="s">
        <v>171</v>
      </c>
      <c r="B46" s="233">
        <f>ROUND(+'DIST 1 sem Cof 3'!B46-'DIST 1er Sem'!B46,0)</f>
        <v>0</v>
      </c>
      <c r="C46" s="233">
        <f>ROUND(+'DIST 1 sem Cof 3'!C46-'DIST 1er Sem'!C46,0)</f>
        <v>0</v>
      </c>
      <c r="D46" s="233">
        <f>ROUND(+'DIST 1 sem Cof 3'!D46-'DIST 1er Sem'!D46,2)</f>
        <v>605399.88</v>
      </c>
      <c r="E46" s="233">
        <f>ROUND(+'DIST 1 sem Cof 3'!E46-'DIST 1er Sem'!E46,0)</f>
        <v>0</v>
      </c>
      <c r="F46" s="233">
        <f>ROUND(+'DIST 1 sem Cof 3'!F46-'DIST 1er Sem'!F46,0)</f>
        <v>0</v>
      </c>
      <c r="G46" s="233">
        <f>ROUND(+'DIST 1 sem Cof 3'!G46-'DIST 1er Sem'!G46,0)</f>
        <v>0</v>
      </c>
      <c r="H46" s="233">
        <f>ROUND(+'DIST 1 sem Cof 3'!H46-'DIST 1er Sem'!H46,0)</f>
        <v>0</v>
      </c>
      <c r="I46" s="233">
        <f>ROUND(+'DIST 1 sem Cof 3'!I46-'DIST 1er Sem'!I46,2)</f>
        <v>66777.75</v>
      </c>
      <c r="J46" s="231">
        <f t="shared" si="0"/>
        <v>672177.63</v>
      </c>
    </row>
    <row r="47" spans="1:10">
      <c r="A47" s="137" t="s">
        <v>172</v>
      </c>
      <c r="B47" s="233">
        <f>ROUND(+'DIST 1 sem Cof 3'!B47-'DIST 1er Sem'!B47,0)</f>
        <v>0</v>
      </c>
      <c r="C47" s="233">
        <f>ROUND(+'DIST 1 sem Cof 3'!C47-'DIST 1er Sem'!C47,0)</f>
        <v>0</v>
      </c>
      <c r="D47" s="233">
        <f>ROUND(+'DIST 1 sem Cof 3'!D47-'DIST 1er Sem'!D47,2)</f>
        <v>-1644609.04</v>
      </c>
      <c r="E47" s="233">
        <f>ROUND(+'DIST 1 sem Cof 3'!E47-'DIST 1er Sem'!E47,0)</f>
        <v>0</v>
      </c>
      <c r="F47" s="233">
        <f>ROUND(+'DIST 1 sem Cof 3'!F47-'DIST 1er Sem'!F47,0)</f>
        <v>0</v>
      </c>
      <c r="G47" s="233">
        <f>ROUND(+'DIST 1 sem Cof 3'!G47-'DIST 1er Sem'!G47,0)</f>
        <v>0</v>
      </c>
      <c r="H47" s="233">
        <f>ROUND(+'DIST 1 sem Cof 3'!H47-'DIST 1er Sem'!H47,0)</f>
        <v>0</v>
      </c>
      <c r="I47" s="233">
        <f>ROUND(+'DIST 1 sem Cof 3'!I47-'DIST 1er Sem'!I47,2)</f>
        <v>16160.26</v>
      </c>
      <c r="J47" s="231">
        <f t="shared" si="0"/>
        <v>-1628448.78</v>
      </c>
    </row>
    <row r="48" spans="1:10">
      <c r="A48" s="137" t="s">
        <v>28</v>
      </c>
      <c r="B48" s="233">
        <f>ROUND(+'DIST 1 sem Cof 3'!B48-'DIST 1er Sem'!B48,0)</f>
        <v>0</v>
      </c>
      <c r="C48" s="233">
        <f>ROUND(+'DIST 1 sem Cof 3'!C48-'DIST 1er Sem'!C48,0)</f>
        <v>0</v>
      </c>
      <c r="D48" s="233">
        <f>ROUND(+'DIST 1 sem Cof 3'!D48-'DIST 1er Sem'!D48,2)</f>
        <v>-924928.64</v>
      </c>
      <c r="E48" s="233">
        <f>ROUND(+'DIST 1 sem Cof 3'!E48-'DIST 1er Sem'!E48,0)</f>
        <v>0</v>
      </c>
      <c r="F48" s="233">
        <f>ROUND(+'DIST 1 sem Cof 3'!F48-'DIST 1er Sem'!F48,0)</f>
        <v>0</v>
      </c>
      <c r="G48" s="233">
        <f>ROUND(+'DIST 1 sem Cof 3'!G48-'DIST 1er Sem'!G48,0)</f>
        <v>0</v>
      </c>
      <c r="H48" s="233">
        <f>ROUND(+'DIST 1 sem Cof 3'!H48-'DIST 1er Sem'!H48,0)</f>
        <v>0</v>
      </c>
      <c r="I48" s="233">
        <f>ROUND(+'DIST 1 sem Cof 3'!I48-'DIST 1er Sem'!I48,2)</f>
        <v>-35322.550000000003</v>
      </c>
      <c r="J48" s="231">
        <f t="shared" si="0"/>
        <v>-960251.19000000006</v>
      </c>
    </row>
    <row r="49" spans="1:10">
      <c r="A49" s="137" t="s">
        <v>29</v>
      </c>
      <c r="B49" s="233">
        <f>ROUND(+'DIST 1 sem Cof 3'!B49-'DIST 1er Sem'!B49,0)</f>
        <v>0</v>
      </c>
      <c r="C49" s="233">
        <f>ROUND(+'DIST 1 sem Cof 3'!C49-'DIST 1er Sem'!C49,0)</f>
        <v>0</v>
      </c>
      <c r="D49" s="233">
        <f>ROUND(+'DIST 1 sem Cof 3'!D49-'DIST 1er Sem'!D49,2)</f>
        <v>-1392294.81</v>
      </c>
      <c r="E49" s="233">
        <f>ROUND(+'DIST 1 sem Cof 3'!E49-'DIST 1er Sem'!E49,0)</f>
        <v>0</v>
      </c>
      <c r="F49" s="233">
        <f>ROUND(+'DIST 1 sem Cof 3'!F49-'DIST 1er Sem'!F49,0)</f>
        <v>0</v>
      </c>
      <c r="G49" s="233">
        <f>ROUND(+'DIST 1 sem Cof 3'!G49-'DIST 1er Sem'!G49,0)</f>
        <v>0</v>
      </c>
      <c r="H49" s="233">
        <f>ROUND(+'DIST 1 sem Cof 3'!H49-'DIST 1er Sem'!H49,0)</f>
        <v>0</v>
      </c>
      <c r="I49" s="233">
        <f>ROUND(+'DIST 1 sem Cof 3'!I49-'DIST 1er Sem'!I49,2)</f>
        <v>853.71</v>
      </c>
      <c r="J49" s="231">
        <f t="shared" si="0"/>
        <v>-1391441.1</v>
      </c>
    </row>
    <row r="50" spans="1:10">
      <c r="A50" s="137" t="s">
        <v>30</v>
      </c>
      <c r="B50" s="233">
        <f>ROUND(+'DIST 1 sem Cof 3'!B50-'DIST 1er Sem'!B50,0)</f>
        <v>0</v>
      </c>
      <c r="C50" s="233">
        <f>ROUND(+'DIST 1 sem Cof 3'!C50-'DIST 1er Sem'!C50,0)</f>
        <v>0</v>
      </c>
      <c r="D50" s="233">
        <f>ROUND(+'DIST 1 sem Cof 3'!D50-'DIST 1er Sem'!D50,2)</f>
        <v>-104611.24</v>
      </c>
      <c r="E50" s="233">
        <f>ROUND(+'DIST 1 sem Cof 3'!E50-'DIST 1er Sem'!E50,0)</f>
        <v>0</v>
      </c>
      <c r="F50" s="233">
        <f>ROUND(+'DIST 1 sem Cof 3'!F50-'DIST 1er Sem'!F50,0)</f>
        <v>0</v>
      </c>
      <c r="G50" s="233">
        <f>ROUND(+'DIST 1 sem Cof 3'!G50-'DIST 1er Sem'!G50,0)</f>
        <v>0</v>
      </c>
      <c r="H50" s="233">
        <f>ROUND(+'DIST 1 sem Cof 3'!H50-'DIST 1er Sem'!H50,0)</f>
        <v>0</v>
      </c>
      <c r="I50" s="233">
        <f>ROUND(+'DIST 1 sem Cof 3'!I50-'DIST 1er Sem'!I50,2)</f>
        <v>33435.53</v>
      </c>
      <c r="J50" s="231">
        <f t="shared" si="0"/>
        <v>-71175.710000000006</v>
      </c>
    </row>
    <row r="51" spans="1:10">
      <c r="A51" s="137" t="s">
        <v>173</v>
      </c>
      <c r="B51" s="233">
        <f>ROUND(+'DIST 1 sem Cof 3'!B51-'DIST 1er Sem'!B51,0)</f>
        <v>0</v>
      </c>
      <c r="C51" s="233">
        <f>ROUND(+'DIST 1 sem Cof 3'!C51-'DIST 1er Sem'!C51,0)</f>
        <v>0</v>
      </c>
      <c r="D51" s="233">
        <f>ROUND(+'DIST 1 sem Cof 3'!D51-'DIST 1er Sem'!D51,2)</f>
        <v>627173.82999999996</v>
      </c>
      <c r="E51" s="233">
        <f>ROUND(+'DIST 1 sem Cof 3'!E51-'DIST 1er Sem'!E51,0)</f>
        <v>0</v>
      </c>
      <c r="F51" s="233">
        <f>ROUND(+'DIST 1 sem Cof 3'!F51-'DIST 1er Sem'!F51,0)</f>
        <v>0</v>
      </c>
      <c r="G51" s="233">
        <f>ROUND(+'DIST 1 sem Cof 3'!G51-'DIST 1er Sem'!G51,0)</f>
        <v>0</v>
      </c>
      <c r="H51" s="233">
        <f>ROUND(+'DIST 1 sem Cof 3'!H51-'DIST 1er Sem'!H51,0)</f>
        <v>0</v>
      </c>
      <c r="I51" s="233">
        <f>ROUND(+'DIST 1 sem Cof 3'!I51-'DIST 1er Sem'!I51,2)</f>
        <v>11267.27</v>
      </c>
      <c r="J51" s="231">
        <f t="shared" si="0"/>
        <v>638441.1</v>
      </c>
    </row>
    <row r="52" spans="1:10">
      <c r="A52" s="137" t="s">
        <v>174</v>
      </c>
      <c r="B52" s="233">
        <f>ROUND(+'DIST 1 sem Cof 3'!B52-'DIST 1er Sem'!B52,0)</f>
        <v>0</v>
      </c>
      <c r="C52" s="233">
        <f>ROUND(+'DIST 1 sem Cof 3'!C52-'DIST 1er Sem'!C52,0)</f>
        <v>0</v>
      </c>
      <c r="D52" s="233">
        <f>ROUND(+'DIST 1 sem Cof 3'!D52-'DIST 1er Sem'!D52,2)</f>
        <v>-120510.55</v>
      </c>
      <c r="E52" s="233">
        <f>ROUND(+'DIST 1 sem Cof 3'!E52-'DIST 1er Sem'!E52,0)</f>
        <v>0</v>
      </c>
      <c r="F52" s="233">
        <f>ROUND(+'DIST 1 sem Cof 3'!F52-'DIST 1er Sem'!F52,0)</f>
        <v>0</v>
      </c>
      <c r="G52" s="233">
        <f>ROUND(+'DIST 1 sem Cof 3'!G52-'DIST 1er Sem'!G52,0)</f>
        <v>0</v>
      </c>
      <c r="H52" s="233">
        <f>ROUND(+'DIST 1 sem Cof 3'!H52-'DIST 1er Sem'!H52,0)</f>
        <v>0</v>
      </c>
      <c r="I52" s="233">
        <f>ROUND(+'DIST 1 sem Cof 3'!I52-'DIST 1er Sem'!I52,2)</f>
        <v>-150261.56</v>
      </c>
      <c r="J52" s="231">
        <f t="shared" si="0"/>
        <v>-270772.11</v>
      </c>
    </row>
    <row r="53" spans="1:10">
      <c r="A53" s="137" t="s">
        <v>31</v>
      </c>
      <c r="B53" s="233">
        <f>ROUND(+'DIST 1 sem Cof 3'!B53-'DIST 1er Sem'!B53,0)</f>
        <v>0</v>
      </c>
      <c r="C53" s="233">
        <f>ROUND(+'DIST 1 sem Cof 3'!C53-'DIST 1er Sem'!C53,0)</f>
        <v>0</v>
      </c>
      <c r="D53" s="233">
        <f>ROUND(+'DIST 1 sem Cof 3'!D53-'DIST 1er Sem'!D53,2)</f>
        <v>-112687.57</v>
      </c>
      <c r="E53" s="233">
        <f>ROUND(+'DIST 1 sem Cof 3'!E53-'DIST 1er Sem'!E53,0)</f>
        <v>0</v>
      </c>
      <c r="F53" s="233">
        <f>ROUND(+'DIST 1 sem Cof 3'!F53-'DIST 1er Sem'!F53,0)</f>
        <v>0</v>
      </c>
      <c r="G53" s="233">
        <f>ROUND(+'DIST 1 sem Cof 3'!G53-'DIST 1er Sem'!G53,0)</f>
        <v>0</v>
      </c>
      <c r="H53" s="233">
        <f>ROUND(+'DIST 1 sem Cof 3'!H53-'DIST 1er Sem'!H53,0)</f>
        <v>0</v>
      </c>
      <c r="I53" s="233">
        <f>ROUND(+'DIST 1 sem Cof 3'!I53-'DIST 1er Sem'!I53,2)</f>
        <v>-30925.98</v>
      </c>
      <c r="J53" s="231">
        <f t="shared" si="0"/>
        <v>-143613.55000000002</v>
      </c>
    </row>
    <row r="54" spans="1:10">
      <c r="A54" s="137" t="s">
        <v>32</v>
      </c>
      <c r="B54" s="233">
        <f>ROUND(+'DIST 1 sem Cof 3'!B54-'DIST 1er Sem'!B54,0)</f>
        <v>0</v>
      </c>
      <c r="C54" s="233">
        <f>ROUND(+'DIST 1 sem Cof 3'!C54-'DIST 1er Sem'!C54,0)</f>
        <v>0</v>
      </c>
      <c r="D54" s="233">
        <f>ROUND(+'DIST 1 sem Cof 3'!D54-'DIST 1er Sem'!D54,2)</f>
        <v>316953.2</v>
      </c>
      <c r="E54" s="233">
        <f>ROUND(+'DIST 1 sem Cof 3'!E54-'DIST 1er Sem'!E54,0)</f>
        <v>0</v>
      </c>
      <c r="F54" s="233">
        <f>ROUND(+'DIST 1 sem Cof 3'!F54-'DIST 1er Sem'!F54,0)</f>
        <v>0</v>
      </c>
      <c r="G54" s="233">
        <f>ROUND(+'DIST 1 sem Cof 3'!G54-'DIST 1er Sem'!G54,0)</f>
        <v>0</v>
      </c>
      <c r="H54" s="233">
        <f>ROUND(+'DIST 1 sem Cof 3'!H54-'DIST 1er Sem'!H54,0)</f>
        <v>0</v>
      </c>
      <c r="I54" s="233">
        <f>ROUND(+'DIST 1 sem Cof 3'!I54-'DIST 1er Sem'!I54,2)</f>
        <v>41687.56</v>
      </c>
      <c r="J54" s="231">
        <f t="shared" si="0"/>
        <v>358640.76</v>
      </c>
    </row>
    <row r="55" spans="1:10">
      <c r="A55" s="137" t="s">
        <v>33</v>
      </c>
      <c r="B55" s="233">
        <f>ROUND(+'DIST 1 sem Cof 3'!B55-'DIST 1er Sem'!B55,0)</f>
        <v>0</v>
      </c>
      <c r="C55" s="233">
        <f>ROUND(+'DIST 1 sem Cof 3'!C55-'DIST 1er Sem'!C55,0)</f>
        <v>0</v>
      </c>
      <c r="D55" s="233">
        <f>ROUND(+'DIST 1 sem Cof 3'!D55-'DIST 1er Sem'!D55,2)</f>
        <v>637830.55000000005</v>
      </c>
      <c r="E55" s="233">
        <f>ROUND(+'DIST 1 sem Cof 3'!E55-'DIST 1er Sem'!E55,0)</f>
        <v>0</v>
      </c>
      <c r="F55" s="233">
        <f>ROUND(+'DIST 1 sem Cof 3'!F55-'DIST 1er Sem'!F55,0)</f>
        <v>0</v>
      </c>
      <c r="G55" s="233">
        <f>ROUND(+'DIST 1 sem Cof 3'!G55-'DIST 1er Sem'!G55,0)</f>
        <v>0</v>
      </c>
      <c r="H55" s="233">
        <f>ROUND(+'DIST 1 sem Cof 3'!H55-'DIST 1er Sem'!H55,0)</f>
        <v>0</v>
      </c>
      <c r="I55" s="233">
        <f>ROUND(+'DIST 1 sem Cof 3'!I55-'DIST 1er Sem'!I55,2)</f>
        <v>46278.87</v>
      </c>
      <c r="J55" s="231">
        <f t="shared" si="0"/>
        <v>684109.42</v>
      </c>
    </row>
    <row r="56" spans="1:10" ht="13.5" thickBot="1">
      <c r="A56" s="137" t="s">
        <v>34</v>
      </c>
      <c r="B56" s="233">
        <f>ROUND(+'DIST 1 sem Cof 3'!B56-'DIST 1er Sem'!B56,0)</f>
        <v>0</v>
      </c>
      <c r="C56" s="233">
        <f>ROUND(+'DIST 1 sem Cof 3'!C56-'DIST 1er Sem'!C56,0)</f>
        <v>0</v>
      </c>
      <c r="D56" s="233">
        <f>ROUND(+'DIST 1 sem Cof 3'!D56-'DIST 1er Sem'!D56,2)</f>
        <v>-172018.3</v>
      </c>
      <c r="E56" s="233">
        <f>ROUND(+'DIST 1 sem Cof 3'!E56-'DIST 1er Sem'!E56,0)</f>
        <v>0</v>
      </c>
      <c r="F56" s="233">
        <f>ROUND(+'DIST 1 sem Cof 3'!F56-'DIST 1er Sem'!F56,0)</f>
        <v>0</v>
      </c>
      <c r="G56" s="233">
        <f>ROUND(+'DIST 1 sem Cof 3'!G56-'DIST 1er Sem'!G56,0)</f>
        <v>0</v>
      </c>
      <c r="H56" s="233">
        <f>ROUND(+'DIST 1 sem Cof 3'!H56-'DIST 1er Sem'!H56,0)</f>
        <v>0</v>
      </c>
      <c r="I56" s="233">
        <f>ROUND(+'DIST 1 sem Cof 3'!I56-'DIST 1er Sem'!I56,2)</f>
        <v>24488.67</v>
      </c>
      <c r="J56" s="231">
        <f t="shared" si="0"/>
        <v>-147529.63</v>
      </c>
    </row>
    <row r="57" spans="1:10" ht="14.25" thickTop="1" thickBot="1">
      <c r="A57" s="138" t="s">
        <v>35</v>
      </c>
      <c r="B57" s="234">
        <f>SUM(B6:B56)</f>
        <v>0</v>
      </c>
      <c r="C57" s="234">
        <f t="shared" ref="C57:I57" si="1">SUM(C6:C56)</f>
        <v>0</v>
      </c>
      <c r="D57" s="234">
        <f t="shared" si="1"/>
        <v>-0.45999999938067049</v>
      </c>
      <c r="E57" s="234">
        <f t="shared" si="1"/>
        <v>0</v>
      </c>
      <c r="F57" s="234">
        <f t="shared" si="1"/>
        <v>0</v>
      </c>
      <c r="G57" s="234">
        <f t="shared" si="1"/>
        <v>0</v>
      </c>
      <c r="H57" s="234">
        <f t="shared" si="1"/>
        <v>0</v>
      </c>
      <c r="I57" s="234">
        <f t="shared" si="1"/>
        <v>9.9999999583815224E-3</v>
      </c>
      <c r="J57" s="235">
        <f>SUM(J6:J56)</f>
        <v>-0.45000000135041773</v>
      </c>
    </row>
    <row r="58" spans="1:10" ht="16.5" customHeight="1" thickTop="1">
      <c r="A58" s="133" t="s">
        <v>262</v>
      </c>
      <c r="B58" s="244"/>
      <c r="C58" s="250"/>
      <c r="D58" s="250"/>
      <c r="E58" s="210"/>
    </row>
    <row r="59" spans="1:10">
      <c r="A59" s="135"/>
      <c r="B59" s="245"/>
    </row>
    <row r="60" spans="1:10">
      <c r="A60" s="135"/>
      <c r="B60" s="245"/>
    </row>
    <row r="61" spans="1:10" ht="16.5" customHeight="1"/>
  </sheetData>
  <mergeCells count="3">
    <mergeCell ref="A1:J1"/>
    <mergeCell ref="A2:J2"/>
    <mergeCell ref="A3:J3"/>
  </mergeCells>
  <printOptions horizontalCentered="1"/>
  <pageMargins left="0.19685039370078741" right="0.19685039370078741" top="0.15748031496062992" bottom="0.15748031496062992" header="0.15748031496062992" footer="0.15748031496062992"/>
  <pageSetup scale="76" orientation="landscape" r:id="rId1"/>
  <headerFooter alignWithMargins="0">
    <oddHeader>&amp;LAnexo IV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opLeftCell="A37" zoomScale="110" zoomScaleNormal="110" zoomScaleSheetLayoutView="100" workbookViewId="0">
      <selection activeCell="A4" sqref="A4"/>
    </sheetView>
  </sheetViews>
  <sheetFormatPr baseColWidth="10" defaultColWidth="11.42578125" defaultRowHeight="12.75"/>
  <cols>
    <col min="1" max="1" width="37.140625" style="134" customWidth="1"/>
    <col min="2" max="2" width="14.42578125" style="246" customWidth="1"/>
    <col min="3" max="4" width="14.140625" style="251" customWidth="1"/>
    <col min="5" max="9" width="14.140625" style="211" customWidth="1"/>
    <col min="10" max="10" width="15.42578125" style="211" customWidth="1"/>
    <col min="11" max="12" width="12.5703125" style="134" bestFit="1" customWidth="1"/>
    <col min="13" max="16384" width="11.42578125" style="134"/>
  </cols>
  <sheetData>
    <row r="1" spans="1:10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2.75" customHeight="1">
      <c r="A2" s="263" t="s">
        <v>194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ht="12.75" customHeight="1">
      <c r="A3" s="263" t="s">
        <v>263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0" ht="13.5" thickBot="1">
      <c r="A4" s="236"/>
      <c r="B4" s="241"/>
      <c r="C4" s="247"/>
      <c r="D4" s="247"/>
      <c r="E4" s="236"/>
      <c r="F4" s="236"/>
      <c r="G4" s="236"/>
      <c r="H4" s="236"/>
      <c r="I4" s="236"/>
      <c r="J4" s="236"/>
    </row>
    <row r="5" spans="1:10" ht="14.25" thickTop="1" thickBot="1">
      <c r="A5" s="136" t="s">
        <v>0</v>
      </c>
      <c r="B5" s="242" t="s">
        <v>93</v>
      </c>
      <c r="C5" s="248" t="s">
        <v>127</v>
      </c>
      <c r="D5" s="248" t="s">
        <v>126</v>
      </c>
      <c r="E5" s="207" t="s">
        <v>94</v>
      </c>
      <c r="F5" s="207" t="s">
        <v>111</v>
      </c>
      <c r="G5" s="207" t="s">
        <v>124</v>
      </c>
      <c r="H5" s="207" t="s">
        <v>125</v>
      </c>
      <c r="I5" s="207" t="s">
        <v>259</v>
      </c>
      <c r="J5" s="208" t="s">
        <v>195</v>
      </c>
    </row>
    <row r="6" spans="1:10" ht="13.5" thickTop="1">
      <c r="A6" s="137" t="s">
        <v>1</v>
      </c>
      <c r="B6" s="233">
        <f>ROUND('PART PEF2021'!E$4*'CALCULO GARANTIA'!$Q6,2)</f>
        <v>4451471.2</v>
      </c>
      <c r="C6" s="253">
        <f>ROUND('PART PEF2021'!E$5*'CALCULO GARANTIA'!$Q6,2)</f>
        <v>606894.31000000006</v>
      </c>
      <c r="D6" s="253">
        <f>+'PART PEF2021'!E$6*'Art.14 Frac.III'!R5</f>
        <v>6339308.5640001111</v>
      </c>
      <c r="E6" s="233">
        <f>ROUND('PART PEF2021'!E$7*'CALCULO GARANTIA'!$Q6,2)</f>
        <v>129702.71</v>
      </c>
      <c r="F6" s="233">
        <f>ROUND('PART PEF2021'!E$8*'CALCULO GARANTIA'!$Q6,2)</f>
        <v>211355.41</v>
      </c>
      <c r="G6" s="233">
        <f>ROUND('PART PEF2021'!E$9*'CALCULO GARANTIA'!$Q6,2)</f>
        <v>115647.41</v>
      </c>
      <c r="H6" s="233">
        <f>ROUND('PART PEF2021'!E$10*'CALCULO GARANTIA'!$Q6,2)</f>
        <v>24551.79</v>
      </c>
      <c r="I6" s="233">
        <f>+'PART PEF2021'!E$11*'COEF Art 14 F II'!M7</f>
        <v>83337.44205444814</v>
      </c>
      <c r="J6" s="231">
        <f>SUM(B6:I6)</f>
        <v>11962268.83605456</v>
      </c>
    </row>
    <row r="7" spans="1:10">
      <c r="A7" s="137" t="s">
        <v>2</v>
      </c>
      <c r="B7" s="233">
        <f>ROUND('PART PEF2021'!E$4*'CALCULO GARANTIA'!$Q7,2)</f>
        <v>8817373.4600000009</v>
      </c>
      <c r="C7" s="253">
        <f>ROUND('PART PEF2021'!E$5*'CALCULO GARANTIA'!$Q7,2)</f>
        <v>1202122.52</v>
      </c>
      <c r="D7" s="253">
        <f>+'PART PEF2021'!E$6*'Art.14 Frac.III'!R6</f>
        <v>1666429.1093327885</v>
      </c>
      <c r="E7" s="233">
        <f>ROUND('PART PEF2021'!E$7*'CALCULO GARANTIA'!$Q7,2)</f>
        <v>256912.2</v>
      </c>
      <c r="F7" s="233">
        <f>ROUND('PART PEF2021'!E$8*'CALCULO GARANTIA'!$Q7,2)</f>
        <v>418648.01</v>
      </c>
      <c r="G7" s="233">
        <f>ROUND('PART PEF2021'!E$9*'CALCULO GARANTIA'!$Q7,2)</f>
        <v>229071.76</v>
      </c>
      <c r="H7" s="233">
        <f>ROUND('PART PEF2021'!E$10*'CALCULO GARANTIA'!$Q7,2)</f>
        <v>48631.63</v>
      </c>
      <c r="I7" s="233">
        <f>+'PART PEF2021'!E$11*'COEF Art 14 F II'!M8</f>
        <v>57074.181022268211</v>
      </c>
      <c r="J7" s="231">
        <f t="shared" ref="J7:J56" si="0">SUM(B7:I7)</f>
        <v>12696262.870355057</v>
      </c>
    </row>
    <row r="8" spans="1:10">
      <c r="A8" s="137" t="s">
        <v>175</v>
      </c>
      <c r="B8" s="233">
        <f>ROUND('PART PEF2021'!E$4*'CALCULO GARANTIA'!$Q8,2)</f>
        <v>9172670.25</v>
      </c>
      <c r="C8" s="253">
        <f>ROUND('PART PEF2021'!E$5*'CALCULO GARANTIA'!$Q8,2)</f>
        <v>1250562.1499999999</v>
      </c>
      <c r="D8" s="253">
        <f>+'PART PEF2021'!E$6*'Art.14 Frac.III'!R7</f>
        <v>1356619.9810728219</v>
      </c>
      <c r="E8" s="233">
        <f>ROUND('PART PEF2021'!E$7*'CALCULO GARANTIA'!$Q8,2)</f>
        <v>267264.5</v>
      </c>
      <c r="F8" s="233">
        <f>ROUND('PART PEF2021'!E$8*'CALCULO GARANTIA'!$Q8,2)</f>
        <v>435517.46</v>
      </c>
      <c r="G8" s="233">
        <f>ROUND('PART PEF2021'!E$9*'CALCULO GARANTIA'!$Q8,2)</f>
        <v>238302.23</v>
      </c>
      <c r="H8" s="233">
        <f>ROUND('PART PEF2021'!E$10*'CALCULO GARANTIA'!$Q8,2)</f>
        <v>50591.25</v>
      </c>
      <c r="I8" s="233">
        <f>+'PART PEF2021'!E$11*'COEF Art 14 F II'!M9</f>
        <v>87846.732024798752</v>
      </c>
      <c r="J8" s="231">
        <f t="shared" si="0"/>
        <v>12859374.553097622</v>
      </c>
    </row>
    <row r="9" spans="1:10">
      <c r="A9" s="137" t="s">
        <v>3</v>
      </c>
      <c r="B9" s="233">
        <f>ROUND('PART PEF2021'!E$4*'CALCULO GARANTIA'!$Q9,2)</f>
        <v>25371003.879999999</v>
      </c>
      <c r="C9" s="253">
        <f>ROUND('PART PEF2021'!E$5*'CALCULO GARANTIA'!$Q9,2)</f>
        <v>3458972.82</v>
      </c>
      <c r="D9" s="253">
        <f>+'PART PEF2021'!E$6*'Art.14 Frac.III'!R8</f>
        <v>7024052.7507897811</v>
      </c>
      <c r="E9" s="233">
        <f>ROUND('PART PEF2021'!E$7*'CALCULO GARANTIA'!$Q9,2)</f>
        <v>739236.06</v>
      </c>
      <c r="F9" s="233">
        <f>ROUND('PART PEF2021'!E$8*'CALCULO GARANTIA'!$Q9,2)</f>
        <v>1204612.72</v>
      </c>
      <c r="G9" s="233">
        <f>ROUND('PART PEF2021'!E$9*'CALCULO GARANTIA'!$Q9,2)</f>
        <v>659128.32999999996</v>
      </c>
      <c r="H9" s="233">
        <f>ROUND('PART PEF2021'!E$10*'CALCULO GARANTIA'!$Q9,2)</f>
        <v>139932.06</v>
      </c>
      <c r="I9" s="233">
        <f>+'PART PEF2021'!E$11*'COEF Art 14 F II'!M10</f>
        <v>525418.81257260242</v>
      </c>
      <c r="J9" s="231">
        <f t="shared" si="0"/>
        <v>39122357.433362387</v>
      </c>
    </row>
    <row r="10" spans="1:10">
      <c r="A10" s="137" t="s">
        <v>176</v>
      </c>
      <c r="B10" s="233">
        <f>ROUND('PART PEF2021'!E$4*'CALCULO GARANTIA'!$Q10,2)</f>
        <v>32042973.059999999</v>
      </c>
      <c r="C10" s="253">
        <f>ROUND('PART PEF2021'!E$5*'CALCULO GARANTIA'!$Q10,2)</f>
        <v>4368600.22</v>
      </c>
      <c r="D10" s="253">
        <f>+'PART PEF2021'!E$6*'Art.14 Frac.III'!R9</f>
        <v>8384237.7604358969</v>
      </c>
      <c r="E10" s="233">
        <f>ROUND('PART PEF2021'!E$7*'CALCULO GARANTIA'!$Q10,2)</f>
        <v>933637.52</v>
      </c>
      <c r="F10" s="233">
        <f>ROUND('PART PEF2021'!E$8*'CALCULO GARANTIA'!$Q10,2)</f>
        <v>1521397.15</v>
      </c>
      <c r="G10" s="233">
        <f>ROUND('PART PEF2021'!E$9*'CALCULO GARANTIA'!$Q10,2)</f>
        <v>832463.37</v>
      </c>
      <c r="H10" s="233">
        <f>ROUND('PART PEF2021'!E$10*'CALCULO GARANTIA'!$Q10,2)</f>
        <v>176730.86</v>
      </c>
      <c r="I10" s="233">
        <f>+'PART PEF2021'!E$11*'COEF Art 14 F II'!M11</f>
        <v>334603.60003788542</v>
      </c>
      <c r="J10" s="231">
        <f t="shared" si="0"/>
        <v>48594643.540473782</v>
      </c>
    </row>
    <row r="11" spans="1:10">
      <c r="A11" s="137" t="s">
        <v>4</v>
      </c>
      <c r="B11" s="233">
        <f>ROUND('PART PEF2021'!E$4*'CALCULO GARANTIA'!$Q11,2)</f>
        <v>218611177.25</v>
      </c>
      <c r="C11" s="253">
        <f>ROUND('PART PEF2021'!E$5*'CALCULO GARANTIA'!$Q11,2)</f>
        <v>29804501.420000002</v>
      </c>
      <c r="D11" s="253">
        <f>+'PART PEF2021'!E$6*'Art.14 Frac.III'!R10</f>
        <v>7182018.1872271653</v>
      </c>
      <c r="E11" s="233">
        <f>ROUND('PART PEF2021'!E$7*'CALCULO GARANTIA'!$Q11,2)</f>
        <v>6369683.5300000003</v>
      </c>
      <c r="F11" s="233">
        <f>ROUND('PART PEF2021'!E$8*'CALCULO GARANTIA'!$Q11,2)</f>
        <v>10379636.779999999</v>
      </c>
      <c r="G11" s="233">
        <f>ROUND('PART PEF2021'!E$9*'CALCULO GARANTIA'!$Q11,2)</f>
        <v>5679429.1900000004</v>
      </c>
      <c r="H11" s="233">
        <f>ROUND('PART PEF2021'!E$10*'CALCULO GARANTIA'!$Q11,2)</f>
        <v>1205735.23</v>
      </c>
      <c r="I11" s="233">
        <f>+'PART PEF2021'!E$11*'COEF Art 14 F II'!M12</f>
        <v>7664184.6441069255</v>
      </c>
      <c r="J11" s="231">
        <f t="shared" si="0"/>
        <v>286896366.23133409</v>
      </c>
    </row>
    <row r="12" spans="1:10">
      <c r="A12" s="137" t="s">
        <v>5</v>
      </c>
      <c r="B12" s="233">
        <f>ROUND('PART PEF2021'!E$4*'CALCULO GARANTIA'!$Q12,2)</f>
        <v>36577260.719999999</v>
      </c>
      <c r="C12" s="253">
        <f>ROUND('PART PEF2021'!E$5*'CALCULO GARANTIA'!$Q12,2)</f>
        <v>4986785.3600000003</v>
      </c>
      <c r="D12" s="253">
        <f>+'PART PEF2021'!E$6*'Art.14 Frac.III'!R11</f>
        <v>0</v>
      </c>
      <c r="E12" s="233">
        <f>ROUND('PART PEF2021'!E$7*'CALCULO GARANTIA'!$Q12,2)</f>
        <v>1065753.26</v>
      </c>
      <c r="F12" s="233">
        <f>ROUND('PART PEF2021'!E$8*'CALCULO GARANTIA'!$Q12,2)</f>
        <v>1736684.67</v>
      </c>
      <c r="G12" s="233">
        <f>ROUND('PART PEF2021'!E$9*'CALCULO GARANTIA'!$Q12,2)</f>
        <v>950262.31</v>
      </c>
      <c r="H12" s="233">
        <f>ROUND('PART PEF2021'!E$10*'CALCULO GARANTIA'!$Q12,2)</f>
        <v>201739.42</v>
      </c>
      <c r="I12" s="233">
        <f>+'PART PEF2021'!E$11*'COEF Art 14 F II'!M13</f>
        <v>364820.77014183498</v>
      </c>
      <c r="J12" s="231">
        <f t="shared" si="0"/>
        <v>45883306.510141835</v>
      </c>
    </row>
    <row r="13" spans="1:10">
      <c r="A13" s="137" t="s">
        <v>6</v>
      </c>
      <c r="B13" s="233">
        <f>ROUND('PART PEF2021'!E$4*'CALCULO GARANTIA'!$Q13,2)</f>
        <v>5815978.2999999998</v>
      </c>
      <c r="C13" s="253">
        <f>ROUND('PART PEF2021'!E$5*'CALCULO GARANTIA'!$Q13,2)</f>
        <v>792925.3</v>
      </c>
      <c r="D13" s="253">
        <f>+'PART PEF2021'!E$6*'Art.14 Frac.III'!R12</f>
        <v>2059072.2255487859</v>
      </c>
      <c r="E13" s="233">
        <f>ROUND('PART PEF2021'!E$7*'CALCULO GARANTIA'!$Q13,2)</f>
        <v>169460.42</v>
      </c>
      <c r="F13" s="233">
        <f>ROUND('PART PEF2021'!E$8*'CALCULO GARANTIA'!$Q13,2)</f>
        <v>276142.07</v>
      </c>
      <c r="G13" s="233">
        <f>ROUND('PART PEF2021'!E$9*'CALCULO GARANTIA'!$Q13,2)</f>
        <v>151096.74</v>
      </c>
      <c r="H13" s="233">
        <f>ROUND('PART PEF2021'!E$10*'CALCULO GARANTIA'!$Q13,2)</f>
        <v>32077.64</v>
      </c>
      <c r="I13" s="233">
        <f>+'PART PEF2021'!E$11*'COEF Art 14 F II'!M14</f>
        <v>57584.932813867301</v>
      </c>
      <c r="J13" s="231">
        <f t="shared" si="0"/>
        <v>9354337.6283626538</v>
      </c>
    </row>
    <row r="14" spans="1:10">
      <c r="A14" s="137" t="s">
        <v>160</v>
      </c>
      <c r="B14" s="233">
        <f>ROUND('PART PEF2021'!E$4*'CALCULO GARANTIA'!$Q14,2)</f>
        <v>57811962.329999998</v>
      </c>
      <c r="C14" s="253">
        <f>ROUND('PART PEF2021'!E$5*'CALCULO GARANTIA'!$Q14,2)</f>
        <v>7881832.6399999997</v>
      </c>
      <c r="D14" s="253">
        <f>+'PART PEF2021'!E$6*'Art.14 Frac.III'!R13</f>
        <v>1800456.1358163266</v>
      </c>
      <c r="E14" s="233">
        <f>ROUND('PART PEF2021'!E$7*'CALCULO GARANTIA'!$Q14,2)</f>
        <v>1684469.7</v>
      </c>
      <c r="F14" s="233">
        <f>ROUND('PART PEF2021'!E$8*'CALCULO GARANTIA'!$Q14,2)</f>
        <v>2744906.18</v>
      </c>
      <c r="G14" s="233">
        <f>ROUND('PART PEF2021'!E$9*'CALCULO GARANTIA'!$Q14,2)</f>
        <v>1501931.19</v>
      </c>
      <c r="H14" s="233">
        <f>ROUND('PART PEF2021'!E$10*'CALCULO GARANTIA'!$Q14,2)</f>
        <v>318857.98</v>
      </c>
      <c r="I14" s="233">
        <f>+'PART PEF2021'!E$11*'COEF Art 14 F II'!M15</f>
        <v>1313628.4014222512</v>
      </c>
      <c r="J14" s="231">
        <f t="shared" si="0"/>
        <v>75058044.557238579</v>
      </c>
    </row>
    <row r="15" spans="1:10">
      <c r="A15" s="137" t="s">
        <v>161</v>
      </c>
      <c r="B15" s="233">
        <f>ROUND('PART PEF2021'!E$4*'CALCULO GARANTIA'!$Q15,2)</f>
        <v>9605389.0099999998</v>
      </c>
      <c r="C15" s="253">
        <f>ROUND('PART PEF2021'!E$5*'CALCULO GARANTIA'!$Q15,2)</f>
        <v>1309557.1499999999</v>
      </c>
      <c r="D15" s="253">
        <f>+'PART PEF2021'!E$6*'Art.14 Frac.III'!R14</f>
        <v>916938.01172552246</v>
      </c>
      <c r="E15" s="233">
        <f>ROUND('PART PEF2021'!E$7*'CALCULO GARANTIA'!$Q15,2)</f>
        <v>279872.64000000001</v>
      </c>
      <c r="F15" s="233">
        <f>ROUND('PART PEF2021'!E$8*'CALCULO GARANTIA'!$Q15,2)</f>
        <v>456062.91</v>
      </c>
      <c r="G15" s="233">
        <f>ROUND('PART PEF2021'!E$9*'CALCULO GARANTIA'!$Q15,2)</f>
        <v>249544.09</v>
      </c>
      <c r="H15" s="233">
        <f>ROUND('PART PEF2021'!E$10*'CALCULO GARANTIA'!$Q15,2)</f>
        <v>52977.88</v>
      </c>
      <c r="I15" s="233">
        <f>+'PART PEF2021'!E$11*'COEF Art 14 F II'!M16</f>
        <v>833018.62731639727</v>
      </c>
      <c r="J15" s="231">
        <f t="shared" si="0"/>
        <v>13703360.319041921</v>
      </c>
    </row>
    <row r="16" spans="1:10">
      <c r="A16" s="137" t="s">
        <v>162</v>
      </c>
      <c r="B16" s="233">
        <f>ROUND('PART PEF2021'!E$4*'CALCULO GARANTIA'!$Q16,2)</f>
        <v>13955204.41</v>
      </c>
      <c r="C16" s="253">
        <f>ROUND('PART PEF2021'!E$5*'CALCULO GARANTIA'!$Q16,2)</f>
        <v>1902592.15</v>
      </c>
      <c r="D16" s="253">
        <f>+'PART PEF2021'!E$6*'Art.14 Frac.III'!R15</f>
        <v>10023973.206298146</v>
      </c>
      <c r="E16" s="233">
        <f>ROUND('PART PEF2021'!E$7*'CALCULO GARANTIA'!$Q16,2)</f>
        <v>406613.41</v>
      </c>
      <c r="F16" s="233">
        <f>ROUND('PART PEF2021'!E$8*'CALCULO GARANTIA'!$Q16,2)</f>
        <v>662591.71</v>
      </c>
      <c r="G16" s="233">
        <f>ROUND('PART PEF2021'!E$9*'CALCULO GARANTIA'!$Q16,2)</f>
        <v>362550.52</v>
      </c>
      <c r="H16" s="233">
        <f>ROUND('PART PEF2021'!E$10*'CALCULO GARANTIA'!$Q16,2)</f>
        <v>76968.990000000005</v>
      </c>
      <c r="I16" s="233">
        <f>+'PART PEF2021'!E$11*'COEF Art 14 F II'!M17</f>
        <v>119436.53718692517</v>
      </c>
      <c r="J16" s="231">
        <f t="shared" si="0"/>
        <v>27509930.933485068</v>
      </c>
    </row>
    <row r="17" spans="1:10">
      <c r="A17" s="137" t="s">
        <v>7</v>
      </c>
      <c r="B17" s="233">
        <f>ROUND('PART PEF2021'!E$4*'CALCULO GARANTIA'!$Q17,2)</f>
        <v>29349836.780000001</v>
      </c>
      <c r="C17" s="253">
        <f>ROUND('PART PEF2021'!E$5*'CALCULO GARANTIA'!$Q17,2)</f>
        <v>4001429.68</v>
      </c>
      <c r="D17" s="253">
        <f>+'PART PEF2021'!E$6*'Art.14 Frac.III'!R16</f>
        <v>1687275.9000719413</v>
      </c>
      <c r="E17" s="233">
        <f>ROUND('PART PEF2021'!E$7*'CALCULO GARANTIA'!$Q17,2)</f>
        <v>855167.49</v>
      </c>
      <c r="F17" s="233">
        <f>ROUND('PART PEF2021'!E$8*'CALCULO GARANTIA'!$Q17,2)</f>
        <v>1393527.31</v>
      </c>
      <c r="G17" s="233">
        <f>ROUND('PART PEF2021'!E$9*'CALCULO GARANTIA'!$Q17,2)</f>
        <v>762496.78</v>
      </c>
      <c r="H17" s="233">
        <f>ROUND('PART PEF2021'!E$10*'CALCULO GARANTIA'!$Q17,2)</f>
        <v>161877.04999999999</v>
      </c>
      <c r="I17" s="233">
        <f>+'PART PEF2021'!E$11*'COEF Art 14 F II'!M18</f>
        <v>241659.43643573043</v>
      </c>
      <c r="J17" s="231">
        <f t="shared" si="0"/>
        <v>38453270.426507674</v>
      </c>
    </row>
    <row r="18" spans="1:10">
      <c r="A18" s="137" t="s">
        <v>163</v>
      </c>
      <c r="B18" s="233">
        <f>ROUND('PART PEF2021'!E$4*'CALCULO GARANTIA'!$Q18,2)</f>
        <v>14933477.310000001</v>
      </c>
      <c r="C18" s="253">
        <f>ROUND('PART PEF2021'!E$5*'CALCULO GARANTIA'!$Q18,2)</f>
        <v>2035965.64</v>
      </c>
      <c r="D18" s="253">
        <f>+'PART PEF2021'!E$6*'Art.14 Frac.III'!R17</f>
        <v>1649865.175576034</v>
      </c>
      <c r="E18" s="233">
        <f>ROUND('PART PEF2021'!E$7*'CALCULO GARANTIA'!$Q18,2)</f>
        <v>435117.39</v>
      </c>
      <c r="F18" s="233">
        <f>ROUND('PART PEF2021'!E$8*'CALCULO GARANTIA'!$Q18,2)</f>
        <v>709040.01</v>
      </c>
      <c r="G18" s="233">
        <f>ROUND('PART PEF2021'!E$9*'CALCULO GARANTIA'!$Q18,2)</f>
        <v>387965.65</v>
      </c>
      <c r="H18" s="233">
        <f>ROUND('PART PEF2021'!E$10*'CALCULO GARANTIA'!$Q18,2)</f>
        <v>82364.59</v>
      </c>
      <c r="I18" s="233">
        <f>+'PART PEF2021'!E$11*'COEF Art 14 F II'!M19</f>
        <v>657331.92012499808</v>
      </c>
      <c r="J18" s="231">
        <f t="shared" si="0"/>
        <v>20891127.685701031</v>
      </c>
    </row>
    <row r="19" spans="1:10">
      <c r="A19" s="137" t="s">
        <v>8</v>
      </c>
      <c r="B19" s="233">
        <f>ROUND('PART PEF2021'!E$4*'CALCULO GARANTIA'!$Q19,2)</f>
        <v>81796223.040000007</v>
      </c>
      <c r="C19" s="253">
        <f>ROUND('PART PEF2021'!E$5*'CALCULO GARANTIA'!$Q19,2)</f>
        <v>11151742.91</v>
      </c>
      <c r="D19" s="253">
        <f>+'PART PEF2021'!E$6*'Art.14 Frac.III'!R18</f>
        <v>587086.03238576034</v>
      </c>
      <c r="E19" s="233">
        <f>ROUND('PART PEF2021'!E$7*'CALCULO GARANTIA'!$Q19,2)</f>
        <v>2383300.17</v>
      </c>
      <c r="F19" s="233">
        <f>ROUND('PART PEF2021'!E$8*'CALCULO GARANTIA'!$Q19,2)</f>
        <v>3883676.47</v>
      </c>
      <c r="G19" s="233">
        <f>ROUND('PART PEF2021'!E$9*'CALCULO GARANTIA'!$Q19,2)</f>
        <v>2125032.5</v>
      </c>
      <c r="H19" s="233">
        <f>ROUND('PART PEF2021'!E$10*'CALCULO GARANTIA'!$Q19,2)</f>
        <v>451141.56</v>
      </c>
      <c r="I19" s="233">
        <f>+'PART PEF2021'!E$11*'COEF Art 14 F II'!M20</f>
        <v>960982.45610835589</v>
      </c>
      <c r="J19" s="231">
        <f t="shared" si="0"/>
        <v>103339185.13849413</v>
      </c>
    </row>
    <row r="20" spans="1:10">
      <c r="A20" s="137" t="s">
        <v>9</v>
      </c>
      <c r="B20" s="233">
        <f>ROUND('PART PEF2021'!E$4*'CALCULO GARANTIA'!$Q20,2)</f>
        <v>10442172.109999999</v>
      </c>
      <c r="C20" s="253">
        <f>ROUND('PART PEF2021'!E$5*'CALCULO GARANTIA'!$Q20,2)</f>
        <v>1423640.54</v>
      </c>
      <c r="D20" s="253">
        <f>+'PART PEF2021'!E$6*'Art.14 Frac.III'!R19</f>
        <v>1227208.2331180442</v>
      </c>
      <c r="E20" s="233">
        <f>ROUND('PART PEF2021'!E$7*'CALCULO GARANTIA'!$Q20,2)</f>
        <v>304254.03000000003</v>
      </c>
      <c r="F20" s="233">
        <f>ROUND('PART PEF2021'!E$8*'CALCULO GARANTIA'!$Q20,2)</f>
        <v>495793.28</v>
      </c>
      <c r="G20" s="233">
        <f>ROUND('PART PEF2021'!E$9*'CALCULO GARANTIA'!$Q20,2)</f>
        <v>271283.37</v>
      </c>
      <c r="H20" s="233">
        <f>ROUND('PART PEF2021'!E$10*'CALCULO GARANTIA'!$Q20,2)</f>
        <v>57593.1</v>
      </c>
      <c r="I20" s="233">
        <f>+'PART PEF2021'!E$11*'COEF Art 14 F II'!M21</f>
        <v>32239.147320003562</v>
      </c>
      <c r="J20" s="231">
        <f t="shared" si="0"/>
        <v>14254183.810438044</v>
      </c>
    </row>
    <row r="21" spans="1:10">
      <c r="A21" s="137" t="s">
        <v>164</v>
      </c>
      <c r="B21" s="233">
        <f>ROUND('PART PEF2021'!E$4*'CALCULO GARANTIA'!$Q21,2)</f>
        <v>7271648.7300000004</v>
      </c>
      <c r="C21" s="253">
        <f>ROUND('PART PEF2021'!E$5*'CALCULO GARANTIA'!$Q21,2)</f>
        <v>991385.11</v>
      </c>
      <c r="D21" s="253">
        <f>+'PART PEF2021'!E$6*'Art.14 Frac.III'!R20</f>
        <v>1622838.5599418876</v>
      </c>
      <c r="E21" s="233">
        <f>ROUND('PART PEF2021'!E$7*'CALCULO GARANTIA'!$Q21,2)</f>
        <v>211874.35</v>
      </c>
      <c r="F21" s="233">
        <f>ROUND('PART PEF2021'!E$8*'CALCULO GARANTIA'!$Q21,2)</f>
        <v>345257.15</v>
      </c>
      <c r="G21" s="233">
        <f>ROUND('PART PEF2021'!E$9*'CALCULO GARANTIA'!$Q21,2)</f>
        <v>188914.47</v>
      </c>
      <c r="H21" s="233">
        <f>ROUND('PART PEF2021'!E$10*'CALCULO GARANTIA'!$Q21,2)</f>
        <v>40106.29</v>
      </c>
      <c r="I21" s="233">
        <f>+'PART PEF2021'!E$11*'COEF Art 14 F II'!M22</f>
        <v>85365.611957539877</v>
      </c>
      <c r="J21" s="231">
        <f t="shared" si="0"/>
        <v>10757390.271899428</v>
      </c>
    </row>
    <row r="22" spans="1:10">
      <c r="A22" s="137" t="s">
        <v>10</v>
      </c>
      <c r="B22" s="233">
        <f>ROUND('PART PEF2021'!E$4*'CALCULO GARANTIA'!$Q22,2)</f>
        <v>63773335.299999997</v>
      </c>
      <c r="C22" s="253">
        <f>ROUND('PART PEF2021'!E$5*'CALCULO GARANTIA'!$Q22,2)</f>
        <v>8694580.4299999997</v>
      </c>
      <c r="D22" s="253">
        <f>+'PART PEF2021'!E$6*'Art.14 Frac.III'!R21</f>
        <v>682353.46880333405</v>
      </c>
      <c r="E22" s="233">
        <f>ROUND('PART PEF2021'!E$7*'CALCULO GARANTIA'!$Q22,2)</f>
        <v>1858166.49</v>
      </c>
      <c r="F22" s="233">
        <f>ROUND('PART PEF2021'!E$8*'CALCULO GARANTIA'!$Q22,2)</f>
        <v>3027951.57</v>
      </c>
      <c r="G22" s="233">
        <f>ROUND('PART PEF2021'!E$9*'CALCULO GARANTIA'!$Q22,2)</f>
        <v>1656805.23</v>
      </c>
      <c r="H22" s="233">
        <f>ROUND('PART PEF2021'!E$10*'CALCULO GARANTIA'!$Q22,2)</f>
        <v>351737.54</v>
      </c>
      <c r="I22" s="233">
        <f>+'PART PEF2021'!E$11*'COEF Art 14 F II'!M23</f>
        <v>747226.57115773042</v>
      </c>
      <c r="J22" s="231">
        <f t="shared" si="0"/>
        <v>80792156.599961042</v>
      </c>
    </row>
    <row r="23" spans="1:10">
      <c r="A23" s="137" t="s">
        <v>165</v>
      </c>
      <c r="B23" s="233">
        <f>ROUND('PART PEF2021'!E$4*'CALCULO GARANTIA'!$Q23,2)</f>
        <v>78220185.620000005</v>
      </c>
      <c r="C23" s="253">
        <f>ROUND('PART PEF2021'!E$5*'CALCULO GARANTIA'!$Q23,2)</f>
        <v>10664201.449999999</v>
      </c>
      <c r="D23" s="253">
        <f>+'PART PEF2021'!E$6*'Art.14 Frac.III'!R22</f>
        <v>2560133.5642776638</v>
      </c>
      <c r="E23" s="233">
        <f>ROUND('PART PEF2021'!E$7*'CALCULO GARANTIA'!$Q23,2)</f>
        <v>2279105.0099999998</v>
      </c>
      <c r="F23" s="233">
        <f>ROUND('PART PEF2021'!E$8*'CALCULO GARANTIA'!$Q23,2)</f>
        <v>3713886.57</v>
      </c>
      <c r="G23" s="233">
        <f>ROUND('PART PEF2021'!E$9*'CALCULO GARANTIA'!$Q23,2)</f>
        <v>2032128.51</v>
      </c>
      <c r="H23" s="233">
        <f>ROUND('PART PEF2021'!E$10*'CALCULO GARANTIA'!$Q23,2)</f>
        <v>431418.17</v>
      </c>
      <c r="I23" s="233">
        <f>+'PART PEF2021'!E$11*'COEF Art 14 F II'!M24</f>
        <v>3805197.2338592401</v>
      </c>
      <c r="J23" s="231">
        <f t="shared" si="0"/>
        <v>103706256.12813692</v>
      </c>
    </row>
    <row r="24" spans="1:10">
      <c r="A24" s="137" t="s">
        <v>11</v>
      </c>
      <c r="B24" s="233">
        <f>ROUND('PART PEF2021'!E$4*'CALCULO GARANTIA'!$Q24,2)</f>
        <v>12257257.15</v>
      </c>
      <c r="C24" s="253">
        <f>ROUND('PART PEF2021'!E$5*'CALCULO GARANTIA'!$Q24,2)</f>
        <v>1671101.37</v>
      </c>
      <c r="D24" s="253">
        <f>+'PART PEF2021'!E$6*'Art.14 Frac.III'!R23</f>
        <v>898992.27712354413</v>
      </c>
      <c r="E24" s="233">
        <f>ROUND('PART PEF2021'!E$7*'CALCULO GARANTIA'!$Q24,2)</f>
        <v>357140.24</v>
      </c>
      <c r="F24" s="233">
        <f>ROUND('PART PEF2021'!E$8*'CALCULO GARANTIA'!$Q24,2)</f>
        <v>581973.34</v>
      </c>
      <c r="G24" s="233">
        <f>ROUND('PART PEF2021'!E$9*'CALCULO GARANTIA'!$Q24,2)</f>
        <v>318438.53999999998</v>
      </c>
      <c r="H24" s="233">
        <f>ROUND('PART PEF2021'!E$10*'CALCULO GARANTIA'!$Q24,2)</f>
        <v>67604.08</v>
      </c>
      <c r="I24" s="233">
        <f>+'PART PEF2021'!E$11*'COEF Art 14 F II'!M25</f>
        <v>127201.09373022312</v>
      </c>
      <c r="J24" s="231">
        <f t="shared" si="0"/>
        <v>16279708.090853766</v>
      </c>
    </row>
    <row r="25" spans="1:10">
      <c r="A25" s="137" t="s">
        <v>12</v>
      </c>
      <c r="B25" s="233">
        <f>ROUND('PART PEF2021'!E$4*'CALCULO GARANTIA'!$Q25,2)</f>
        <v>167549451.19</v>
      </c>
      <c r="C25" s="253">
        <f>ROUND('PART PEF2021'!E$5*'CALCULO GARANTIA'!$Q25,2)</f>
        <v>22842966.760000002</v>
      </c>
      <c r="D25" s="253">
        <f>+'PART PEF2021'!E$6*'Art.14 Frac.III'!R24</f>
        <v>3533119.8646930512</v>
      </c>
      <c r="E25" s="233">
        <f>ROUND('PART PEF2021'!E$7*'CALCULO GARANTIA'!$Q25,2)</f>
        <v>4881895.76</v>
      </c>
      <c r="F25" s="233">
        <f>ROUND('PART PEF2021'!E$8*'CALCULO GARANTIA'!$Q25,2)</f>
        <v>7955231.1500000004</v>
      </c>
      <c r="G25" s="233">
        <f>ROUND('PART PEF2021'!E$9*'CALCULO GARANTIA'!$Q25,2)</f>
        <v>4352866.38</v>
      </c>
      <c r="H25" s="233">
        <f>ROUND('PART PEF2021'!E$10*'CALCULO GARANTIA'!$Q25,2)</f>
        <v>924107.71</v>
      </c>
      <c r="I25" s="233">
        <f>+'PART PEF2021'!E$11*'COEF Art 14 F II'!M26</f>
        <v>5219651.020162696</v>
      </c>
      <c r="J25" s="231">
        <f t="shared" si="0"/>
        <v>217259289.83485574</v>
      </c>
    </row>
    <row r="26" spans="1:10">
      <c r="A26" s="137" t="s">
        <v>166</v>
      </c>
      <c r="B26" s="233">
        <f>ROUND('PART PEF2021'!E$4*'CALCULO GARANTIA'!$Q26,2)</f>
        <v>24738043.18</v>
      </c>
      <c r="C26" s="253">
        <f>ROUND('PART PEF2021'!E$5*'CALCULO GARANTIA'!$Q26,2)</f>
        <v>3372677.7</v>
      </c>
      <c r="D26" s="253">
        <f>+'PART PEF2021'!E$6*'Art.14 Frac.III'!R25</f>
        <v>1687187.291985489</v>
      </c>
      <c r="E26" s="233">
        <f>ROUND('PART PEF2021'!E$7*'CALCULO GARANTIA'!$Q26,2)</f>
        <v>720793.46</v>
      </c>
      <c r="F26" s="233">
        <f>ROUND('PART PEF2021'!E$8*'CALCULO GARANTIA'!$Q26,2)</f>
        <v>1174559.81</v>
      </c>
      <c r="G26" s="233">
        <f>ROUND('PART PEF2021'!E$9*'CALCULO GARANTIA'!$Q26,2)</f>
        <v>642684.27</v>
      </c>
      <c r="H26" s="233">
        <f>ROUND('PART PEF2021'!E$10*'CALCULO GARANTIA'!$Q26,2)</f>
        <v>136441.01</v>
      </c>
      <c r="I26" s="233">
        <f>+'PART PEF2021'!E$11*'COEF Art 14 F II'!M27</f>
        <v>284657.50715762709</v>
      </c>
      <c r="J26" s="231">
        <f t="shared" si="0"/>
        <v>32757044.229143117</v>
      </c>
    </row>
    <row r="27" spans="1:10">
      <c r="A27" s="137" t="s">
        <v>13</v>
      </c>
      <c r="B27" s="233">
        <f>ROUND('PART PEF2021'!E$4*'CALCULO GARANTIA'!$Q27,2)</f>
        <v>3967992.62</v>
      </c>
      <c r="C27" s="253">
        <f>ROUND('PART PEF2021'!E$5*'CALCULO GARANTIA'!$Q27,2)</f>
        <v>540978.93000000005</v>
      </c>
      <c r="D27" s="253">
        <f>+'PART PEF2021'!E$6*'Art.14 Frac.III'!R26</f>
        <v>1541674.2597020755</v>
      </c>
      <c r="E27" s="233">
        <f>ROUND('PART PEF2021'!E$7*'CALCULO GARANTIA'!$Q27,2)</f>
        <v>115615.58</v>
      </c>
      <c r="F27" s="233">
        <f>ROUND('PART PEF2021'!E$8*'CALCULO GARANTIA'!$Q27,2)</f>
        <v>188399.89</v>
      </c>
      <c r="G27" s="233">
        <f>ROUND('PART PEF2021'!E$9*'CALCULO GARANTIA'!$Q27,2)</f>
        <v>103086.83</v>
      </c>
      <c r="H27" s="233">
        <f>ROUND('PART PEF2021'!E$10*'CALCULO GARANTIA'!$Q27,2)</f>
        <v>21885.200000000001</v>
      </c>
      <c r="I27" s="233">
        <f>+'PART PEF2021'!E$11*'COEF Art 14 F II'!M28</f>
        <v>51430.297051586524</v>
      </c>
      <c r="J27" s="231">
        <f t="shared" si="0"/>
        <v>6531063.6067536613</v>
      </c>
    </row>
    <row r="28" spans="1:10">
      <c r="A28" s="137" t="s">
        <v>14</v>
      </c>
      <c r="B28" s="233">
        <f>ROUND('PART PEF2021'!E$4*'CALCULO GARANTIA'!$Q28,2)</f>
        <v>18375740.129999999</v>
      </c>
      <c r="C28" s="253">
        <f>ROUND('PART PEF2021'!E$5*'CALCULO GARANTIA'!$Q28,2)</f>
        <v>2505268.85</v>
      </c>
      <c r="D28" s="253">
        <f>+'PART PEF2021'!E$6*'Art.14 Frac.III'!R27</f>
        <v>452016.18159158662</v>
      </c>
      <c r="E28" s="233">
        <f>ROUND('PART PEF2021'!E$7*'CALCULO GARANTIA'!$Q28,2)</f>
        <v>535414.75</v>
      </c>
      <c r="F28" s="233">
        <f>ROUND('PART PEF2021'!E$8*'CALCULO GARANTIA'!$Q28,2)</f>
        <v>872478.3</v>
      </c>
      <c r="G28" s="233">
        <f>ROUND('PART PEF2021'!E$9*'CALCULO GARANTIA'!$Q28,2)</f>
        <v>477394.23</v>
      </c>
      <c r="H28" s="233">
        <f>ROUND('PART PEF2021'!E$10*'CALCULO GARANTIA'!$Q28,2)</f>
        <v>101350.16</v>
      </c>
      <c r="I28" s="233">
        <f>+'PART PEF2021'!E$11*'COEF Art 14 F II'!M29</f>
        <v>178163.42928809256</v>
      </c>
      <c r="J28" s="231">
        <f t="shared" si="0"/>
        <v>23497826.03087968</v>
      </c>
    </row>
    <row r="29" spans="1:10">
      <c r="A29" s="137" t="s">
        <v>15</v>
      </c>
      <c r="B29" s="233">
        <f>ROUND('PART PEF2021'!E$4*'CALCULO GARANTIA'!$Q29,2)</f>
        <v>17904850.039999999</v>
      </c>
      <c r="C29" s="253">
        <f>ROUND('PART PEF2021'!E$5*'CALCULO GARANTIA'!$Q29,2)</f>
        <v>2441069.73</v>
      </c>
      <c r="D29" s="253">
        <f>+'PART PEF2021'!E$6*'Art.14 Frac.III'!R28</f>
        <v>5464951.0418968275</v>
      </c>
      <c r="E29" s="233">
        <f>ROUND('PART PEF2021'!E$7*'CALCULO GARANTIA'!$Q29,2)</f>
        <v>521694.41</v>
      </c>
      <c r="F29" s="233">
        <f>ROUND('PART PEF2021'!E$8*'CALCULO GARANTIA'!$Q29,2)</f>
        <v>850120.49</v>
      </c>
      <c r="G29" s="233">
        <f>ROUND('PART PEF2021'!E$9*'CALCULO GARANTIA'!$Q29,2)</f>
        <v>465160.7</v>
      </c>
      <c r="H29" s="233">
        <f>ROUND('PART PEF2021'!E$10*'CALCULO GARANTIA'!$Q29,2)</f>
        <v>98752.99</v>
      </c>
      <c r="I29" s="233">
        <f>+'PART PEF2021'!E$11*'COEF Art 14 F II'!M30</f>
        <v>1077443.4405014026</v>
      </c>
      <c r="J29" s="231">
        <f t="shared" si="0"/>
        <v>28824042.842398226</v>
      </c>
    </row>
    <row r="30" spans="1:10">
      <c r="A30" s="137" t="s">
        <v>16</v>
      </c>
      <c r="B30" s="233">
        <f>ROUND('PART PEF2021'!E$4*'CALCULO GARANTIA'!$Q30,2)</f>
        <v>286562276.39999998</v>
      </c>
      <c r="C30" s="253">
        <f>ROUND('PART PEF2021'!E$5*'CALCULO GARANTIA'!$Q30,2)</f>
        <v>39068660.079999998</v>
      </c>
      <c r="D30" s="253">
        <f>+'PART PEF2021'!E$6*'Art.14 Frac.III'!R29</f>
        <v>5473107.0256757261</v>
      </c>
      <c r="E30" s="233">
        <f>ROUND('PART PEF2021'!E$7*'CALCULO GARANTIA'!$Q30,2)</f>
        <v>8349577.71</v>
      </c>
      <c r="F30" s="233">
        <f>ROUND('PART PEF2021'!E$8*'CALCULO GARANTIA'!$Q30,2)</f>
        <v>13605948.16</v>
      </c>
      <c r="G30" s="233">
        <f>ROUND('PART PEF2021'!E$9*'CALCULO GARANTIA'!$Q30,2)</f>
        <v>7444771.0199999996</v>
      </c>
      <c r="H30" s="233">
        <f>ROUND('PART PEF2021'!E$10*'CALCULO GARANTIA'!$Q30,2)</f>
        <v>1580514.94</v>
      </c>
      <c r="I30" s="233">
        <f>+'PART PEF2021'!E$11*'COEF Art 14 F II'!M31</f>
        <v>7600993.164738276</v>
      </c>
      <c r="J30" s="231">
        <f t="shared" si="0"/>
        <v>369685848.50041395</v>
      </c>
    </row>
    <row r="31" spans="1:10">
      <c r="A31" s="137" t="s">
        <v>167</v>
      </c>
      <c r="B31" s="233">
        <f>ROUND('PART PEF2021'!E$4*'CALCULO GARANTIA'!$Q31,2)</f>
        <v>7378860.9299999997</v>
      </c>
      <c r="C31" s="253">
        <f>ROUND('PART PEF2021'!E$5*'CALCULO GARANTIA'!$Q31,2)</f>
        <v>1006001.95</v>
      </c>
      <c r="D31" s="253">
        <f>+'PART PEF2021'!E$6*'Art.14 Frac.III'!R30</f>
        <v>1622016.288475025</v>
      </c>
      <c r="E31" s="233">
        <f>ROUND('PART PEF2021'!E$7*'CALCULO GARANTIA'!$Q31,2)</f>
        <v>214998.2</v>
      </c>
      <c r="F31" s="233">
        <f>ROUND('PART PEF2021'!E$8*'CALCULO GARANTIA'!$Q31,2)</f>
        <v>350347.58</v>
      </c>
      <c r="G31" s="233">
        <f>ROUND('PART PEF2021'!E$9*'CALCULO GARANTIA'!$Q31,2)</f>
        <v>191699.8</v>
      </c>
      <c r="H31" s="233">
        <f>ROUND('PART PEF2021'!E$10*'CALCULO GARANTIA'!$Q31,2)</f>
        <v>40697.61</v>
      </c>
      <c r="I31" s="233">
        <f>+'PART PEF2021'!E$11*'COEF Art 14 F II'!M32</f>
        <v>33965.595844447169</v>
      </c>
      <c r="J31" s="231">
        <f t="shared" si="0"/>
        <v>10838587.954319471</v>
      </c>
    </row>
    <row r="32" spans="1:10">
      <c r="A32" s="137" t="s">
        <v>17</v>
      </c>
      <c r="B32" s="233">
        <f>ROUND('PART PEF2021'!E$4*'CALCULO GARANTIA'!$Q32,2)</f>
        <v>12701568.119999999</v>
      </c>
      <c r="C32" s="253">
        <f>ROUND('PART PEF2021'!E$5*'CALCULO GARANTIA'!$Q32,2)</f>
        <v>1731676.81</v>
      </c>
      <c r="D32" s="253">
        <f>+'PART PEF2021'!E$6*'Art.14 Frac.III'!R31</f>
        <v>1788586.2809911841</v>
      </c>
      <c r="E32" s="233">
        <f>ROUND('PART PEF2021'!E$7*'CALCULO GARANTIA'!$Q32,2)</f>
        <v>370086.15</v>
      </c>
      <c r="F32" s="233">
        <f>ROUND('PART PEF2021'!E$8*'CALCULO GARANTIA'!$Q32,2)</f>
        <v>603069.18000000005</v>
      </c>
      <c r="G32" s="233">
        <f>ROUND('PART PEF2021'!E$9*'CALCULO GARANTIA'!$Q32,2)</f>
        <v>329981.56</v>
      </c>
      <c r="H32" s="233">
        <f>ROUND('PART PEF2021'!E$10*'CALCULO GARANTIA'!$Q32,2)</f>
        <v>70054.64</v>
      </c>
      <c r="I32" s="233">
        <f>+'PART PEF2021'!E$11*'COEF Art 14 F II'!M33</f>
        <v>180449.64566849862</v>
      </c>
      <c r="J32" s="231">
        <f t="shared" si="0"/>
        <v>17775472.386659682</v>
      </c>
    </row>
    <row r="33" spans="1:10">
      <c r="A33" s="137" t="s">
        <v>18</v>
      </c>
      <c r="B33" s="233">
        <f>ROUND('PART PEF2021'!E$4*'CALCULO GARANTIA'!$Q33,2)</f>
        <v>7289733.0899999999</v>
      </c>
      <c r="C33" s="253">
        <f>ROUND('PART PEF2021'!E$5*'CALCULO GARANTIA'!$Q33,2)</f>
        <v>993850.65</v>
      </c>
      <c r="D33" s="253">
        <f>+'PART PEF2021'!E$6*'Art.14 Frac.III'!R32</f>
        <v>3810371.0658855336</v>
      </c>
      <c r="E33" s="233">
        <f>ROUND('PART PEF2021'!E$7*'CALCULO GARANTIA'!$Q33,2)</f>
        <v>212401.28</v>
      </c>
      <c r="F33" s="233">
        <f>ROUND('PART PEF2021'!E$8*'CALCULO GARANTIA'!$Q33,2)</f>
        <v>346115.8</v>
      </c>
      <c r="G33" s="233">
        <f>ROUND('PART PEF2021'!E$9*'CALCULO GARANTIA'!$Q33,2)</f>
        <v>189384.29</v>
      </c>
      <c r="H33" s="233">
        <f>ROUND('PART PEF2021'!E$10*'CALCULO GARANTIA'!$Q33,2)</f>
        <v>40206.03</v>
      </c>
      <c r="I33" s="233">
        <f>+'PART PEF2021'!E$11*'COEF Art 14 F II'!M34</f>
        <v>29682.915638603419</v>
      </c>
      <c r="J33" s="231">
        <f t="shared" si="0"/>
        <v>12911745.121524137</v>
      </c>
    </row>
    <row r="34" spans="1:10">
      <c r="A34" s="137" t="s">
        <v>19</v>
      </c>
      <c r="B34" s="233">
        <f>ROUND('PART PEF2021'!E$4*'CALCULO GARANTIA'!$Q34,2)</f>
        <v>10168372.84</v>
      </c>
      <c r="C34" s="253">
        <f>ROUND('PART PEF2021'!E$5*'CALCULO GARANTIA'!$Q34,2)</f>
        <v>1386311.93</v>
      </c>
      <c r="D34" s="253">
        <f>+'PART PEF2021'!E$6*'Art.14 Frac.III'!R33</f>
        <v>2955430.7881135405</v>
      </c>
      <c r="E34" s="233">
        <f>ROUND('PART PEF2021'!E$7*'CALCULO GARANTIA'!$Q34,2)</f>
        <v>296276.33</v>
      </c>
      <c r="F34" s="233">
        <f>ROUND('PART PEF2021'!E$8*'CALCULO GARANTIA'!$Q34,2)</f>
        <v>482793.32</v>
      </c>
      <c r="G34" s="233">
        <f>ROUND('PART PEF2021'!E$9*'CALCULO GARANTIA'!$Q34,2)</f>
        <v>264170.18</v>
      </c>
      <c r="H34" s="233">
        <f>ROUND('PART PEF2021'!E$10*'CALCULO GARANTIA'!$Q34,2)</f>
        <v>56082.98</v>
      </c>
      <c r="I34" s="233">
        <f>+'PART PEF2021'!E$11*'COEF Art 14 F II'!M35</f>
        <v>105307.90684629085</v>
      </c>
      <c r="J34" s="231">
        <f t="shared" si="0"/>
        <v>15714746.274959831</v>
      </c>
    </row>
    <row r="35" spans="1:10">
      <c r="A35" s="137" t="s">
        <v>20</v>
      </c>
      <c r="B35" s="233">
        <f>ROUND('PART PEF2021'!E$4*'CALCULO GARANTIA'!$Q35,2)</f>
        <v>9570845.2300000004</v>
      </c>
      <c r="C35" s="253">
        <f>ROUND('PART PEF2021'!E$5*'CALCULO GARANTIA'!$Q35,2)</f>
        <v>1304847.6000000001</v>
      </c>
      <c r="D35" s="253">
        <f>+'PART PEF2021'!E$6*'Art.14 Frac.III'!R34</f>
        <v>1868440.612461641</v>
      </c>
      <c r="E35" s="233">
        <f>ROUND('PART PEF2021'!E$7*'CALCULO GARANTIA'!$Q35,2)</f>
        <v>278866.14</v>
      </c>
      <c r="F35" s="233">
        <f>ROUND('PART PEF2021'!E$8*'CALCULO GARANTIA'!$Q35,2)</f>
        <v>454422.77</v>
      </c>
      <c r="G35" s="233">
        <f>ROUND('PART PEF2021'!E$9*'CALCULO GARANTIA'!$Q35,2)</f>
        <v>248646.65</v>
      </c>
      <c r="H35" s="233">
        <f>ROUND('PART PEF2021'!E$10*'CALCULO GARANTIA'!$Q35,2)</f>
        <v>52787.35</v>
      </c>
      <c r="I35" s="233">
        <f>+'PART PEF2021'!E$11*'COEF Art 14 F II'!M36</f>
        <v>118892.33210079274</v>
      </c>
      <c r="J35" s="231">
        <f t="shared" si="0"/>
        <v>13897748.684562434</v>
      </c>
    </row>
    <row r="36" spans="1:10">
      <c r="A36" s="137" t="s">
        <v>168</v>
      </c>
      <c r="B36" s="233">
        <f>ROUND('PART PEF2021'!E$4*'CALCULO GARANTIA'!$Q36,2)</f>
        <v>88907558.349999994</v>
      </c>
      <c r="C36" s="253">
        <f>ROUND('PART PEF2021'!E$5*'CALCULO GARANTIA'!$Q36,2)</f>
        <v>12121271.58</v>
      </c>
      <c r="D36" s="253">
        <f>+'PART PEF2021'!E$6*'Art.14 Frac.III'!R35</f>
        <v>0</v>
      </c>
      <c r="E36" s="233">
        <f>ROUND('PART PEF2021'!E$7*'CALCULO GARANTIA'!$Q36,2)</f>
        <v>2590503.46</v>
      </c>
      <c r="F36" s="233">
        <f>ROUND('PART PEF2021'!E$8*'CALCULO GARANTIA'!$Q36,2)</f>
        <v>4221321.96</v>
      </c>
      <c r="G36" s="233">
        <f>ROUND('PART PEF2021'!E$9*'CALCULO GARANTIA'!$Q36,2)</f>
        <v>2309782.09</v>
      </c>
      <c r="H36" s="233">
        <f>ROUND('PART PEF2021'!E$10*'CALCULO GARANTIA'!$Q36,2)</f>
        <v>490363.65</v>
      </c>
      <c r="I36" s="233">
        <f>+'PART PEF2021'!E$11*'COEF Art 14 F II'!M37</f>
        <v>4696704.1686212542</v>
      </c>
      <c r="J36" s="231">
        <f t="shared" si="0"/>
        <v>115337505.25862125</v>
      </c>
    </row>
    <row r="37" spans="1:10">
      <c r="A37" s="137" t="s">
        <v>21</v>
      </c>
      <c r="B37" s="233">
        <f>ROUND('PART PEF2021'!E$4*'CALCULO GARANTIA'!$Q37,2)</f>
        <v>17326066.079999998</v>
      </c>
      <c r="C37" s="253">
        <f>ROUND('PART PEF2021'!E$5*'CALCULO GARANTIA'!$Q37,2)</f>
        <v>2362160.84</v>
      </c>
      <c r="D37" s="253">
        <f>+'PART PEF2021'!E$6*'Art.14 Frac.III'!R36</f>
        <v>1781647.1653854954</v>
      </c>
      <c r="E37" s="233">
        <f>ROUND('PART PEF2021'!E$7*'CALCULO GARANTIA'!$Q37,2)</f>
        <v>504830.35</v>
      </c>
      <c r="F37" s="233">
        <f>ROUND('PART PEF2021'!E$8*'CALCULO GARANTIA'!$Q37,2)</f>
        <v>822639.88</v>
      </c>
      <c r="G37" s="233">
        <f>ROUND('PART PEF2021'!E$9*'CALCULO GARANTIA'!$Q37,2)</f>
        <v>450124.13</v>
      </c>
      <c r="H37" s="233">
        <f>ROUND('PART PEF2021'!E$10*'CALCULO GARANTIA'!$Q37,2)</f>
        <v>95560.75</v>
      </c>
      <c r="I37" s="233">
        <f>+'PART PEF2021'!E$11*'COEF Art 14 F II'!M38</f>
        <v>119518.19142500134</v>
      </c>
      <c r="J37" s="231">
        <f t="shared" si="0"/>
        <v>23462547.386810496</v>
      </c>
    </row>
    <row r="38" spans="1:10">
      <c r="A38" s="137" t="s">
        <v>22</v>
      </c>
      <c r="B38" s="233">
        <f>ROUND('PART PEF2021'!E$4*'CALCULO GARANTIA'!$Q38,2)</f>
        <v>63524415.770000003</v>
      </c>
      <c r="C38" s="253">
        <f>ROUND('PART PEF2021'!E$5*'CALCULO GARANTIA'!$Q38,2)</f>
        <v>8660643.8100000005</v>
      </c>
      <c r="D38" s="253">
        <f>+'PART PEF2021'!E$6*'Art.14 Frac.III'!R37</f>
        <v>1611097.8121501922</v>
      </c>
      <c r="E38" s="233">
        <f>ROUND('PART PEF2021'!E$7*'CALCULO GARANTIA'!$Q38,2)</f>
        <v>1850913.71</v>
      </c>
      <c r="F38" s="233">
        <f>ROUND('PART PEF2021'!E$8*'CALCULO GARANTIA'!$Q38,2)</f>
        <v>3016132.89</v>
      </c>
      <c r="G38" s="233">
        <f>ROUND('PART PEF2021'!E$9*'CALCULO GARANTIA'!$Q38,2)</f>
        <v>1650338.4</v>
      </c>
      <c r="H38" s="233">
        <f>ROUND('PART PEF2021'!E$10*'CALCULO GARANTIA'!$Q38,2)</f>
        <v>350364.64</v>
      </c>
      <c r="I38" s="233">
        <f>+'PART PEF2021'!E$11*'COEF Art 14 F II'!M39</f>
        <v>1152544.2669600991</v>
      </c>
      <c r="J38" s="231">
        <f t="shared" si="0"/>
        <v>81816451.299110293</v>
      </c>
    </row>
    <row r="39" spans="1:10">
      <c r="A39" s="137" t="s">
        <v>169</v>
      </c>
      <c r="B39" s="233">
        <f>ROUND('PART PEF2021'!E$4*'CALCULO GARANTIA'!$Q39,2)</f>
        <v>13553966.470000001</v>
      </c>
      <c r="C39" s="253">
        <f>ROUND('PART PEF2021'!E$5*'CALCULO GARANTIA'!$Q39,2)</f>
        <v>1847889.11</v>
      </c>
      <c r="D39" s="253">
        <f>+'PART PEF2021'!E$6*'Art.14 Frac.III'!R38</f>
        <v>2416790.6972644641</v>
      </c>
      <c r="E39" s="233">
        <f>ROUND('PART PEF2021'!E$7*'CALCULO GARANTIA'!$Q39,2)</f>
        <v>394922.52</v>
      </c>
      <c r="F39" s="233">
        <f>ROUND('PART PEF2021'!E$8*'CALCULO GARANTIA'!$Q39,2)</f>
        <v>643540.97</v>
      </c>
      <c r="G39" s="233">
        <f>ROUND('PART PEF2021'!E$9*'CALCULO GARANTIA'!$Q39,2)</f>
        <v>352126.52</v>
      </c>
      <c r="H39" s="233">
        <f>ROUND('PART PEF2021'!E$10*'CALCULO GARANTIA'!$Q39,2)</f>
        <v>74755.990000000005</v>
      </c>
      <c r="I39" s="233">
        <f>+'PART PEF2021'!E$11*'COEF Art 14 F II'!M40</f>
        <v>103483.21525095731</v>
      </c>
      <c r="J39" s="231">
        <f t="shared" si="0"/>
        <v>19387475.492515419</v>
      </c>
    </row>
    <row r="40" spans="1:10">
      <c r="A40" s="137" t="s">
        <v>23</v>
      </c>
      <c r="B40" s="233">
        <f>ROUND('PART PEF2021'!E$4*'CALCULO GARANTIA'!$Q40,2)</f>
        <v>13028117.57</v>
      </c>
      <c r="C40" s="253">
        <f>ROUND('PART PEF2021'!E$5*'CALCULO GARANTIA'!$Q40,2)</f>
        <v>1776197.14</v>
      </c>
      <c r="D40" s="253">
        <f>+'PART PEF2021'!E$6*'Art.14 Frac.III'!R39</f>
        <v>2287283.1402093791</v>
      </c>
      <c r="E40" s="233">
        <f>ROUND('PART PEF2021'!E$7*'CALCULO GARANTIA'!$Q40,2)</f>
        <v>379600.84</v>
      </c>
      <c r="F40" s="233">
        <f>ROUND('PART PEF2021'!E$8*'CALCULO GARANTIA'!$Q40,2)</f>
        <v>618573.72</v>
      </c>
      <c r="G40" s="233">
        <f>ROUND('PART PEF2021'!E$9*'CALCULO GARANTIA'!$Q40,2)</f>
        <v>338465.18</v>
      </c>
      <c r="H40" s="233">
        <f>ROUND('PART PEF2021'!E$10*'CALCULO GARANTIA'!$Q40,2)</f>
        <v>71855.710000000006</v>
      </c>
      <c r="I40" s="233">
        <f>+'PART PEF2021'!E$11*'COEF Art 14 F II'!M41</f>
        <v>17932.73402988739</v>
      </c>
      <c r="J40" s="231">
        <f t="shared" si="0"/>
        <v>18518026.03423927</v>
      </c>
    </row>
    <row r="41" spans="1:10">
      <c r="A41" s="137" t="s">
        <v>24</v>
      </c>
      <c r="B41" s="233">
        <f>ROUND('PART PEF2021'!E$4*'CALCULO GARANTIA'!$Q41,2)</f>
        <v>13679365.33</v>
      </c>
      <c r="C41" s="253">
        <f>ROUND('PART PEF2021'!E$5*'CALCULO GARANTIA'!$Q41,2)</f>
        <v>1864985.44</v>
      </c>
      <c r="D41" s="253">
        <f>+'PART PEF2021'!E$6*'Art.14 Frac.III'!R40</f>
        <v>431694.73223207385</v>
      </c>
      <c r="E41" s="233">
        <f>ROUND('PART PEF2021'!E$7*'CALCULO GARANTIA'!$Q41,2)</f>
        <v>398576.27</v>
      </c>
      <c r="F41" s="233">
        <f>ROUND('PART PEF2021'!E$8*'CALCULO GARANTIA'!$Q41,2)</f>
        <v>649494.89</v>
      </c>
      <c r="G41" s="233">
        <f>ROUND('PART PEF2021'!E$9*'CALCULO GARANTIA'!$Q41,2)</f>
        <v>355384.33</v>
      </c>
      <c r="H41" s="233">
        <f>ROUND('PART PEF2021'!E$10*'CALCULO GARANTIA'!$Q41,2)</f>
        <v>75447.62</v>
      </c>
      <c r="I41" s="233">
        <f>+'PART PEF2021'!E$11*'COEF Art 14 F II'!M42</f>
        <v>229199.95906160452</v>
      </c>
      <c r="J41" s="231">
        <f t="shared" si="0"/>
        <v>17684148.571293674</v>
      </c>
    </row>
    <row r="42" spans="1:10">
      <c r="A42" s="137" t="s">
        <v>25</v>
      </c>
      <c r="B42" s="233">
        <f>ROUND('PART PEF2021'!E$4*'CALCULO GARANTIA'!$Q42,2)</f>
        <v>19267979.050000001</v>
      </c>
      <c r="C42" s="253">
        <f>ROUND('PART PEF2021'!E$5*'CALCULO GARANTIA'!$Q42,2)</f>
        <v>2626912.84</v>
      </c>
      <c r="D42" s="253">
        <f>+'PART PEF2021'!E$6*'Art.14 Frac.III'!R41</f>
        <v>5492520.725060543</v>
      </c>
      <c r="E42" s="233">
        <f>ROUND('PART PEF2021'!E$7*'CALCULO GARANTIA'!$Q42,2)</f>
        <v>561411.96</v>
      </c>
      <c r="F42" s="233">
        <f>ROUND('PART PEF2021'!E$8*'CALCULO GARANTIA'!$Q42,2)</f>
        <v>914841.71</v>
      </c>
      <c r="G42" s="233">
        <f>ROUND('PART PEF2021'!E$9*'CALCULO GARANTIA'!$Q42,2)</f>
        <v>500574.23</v>
      </c>
      <c r="H42" s="233">
        <f>ROUND('PART PEF2021'!E$10*'CALCULO GARANTIA'!$Q42,2)</f>
        <v>106271.24</v>
      </c>
      <c r="I42" s="233">
        <f>+'PART PEF2021'!E$11*'COEF Art 14 F II'!M43</f>
        <v>153595.21130436406</v>
      </c>
      <c r="J42" s="231">
        <f t="shared" si="0"/>
        <v>29624106.966364909</v>
      </c>
    </row>
    <row r="43" spans="1:10">
      <c r="A43" s="137" t="s">
        <v>26</v>
      </c>
      <c r="B43" s="233">
        <f>ROUND('PART PEF2021'!E$4*'CALCULO GARANTIA'!$Q43,2)</f>
        <v>45204458.140000001</v>
      </c>
      <c r="C43" s="253">
        <f>ROUND('PART PEF2021'!E$5*'CALCULO GARANTIA'!$Q43,2)</f>
        <v>6162980.1100000003</v>
      </c>
      <c r="D43" s="253">
        <f>+'PART PEF2021'!E$6*'Art.14 Frac.III'!R42</f>
        <v>3695458.1442474918</v>
      </c>
      <c r="E43" s="233">
        <f>ROUND('PART PEF2021'!E$7*'CALCULO GARANTIA'!$Q43,2)</f>
        <v>1317124.29</v>
      </c>
      <c r="F43" s="233">
        <f>ROUND('PART PEF2021'!E$8*'CALCULO GARANTIA'!$Q43,2)</f>
        <v>2146303.14</v>
      </c>
      <c r="G43" s="233">
        <f>ROUND('PART PEF2021'!E$9*'CALCULO GARANTIA'!$Q43,2)</f>
        <v>1174393.3799999999</v>
      </c>
      <c r="H43" s="233">
        <f>ROUND('PART PEF2021'!E$10*'CALCULO GARANTIA'!$Q43,2)</f>
        <v>249322.14</v>
      </c>
      <c r="I43" s="233">
        <f>+'PART PEF2021'!E$11*'COEF Art 14 F II'!M44</f>
        <v>879785.09263451619</v>
      </c>
      <c r="J43" s="231">
        <f t="shared" si="0"/>
        <v>60829824.436882012</v>
      </c>
    </row>
    <row r="44" spans="1:10">
      <c r="A44" s="137" t="s">
        <v>27</v>
      </c>
      <c r="B44" s="233">
        <f>ROUND('PART PEF2021'!E$4*'CALCULO GARANTIA'!$Q44,2)</f>
        <v>935515783.70000005</v>
      </c>
      <c r="C44" s="253">
        <f>ROUND('PART PEF2021'!E$5*'CALCULO GARANTIA'!$Q44,2)</f>
        <v>127544171.59999999</v>
      </c>
      <c r="D44" s="253">
        <f>+'PART PEF2021'!E$6*'Art.14 Frac.III'!R43</f>
        <v>0</v>
      </c>
      <c r="E44" s="233">
        <f>ROUND('PART PEF2021'!E$7*'CALCULO GARANTIA'!$Q44,2)</f>
        <v>27258164.73</v>
      </c>
      <c r="F44" s="233">
        <f>ROUND('PART PEF2021'!E$8*'CALCULO GARANTIA'!$Q44,2)</f>
        <v>44418195.630000003</v>
      </c>
      <c r="G44" s="233">
        <f>ROUND('PART PEF2021'!E$9*'CALCULO GARANTIA'!$Q44,2)</f>
        <v>24304318.34</v>
      </c>
      <c r="H44" s="233">
        <f>ROUND('PART PEF2021'!E$10*'CALCULO GARANTIA'!$Q44,2)</f>
        <v>5159774.3</v>
      </c>
      <c r="I44" s="233">
        <f>+'PART PEF2021'!E$11*'COEF Art 14 F II'!M45</f>
        <v>16093176.436117528</v>
      </c>
      <c r="J44" s="231">
        <f t="shared" si="0"/>
        <v>1180293584.7361174</v>
      </c>
    </row>
    <row r="45" spans="1:10">
      <c r="A45" s="137" t="s">
        <v>170</v>
      </c>
      <c r="B45" s="233">
        <f>ROUND('PART PEF2021'!E$4*'CALCULO GARANTIA'!$Q45,2)</f>
        <v>4831566.9400000004</v>
      </c>
      <c r="C45" s="253">
        <f>ROUND('PART PEF2021'!E$5*'CALCULO GARANTIA'!$Q45,2)</f>
        <v>658714.92000000004</v>
      </c>
      <c r="D45" s="253">
        <f>+'PART PEF2021'!E$6*'Art.14 Frac.III'!R44</f>
        <v>1883696.4819520642</v>
      </c>
      <c r="E45" s="233">
        <f>ROUND('PART PEF2021'!E$7*'CALCULO GARANTIA'!$Q45,2)</f>
        <v>140777.57999999999</v>
      </c>
      <c r="F45" s="233">
        <f>ROUND('PART PEF2021'!E$8*'CALCULO GARANTIA'!$Q45,2)</f>
        <v>229402.31</v>
      </c>
      <c r="G45" s="233">
        <f>ROUND('PART PEF2021'!E$9*'CALCULO GARANTIA'!$Q45,2)</f>
        <v>125522.14</v>
      </c>
      <c r="H45" s="233">
        <f>ROUND('PART PEF2021'!E$10*'CALCULO GARANTIA'!$Q45,2)</f>
        <v>26648.18</v>
      </c>
      <c r="I45" s="233">
        <f>+'PART PEF2021'!E$11*'COEF Art 14 F II'!M46</f>
        <v>69381.689811707169</v>
      </c>
      <c r="J45" s="231">
        <f t="shared" si="0"/>
        <v>7965710.2417637715</v>
      </c>
    </row>
    <row r="46" spans="1:10">
      <c r="A46" s="137" t="s">
        <v>171</v>
      </c>
      <c r="B46" s="233">
        <f>ROUND('PART PEF2021'!E$4*'CALCULO GARANTIA'!$Q46,2)</f>
        <v>20342004.440000001</v>
      </c>
      <c r="C46" s="253">
        <f>ROUND('PART PEF2021'!E$5*'CALCULO GARANTIA'!$Q46,2)</f>
        <v>2773340.81</v>
      </c>
      <c r="D46" s="253">
        <f>+'PART PEF2021'!E$6*'Art.14 Frac.III'!R45</f>
        <v>2571322.9192878706</v>
      </c>
      <c r="E46" s="233">
        <f>ROUND('PART PEF2021'!E$7*'CALCULO GARANTIA'!$Q46,2)</f>
        <v>592705.88</v>
      </c>
      <c r="F46" s="233">
        <f>ROUND('PART PEF2021'!E$8*'CALCULO GARANTIA'!$Q46,2)</f>
        <v>965836.33</v>
      </c>
      <c r="G46" s="233">
        <f>ROUND('PART PEF2021'!E$9*'CALCULO GARANTIA'!$Q46,2)</f>
        <v>528476.98</v>
      </c>
      <c r="H46" s="233">
        <f>ROUND('PART PEF2021'!E$10*'CALCULO GARANTIA'!$Q46,2)</f>
        <v>112194.96</v>
      </c>
      <c r="I46" s="233">
        <f>+'PART PEF2021'!E$11*'COEF Art 14 F II'!M47</f>
        <v>1390078.5247237987</v>
      </c>
      <c r="J46" s="231">
        <f t="shared" si="0"/>
        <v>29275960.844011668</v>
      </c>
    </row>
    <row r="47" spans="1:10">
      <c r="A47" s="137" t="s">
        <v>172</v>
      </c>
      <c r="B47" s="233">
        <f>ROUND('PART PEF2021'!E$4*'CALCULO GARANTIA'!$Q47,2)</f>
        <v>10247606.6</v>
      </c>
      <c r="C47" s="253">
        <f>ROUND('PART PEF2021'!E$5*'CALCULO GARANTIA'!$Q47,2)</f>
        <v>1397114.32</v>
      </c>
      <c r="D47" s="253">
        <f>+'PART PEF2021'!E$6*'Art.14 Frac.III'!R46</f>
        <v>789996.78129317018</v>
      </c>
      <c r="E47" s="233">
        <f>ROUND('PART PEF2021'!E$7*'CALCULO GARANTIA'!$Q47,2)</f>
        <v>298584.96999999997</v>
      </c>
      <c r="F47" s="233">
        <f>ROUND('PART PEF2021'!E$8*'CALCULO GARANTIA'!$Q47,2)</f>
        <v>486555.33</v>
      </c>
      <c r="G47" s="233">
        <f>ROUND('PART PEF2021'!E$9*'CALCULO GARANTIA'!$Q47,2)</f>
        <v>266228.64</v>
      </c>
      <c r="H47" s="233">
        <f>ROUND('PART PEF2021'!E$10*'CALCULO GARANTIA'!$Q47,2)</f>
        <v>56519.98</v>
      </c>
      <c r="I47" s="233">
        <f>+'PART PEF2021'!E$11*'COEF Art 14 F II'!M48</f>
        <v>106760.94375777927</v>
      </c>
      <c r="J47" s="231">
        <f t="shared" si="0"/>
        <v>13649367.565050952</v>
      </c>
    </row>
    <row r="48" spans="1:10">
      <c r="A48" s="137" t="s">
        <v>28</v>
      </c>
      <c r="B48" s="233">
        <f>ROUND('PART PEF2021'!E$4*'CALCULO GARANTIA'!$Q48,2)</f>
        <v>11483205.01</v>
      </c>
      <c r="C48" s="253">
        <f>ROUND('PART PEF2021'!E$5*'CALCULO GARANTIA'!$Q48,2)</f>
        <v>1565570.45</v>
      </c>
      <c r="D48" s="253">
        <f>+'PART PEF2021'!E$6*'Art.14 Frac.III'!R47</f>
        <v>1330139.7560766023</v>
      </c>
      <c r="E48" s="233">
        <f>ROUND('PART PEF2021'!E$7*'CALCULO GARANTIA'!$Q48,2)</f>
        <v>334586.65000000002</v>
      </c>
      <c r="F48" s="233">
        <f>ROUND('PART PEF2021'!E$8*'CALCULO GARANTIA'!$Q48,2)</f>
        <v>545221.42000000004</v>
      </c>
      <c r="G48" s="233">
        <f>ROUND('PART PEF2021'!E$9*'CALCULO GARANTIA'!$Q48,2)</f>
        <v>298328.98</v>
      </c>
      <c r="H48" s="233">
        <f>ROUND('PART PEF2021'!E$10*'CALCULO GARANTIA'!$Q48,2)</f>
        <v>63334.84</v>
      </c>
      <c r="I48" s="233">
        <f>+'PART PEF2021'!E$11*'COEF Art 14 F II'!M49</f>
        <v>61067.058599674296</v>
      </c>
      <c r="J48" s="231">
        <f t="shared" si="0"/>
        <v>15681454.164676277</v>
      </c>
    </row>
    <row r="49" spans="1:10">
      <c r="A49" s="137" t="s">
        <v>29</v>
      </c>
      <c r="B49" s="233">
        <f>ROUND('PART PEF2021'!E$4*'CALCULO GARANTIA'!$Q49,2)</f>
        <v>33038981.370000001</v>
      </c>
      <c r="C49" s="253">
        <f>ROUND('PART PEF2021'!E$5*'CALCULO GARANTIA'!$Q49,2)</f>
        <v>4504391.6799999997</v>
      </c>
      <c r="D49" s="253">
        <f>+'PART PEF2021'!E$6*'Art.14 Frac.III'!R48</f>
        <v>2399766.0911614993</v>
      </c>
      <c r="E49" s="233">
        <f>ROUND('PART PEF2021'!E$7*'CALCULO GARANTIA'!$Q49,2)</f>
        <v>962658.26</v>
      </c>
      <c r="F49" s="233">
        <f>ROUND('PART PEF2021'!E$8*'CALCULO GARANTIA'!$Q49,2)</f>
        <v>1568687.52</v>
      </c>
      <c r="G49" s="233">
        <f>ROUND('PART PEF2021'!E$9*'CALCULO GARANTIA'!$Q49,2)</f>
        <v>858339.26</v>
      </c>
      <c r="H49" s="233">
        <f>ROUND('PART PEF2021'!E$10*'CALCULO GARANTIA'!$Q49,2)</f>
        <v>182224.28</v>
      </c>
      <c r="I49" s="233">
        <f>+'PART PEF2021'!E$11*'COEF Art 14 F II'!M50</f>
        <v>472403.2068819002</v>
      </c>
      <c r="J49" s="231">
        <f t="shared" si="0"/>
        <v>43987451.668043397</v>
      </c>
    </row>
    <row r="50" spans="1:10">
      <c r="A50" s="137" t="s">
        <v>30</v>
      </c>
      <c r="B50" s="233">
        <f>ROUND('PART PEF2021'!E$4*'CALCULO GARANTIA'!$Q50,2)</f>
        <v>28431775.59</v>
      </c>
      <c r="C50" s="253">
        <f>ROUND('PART PEF2021'!E$5*'CALCULO GARANTIA'!$Q50,2)</f>
        <v>3876265.19</v>
      </c>
      <c r="D50" s="253">
        <f>+'PART PEF2021'!E$6*'Art.14 Frac.III'!R49</f>
        <v>1127629.699816897</v>
      </c>
      <c r="E50" s="233">
        <f>ROUND('PART PEF2021'!E$7*'CALCULO GARANTIA'!$Q50,2)</f>
        <v>828417.9</v>
      </c>
      <c r="F50" s="233">
        <f>ROUND('PART PEF2021'!E$8*'CALCULO GARANTIA'!$Q50,2)</f>
        <v>1349937.85</v>
      </c>
      <c r="G50" s="233">
        <f>ROUND('PART PEF2021'!E$9*'CALCULO GARANTIA'!$Q50,2)</f>
        <v>738645.93</v>
      </c>
      <c r="H50" s="233">
        <f>ROUND('PART PEF2021'!E$10*'CALCULO GARANTIA'!$Q50,2)</f>
        <v>156813.54</v>
      </c>
      <c r="I50" s="233">
        <f>+'PART PEF2021'!E$11*'COEF Art 14 F II'!M51</f>
        <v>887291.27821752487</v>
      </c>
      <c r="J50" s="231">
        <f t="shared" si="0"/>
        <v>37396776.978034422</v>
      </c>
    </row>
    <row r="51" spans="1:10">
      <c r="A51" s="137" t="s">
        <v>173</v>
      </c>
      <c r="B51" s="233">
        <f>ROUND('PART PEF2021'!E$4*'CALCULO GARANTIA'!$Q51,2)</f>
        <v>257266349.16999999</v>
      </c>
      <c r="C51" s="253">
        <f>ROUND('PART PEF2021'!E$5*'CALCULO GARANTIA'!$Q51,2)</f>
        <v>35074580.200000003</v>
      </c>
      <c r="D51" s="253">
        <f>+'PART PEF2021'!E$6*'Art.14 Frac.III'!R50</f>
        <v>7885795.2560626967</v>
      </c>
      <c r="E51" s="233">
        <f>ROUND('PART PEF2021'!E$7*'CALCULO GARANTIA'!$Q51,2)</f>
        <v>7495980.9900000002</v>
      </c>
      <c r="F51" s="233">
        <f>ROUND('PART PEF2021'!E$8*'CALCULO GARANTIA'!$Q51,2)</f>
        <v>12214980.470000001</v>
      </c>
      <c r="G51" s="233">
        <f>ROUND('PART PEF2021'!E$9*'CALCULO GARANTIA'!$Q51,2)</f>
        <v>6683674.7800000003</v>
      </c>
      <c r="H51" s="233">
        <f>ROUND('PART PEF2021'!E$10*'CALCULO GARANTIA'!$Q51,2)</f>
        <v>1418935.22</v>
      </c>
      <c r="I51" s="233">
        <f>+'PART PEF2021'!E$11*'COEF Art 14 F II'!M52</f>
        <v>5545835.2494171876</v>
      </c>
      <c r="J51" s="231">
        <f t="shared" si="0"/>
        <v>333586131.33547992</v>
      </c>
    </row>
    <row r="52" spans="1:10">
      <c r="A52" s="137" t="s">
        <v>174</v>
      </c>
      <c r="B52" s="233">
        <f>ROUND('PART PEF2021'!E$4*'CALCULO GARANTIA'!$Q52,2)</f>
        <v>497104151.44</v>
      </c>
      <c r="C52" s="253">
        <f>ROUND('PART PEF2021'!E$5*'CALCULO GARANTIA'!$Q52,2)</f>
        <v>67773027.780000001</v>
      </c>
      <c r="D52" s="253">
        <f>+'PART PEF2021'!E$6*'Art.14 Frac.III'!R51</f>
        <v>13085721.126714859</v>
      </c>
      <c r="E52" s="233">
        <f>ROUND('PART PEF2021'!E$7*'CALCULO GARANTIA'!$Q52,2)</f>
        <v>14484145.630000001</v>
      </c>
      <c r="F52" s="233">
        <f>ROUND('PART PEF2021'!E$8*'CALCULO GARANTIA'!$Q52,2)</f>
        <v>23602455.280000001</v>
      </c>
      <c r="G52" s="233">
        <f>ROUND('PART PEF2021'!E$9*'CALCULO GARANTIA'!$Q52,2)</f>
        <v>12914563.02</v>
      </c>
      <c r="H52" s="233">
        <f>ROUND('PART PEF2021'!E$10*'CALCULO GARANTIA'!$Q52,2)</f>
        <v>2741744.47</v>
      </c>
      <c r="I52" s="233">
        <f>+'PART PEF2021'!E$11*'COEF Art 14 F II'!M53</f>
        <v>4184744.2533995244</v>
      </c>
      <c r="J52" s="231">
        <f t="shared" si="0"/>
        <v>635890553.00011432</v>
      </c>
    </row>
    <row r="53" spans="1:10">
      <c r="A53" s="137" t="s">
        <v>31</v>
      </c>
      <c r="B53" s="233">
        <f>ROUND('PART PEF2021'!E$4*'CALCULO GARANTIA'!$Q53,2)</f>
        <v>133952081.55</v>
      </c>
      <c r="C53" s="253">
        <f>ROUND('PART PEF2021'!E$5*'CALCULO GARANTIA'!$Q53,2)</f>
        <v>18262446.850000001</v>
      </c>
      <c r="D53" s="253">
        <f>+'PART PEF2021'!E$6*'Art.14 Frac.III'!R52</f>
        <v>3800746.2482175282</v>
      </c>
      <c r="E53" s="233">
        <f>ROUND('PART PEF2021'!E$7*'CALCULO GARANTIA'!$Q53,2)</f>
        <v>3902967.72</v>
      </c>
      <c r="F53" s="233">
        <f>ROUND('PART PEF2021'!E$8*'CALCULO GARANTIA'!$Q53,2)</f>
        <v>6360031.4000000004</v>
      </c>
      <c r="G53" s="233">
        <f>ROUND('PART PEF2021'!E$9*'CALCULO GARANTIA'!$Q53,2)</f>
        <v>3480020.42</v>
      </c>
      <c r="H53" s="233">
        <f>ROUND('PART PEF2021'!E$10*'CALCULO GARANTIA'!$Q53,2)</f>
        <v>738803.68</v>
      </c>
      <c r="I53" s="233">
        <f>+'PART PEF2021'!E$11*'COEF Art 14 F II'!M54</f>
        <v>3627842.539211954</v>
      </c>
      <c r="J53" s="231">
        <f t="shared" si="0"/>
        <v>174124940.40742949</v>
      </c>
    </row>
    <row r="54" spans="1:10">
      <c r="A54" s="137" t="s">
        <v>32</v>
      </c>
      <c r="B54" s="233">
        <f>ROUND('PART PEF2021'!E$4*'CALCULO GARANTIA'!$Q54,2)</f>
        <v>42696803.43</v>
      </c>
      <c r="C54" s="253">
        <f>ROUND('PART PEF2021'!E$5*'CALCULO GARANTIA'!$Q54,2)</f>
        <v>5821097.3200000003</v>
      </c>
      <c r="D54" s="253">
        <f>+'PART PEF2021'!E$6*'Art.14 Frac.III'!R53</f>
        <v>5205663.8405265771</v>
      </c>
      <c r="E54" s="233">
        <f>ROUND('PART PEF2021'!E$7*'CALCULO GARANTIA'!$Q54,2)</f>
        <v>1244058.6499999999</v>
      </c>
      <c r="F54" s="233">
        <f>ROUND('PART PEF2021'!E$8*'CALCULO GARANTIA'!$Q54,2)</f>
        <v>2027239.95</v>
      </c>
      <c r="G54" s="233">
        <f>ROUND('PART PEF2021'!E$9*'CALCULO GARANTIA'!$Q54,2)</f>
        <v>1109245.53</v>
      </c>
      <c r="H54" s="233">
        <f>ROUND('PART PEF2021'!E$10*'CALCULO GARANTIA'!$Q54,2)</f>
        <v>235491.34</v>
      </c>
      <c r="I54" s="233">
        <f>+'PART PEF2021'!E$11*'COEF Art 14 F II'!M55</f>
        <v>830137.82598188811</v>
      </c>
      <c r="J54" s="231">
        <f t="shared" si="0"/>
        <v>59169737.886508472</v>
      </c>
    </row>
    <row r="55" spans="1:10">
      <c r="A55" s="137" t="s">
        <v>33</v>
      </c>
      <c r="B55" s="233">
        <f>ROUND('PART PEF2021'!E$4*'CALCULO GARANTIA'!$Q55,2)</f>
        <v>8578896.2200000007</v>
      </c>
      <c r="C55" s="253">
        <f>ROUND('PART PEF2021'!E$5*'CALCULO GARANTIA'!$Q55,2)</f>
        <v>1169609.57</v>
      </c>
      <c r="D55" s="253">
        <f>+'PART PEF2021'!E$6*'Art.14 Frac.III'!R54</f>
        <v>3410436.4001702056</v>
      </c>
      <c r="E55" s="233">
        <f>ROUND('PART PEF2021'!E$7*'CALCULO GARANTIA'!$Q55,2)</f>
        <v>249963.68</v>
      </c>
      <c r="F55" s="233">
        <f>ROUND('PART PEF2021'!E$8*'CALCULO GARANTIA'!$Q55,2)</f>
        <v>407325.13</v>
      </c>
      <c r="G55" s="233">
        <f>ROUND('PART PEF2021'!E$9*'CALCULO GARANTIA'!$Q55,2)</f>
        <v>222876.22</v>
      </c>
      <c r="H55" s="233">
        <f>ROUND('PART PEF2021'!E$10*'CALCULO GARANTIA'!$Q55,2)</f>
        <v>47316.32</v>
      </c>
      <c r="I55" s="233">
        <f>+'PART PEF2021'!E$11*'COEF Art 14 F II'!M56</f>
        <v>101729.36354863347</v>
      </c>
      <c r="J55" s="231">
        <f t="shared" si="0"/>
        <v>14188152.90371884</v>
      </c>
    </row>
    <row r="56" spans="1:10" ht="13.5" thickBot="1">
      <c r="A56" s="137" t="s">
        <v>34</v>
      </c>
      <c r="B56" s="233">
        <f>ROUND('PART PEF2021'!E$4*'CALCULO GARANTIA'!$Q56,2)</f>
        <v>11819240.390000001</v>
      </c>
      <c r="C56" s="253">
        <f>ROUND('PART PEF2021'!E$5*'CALCULO GARANTIA'!$Q56,2)</f>
        <v>1611384.06</v>
      </c>
      <c r="D56" s="253">
        <f>+'PART PEF2021'!E$6*'Art.14 Frac.III'!R55</f>
        <v>2875042.6395747159</v>
      </c>
      <c r="E56" s="233">
        <f>ROUND('PART PEF2021'!E$7*'CALCULO GARANTIA'!$Q56,2)</f>
        <v>344377.73</v>
      </c>
      <c r="F56" s="233">
        <f>ROUND('PART PEF2021'!E$8*'CALCULO GARANTIA'!$Q56,2)</f>
        <v>561176.35</v>
      </c>
      <c r="G56" s="233">
        <f>ROUND('PART PEF2021'!E$9*'CALCULO GARANTIA'!$Q56,2)</f>
        <v>307059.03999999998</v>
      </c>
      <c r="H56" s="233">
        <f>ROUND('PART PEF2021'!E$10*'CALCULO GARANTIA'!$Q56,2)</f>
        <v>65188.22</v>
      </c>
      <c r="I56" s="233">
        <f>+'PART PEF2021'!E$11*'COEF Art 14 F II'!M57</f>
        <v>89142.80283269909</v>
      </c>
      <c r="J56" s="231">
        <f t="shared" si="0"/>
        <v>17672611.232407417</v>
      </c>
    </row>
    <row r="57" spans="1:10" ht="14.25" thickTop="1" thickBot="1">
      <c r="A57" s="138" t="s">
        <v>35</v>
      </c>
      <c r="B57" s="234">
        <f>SUM(B6:B56)</f>
        <v>3556284706.2899995</v>
      </c>
      <c r="C57" s="234">
        <f t="shared" ref="C57:I57" si="1">SUM(C6:C56)</f>
        <v>484848459.78000003</v>
      </c>
      <c r="D57" s="234">
        <f t="shared" si="1"/>
        <v>151948209.50242156</v>
      </c>
      <c r="E57" s="234">
        <f t="shared" si="1"/>
        <v>103619624.66000003</v>
      </c>
      <c r="F57" s="234">
        <f t="shared" si="1"/>
        <v>168852041.34999996</v>
      </c>
      <c r="G57" s="234">
        <f t="shared" si="1"/>
        <v>92390825.640000001</v>
      </c>
      <c r="H57" s="234">
        <f t="shared" si="1"/>
        <v>19614448.799999997</v>
      </c>
      <c r="I57" s="234">
        <f t="shared" si="1"/>
        <v>73791149.418181837</v>
      </c>
      <c r="J57" s="235">
        <f>SUM(J6:J56)</f>
        <v>4651349465.4406042</v>
      </c>
    </row>
    <row r="58" spans="1:10" ht="16.5" customHeight="1" thickTop="1">
      <c r="A58" s="133" t="s">
        <v>262</v>
      </c>
      <c r="B58" s="244"/>
      <c r="C58" s="250"/>
      <c r="D58" s="250"/>
      <c r="E58" s="210"/>
    </row>
    <row r="59" spans="1:10">
      <c r="A59" s="135"/>
      <c r="B59" s="245"/>
    </row>
    <row r="60" spans="1:10">
      <c r="A60" s="135"/>
      <c r="B60" s="245"/>
    </row>
    <row r="61" spans="1:10" ht="16.5" customHeight="1"/>
  </sheetData>
  <mergeCells count="3">
    <mergeCell ref="A1:J1"/>
    <mergeCell ref="A2:J2"/>
    <mergeCell ref="A3:J3"/>
  </mergeCells>
  <printOptions horizontalCentered="1"/>
  <pageMargins left="0.19685039370078741" right="0.19685039370078741" top="0.15748031496062992" bottom="0.15748031496062992" header="0.15748031496062992" footer="0.15748031496062992"/>
  <pageSetup scale="76" orientation="landscape" r:id="rId1"/>
  <headerFooter alignWithMargins="0">
    <oddHeader>&amp;LAnexo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zoomScale="110" zoomScaleNormal="110" zoomScaleSheetLayoutView="100" workbookViewId="0">
      <selection activeCell="A4" sqref="A4"/>
    </sheetView>
  </sheetViews>
  <sheetFormatPr baseColWidth="10" defaultColWidth="11.42578125" defaultRowHeight="12.75"/>
  <cols>
    <col min="1" max="1" width="37.140625" style="134" customWidth="1"/>
    <col min="2" max="2" width="14.42578125" style="246" customWidth="1"/>
    <col min="3" max="4" width="14.140625" style="251" customWidth="1"/>
    <col min="5" max="9" width="14.140625" style="211" customWidth="1"/>
    <col min="10" max="10" width="15.42578125" style="211" customWidth="1"/>
    <col min="11" max="12" width="12.5703125" style="134" bestFit="1" customWidth="1"/>
    <col min="13" max="16384" width="11.42578125" style="134"/>
  </cols>
  <sheetData>
    <row r="1" spans="1:10">
      <c r="A1" s="263" t="s">
        <v>104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2.75" customHeight="1">
      <c r="A2" s="263" t="s">
        <v>194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ht="12.75" customHeight="1">
      <c r="A3" s="263" t="s">
        <v>264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0" ht="13.5" thickBot="1">
      <c r="A4" s="236"/>
      <c r="B4" s="241"/>
      <c r="C4" s="247"/>
      <c r="D4" s="247"/>
      <c r="E4" s="236"/>
      <c r="F4" s="236"/>
      <c r="G4" s="236"/>
      <c r="H4" s="236"/>
      <c r="I4" s="236"/>
      <c r="J4" s="236"/>
    </row>
    <row r="5" spans="1:10" ht="14.25" thickTop="1" thickBot="1">
      <c r="A5" s="136" t="s">
        <v>0</v>
      </c>
      <c r="B5" s="242" t="s">
        <v>93</v>
      </c>
      <c r="C5" s="248" t="s">
        <v>127</v>
      </c>
      <c r="D5" s="248" t="s">
        <v>126</v>
      </c>
      <c r="E5" s="207" t="s">
        <v>94</v>
      </c>
      <c r="F5" s="207" t="s">
        <v>111</v>
      </c>
      <c r="G5" s="207" t="s">
        <v>124</v>
      </c>
      <c r="H5" s="207" t="s">
        <v>125</v>
      </c>
      <c r="I5" s="207" t="s">
        <v>259</v>
      </c>
      <c r="J5" s="208" t="s">
        <v>195</v>
      </c>
    </row>
    <row r="6" spans="1:10" ht="13.5" thickTop="1">
      <c r="A6" s="137" t="s">
        <v>1</v>
      </c>
      <c r="B6" s="233">
        <v>4451471.1999999993</v>
      </c>
      <c r="C6" s="233">
        <v>606894.32000000007</v>
      </c>
      <c r="D6" s="233">
        <v>3956588.66</v>
      </c>
      <c r="E6" s="233">
        <v>129702.70999999999</v>
      </c>
      <c r="F6" s="233">
        <v>211355.38</v>
      </c>
      <c r="G6" s="233">
        <v>115647.41</v>
      </c>
      <c r="H6" s="233">
        <v>24551.760000000002</v>
      </c>
      <c r="I6" s="233">
        <v>36600.589862871137</v>
      </c>
      <c r="J6" s="231">
        <f>SUM(B6:I6)</f>
        <v>9532812.0298628733</v>
      </c>
    </row>
    <row r="7" spans="1:10">
      <c r="A7" s="137" t="s">
        <v>2</v>
      </c>
      <c r="B7" s="233">
        <v>8817373.4699999988</v>
      </c>
      <c r="C7" s="233">
        <v>1202122.54</v>
      </c>
      <c r="D7" s="233">
        <v>2138763.64</v>
      </c>
      <c r="E7" s="233">
        <v>256912.19</v>
      </c>
      <c r="F7" s="233">
        <v>418647.99</v>
      </c>
      <c r="G7" s="233">
        <v>229071.77</v>
      </c>
      <c r="H7" s="233">
        <v>48631.62</v>
      </c>
      <c r="I7" s="233">
        <v>81213.819416330167</v>
      </c>
      <c r="J7" s="231">
        <f t="shared" ref="J7:J56" si="0">SUM(B7:I7)</f>
        <v>13192737.039416326</v>
      </c>
    </row>
    <row r="8" spans="1:10">
      <c r="A8" s="137" t="s">
        <v>175</v>
      </c>
      <c r="B8" s="233">
        <v>9172670.2399999984</v>
      </c>
      <c r="C8" s="233">
        <v>1250562.1299999999</v>
      </c>
      <c r="D8" s="233">
        <v>1830881.89</v>
      </c>
      <c r="E8" s="233">
        <v>267264.51</v>
      </c>
      <c r="F8" s="233">
        <v>435517.46</v>
      </c>
      <c r="G8" s="233">
        <v>238302.24</v>
      </c>
      <c r="H8" s="233">
        <v>50591.22</v>
      </c>
      <c r="I8" s="233">
        <v>72085.568190823396</v>
      </c>
      <c r="J8" s="231">
        <f t="shared" si="0"/>
        <v>13317875.258190824</v>
      </c>
    </row>
    <row r="9" spans="1:10">
      <c r="A9" s="137" t="s">
        <v>3</v>
      </c>
      <c r="B9" s="233">
        <v>25371003.869999997</v>
      </c>
      <c r="C9" s="233">
        <v>3458972.8099999996</v>
      </c>
      <c r="D9" s="233">
        <v>5628058.5200000005</v>
      </c>
      <c r="E9" s="233">
        <v>739236.07000000007</v>
      </c>
      <c r="F9" s="233">
        <v>1204612.72</v>
      </c>
      <c r="G9" s="233">
        <v>659128.32000000007</v>
      </c>
      <c r="H9" s="233">
        <v>139932.06</v>
      </c>
      <c r="I9" s="233">
        <v>527745.49045339087</v>
      </c>
      <c r="J9" s="231">
        <f t="shared" si="0"/>
        <v>37728689.86045339</v>
      </c>
    </row>
    <row r="10" spans="1:10">
      <c r="A10" s="137" t="s">
        <v>176</v>
      </c>
      <c r="B10" s="233">
        <v>32042973.07</v>
      </c>
      <c r="C10" s="233">
        <v>4368600.21</v>
      </c>
      <c r="D10" s="233">
        <v>5035665.9000000004</v>
      </c>
      <c r="E10" s="233">
        <v>933637.5</v>
      </c>
      <c r="F10" s="233">
        <v>1521397.1600000001</v>
      </c>
      <c r="G10" s="233">
        <v>832463.38</v>
      </c>
      <c r="H10" s="233">
        <v>176730.84</v>
      </c>
      <c r="I10" s="233">
        <v>333652.79192272533</v>
      </c>
      <c r="J10" s="231">
        <f t="shared" si="0"/>
        <v>45245120.851922736</v>
      </c>
    </row>
    <row r="11" spans="1:10">
      <c r="A11" s="137" t="s">
        <v>4</v>
      </c>
      <c r="B11" s="233">
        <v>218611177.22999999</v>
      </c>
      <c r="C11" s="233">
        <v>29804501.399999999</v>
      </c>
      <c r="D11" s="233">
        <v>7094859.5</v>
      </c>
      <c r="E11" s="233">
        <v>6369683.5</v>
      </c>
      <c r="F11" s="233">
        <v>10379636.76</v>
      </c>
      <c r="G11" s="233">
        <v>5679429.2000000002</v>
      </c>
      <c r="H11" s="233">
        <v>1205735.22</v>
      </c>
      <c r="I11" s="233">
        <v>7634466.2225832017</v>
      </c>
      <c r="J11" s="231">
        <f t="shared" si="0"/>
        <v>286779489.03258318</v>
      </c>
    </row>
    <row r="12" spans="1:10">
      <c r="A12" s="137" t="s">
        <v>5</v>
      </c>
      <c r="B12" s="233">
        <v>36577260.719999999</v>
      </c>
      <c r="C12" s="233">
        <v>4986785.3599999994</v>
      </c>
      <c r="D12" s="233">
        <v>0</v>
      </c>
      <c r="E12" s="233">
        <v>1065753.26</v>
      </c>
      <c r="F12" s="233">
        <v>1736684.67</v>
      </c>
      <c r="G12" s="233">
        <v>950262.32</v>
      </c>
      <c r="H12" s="233">
        <v>201739.44</v>
      </c>
      <c r="I12" s="233">
        <v>381911.60448997887</v>
      </c>
      <c r="J12" s="231">
        <f t="shared" si="0"/>
        <v>45900397.374489978</v>
      </c>
    </row>
    <row r="13" spans="1:10">
      <c r="A13" s="137" t="s">
        <v>6</v>
      </c>
      <c r="B13" s="233">
        <v>5815978.29</v>
      </c>
      <c r="C13" s="233">
        <v>792925.32000000007</v>
      </c>
      <c r="D13" s="233">
        <v>2767865.4</v>
      </c>
      <c r="E13" s="233">
        <v>169460.40999999997</v>
      </c>
      <c r="F13" s="233">
        <v>276142.05000000005</v>
      </c>
      <c r="G13" s="233">
        <v>151096.75</v>
      </c>
      <c r="H13" s="233">
        <v>32077.620000000003</v>
      </c>
      <c r="I13" s="233">
        <v>67572.613514496508</v>
      </c>
      <c r="J13" s="231">
        <f t="shared" si="0"/>
        <v>10073118.453514496</v>
      </c>
    </row>
    <row r="14" spans="1:10">
      <c r="A14" s="137" t="s">
        <v>160</v>
      </c>
      <c r="B14" s="233">
        <v>57811962.32</v>
      </c>
      <c r="C14" s="233">
        <v>7881832.6500000004</v>
      </c>
      <c r="D14" s="233">
        <v>1875171.42</v>
      </c>
      <c r="E14" s="233">
        <v>1684469.69</v>
      </c>
      <c r="F14" s="233">
        <v>2744906.1900000004</v>
      </c>
      <c r="G14" s="233">
        <v>1501931.19</v>
      </c>
      <c r="H14" s="233">
        <v>318858</v>
      </c>
      <c r="I14" s="233">
        <v>1303485.2604876263</v>
      </c>
      <c r="J14" s="231">
        <f t="shared" si="0"/>
        <v>75122616.720487624</v>
      </c>
    </row>
    <row r="15" spans="1:10">
      <c r="A15" s="137" t="s">
        <v>161</v>
      </c>
      <c r="B15" s="233">
        <v>9605389.0099999998</v>
      </c>
      <c r="C15" s="233">
        <v>1309557.1599999997</v>
      </c>
      <c r="D15" s="233">
        <v>2272583.0300000003</v>
      </c>
      <c r="E15" s="233">
        <v>279872.64000000001</v>
      </c>
      <c r="F15" s="233">
        <v>456062.9</v>
      </c>
      <c r="G15" s="233">
        <v>249544.08</v>
      </c>
      <c r="H15" s="233">
        <v>52977.899999999994</v>
      </c>
      <c r="I15" s="233">
        <v>750723.7500186516</v>
      </c>
      <c r="J15" s="231">
        <f t="shared" si="0"/>
        <v>14976710.470018651</v>
      </c>
    </row>
    <row r="16" spans="1:10">
      <c r="A16" s="137" t="s">
        <v>162</v>
      </c>
      <c r="B16" s="233">
        <v>13955204.41</v>
      </c>
      <c r="C16" s="233">
        <v>1902592.16</v>
      </c>
      <c r="D16" s="233">
        <v>6460250.7600000007</v>
      </c>
      <c r="E16" s="233">
        <v>406613.41000000003</v>
      </c>
      <c r="F16" s="233">
        <v>662591.70000000007</v>
      </c>
      <c r="G16" s="233">
        <v>362550.52</v>
      </c>
      <c r="H16" s="233">
        <v>76969.02</v>
      </c>
      <c r="I16" s="233">
        <v>140909.52257357305</v>
      </c>
      <c r="J16" s="231">
        <f t="shared" si="0"/>
        <v>23967681.502573572</v>
      </c>
    </row>
    <row r="17" spans="1:10">
      <c r="A17" s="137" t="s">
        <v>7</v>
      </c>
      <c r="B17" s="233">
        <v>29349836.780000001</v>
      </c>
      <c r="C17" s="233">
        <v>4001429.67</v>
      </c>
      <c r="D17" s="233">
        <v>2228898.69</v>
      </c>
      <c r="E17" s="233">
        <v>855167.49</v>
      </c>
      <c r="F17" s="233">
        <v>1393527.33</v>
      </c>
      <c r="G17" s="233">
        <v>762496.79</v>
      </c>
      <c r="H17" s="233">
        <v>161877.06</v>
      </c>
      <c r="I17" s="233">
        <v>256405.60965301708</v>
      </c>
      <c r="J17" s="231">
        <f t="shared" si="0"/>
        <v>39009639.419653021</v>
      </c>
    </row>
    <row r="18" spans="1:10">
      <c r="A18" s="137" t="s">
        <v>163</v>
      </c>
      <c r="B18" s="233">
        <v>14933477.300000001</v>
      </c>
      <c r="C18" s="233">
        <v>2035965.63</v>
      </c>
      <c r="D18" s="233">
        <v>1997552.8499999999</v>
      </c>
      <c r="E18" s="233">
        <v>435117.38</v>
      </c>
      <c r="F18" s="233">
        <v>709039.99</v>
      </c>
      <c r="G18" s="233">
        <v>387965.64</v>
      </c>
      <c r="H18" s="233">
        <v>82364.58</v>
      </c>
      <c r="I18" s="233">
        <v>626239.00764341909</v>
      </c>
      <c r="J18" s="231">
        <f t="shared" si="0"/>
        <v>21207722.377643418</v>
      </c>
    </row>
    <row r="19" spans="1:10">
      <c r="A19" s="137" t="s">
        <v>8</v>
      </c>
      <c r="B19" s="233">
        <v>81796223.040000007</v>
      </c>
      <c r="C19" s="233">
        <v>11151742.91</v>
      </c>
      <c r="D19" s="233">
        <v>1313090.4300000002</v>
      </c>
      <c r="E19" s="233">
        <v>2383300.17</v>
      </c>
      <c r="F19" s="233">
        <v>3883676.46</v>
      </c>
      <c r="G19" s="233">
        <v>2125032.5099999998</v>
      </c>
      <c r="H19" s="233">
        <v>451141.55999999994</v>
      </c>
      <c r="I19" s="233">
        <v>857450.60550323152</v>
      </c>
      <c r="J19" s="231">
        <f t="shared" si="0"/>
        <v>103961657.68550324</v>
      </c>
    </row>
    <row r="20" spans="1:10">
      <c r="A20" s="137" t="s">
        <v>9</v>
      </c>
      <c r="B20" s="233">
        <v>10442172.109999999</v>
      </c>
      <c r="C20" s="233">
        <v>1423640.53</v>
      </c>
      <c r="D20" s="233">
        <v>1184824.8600000001</v>
      </c>
      <c r="E20" s="233">
        <v>304254.03000000003</v>
      </c>
      <c r="F20" s="233">
        <v>495793.3</v>
      </c>
      <c r="G20" s="233">
        <v>271283.37</v>
      </c>
      <c r="H20" s="233">
        <v>57593.100000000006</v>
      </c>
      <c r="I20" s="233">
        <v>81409.314832426695</v>
      </c>
      <c r="J20" s="231">
        <f t="shared" si="0"/>
        <v>14260970.614832424</v>
      </c>
    </row>
    <row r="21" spans="1:10">
      <c r="A21" s="137" t="s">
        <v>164</v>
      </c>
      <c r="B21" s="233">
        <v>7271648.7300000004</v>
      </c>
      <c r="C21" s="233">
        <v>991385.1</v>
      </c>
      <c r="D21" s="233">
        <v>2443708.0700000003</v>
      </c>
      <c r="E21" s="233">
        <v>211874.35</v>
      </c>
      <c r="F21" s="233">
        <v>345257.15</v>
      </c>
      <c r="G21" s="233">
        <v>188914.46999999997</v>
      </c>
      <c r="H21" s="233">
        <v>40106.28</v>
      </c>
      <c r="I21" s="233">
        <v>55133.679198183265</v>
      </c>
      <c r="J21" s="231">
        <f t="shared" si="0"/>
        <v>11548027.829198183</v>
      </c>
    </row>
    <row r="22" spans="1:10">
      <c r="A22" s="137" t="s">
        <v>10</v>
      </c>
      <c r="B22" s="233">
        <v>63773335.289999992</v>
      </c>
      <c r="C22" s="233">
        <v>8694580.4199999999</v>
      </c>
      <c r="D22" s="233">
        <v>1157662.23</v>
      </c>
      <c r="E22" s="233">
        <v>1858166.4699999997</v>
      </c>
      <c r="F22" s="233">
        <v>3027951.5700000003</v>
      </c>
      <c r="G22" s="233">
        <v>1656805.22</v>
      </c>
      <c r="H22" s="233">
        <v>351737.52</v>
      </c>
      <c r="I22" s="233">
        <v>778266.4562693662</v>
      </c>
      <c r="J22" s="231">
        <f t="shared" si="0"/>
        <v>81298505.176269352</v>
      </c>
    </row>
    <row r="23" spans="1:10">
      <c r="A23" s="137" t="s">
        <v>165</v>
      </c>
      <c r="B23" s="233">
        <v>78220185.609999999</v>
      </c>
      <c r="C23" s="233">
        <v>10664201.450000001</v>
      </c>
      <c r="D23" s="233">
        <v>2676199.34</v>
      </c>
      <c r="E23" s="233">
        <v>2279104.9900000002</v>
      </c>
      <c r="F23" s="233">
        <v>3713886.5500000003</v>
      </c>
      <c r="G23" s="233">
        <v>2032128.51</v>
      </c>
      <c r="H23" s="233">
        <v>431418.18</v>
      </c>
      <c r="I23" s="233">
        <v>3691847.7757512289</v>
      </c>
      <c r="J23" s="231">
        <f t="shared" si="0"/>
        <v>103708972.40575124</v>
      </c>
    </row>
    <row r="24" spans="1:10">
      <c r="A24" s="137" t="s">
        <v>11</v>
      </c>
      <c r="B24" s="233">
        <v>12257257.16</v>
      </c>
      <c r="C24" s="233">
        <v>1671101.3800000001</v>
      </c>
      <c r="D24" s="233">
        <v>1014274.3400000001</v>
      </c>
      <c r="E24" s="233">
        <v>357140.25</v>
      </c>
      <c r="F24" s="233">
        <v>581973.34000000008</v>
      </c>
      <c r="G24" s="233">
        <v>318438.54000000004</v>
      </c>
      <c r="H24" s="233">
        <v>67604.100000000006</v>
      </c>
      <c r="I24" s="233">
        <v>111888.11678627596</v>
      </c>
      <c r="J24" s="231">
        <f t="shared" si="0"/>
        <v>16379677.226786276</v>
      </c>
    </row>
    <row r="25" spans="1:10">
      <c r="A25" s="137" t="s">
        <v>12</v>
      </c>
      <c r="B25" s="233">
        <v>167549451.19999999</v>
      </c>
      <c r="C25" s="233">
        <v>22842966.759999998</v>
      </c>
      <c r="D25" s="233">
        <v>3863775.41</v>
      </c>
      <c r="E25" s="233">
        <v>4881895.75</v>
      </c>
      <c r="F25" s="233">
        <v>7955231.1600000001</v>
      </c>
      <c r="G25" s="233">
        <v>4352866.37</v>
      </c>
      <c r="H25" s="233">
        <v>924107.70000000007</v>
      </c>
      <c r="I25" s="233">
        <v>5330961.7887048274</v>
      </c>
      <c r="J25" s="231">
        <f t="shared" si="0"/>
        <v>217701256.13870478</v>
      </c>
    </row>
    <row r="26" spans="1:10">
      <c r="A26" s="137" t="s">
        <v>166</v>
      </c>
      <c r="B26" s="233">
        <v>24738043.18</v>
      </c>
      <c r="C26" s="233">
        <v>3372677.71</v>
      </c>
      <c r="D26" s="233">
        <v>2418953.46</v>
      </c>
      <c r="E26" s="233">
        <v>720793.45</v>
      </c>
      <c r="F26" s="233">
        <v>1174559.81</v>
      </c>
      <c r="G26" s="233">
        <v>642684.27</v>
      </c>
      <c r="H26" s="233">
        <v>136441.01999999999</v>
      </c>
      <c r="I26" s="233">
        <v>281033.99657262943</v>
      </c>
      <c r="J26" s="231">
        <f t="shared" si="0"/>
        <v>33485186.896572627</v>
      </c>
    </row>
    <row r="27" spans="1:10">
      <c r="A27" s="137" t="s">
        <v>13</v>
      </c>
      <c r="B27" s="233">
        <v>3967992.63</v>
      </c>
      <c r="C27" s="233">
        <v>540978.93999999994</v>
      </c>
      <c r="D27" s="233">
        <v>2798931.76</v>
      </c>
      <c r="E27" s="233">
        <v>115615.58000000002</v>
      </c>
      <c r="F27" s="233">
        <v>188399.89</v>
      </c>
      <c r="G27" s="233">
        <v>103086.83</v>
      </c>
      <c r="H27" s="233">
        <v>21885.18</v>
      </c>
      <c r="I27" s="233">
        <v>25580.207850492799</v>
      </c>
      <c r="J27" s="231">
        <f t="shared" si="0"/>
        <v>7762471.0178504921</v>
      </c>
    </row>
    <row r="28" spans="1:10">
      <c r="A28" s="137" t="s">
        <v>14</v>
      </c>
      <c r="B28" s="233">
        <v>18375740.119999997</v>
      </c>
      <c r="C28" s="233">
        <v>2505268.85</v>
      </c>
      <c r="D28" s="233">
        <v>68449.959999999992</v>
      </c>
      <c r="E28" s="233">
        <v>535414.76</v>
      </c>
      <c r="F28" s="233">
        <v>872478.28</v>
      </c>
      <c r="G28" s="233">
        <v>477394.24</v>
      </c>
      <c r="H28" s="233">
        <v>101350.13999999998</v>
      </c>
      <c r="I28" s="233">
        <v>173565.35094980214</v>
      </c>
      <c r="J28" s="231">
        <f t="shared" si="0"/>
        <v>23109661.700949803</v>
      </c>
    </row>
    <row r="29" spans="1:10">
      <c r="A29" s="137" t="s">
        <v>15</v>
      </c>
      <c r="B29" s="233">
        <v>17904850.049999997</v>
      </c>
      <c r="C29" s="233">
        <v>2441069.73</v>
      </c>
      <c r="D29" s="233">
        <v>3337927.58</v>
      </c>
      <c r="E29" s="233">
        <v>521694.41000000003</v>
      </c>
      <c r="F29" s="233">
        <v>850120.49</v>
      </c>
      <c r="G29" s="233">
        <v>465160.69</v>
      </c>
      <c r="H29" s="233">
        <v>98752.98000000001</v>
      </c>
      <c r="I29" s="233">
        <v>981492.42290087801</v>
      </c>
      <c r="J29" s="231">
        <f t="shared" si="0"/>
        <v>26601068.352900878</v>
      </c>
    </row>
    <row r="30" spans="1:10">
      <c r="A30" s="137" t="s">
        <v>16</v>
      </c>
      <c r="B30" s="233">
        <v>286562276.41000003</v>
      </c>
      <c r="C30" s="233">
        <v>39068660.080000006</v>
      </c>
      <c r="D30" s="233">
        <v>5834660.9000000004</v>
      </c>
      <c r="E30" s="233">
        <v>8349577.71</v>
      </c>
      <c r="F30" s="233">
        <v>13605948.16</v>
      </c>
      <c r="G30" s="233">
        <v>7444771.0099999998</v>
      </c>
      <c r="H30" s="233">
        <v>1580514.96</v>
      </c>
      <c r="I30" s="233">
        <v>7878941.2970183492</v>
      </c>
      <c r="J30" s="231">
        <f t="shared" si="0"/>
        <v>370325350.52701831</v>
      </c>
    </row>
    <row r="31" spans="1:10">
      <c r="A31" s="137" t="s">
        <v>167</v>
      </c>
      <c r="B31" s="233">
        <v>7378860.9399999995</v>
      </c>
      <c r="C31" s="233">
        <v>1006001.94</v>
      </c>
      <c r="D31" s="233">
        <v>2321193.63</v>
      </c>
      <c r="E31" s="233">
        <v>214998.19</v>
      </c>
      <c r="F31" s="233">
        <v>350347.60000000003</v>
      </c>
      <c r="G31" s="233">
        <v>191699.8</v>
      </c>
      <c r="H31" s="233">
        <v>40697.64</v>
      </c>
      <c r="I31" s="233">
        <v>48648.556903409532</v>
      </c>
      <c r="J31" s="231">
        <f t="shared" si="0"/>
        <v>11552448.296903407</v>
      </c>
    </row>
    <row r="32" spans="1:10">
      <c r="A32" s="137" t="s">
        <v>17</v>
      </c>
      <c r="B32" s="233">
        <v>12701568.129999999</v>
      </c>
      <c r="C32" s="233">
        <v>1731676.81</v>
      </c>
      <c r="D32" s="233">
        <v>1465295.0699999998</v>
      </c>
      <c r="E32" s="233">
        <v>370086.15</v>
      </c>
      <c r="F32" s="233">
        <v>603069.18000000005</v>
      </c>
      <c r="G32" s="233">
        <v>329981.55000000005</v>
      </c>
      <c r="H32" s="233">
        <v>70054.62</v>
      </c>
      <c r="I32" s="233">
        <v>216068.24952959511</v>
      </c>
      <c r="J32" s="231">
        <f t="shared" si="0"/>
        <v>17487799.759529598</v>
      </c>
    </row>
    <row r="33" spans="1:10">
      <c r="A33" s="137" t="s">
        <v>18</v>
      </c>
      <c r="B33" s="233">
        <v>7289733.0899999999</v>
      </c>
      <c r="C33" s="233">
        <v>993850.64999999991</v>
      </c>
      <c r="D33" s="233">
        <v>3410794.31</v>
      </c>
      <c r="E33" s="233">
        <v>212401.28</v>
      </c>
      <c r="F33" s="233">
        <v>346115.8</v>
      </c>
      <c r="G33" s="233">
        <v>189384.3</v>
      </c>
      <c r="H33" s="233">
        <v>40206.06</v>
      </c>
      <c r="I33" s="233">
        <v>60945.851185770138</v>
      </c>
      <c r="J33" s="231">
        <f t="shared" si="0"/>
        <v>12543431.341185773</v>
      </c>
    </row>
    <row r="34" spans="1:10">
      <c r="A34" s="137" t="s">
        <v>19</v>
      </c>
      <c r="B34" s="233">
        <v>10168372.84</v>
      </c>
      <c r="C34" s="233">
        <v>1386311.94</v>
      </c>
      <c r="D34" s="233">
        <v>2836729.8</v>
      </c>
      <c r="E34" s="233">
        <v>296276.33999999997</v>
      </c>
      <c r="F34" s="233">
        <v>482793.31000000006</v>
      </c>
      <c r="G34" s="233">
        <v>264170.17</v>
      </c>
      <c r="H34" s="233">
        <v>56082.96</v>
      </c>
      <c r="I34" s="233">
        <v>119083.12956909425</v>
      </c>
      <c r="J34" s="231">
        <f t="shared" si="0"/>
        <v>15609820.489569094</v>
      </c>
    </row>
    <row r="35" spans="1:10">
      <c r="A35" s="137" t="s">
        <v>20</v>
      </c>
      <c r="B35" s="233">
        <v>9570845.2400000002</v>
      </c>
      <c r="C35" s="233">
        <v>1304847.6100000001</v>
      </c>
      <c r="D35" s="233">
        <v>1463123.91</v>
      </c>
      <c r="E35" s="233">
        <v>278866.14</v>
      </c>
      <c r="F35" s="233">
        <v>454422.76</v>
      </c>
      <c r="G35" s="233">
        <v>248646.65</v>
      </c>
      <c r="H35" s="233">
        <v>52787.34</v>
      </c>
      <c r="I35" s="233">
        <v>93401.497946063202</v>
      </c>
      <c r="J35" s="231">
        <f t="shared" si="0"/>
        <v>13466941.147946063</v>
      </c>
    </row>
    <row r="36" spans="1:10">
      <c r="A36" s="137" t="s">
        <v>168</v>
      </c>
      <c r="B36" s="233">
        <v>88907558.340000004</v>
      </c>
      <c r="C36" s="233">
        <v>12121271.569999998</v>
      </c>
      <c r="D36" s="233">
        <v>0</v>
      </c>
      <c r="E36" s="233">
        <v>2590503.4500000002</v>
      </c>
      <c r="F36" s="233">
        <v>4221321.9499999993</v>
      </c>
      <c r="G36" s="233">
        <v>2309782.09</v>
      </c>
      <c r="H36" s="233">
        <v>490363.68</v>
      </c>
      <c r="I36" s="233">
        <v>4583588.4461575048</v>
      </c>
      <c r="J36" s="231">
        <f t="shared" si="0"/>
        <v>115224389.52615751</v>
      </c>
    </row>
    <row r="37" spans="1:10">
      <c r="A37" s="137" t="s">
        <v>21</v>
      </c>
      <c r="B37" s="233">
        <v>17326066.07</v>
      </c>
      <c r="C37" s="233">
        <v>2362160.84</v>
      </c>
      <c r="D37" s="233">
        <v>2375818.9</v>
      </c>
      <c r="E37" s="233">
        <v>504830.36</v>
      </c>
      <c r="F37" s="233">
        <v>822639.88</v>
      </c>
      <c r="G37" s="233">
        <v>450124.13</v>
      </c>
      <c r="H37" s="233">
        <v>95560.74</v>
      </c>
      <c r="I37" s="233">
        <v>149116.1282326933</v>
      </c>
      <c r="J37" s="231">
        <f t="shared" si="0"/>
        <v>24086317.048232689</v>
      </c>
    </row>
    <row r="38" spans="1:10">
      <c r="A38" s="137" t="s">
        <v>22</v>
      </c>
      <c r="B38" s="233">
        <v>63524415.770000003</v>
      </c>
      <c r="C38" s="233">
        <v>8660643.8099999987</v>
      </c>
      <c r="D38" s="233">
        <v>1817864.3599999999</v>
      </c>
      <c r="E38" s="233">
        <v>1850913.7</v>
      </c>
      <c r="F38" s="233">
        <v>3016132.9</v>
      </c>
      <c r="G38" s="233">
        <v>1650338.4</v>
      </c>
      <c r="H38" s="233">
        <v>350364.66000000003</v>
      </c>
      <c r="I38" s="233">
        <v>1164073.5000293001</v>
      </c>
      <c r="J38" s="231">
        <f t="shared" si="0"/>
        <v>82034747.100029305</v>
      </c>
    </row>
    <row r="39" spans="1:10">
      <c r="A39" s="137" t="s">
        <v>169</v>
      </c>
      <c r="B39" s="233">
        <v>13553966.470000001</v>
      </c>
      <c r="C39" s="233">
        <v>1847889.1</v>
      </c>
      <c r="D39" s="233">
        <v>5934188.71</v>
      </c>
      <c r="E39" s="233">
        <v>394922.51</v>
      </c>
      <c r="F39" s="233">
        <v>643540.97</v>
      </c>
      <c r="G39" s="233">
        <v>352126.52</v>
      </c>
      <c r="H39" s="233">
        <v>74755.98</v>
      </c>
      <c r="I39" s="233">
        <v>141816.17710612802</v>
      </c>
      <c r="J39" s="231">
        <f t="shared" si="0"/>
        <v>22943206.437106129</v>
      </c>
    </row>
    <row r="40" spans="1:10">
      <c r="A40" s="137" t="s">
        <v>23</v>
      </c>
      <c r="B40" s="233">
        <v>13028117.57</v>
      </c>
      <c r="C40" s="233">
        <v>1776197.1300000001</v>
      </c>
      <c r="D40" s="233">
        <v>2433519.4300000002</v>
      </c>
      <c r="E40" s="233">
        <v>379600.83999999997</v>
      </c>
      <c r="F40" s="233">
        <v>618573.71</v>
      </c>
      <c r="G40" s="233">
        <v>338465.17</v>
      </c>
      <c r="H40" s="233">
        <v>71855.700000000012</v>
      </c>
      <c r="I40" s="233">
        <v>95929.503446837436</v>
      </c>
      <c r="J40" s="231">
        <f t="shared" si="0"/>
        <v>18742259.05344684</v>
      </c>
    </row>
    <row r="41" spans="1:10">
      <c r="A41" s="137" t="s">
        <v>24</v>
      </c>
      <c r="B41" s="233">
        <v>13679365.329999998</v>
      </c>
      <c r="C41" s="233">
        <v>1864985.45</v>
      </c>
      <c r="D41" s="233">
        <v>453530.87</v>
      </c>
      <c r="E41" s="233">
        <v>398576.28</v>
      </c>
      <c r="F41" s="233">
        <v>649494.9</v>
      </c>
      <c r="G41" s="233">
        <v>355384.33999999997</v>
      </c>
      <c r="H41" s="233">
        <v>75447.600000000006</v>
      </c>
      <c r="I41" s="233">
        <v>154196.30587775004</v>
      </c>
      <c r="J41" s="231">
        <f t="shared" si="0"/>
        <v>17630981.075877745</v>
      </c>
    </row>
    <row r="42" spans="1:10">
      <c r="A42" s="137" t="s">
        <v>25</v>
      </c>
      <c r="B42" s="233">
        <v>19267979.049999997</v>
      </c>
      <c r="C42" s="233">
        <v>2626912.85</v>
      </c>
      <c r="D42" s="233">
        <v>4679432.4400000004</v>
      </c>
      <c r="E42" s="233">
        <v>561411.97</v>
      </c>
      <c r="F42" s="233">
        <v>914841.7</v>
      </c>
      <c r="G42" s="233">
        <v>500574.22</v>
      </c>
      <c r="H42" s="233">
        <v>106271.22</v>
      </c>
      <c r="I42" s="233">
        <v>162409.77999442891</v>
      </c>
      <c r="J42" s="231">
        <f t="shared" si="0"/>
        <v>28819833.229994424</v>
      </c>
    </row>
    <row r="43" spans="1:10">
      <c r="A43" s="137" t="s">
        <v>26</v>
      </c>
      <c r="B43" s="233">
        <v>45204458.149999999</v>
      </c>
      <c r="C43" s="233">
        <v>6162980.1100000003</v>
      </c>
      <c r="D43" s="233">
        <v>2752040.0799999996</v>
      </c>
      <c r="E43" s="233">
        <v>1317124.28</v>
      </c>
      <c r="F43" s="233">
        <v>2146303.12</v>
      </c>
      <c r="G43" s="233">
        <v>1174393.3799999999</v>
      </c>
      <c r="H43" s="233">
        <v>249322.14</v>
      </c>
      <c r="I43" s="233">
        <v>880820.49288016069</v>
      </c>
      <c r="J43" s="231">
        <f t="shared" si="0"/>
        <v>59887441.752880156</v>
      </c>
    </row>
    <row r="44" spans="1:10">
      <c r="A44" s="137" t="s">
        <v>27</v>
      </c>
      <c r="B44" s="233">
        <v>935515783.75999999</v>
      </c>
      <c r="C44" s="233">
        <v>127544171.65000001</v>
      </c>
      <c r="D44" s="233">
        <v>0</v>
      </c>
      <c r="E44" s="233">
        <v>27258164.739999998</v>
      </c>
      <c r="F44" s="233">
        <v>44418195.689999998</v>
      </c>
      <c r="G44" s="233">
        <v>24304318.240000002</v>
      </c>
      <c r="H44" s="233">
        <v>5159774.4000000004</v>
      </c>
      <c r="I44" s="233">
        <v>16155927.653659198</v>
      </c>
      <c r="J44" s="231">
        <f t="shared" si="0"/>
        <v>1180356336.1336591</v>
      </c>
    </row>
    <row r="45" spans="1:10">
      <c r="A45" s="137" t="s">
        <v>170</v>
      </c>
      <c r="B45" s="233">
        <v>4831566.9400000004</v>
      </c>
      <c r="C45" s="233">
        <v>658714.9</v>
      </c>
      <c r="D45" s="233">
        <v>1838516.41</v>
      </c>
      <c r="E45" s="233">
        <v>140777.58000000002</v>
      </c>
      <c r="F45" s="233">
        <v>229402.33000000002</v>
      </c>
      <c r="G45" s="233">
        <v>125522.14</v>
      </c>
      <c r="H45" s="233">
        <v>26648.159999999996</v>
      </c>
      <c r="I45" s="233">
        <v>31947.744428874903</v>
      </c>
      <c r="J45" s="231">
        <f t="shared" si="0"/>
        <v>7883096.2044288758</v>
      </c>
    </row>
    <row r="46" spans="1:10">
      <c r="A46" s="137" t="s">
        <v>171</v>
      </c>
      <c r="B46" s="233">
        <v>20342004.460000001</v>
      </c>
      <c r="C46" s="233">
        <v>2773340.8100000005</v>
      </c>
      <c r="D46" s="233">
        <v>1965923.04</v>
      </c>
      <c r="E46" s="233">
        <v>592705.88</v>
      </c>
      <c r="F46" s="233">
        <v>965836.3600000001</v>
      </c>
      <c r="G46" s="233">
        <v>528476.97</v>
      </c>
      <c r="H46" s="233">
        <v>112194.95999999999</v>
      </c>
      <c r="I46" s="233">
        <v>1323300.7699411595</v>
      </c>
      <c r="J46" s="231">
        <f t="shared" si="0"/>
        <v>28603783.249941159</v>
      </c>
    </row>
    <row r="47" spans="1:10">
      <c r="A47" s="137" t="s">
        <v>172</v>
      </c>
      <c r="B47" s="233">
        <v>10247606.600000001</v>
      </c>
      <c r="C47" s="233">
        <v>1397114.3199999998</v>
      </c>
      <c r="D47" s="233">
        <v>2434605.8199999998</v>
      </c>
      <c r="E47" s="233">
        <v>298584.96999999997</v>
      </c>
      <c r="F47" s="233">
        <v>486555.33999999997</v>
      </c>
      <c r="G47" s="233">
        <v>266228.63</v>
      </c>
      <c r="H47" s="233">
        <v>56520</v>
      </c>
      <c r="I47" s="233">
        <v>90600.686114861426</v>
      </c>
      <c r="J47" s="231">
        <f t="shared" si="0"/>
        <v>15277816.366114864</v>
      </c>
    </row>
    <row r="48" spans="1:10">
      <c r="A48" s="137" t="s">
        <v>28</v>
      </c>
      <c r="B48" s="233">
        <v>11483205</v>
      </c>
      <c r="C48" s="233">
        <v>1565570.45</v>
      </c>
      <c r="D48" s="233">
        <v>2255068.4</v>
      </c>
      <c r="E48" s="233">
        <v>334586.65999999997</v>
      </c>
      <c r="F48" s="233">
        <v>545221.43999999994</v>
      </c>
      <c r="G48" s="233">
        <v>298328.99</v>
      </c>
      <c r="H48" s="233">
        <v>63334.86</v>
      </c>
      <c r="I48" s="233">
        <v>96389.606469683145</v>
      </c>
      <c r="J48" s="231">
        <f t="shared" si="0"/>
        <v>16641705.406469682</v>
      </c>
    </row>
    <row r="49" spans="1:10">
      <c r="A49" s="137" t="s">
        <v>29</v>
      </c>
      <c r="B49" s="233">
        <v>33038981.369999997</v>
      </c>
      <c r="C49" s="233">
        <v>4504391.67</v>
      </c>
      <c r="D49" s="233">
        <v>3792060.9</v>
      </c>
      <c r="E49" s="233">
        <v>962658.26</v>
      </c>
      <c r="F49" s="233">
        <v>1568687.51</v>
      </c>
      <c r="G49" s="233">
        <v>858339.26</v>
      </c>
      <c r="H49" s="233">
        <v>182224.26</v>
      </c>
      <c r="I49" s="233">
        <v>471549.49580711243</v>
      </c>
      <c r="J49" s="231">
        <f t="shared" si="0"/>
        <v>45378892.725807101</v>
      </c>
    </row>
    <row r="50" spans="1:10">
      <c r="A50" s="137" t="s">
        <v>30</v>
      </c>
      <c r="B50" s="233">
        <v>28431775.579999998</v>
      </c>
      <c r="C50" s="233">
        <v>3876265.18</v>
      </c>
      <c r="D50" s="233">
        <v>1232240.94</v>
      </c>
      <c r="E50" s="233">
        <v>828417.89999999991</v>
      </c>
      <c r="F50" s="233">
        <v>1349937.87</v>
      </c>
      <c r="G50" s="233">
        <v>738645.92999999993</v>
      </c>
      <c r="H50" s="233">
        <v>156813.54</v>
      </c>
      <c r="I50" s="233">
        <v>853855.7489998024</v>
      </c>
      <c r="J50" s="231">
        <f t="shared" si="0"/>
        <v>37467952.688999802</v>
      </c>
    </row>
    <row r="51" spans="1:10">
      <c r="A51" s="137" t="s">
        <v>173</v>
      </c>
      <c r="B51" s="233">
        <v>257266349.19</v>
      </c>
      <c r="C51" s="233">
        <v>35074580.189999998</v>
      </c>
      <c r="D51" s="233">
        <v>7258621.4299999997</v>
      </c>
      <c r="E51" s="233">
        <v>7495980.9700000007</v>
      </c>
      <c r="F51" s="233">
        <v>12214980.470000001</v>
      </c>
      <c r="G51" s="233">
        <v>6683674.7699999996</v>
      </c>
      <c r="H51" s="233">
        <v>1418935.2000000002</v>
      </c>
      <c r="I51" s="233">
        <v>5534567.9804046173</v>
      </c>
      <c r="J51" s="231">
        <f t="shared" si="0"/>
        <v>332947690.20040464</v>
      </c>
    </row>
    <row r="52" spans="1:10">
      <c r="A52" s="137" t="s">
        <v>174</v>
      </c>
      <c r="B52" s="233">
        <v>497104151.47000003</v>
      </c>
      <c r="C52" s="233">
        <v>67773027.739999995</v>
      </c>
      <c r="D52" s="233">
        <v>13206231.68</v>
      </c>
      <c r="E52" s="233">
        <v>14484145.599999998</v>
      </c>
      <c r="F52" s="233">
        <v>23602455.280000001</v>
      </c>
      <c r="G52" s="233">
        <v>12914563.030000001</v>
      </c>
      <c r="H52" s="233">
        <v>2741744.46</v>
      </c>
      <c r="I52" s="233">
        <v>4335005.811824874</v>
      </c>
      <c r="J52" s="231">
        <f t="shared" si="0"/>
        <v>636161325.07182491</v>
      </c>
    </row>
    <row r="53" spans="1:10">
      <c r="A53" s="137" t="s">
        <v>31</v>
      </c>
      <c r="B53" s="233">
        <v>133952081.55000001</v>
      </c>
      <c r="C53" s="233">
        <v>18262446.82</v>
      </c>
      <c r="D53" s="233">
        <v>3913433.8200000003</v>
      </c>
      <c r="E53" s="233">
        <v>3902967.7</v>
      </c>
      <c r="F53" s="233">
        <v>6360031.4199999999</v>
      </c>
      <c r="G53" s="233">
        <v>3480020.42</v>
      </c>
      <c r="H53" s="233">
        <v>738803.7</v>
      </c>
      <c r="I53" s="233">
        <v>3658768.5237650401</v>
      </c>
      <c r="J53" s="231">
        <f t="shared" si="0"/>
        <v>174268553.95376498</v>
      </c>
    </row>
    <row r="54" spans="1:10">
      <c r="A54" s="137" t="s">
        <v>32</v>
      </c>
      <c r="B54" s="233">
        <v>42696803.450000003</v>
      </c>
      <c r="C54" s="233">
        <v>5821097.3200000003</v>
      </c>
      <c r="D54" s="233">
        <v>4888710.6400000006</v>
      </c>
      <c r="E54" s="233">
        <v>1244058.6499999999</v>
      </c>
      <c r="F54" s="233">
        <v>2027239.94</v>
      </c>
      <c r="G54" s="233">
        <v>1109245.52</v>
      </c>
      <c r="H54" s="233">
        <v>235491.36</v>
      </c>
      <c r="I54" s="233">
        <v>788450.26407872606</v>
      </c>
      <c r="J54" s="231">
        <f t="shared" si="0"/>
        <v>58811097.144078732</v>
      </c>
    </row>
    <row r="55" spans="1:10">
      <c r="A55" s="137" t="s">
        <v>33</v>
      </c>
      <c r="B55" s="233">
        <v>8578896.2200000007</v>
      </c>
      <c r="C55" s="233">
        <v>1169609.5699999998</v>
      </c>
      <c r="D55" s="233">
        <v>2772605.85</v>
      </c>
      <c r="E55" s="233">
        <v>249963.66999999998</v>
      </c>
      <c r="F55" s="233">
        <v>407325.15</v>
      </c>
      <c r="G55" s="233">
        <v>222876.21999999997</v>
      </c>
      <c r="H55" s="233">
        <v>47316.3</v>
      </c>
      <c r="I55" s="233">
        <v>55450.496668126492</v>
      </c>
      <c r="J55" s="231">
        <f t="shared" si="0"/>
        <v>13504043.476668129</v>
      </c>
    </row>
    <row r="56" spans="1:10" ht="13.5" thickBot="1">
      <c r="A56" s="137" t="s">
        <v>34</v>
      </c>
      <c r="B56" s="233">
        <v>11819240.399999999</v>
      </c>
      <c r="C56" s="233">
        <v>1611384.06</v>
      </c>
      <c r="D56" s="233">
        <v>3047060.94</v>
      </c>
      <c r="E56" s="233">
        <v>344377.72000000003</v>
      </c>
      <c r="F56" s="233">
        <v>561176.35</v>
      </c>
      <c r="G56" s="233">
        <v>307059.05</v>
      </c>
      <c r="H56" s="233">
        <v>65188.200000000004</v>
      </c>
      <c r="I56" s="233">
        <v>64654.135831388805</v>
      </c>
      <c r="J56" s="231">
        <f t="shared" si="0"/>
        <v>17820140.855831388</v>
      </c>
    </row>
    <row r="57" spans="1:10" ht="14.25" thickTop="1" thickBot="1">
      <c r="A57" s="138" t="s">
        <v>35</v>
      </c>
      <c r="B57" s="234">
        <f>SUM(B6:B56)</f>
        <v>3556284706.4199991</v>
      </c>
      <c r="C57" s="234">
        <f t="shared" ref="C57:I57" si="1">SUM(C6:C56)</f>
        <v>484848459.70999998</v>
      </c>
      <c r="D57" s="234">
        <f t="shared" si="1"/>
        <v>151948209.97999999</v>
      </c>
      <c r="E57" s="234">
        <f t="shared" si="1"/>
        <v>103619624.47000001</v>
      </c>
      <c r="F57" s="234">
        <f t="shared" si="1"/>
        <v>168852041.39000002</v>
      </c>
      <c r="G57" s="234">
        <f t="shared" si="1"/>
        <v>92390825.530000016</v>
      </c>
      <c r="H57" s="234">
        <f t="shared" si="1"/>
        <v>19614448.799999997</v>
      </c>
      <c r="I57" s="234">
        <f t="shared" si="1"/>
        <v>73791149.400000006</v>
      </c>
      <c r="J57" s="235">
        <f>SUM(J6:J56)</f>
        <v>4651349465.6999998</v>
      </c>
    </row>
    <row r="58" spans="1:10" ht="13.5" thickTop="1">
      <c r="A58" s="139"/>
      <c r="B58" s="243"/>
      <c r="C58" s="249"/>
      <c r="D58" s="249"/>
      <c r="E58" s="209"/>
      <c r="F58" s="209"/>
      <c r="G58" s="209"/>
      <c r="H58" s="209"/>
      <c r="I58" s="209"/>
      <c r="J58" s="209"/>
    </row>
    <row r="59" spans="1:10" ht="16.5" customHeight="1">
      <c r="A59" s="133" t="s">
        <v>250</v>
      </c>
      <c r="B59" s="244"/>
      <c r="C59" s="250"/>
      <c r="D59" s="250"/>
      <c r="E59" s="210"/>
    </row>
    <row r="60" spans="1:10">
      <c r="A60" s="135"/>
      <c r="B60" s="245"/>
    </row>
    <row r="61" spans="1:10">
      <c r="A61" s="135"/>
      <c r="B61" s="245"/>
    </row>
    <row r="62" spans="1:10" ht="16.5" customHeight="1"/>
  </sheetData>
  <mergeCells count="3">
    <mergeCell ref="A1:J1"/>
    <mergeCell ref="A2:J2"/>
    <mergeCell ref="A3:J3"/>
  </mergeCells>
  <printOptions horizontalCentered="1"/>
  <pageMargins left="0.19685039370078741" right="0.19685039370078741" top="0.15748031496062992" bottom="0.15748031496062992" header="0.15748031496062992" footer="0.15748031496062992"/>
  <pageSetup scale="75" orientation="landscape" r:id="rId1"/>
  <headerFooter alignWithMargins="0">
    <oddHeader>&amp;LAnexo 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showGridLines="0" topLeftCell="A4" zoomScaleNormal="100" workbookViewId="0">
      <pane xSplit="2" ySplit="1" topLeftCell="G5" activePane="bottomRight" state="frozen"/>
      <selection activeCell="A4" sqref="A4"/>
      <selection pane="topRight" activeCell="B4" sqref="B4"/>
      <selection pane="bottomLeft" activeCell="A6" sqref="A6"/>
      <selection pane="bottomRight" activeCell="O57" sqref="O57"/>
    </sheetView>
  </sheetViews>
  <sheetFormatPr baseColWidth="10" defaultColWidth="9.7109375" defaultRowHeight="12.75"/>
  <cols>
    <col min="1" max="1" width="2.5703125" style="14" customWidth="1"/>
    <col min="2" max="2" width="28.85546875" style="14" customWidth="1"/>
    <col min="3" max="7" width="15.7109375" style="14" customWidth="1"/>
    <col min="8" max="8" width="12.42578125" style="14" customWidth="1"/>
    <col min="9" max="9" width="15.42578125" style="14" customWidth="1"/>
    <col min="10" max="10" width="12.5703125" style="64" customWidth="1"/>
    <col min="11" max="11" width="12.28515625" style="14" customWidth="1"/>
    <col min="12" max="12" width="15.5703125" style="14" customWidth="1"/>
    <col min="13" max="13" width="12" style="64" customWidth="1"/>
    <col min="14" max="14" width="17.7109375" style="66" customWidth="1"/>
    <col min="15" max="15" width="18" style="14" customWidth="1"/>
    <col min="16" max="16" width="16.140625" style="14" customWidth="1"/>
    <col min="17" max="17" width="14.140625" style="14" customWidth="1"/>
    <col min="18" max="18" width="15.5703125" style="14" customWidth="1"/>
    <col min="19" max="19" width="16.140625" style="14" customWidth="1"/>
    <col min="20" max="20" width="13.140625" style="14" customWidth="1"/>
    <col min="21" max="21" width="14" style="14" customWidth="1"/>
    <col min="22" max="22" width="12.85546875" style="14" customWidth="1"/>
    <col min="23" max="23" width="14.42578125" style="14" customWidth="1"/>
    <col min="24" max="24" width="16.85546875" style="14" customWidth="1"/>
    <col min="25" max="25" width="14.140625" style="64" customWidth="1"/>
    <col min="26" max="26" width="18.42578125" style="14" bestFit="1" customWidth="1"/>
    <col min="27" max="27" width="16.85546875" style="14" bestFit="1" customWidth="1"/>
    <col min="28" max="28" width="13.85546875" style="64" customWidth="1"/>
    <col min="29" max="29" width="15.140625" style="64" customWidth="1"/>
    <col min="30" max="30" width="17.5703125" style="66" customWidth="1"/>
    <col min="31" max="31" width="3.7109375" style="11" customWidth="1"/>
    <col min="32" max="34" width="18.42578125" style="14" customWidth="1"/>
    <col min="35" max="35" width="20.140625" style="14" customWidth="1"/>
    <col min="36" max="36" width="16.140625" style="14" bestFit="1" customWidth="1"/>
    <col min="37" max="16384" width="9.7109375" style="14"/>
  </cols>
  <sheetData>
    <row r="1" spans="1:36" ht="33" customHeight="1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</row>
    <row r="2" spans="1:36" ht="26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</row>
    <row r="3" spans="1:36" ht="18.75" thickBot="1">
      <c r="C3" s="265" t="s">
        <v>95</v>
      </c>
      <c r="D3" s="265"/>
      <c r="E3" s="265"/>
      <c r="F3" s="265"/>
      <c r="G3" s="265"/>
      <c r="H3" s="266" t="s">
        <v>49</v>
      </c>
      <c r="I3" s="266"/>
      <c r="J3" s="266"/>
      <c r="K3" s="266"/>
      <c r="L3" s="266"/>
      <c r="M3" s="266"/>
      <c r="N3" s="266"/>
      <c r="O3" s="266" t="s">
        <v>85</v>
      </c>
      <c r="P3" s="266"/>
      <c r="Q3" s="266"/>
      <c r="R3" s="266"/>
      <c r="S3" s="266"/>
      <c r="T3" s="266"/>
      <c r="U3" s="266"/>
      <c r="V3" s="266"/>
      <c r="W3" s="106"/>
      <c r="X3" s="266"/>
      <c r="Y3" s="266"/>
      <c r="Z3" s="265" t="s">
        <v>85</v>
      </c>
      <c r="AA3" s="265"/>
      <c r="AB3" s="265"/>
      <c r="AC3" s="265"/>
      <c r="AD3" s="265"/>
      <c r="AF3" s="265" t="s">
        <v>114</v>
      </c>
      <c r="AG3" s="265"/>
      <c r="AH3" s="265"/>
      <c r="AI3" s="265"/>
      <c r="AJ3" s="265"/>
    </row>
    <row r="4" spans="1:36" ht="64.5" thickBot="1">
      <c r="B4" s="8" t="s">
        <v>0</v>
      </c>
      <c r="C4" s="9" t="s">
        <v>177</v>
      </c>
      <c r="D4" s="8" t="s">
        <v>198</v>
      </c>
      <c r="E4" s="9" t="s">
        <v>112</v>
      </c>
      <c r="F4" s="12" t="s">
        <v>113</v>
      </c>
      <c r="G4" s="103" t="s">
        <v>75</v>
      </c>
      <c r="H4" s="8" t="s">
        <v>189</v>
      </c>
      <c r="I4" s="9" t="s">
        <v>71</v>
      </c>
      <c r="J4" s="10">
        <v>0.85</v>
      </c>
      <c r="K4" s="8" t="s">
        <v>41</v>
      </c>
      <c r="L4" s="9" t="s">
        <v>72</v>
      </c>
      <c r="M4" s="10">
        <v>0.15</v>
      </c>
      <c r="N4" s="98" t="s">
        <v>73</v>
      </c>
      <c r="O4" s="8" t="s">
        <v>64</v>
      </c>
      <c r="P4" s="8" t="s">
        <v>251</v>
      </c>
      <c r="Q4" s="8" t="s">
        <v>252</v>
      </c>
      <c r="R4" s="8" t="s">
        <v>253</v>
      </c>
      <c r="S4" s="8" t="s">
        <v>258</v>
      </c>
      <c r="T4" s="8" t="s">
        <v>69</v>
      </c>
      <c r="U4" s="8" t="s">
        <v>256</v>
      </c>
      <c r="V4" s="8" t="s">
        <v>255</v>
      </c>
      <c r="W4" s="8" t="s">
        <v>254</v>
      </c>
      <c r="X4" s="8" t="s">
        <v>257</v>
      </c>
      <c r="Y4" s="10">
        <v>0.85</v>
      </c>
      <c r="Z4" s="8" t="s">
        <v>265</v>
      </c>
      <c r="AA4" s="12" t="s">
        <v>44</v>
      </c>
      <c r="AB4" s="13" t="s">
        <v>46</v>
      </c>
      <c r="AC4" s="10">
        <v>0.15</v>
      </c>
      <c r="AD4" s="98" t="s">
        <v>74</v>
      </c>
      <c r="AF4" s="105" t="s">
        <v>88</v>
      </c>
      <c r="AG4" s="105" t="s">
        <v>86</v>
      </c>
      <c r="AH4" s="105" t="s">
        <v>87</v>
      </c>
      <c r="AI4" s="105" t="s">
        <v>120</v>
      </c>
      <c r="AJ4" s="105" t="s">
        <v>76</v>
      </c>
    </row>
    <row r="5" spans="1:36" s="17" customFormat="1" ht="22.5">
      <c r="B5" s="84"/>
      <c r="C5" s="88" t="s">
        <v>154</v>
      </c>
      <c r="D5" s="79" t="s">
        <v>155</v>
      </c>
      <c r="E5" s="79" t="s">
        <v>37</v>
      </c>
      <c r="F5" s="79" t="s">
        <v>38</v>
      </c>
      <c r="G5" s="89" t="s">
        <v>57</v>
      </c>
      <c r="H5" s="84" t="s">
        <v>40</v>
      </c>
      <c r="I5" s="79" t="s">
        <v>55</v>
      </c>
      <c r="J5" s="85" t="s">
        <v>58</v>
      </c>
      <c r="K5" s="15" t="s">
        <v>48</v>
      </c>
      <c r="L5" s="79" t="s">
        <v>59</v>
      </c>
      <c r="M5" s="85" t="s">
        <v>60</v>
      </c>
      <c r="N5" s="86" t="s">
        <v>50</v>
      </c>
      <c r="O5" s="15" t="s">
        <v>65</v>
      </c>
      <c r="P5" s="15" t="s">
        <v>66</v>
      </c>
      <c r="Q5" s="15" t="s">
        <v>67</v>
      </c>
      <c r="R5" s="15" t="s">
        <v>68</v>
      </c>
      <c r="S5" s="84"/>
      <c r="T5" s="15" t="s">
        <v>65</v>
      </c>
      <c r="U5" s="15" t="s">
        <v>66</v>
      </c>
      <c r="V5" s="15" t="s">
        <v>67</v>
      </c>
      <c r="W5" s="15" t="s">
        <v>68</v>
      </c>
      <c r="X5" s="79" t="s">
        <v>42</v>
      </c>
      <c r="Y5" s="85" t="s">
        <v>61</v>
      </c>
      <c r="Z5" s="79" t="s">
        <v>45</v>
      </c>
      <c r="AA5" s="79" t="s">
        <v>43</v>
      </c>
      <c r="AB5" s="85" t="s">
        <v>62</v>
      </c>
      <c r="AC5" s="85" t="s">
        <v>63</v>
      </c>
      <c r="AD5" s="87" t="s">
        <v>47</v>
      </c>
      <c r="AE5" s="16"/>
      <c r="AF5" s="15">
        <f>+AI5*0.5</f>
        <v>4053861965.538939</v>
      </c>
      <c r="AG5" s="15">
        <f>+AI5*0.25</f>
        <v>2026930982.7694695</v>
      </c>
      <c r="AH5" s="15">
        <f>+AI5*0.25</f>
        <v>2026930982.7694695</v>
      </c>
      <c r="AI5" s="15">
        <v>8107723931.077878</v>
      </c>
    </row>
    <row r="6" spans="1:36" s="25" customFormat="1" ht="23.25" customHeight="1" thickBot="1">
      <c r="B6" s="18"/>
      <c r="C6" s="19"/>
      <c r="D6" s="19"/>
      <c r="E6" s="19"/>
      <c r="F6" s="19"/>
      <c r="G6" s="23"/>
      <c r="H6" s="18"/>
      <c r="I6" s="19"/>
      <c r="J6" s="20"/>
      <c r="K6" s="19"/>
      <c r="L6" s="19"/>
      <c r="M6" s="20"/>
      <c r="N6" s="21"/>
      <c r="O6" s="15"/>
      <c r="P6" s="15"/>
      <c r="Q6" s="15"/>
      <c r="R6" s="15"/>
      <c r="S6" s="18"/>
      <c r="T6" s="15"/>
      <c r="U6" s="15"/>
      <c r="V6" s="15"/>
      <c r="W6" s="15"/>
      <c r="X6" s="19"/>
      <c r="Y6" s="22"/>
      <c r="Z6" s="19"/>
      <c r="AA6" s="19"/>
      <c r="AB6" s="20"/>
      <c r="AC6" s="20"/>
      <c r="AD6" s="21"/>
      <c r="AE6" s="19"/>
      <c r="AF6" s="15" t="s">
        <v>96</v>
      </c>
      <c r="AG6" s="15" t="s">
        <v>97</v>
      </c>
      <c r="AH6" s="15" t="s">
        <v>54</v>
      </c>
      <c r="AI6" s="24" t="s">
        <v>98</v>
      </c>
      <c r="AJ6" s="24" t="s">
        <v>52</v>
      </c>
    </row>
    <row r="7" spans="1:36" ht="15" thickTop="1">
      <c r="A7" s="158" t="s">
        <v>199</v>
      </c>
      <c r="B7" s="2" t="s">
        <v>1</v>
      </c>
      <c r="C7" s="29">
        <v>558823</v>
      </c>
      <c r="D7" s="29">
        <f>+VLOOKUP(B7,'[5]Recaudación general de '!$B$17:$J$68,7,FALSE)</f>
        <v>145672.85</v>
      </c>
      <c r="E7" s="33">
        <f t="shared" ref="E7:E38" si="0">+D7/C7</f>
        <v>0.26067797853703228</v>
      </c>
      <c r="F7" s="34">
        <f>+E7*D7</f>
        <v>37973.704065728321</v>
      </c>
      <c r="G7" s="99">
        <f t="shared" ref="G7:G38" si="1">+F7/F$58</f>
        <v>2.3846074066165529E-5</v>
      </c>
      <c r="H7" s="26">
        <v>2974</v>
      </c>
      <c r="I7" s="93">
        <f t="shared" ref="I7:I38" si="2">+H7/$H$58</f>
        <v>5.141377508841821E-4</v>
      </c>
      <c r="J7" s="28">
        <f>+I7*J$4</f>
        <v>4.3701708825155477E-4</v>
      </c>
      <c r="K7" s="29">
        <v>47.45</v>
      </c>
      <c r="L7" s="90">
        <f t="shared" ref="L7:L38" si="3">+K7/$K$58</f>
        <v>7.3886478603129777E-4</v>
      </c>
      <c r="M7" s="30">
        <f>+L7*M$4</f>
        <v>1.1082971790469465E-4</v>
      </c>
      <c r="N7" s="99">
        <f>+M7+J7</f>
        <v>5.4784680615624945E-4</v>
      </c>
      <c r="O7" s="257">
        <v>334</v>
      </c>
      <c r="P7" s="255">
        <v>51</v>
      </c>
      <c r="Q7" s="255">
        <v>69</v>
      </c>
      <c r="R7" s="255">
        <v>52</v>
      </c>
      <c r="S7" s="31">
        <f t="shared" ref="S7:S38" si="4">(0.25*(O7/O$58))+(0.25*(P7/P$58))+(0.25*(Q7/Q$58))+(0.25*(R7/R$58))</f>
        <v>1.456616500754656E-3</v>
      </c>
      <c r="T7" s="255">
        <v>194.999999997044</v>
      </c>
      <c r="U7" s="255">
        <f>+VLOOKUP(B7,[6]INEGI_Exporta_20210329111405!$B$9:$T$59,19,FALSE)</f>
        <v>48</v>
      </c>
      <c r="V7" s="255">
        <v>30</v>
      </c>
      <c r="W7" s="255">
        <f>+VLOOKUP(B7,[7]INEGI_Exporta_20210329105635!$B$8:$F$58,4,FALSE)</f>
        <v>7</v>
      </c>
      <c r="X7" s="31">
        <f t="shared" ref="X7:X38" si="5">(0.25*(T7/T$58))+(0.25*(U7/U$58))+(0.25*(V7/V$58))+(0.25*(W7/W$58))</f>
        <v>7.6890873659606746E-4</v>
      </c>
      <c r="Y7" s="32">
        <f t="shared" ref="Y7:Y38" si="6">+X7*Y$4</f>
        <v>6.5357242610665728E-4</v>
      </c>
      <c r="Z7" s="27">
        <f t="shared" ref="Z7:Z38" si="7">+(X7-S7)/S7</f>
        <v>-0.47212685274558897</v>
      </c>
      <c r="AA7" s="27">
        <f t="shared" ref="AA7:AA57" si="8">IF(Z7&gt;0,0,Z7)</f>
        <v>-0.47212685274558897</v>
      </c>
      <c r="AB7" s="28">
        <f>+AA7/AA$58</f>
        <v>5.9883783217558835E-2</v>
      </c>
      <c r="AC7" s="28">
        <f t="shared" ref="AC7:AC38" si="9">+AB7*AC$4</f>
        <v>8.9825674826338256E-3</v>
      </c>
      <c r="AD7" s="99">
        <f t="shared" ref="AD7:AD57" si="10">+AC7+Y7</f>
        <v>9.6361399087404823E-3</v>
      </c>
      <c r="AF7" s="35">
        <f t="shared" ref="AF7:AF38" si="11">+G7*AF$5</f>
        <v>96668.692684252906</v>
      </c>
      <c r="AG7" s="36">
        <f t="shared" ref="AG7:AG38" si="12">+N7*AG$5</f>
        <v>1110447.6652094016</v>
      </c>
      <c r="AH7" s="36">
        <f t="shared" ref="AH7:AH38" si="13">+AD7*AH$5</f>
        <v>19531790.535327453</v>
      </c>
      <c r="AI7" s="36">
        <f>SUM(AF7:AH7)</f>
        <v>20738906.893221106</v>
      </c>
      <c r="AJ7" s="37">
        <f>+AI7/AI$58</f>
        <v>2.5579197157572665E-3</v>
      </c>
    </row>
    <row r="8" spans="1:36" ht="14.25">
      <c r="A8" s="158" t="s">
        <v>200</v>
      </c>
      <c r="B8" s="4" t="s">
        <v>2</v>
      </c>
      <c r="C8" s="41">
        <v>2588435</v>
      </c>
      <c r="D8" s="41">
        <f>+VLOOKUP(B8,'[5]Recaudación general de '!$B$17:$J$68,7,FALSE)</f>
        <v>768052</v>
      </c>
      <c r="E8" s="45">
        <f t="shared" si="0"/>
        <v>0.2967244686461124</v>
      </c>
      <c r="F8" s="46">
        <f t="shared" ref="F8:F57" si="14">+E8*D8</f>
        <v>227899.82159258393</v>
      </c>
      <c r="G8" s="100">
        <f t="shared" si="1"/>
        <v>1.4311261329566678E-4</v>
      </c>
      <c r="H8" s="38">
        <v>3382</v>
      </c>
      <c r="I8" s="94">
        <f t="shared" si="2"/>
        <v>5.8467177992276519E-4</v>
      </c>
      <c r="J8" s="40">
        <f t="shared" ref="J8:J57" si="15">+I8*J$4</f>
        <v>4.9697101293435045E-4</v>
      </c>
      <c r="K8" s="41">
        <v>978.99</v>
      </c>
      <c r="L8" s="91">
        <f t="shared" si="3"/>
        <v>1.524428317970032E-2</v>
      </c>
      <c r="M8" s="42">
        <f t="shared" ref="M8:M57" si="16">+L8*M$4</f>
        <v>2.2866424769550477E-3</v>
      </c>
      <c r="N8" s="100">
        <f t="shared" ref="N8:N57" si="17">+M8+J8</f>
        <v>2.783613489889398E-3</v>
      </c>
      <c r="O8" s="258">
        <v>768</v>
      </c>
      <c r="P8" s="256">
        <v>120</v>
      </c>
      <c r="Q8" s="256">
        <v>175</v>
      </c>
      <c r="R8" s="256">
        <v>44</v>
      </c>
      <c r="S8" s="43">
        <f t="shared" si="4"/>
        <v>2.0154670291984656E-3</v>
      </c>
      <c r="T8" s="256">
        <v>468.99999999269994</v>
      </c>
      <c r="U8" s="256">
        <f>+VLOOKUP(B8,[6]INEGI_Exporta_20210329111405!$B$9:$T$59,19,FALSE)</f>
        <v>131</v>
      </c>
      <c r="V8" s="256">
        <v>85</v>
      </c>
      <c r="W8" s="256">
        <f>+VLOOKUP(B8,[7]INEGI_Exporta_20210329105635!$B$8:$F$58,4,FALSE)</f>
        <v>16</v>
      </c>
      <c r="X8" s="43">
        <f t="shared" si="5"/>
        <v>1.9410335279363288E-3</v>
      </c>
      <c r="Y8" s="44">
        <f t="shared" si="6"/>
        <v>1.6498784987458795E-3</v>
      </c>
      <c r="Z8" s="39">
        <f t="shared" si="7"/>
        <v>-3.6931143096763264E-2</v>
      </c>
      <c r="AA8" s="39">
        <f t="shared" si="8"/>
        <v>-3.6931143096763264E-2</v>
      </c>
      <c r="AB8" s="40">
        <f t="shared" ref="AB8:AB57" si="18">+AA8/AA$58</f>
        <v>4.6842846457940176E-3</v>
      </c>
      <c r="AC8" s="40">
        <f t="shared" si="9"/>
        <v>7.0264269686910264E-4</v>
      </c>
      <c r="AD8" s="100">
        <f t="shared" si="10"/>
        <v>2.3525211956149823E-3</v>
      </c>
      <c r="AF8" s="47">
        <f t="shared" si="11"/>
        <v>580158.7798281858</v>
      </c>
      <c r="AG8" s="48">
        <f t="shared" si="12"/>
        <v>5642192.4267118704</v>
      </c>
      <c r="AH8" s="48">
        <f t="shared" si="13"/>
        <v>4768398.0990138836</v>
      </c>
      <c r="AI8" s="48">
        <f t="shared" ref="AI8:AI57" si="19">SUM(AF8:AH8)</f>
        <v>10990749.305553939</v>
      </c>
      <c r="AJ8" s="49">
        <f t="shared" ref="AJ8:AJ57" si="20">+AI8/AI$58</f>
        <v>1.3555899780239287E-3</v>
      </c>
    </row>
    <row r="9" spans="1:36" ht="14.25">
      <c r="A9" s="158" t="s">
        <v>201</v>
      </c>
      <c r="B9" s="4" t="s">
        <v>175</v>
      </c>
      <c r="C9" s="41">
        <v>1115974</v>
      </c>
      <c r="D9" s="41">
        <f>+VLOOKUP(B9,'[5]Recaudación general de '!$B$17:$J$68,7,FALSE)</f>
        <v>272877</v>
      </c>
      <c r="E9" s="45">
        <f t="shared" si="0"/>
        <v>0.24451913754263091</v>
      </c>
      <c r="F9" s="46">
        <f t="shared" si="14"/>
        <v>66723.648695220501</v>
      </c>
      <c r="G9" s="100">
        <f t="shared" si="1"/>
        <v>4.1899970200352918E-5</v>
      </c>
      <c r="H9" s="38">
        <v>1407</v>
      </c>
      <c r="I9" s="94">
        <f t="shared" si="2"/>
        <v>2.4323867366981983E-4</v>
      </c>
      <c r="J9" s="40">
        <f t="shared" si="15"/>
        <v>2.0675287261934686E-4</v>
      </c>
      <c r="K9" s="41">
        <v>696.75</v>
      </c>
      <c r="L9" s="91">
        <f t="shared" si="3"/>
        <v>1.0849400203736705E-2</v>
      </c>
      <c r="M9" s="42">
        <f t="shared" si="16"/>
        <v>1.6274100305605057E-3</v>
      </c>
      <c r="N9" s="100">
        <f t="shared" si="17"/>
        <v>1.8341629031798526E-3</v>
      </c>
      <c r="O9" s="258">
        <v>363</v>
      </c>
      <c r="P9" s="256">
        <v>60</v>
      </c>
      <c r="Q9" s="256">
        <v>193</v>
      </c>
      <c r="R9" s="256">
        <v>19</v>
      </c>
      <c r="S9" s="43">
        <f t="shared" si="4"/>
        <v>1.1550411585427741E-3</v>
      </c>
      <c r="T9" s="256">
        <v>209.00000000199</v>
      </c>
      <c r="U9" s="256">
        <f>+VLOOKUP(B9,[6]INEGI_Exporta_20210329111405!$B$9:$T$59,19,FALSE)</f>
        <v>47</v>
      </c>
      <c r="V9" s="256">
        <v>10</v>
      </c>
      <c r="W9" s="256">
        <f>+VLOOKUP(B9,[7]INEGI_Exporta_20210329105635!$B$8:$F$58,4,FALSE)</f>
        <v>2</v>
      </c>
      <c r="X9" s="43">
        <f t="shared" si="5"/>
        <v>4.7743907478538944E-4</v>
      </c>
      <c r="Y9" s="44">
        <f t="shared" si="6"/>
        <v>4.0582321356758103E-4</v>
      </c>
      <c r="Z9" s="39">
        <f t="shared" si="7"/>
        <v>-0.58664756553979658</v>
      </c>
      <c r="AA9" s="39">
        <f t="shared" si="8"/>
        <v>-0.58664756553979658</v>
      </c>
      <c r="AB9" s="40">
        <f t="shared" si="18"/>
        <v>7.4409399583175981E-2</v>
      </c>
      <c r="AC9" s="40">
        <f t="shared" si="9"/>
        <v>1.1161409937476397E-2</v>
      </c>
      <c r="AD9" s="100">
        <f t="shared" si="10"/>
        <v>1.1567233151043979E-2</v>
      </c>
      <c r="AF9" s="47">
        <f t="shared" si="11"/>
        <v>169856.69555242566</v>
      </c>
      <c r="AG9" s="48">
        <f t="shared" si="12"/>
        <v>3717721.615901642</v>
      </c>
      <c r="AH9" s="48">
        <f t="shared" si="13"/>
        <v>23445983.258769158</v>
      </c>
      <c r="AI9" s="48">
        <f t="shared" si="19"/>
        <v>27333561.570223227</v>
      </c>
      <c r="AJ9" s="49">
        <f t="shared" si="20"/>
        <v>3.3712989986561352E-3</v>
      </c>
    </row>
    <row r="10" spans="1:36" ht="13.5" customHeight="1">
      <c r="A10" s="158" t="s">
        <v>202</v>
      </c>
      <c r="B10" s="4" t="s">
        <v>3</v>
      </c>
      <c r="C10" s="41">
        <v>37146815</v>
      </c>
      <c r="D10" s="41">
        <f>+VLOOKUP(B10,'[5]Recaudación general de '!$B$17:$J$68,7,FALSE)</f>
        <v>23142962</v>
      </c>
      <c r="E10" s="45">
        <f t="shared" si="0"/>
        <v>0.62301335928800361</v>
      </c>
      <c r="F10" s="46">
        <f t="shared" si="14"/>
        <v>14418374.499494614</v>
      </c>
      <c r="G10" s="100">
        <f t="shared" si="1"/>
        <v>9.0542030251656077E-3</v>
      </c>
      <c r="H10" s="38">
        <v>35289</v>
      </c>
      <c r="I10" s="94">
        <f t="shared" si="2"/>
        <v>6.1006748792709828E-3</v>
      </c>
      <c r="J10" s="40">
        <f t="shared" si="15"/>
        <v>5.1855736473803348E-3</v>
      </c>
      <c r="K10" s="41">
        <v>190.52</v>
      </c>
      <c r="L10" s="91">
        <f t="shared" si="3"/>
        <v>2.9666705802883636E-3</v>
      </c>
      <c r="M10" s="42">
        <f t="shared" si="16"/>
        <v>4.4500058704325453E-4</v>
      </c>
      <c r="N10" s="100">
        <f t="shared" si="17"/>
        <v>5.6305742344235892E-3</v>
      </c>
      <c r="O10" s="258">
        <v>3420</v>
      </c>
      <c r="P10" s="256">
        <v>629</v>
      </c>
      <c r="Q10" s="256">
        <v>1238</v>
      </c>
      <c r="R10" s="256">
        <v>59</v>
      </c>
      <c r="S10" s="43">
        <f t="shared" si="4"/>
        <v>7.7354329857561889E-3</v>
      </c>
      <c r="T10" s="256">
        <v>2055.0000000045479</v>
      </c>
      <c r="U10" s="256">
        <f>+VLOOKUP(B10,[6]INEGI_Exporta_20210329111405!$B$9:$T$59,19,FALSE)</f>
        <v>459</v>
      </c>
      <c r="V10" s="256">
        <v>244</v>
      </c>
      <c r="W10" s="256">
        <f>+VLOOKUP(B10,[7]INEGI_Exporta_20210329105635!$B$8:$F$58,4,FALSE)</f>
        <v>11</v>
      </c>
      <c r="X10" s="43">
        <f t="shared" si="5"/>
        <v>5.0653367968117088E-3</v>
      </c>
      <c r="Y10" s="44">
        <f t="shared" si="6"/>
        <v>4.3055362772899527E-3</v>
      </c>
      <c r="Z10" s="39">
        <f t="shared" si="7"/>
        <v>-0.34517734092727853</v>
      </c>
      <c r="AA10" s="39">
        <f t="shared" si="8"/>
        <v>-0.34517734092727853</v>
      </c>
      <c r="AB10" s="40">
        <f t="shared" si="18"/>
        <v>4.3781718695930852E-2</v>
      </c>
      <c r="AC10" s="40">
        <f t="shared" si="9"/>
        <v>6.5672578043896278E-3</v>
      </c>
      <c r="AD10" s="100">
        <f t="shared" si="10"/>
        <v>1.0872794081679581E-2</v>
      </c>
      <c r="AF10" s="47">
        <f t="shared" si="11"/>
        <v>36704489.271986455</v>
      </c>
      <c r="AG10" s="48">
        <f t="shared" si="12"/>
        <v>11412785.366536658</v>
      </c>
      <c r="AH10" s="48">
        <f t="shared" si="13"/>
        <v>22038403.193428867</v>
      </c>
      <c r="AI10" s="48">
        <f t="shared" si="19"/>
        <v>70155677.831951976</v>
      </c>
      <c r="AJ10" s="49">
        <f t="shared" si="20"/>
        <v>8.6529435916085969E-3</v>
      </c>
    </row>
    <row r="11" spans="1:36" ht="14.25">
      <c r="A11" s="158" t="s">
        <v>203</v>
      </c>
      <c r="B11" s="4" t="s">
        <v>176</v>
      </c>
      <c r="C11" s="41">
        <v>10240869</v>
      </c>
      <c r="D11" s="41">
        <f>+VLOOKUP(B11,'[5]Recaudación general de '!$B$17:$J$68,7,FALSE)</f>
        <v>2531264</v>
      </c>
      <c r="E11" s="45">
        <f t="shared" si="0"/>
        <v>0.24717277410735358</v>
      </c>
      <c r="F11" s="46">
        <f t="shared" si="14"/>
        <v>625659.5448780763</v>
      </c>
      <c r="G11" s="100">
        <f t="shared" si="1"/>
        <v>3.9289092845780761E-4</v>
      </c>
      <c r="H11" s="38">
        <v>18030</v>
      </c>
      <c r="I11" s="94">
        <f t="shared" si="2"/>
        <v>3.1169817244256232E-3</v>
      </c>
      <c r="J11" s="40">
        <f t="shared" si="15"/>
        <v>2.6494344657617798E-3</v>
      </c>
      <c r="K11" s="41">
        <v>4572.87</v>
      </c>
      <c r="L11" s="91">
        <f t="shared" si="3"/>
        <v>7.1206166788175776E-2</v>
      </c>
      <c r="M11" s="42">
        <f t="shared" si="16"/>
        <v>1.0680925018226366E-2</v>
      </c>
      <c r="N11" s="100">
        <f t="shared" si="17"/>
        <v>1.3330359483988145E-2</v>
      </c>
      <c r="O11" s="258">
        <v>3207</v>
      </c>
      <c r="P11" s="256">
        <v>510</v>
      </c>
      <c r="Q11" s="256">
        <v>1865</v>
      </c>
      <c r="R11" s="256">
        <v>534</v>
      </c>
      <c r="S11" s="43">
        <f t="shared" si="4"/>
        <v>1.7129340967256722E-2</v>
      </c>
      <c r="T11" s="256">
        <v>2802.0000000077798</v>
      </c>
      <c r="U11" s="256">
        <f>+VLOOKUP(B11,[6]INEGI_Exporta_20210329111405!$B$9:$T$59,19,FALSE)</f>
        <v>476</v>
      </c>
      <c r="V11" s="256">
        <v>516</v>
      </c>
      <c r="W11" s="256">
        <f>+VLOOKUP(B11,[7]INEGI_Exporta_20210329105635!$B$8:$F$58,4,FALSE)</f>
        <v>204</v>
      </c>
      <c r="X11" s="43">
        <f t="shared" si="5"/>
        <v>1.4747255888058079E-2</v>
      </c>
      <c r="Y11" s="44">
        <f t="shared" si="6"/>
        <v>1.2535167504849367E-2</v>
      </c>
      <c r="Z11" s="39">
        <f t="shared" si="7"/>
        <v>-0.13906460754982192</v>
      </c>
      <c r="AA11" s="39">
        <f t="shared" si="8"/>
        <v>-0.13906460754982192</v>
      </c>
      <c r="AB11" s="40">
        <f t="shared" si="18"/>
        <v>1.7638723074783286E-2</v>
      </c>
      <c r="AC11" s="40">
        <f t="shared" si="9"/>
        <v>2.6458084612174929E-3</v>
      </c>
      <c r="AD11" s="100">
        <f t="shared" si="10"/>
        <v>1.518097596606686E-2</v>
      </c>
      <c r="AF11" s="47">
        <f t="shared" si="11"/>
        <v>1592725.5914803867</v>
      </c>
      <c r="AG11" s="48">
        <f t="shared" si="12"/>
        <v>27019718.649550408</v>
      </c>
      <c r="AH11" s="48">
        <f t="shared" si="13"/>
        <v>30770790.534299597</v>
      </c>
      <c r="AI11" s="48">
        <f t="shared" si="19"/>
        <v>59383234.775330395</v>
      </c>
      <c r="AJ11" s="49">
        <f t="shared" si="20"/>
        <v>7.3242793267426567E-3</v>
      </c>
    </row>
    <row r="12" spans="1:36" ht="14.25">
      <c r="A12" s="158" t="s">
        <v>204</v>
      </c>
      <c r="B12" s="4" t="s">
        <v>4</v>
      </c>
      <c r="C12" s="41">
        <v>679461530</v>
      </c>
      <c r="D12" s="41">
        <f>+VLOOKUP(B12,'[5]Recaudación general de '!$B$17:$J$68,7,FALSE)</f>
        <v>299493654.98000002</v>
      </c>
      <c r="E12" s="45">
        <f t="shared" si="0"/>
        <v>0.44078088568163676</v>
      </c>
      <c r="F12" s="46">
        <f t="shared" si="14"/>
        <v>132011078.49811494</v>
      </c>
      <c r="G12" s="100">
        <f t="shared" si="1"/>
        <v>8.2898048343445538E-2</v>
      </c>
      <c r="H12" s="38">
        <v>656464</v>
      </c>
      <c r="I12" s="94">
        <f t="shared" si="2"/>
        <v>0.11348786970290306</v>
      </c>
      <c r="J12" s="40">
        <f t="shared" si="15"/>
        <v>9.6464689247467594E-2</v>
      </c>
      <c r="K12" s="41">
        <v>238.03</v>
      </c>
      <c r="L12" s="91">
        <f t="shared" si="3"/>
        <v>3.7064696526665922E-3</v>
      </c>
      <c r="M12" s="42">
        <f t="shared" si="16"/>
        <v>5.5597044789998883E-4</v>
      </c>
      <c r="N12" s="100">
        <f t="shared" si="17"/>
        <v>9.7020659695367578E-2</v>
      </c>
      <c r="O12" s="258">
        <v>27572</v>
      </c>
      <c r="P12" s="256">
        <v>3826</v>
      </c>
      <c r="Q12" s="256">
        <v>1071</v>
      </c>
      <c r="R12" s="256">
        <v>267</v>
      </c>
      <c r="S12" s="43">
        <f t="shared" si="4"/>
        <v>3.6220820415084468E-2</v>
      </c>
      <c r="T12" s="256">
        <v>34239.000000084088</v>
      </c>
      <c r="U12" s="256">
        <f>+VLOOKUP(B12,[6]INEGI_Exporta_20210329111405!$B$9:$T$59,19,FALSE)</f>
        <v>3599</v>
      </c>
      <c r="V12" s="256">
        <v>155</v>
      </c>
      <c r="W12" s="256">
        <f>+VLOOKUP(B12,[7]INEGI_Exporta_20210329105635!$B$8:$F$58,4,FALSE)</f>
        <v>93</v>
      </c>
      <c r="X12" s="43">
        <f t="shared" si="5"/>
        <v>4.5460568081307974E-2</v>
      </c>
      <c r="Y12" s="44">
        <f t="shared" si="6"/>
        <v>3.864148286911178E-2</v>
      </c>
      <c r="Z12" s="39">
        <f t="shared" si="7"/>
        <v>0.25509493049405185</v>
      </c>
      <c r="AA12" s="39">
        <f t="shared" si="8"/>
        <v>0</v>
      </c>
      <c r="AB12" s="40">
        <f t="shared" si="18"/>
        <v>0</v>
      </c>
      <c r="AC12" s="40">
        <f t="shared" si="9"/>
        <v>0</v>
      </c>
      <c r="AD12" s="100">
        <f t="shared" si="10"/>
        <v>3.864148286911178E-2</v>
      </c>
      <c r="AF12" s="47">
        <f t="shared" si="11"/>
        <v>336057245.1969021</v>
      </c>
      <c r="AG12" s="48">
        <f t="shared" si="12"/>
        <v>196654181.10527366</v>
      </c>
      <c r="AH12" s="48">
        <f t="shared" si="13"/>
        <v>78323618.847558364</v>
      </c>
      <c r="AI12" s="48">
        <f t="shared" si="19"/>
        <v>611035045.14973414</v>
      </c>
      <c r="AJ12" s="49">
        <f t="shared" si="20"/>
        <v>7.5364559812842624E-2</v>
      </c>
    </row>
    <row r="13" spans="1:36" ht="14.25">
      <c r="A13" s="158" t="s">
        <v>205</v>
      </c>
      <c r="B13" s="4" t="s">
        <v>5</v>
      </c>
      <c r="C13" s="41">
        <v>1835394</v>
      </c>
      <c r="D13" s="41">
        <f>+VLOOKUP(B13,'[5]Recaudación general de '!$B$17:$J$68,7,FALSE)</f>
        <v>788778.4</v>
      </c>
      <c r="E13" s="45">
        <f t="shared" si="0"/>
        <v>0.42975971371814448</v>
      </c>
      <c r="F13" s="46">
        <f t="shared" si="14"/>
        <v>338985.17937105609</v>
      </c>
      <c r="G13" s="100">
        <f t="shared" si="1"/>
        <v>2.1287008716934795E-4</v>
      </c>
      <c r="H13" s="38">
        <v>14992</v>
      </c>
      <c r="I13" s="94">
        <f t="shared" si="2"/>
        <v>2.5917798121236242E-3</v>
      </c>
      <c r="J13" s="40">
        <f t="shared" si="15"/>
        <v>2.2030128403050806E-3</v>
      </c>
      <c r="K13" s="41">
        <v>2664.8</v>
      </c>
      <c r="L13" s="91">
        <f t="shared" si="3"/>
        <v>4.149477095503061E-2</v>
      </c>
      <c r="M13" s="42">
        <f t="shared" si="16"/>
        <v>6.224215643254591E-3</v>
      </c>
      <c r="N13" s="100">
        <f t="shared" si="17"/>
        <v>8.4272284835596716E-3</v>
      </c>
      <c r="O13" s="258">
        <v>3888</v>
      </c>
      <c r="P13" s="256">
        <v>1140</v>
      </c>
      <c r="Q13" s="256">
        <v>7405</v>
      </c>
      <c r="R13" s="256">
        <v>920</v>
      </c>
      <c r="S13" s="43">
        <f t="shared" si="4"/>
        <v>3.7957988260772901E-2</v>
      </c>
      <c r="T13" s="256">
        <v>3560.0000000065597</v>
      </c>
      <c r="U13" s="256">
        <f>+VLOOKUP(B13,[6]INEGI_Exporta_20210329111405!$B$9:$T$59,19,FALSE)</f>
        <v>882</v>
      </c>
      <c r="V13" s="256">
        <v>2312</v>
      </c>
      <c r="W13" s="256">
        <f>+VLOOKUP(B13,[7]INEGI_Exporta_20210329105635!$B$8:$F$58,4,FALSE)</f>
        <v>356</v>
      </c>
      <c r="X13" s="43">
        <f t="shared" si="5"/>
        <v>3.1939083535832122E-2</v>
      </c>
      <c r="Y13" s="44">
        <f t="shared" si="6"/>
        <v>2.7148221005457301E-2</v>
      </c>
      <c r="Z13" s="39">
        <f t="shared" si="7"/>
        <v>-0.15856753744668087</v>
      </c>
      <c r="AA13" s="39">
        <f t="shared" si="8"/>
        <v>-0.15856753744668087</v>
      </c>
      <c r="AB13" s="40">
        <f t="shared" si="18"/>
        <v>2.0112442201875788E-2</v>
      </c>
      <c r="AC13" s="40">
        <f t="shared" si="9"/>
        <v>3.0168663302813682E-3</v>
      </c>
      <c r="AD13" s="100">
        <f t="shared" si="10"/>
        <v>3.016508733573867E-2</v>
      </c>
      <c r="AF13" s="47">
        <f t="shared" si="11"/>
        <v>862945.94997677812</v>
      </c>
      <c r="AG13" s="48">
        <f t="shared" si="12"/>
        <v>17081410.512204472</v>
      </c>
      <c r="AH13" s="48">
        <f t="shared" si="13"/>
        <v>61142550.118755661</v>
      </c>
      <c r="AI13" s="48">
        <f t="shared" si="19"/>
        <v>79086906.580936909</v>
      </c>
      <c r="AJ13" s="49">
        <f t="shared" si="20"/>
        <v>9.7545139984092609E-3</v>
      </c>
    </row>
    <row r="14" spans="1:36" ht="14.25">
      <c r="A14" s="158" t="s">
        <v>206</v>
      </c>
      <c r="B14" s="4" t="s">
        <v>6</v>
      </c>
      <c r="C14" s="41">
        <v>2443492</v>
      </c>
      <c r="D14" s="41">
        <f>+VLOOKUP(B14,'[5]Recaudación general de '!$B$17:$J$68,7,FALSE)</f>
        <v>799410</v>
      </c>
      <c r="E14" s="45">
        <f t="shared" si="0"/>
        <v>0.32715883661579409</v>
      </c>
      <c r="F14" s="46">
        <f t="shared" si="14"/>
        <v>261534.04557903195</v>
      </c>
      <c r="G14" s="100">
        <f t="shared" si="1"/>
        <v>1.6423365523960225E-4</v>
      </c>
      <c r="H14" s="38">
        <v>3661</v>
      </c>
      <c r="I14" s="94">
        <f t="shared" si="2"/>
        <v>6.329046086035611E-4</v>
      </c>
      <c r="J14" s="40">
        <f t="shared" si="15"/>
        <v>5.3796891731302697E-4</v>
      </c>
      <c r="K14" s="41">
        <v>465.62</v>
      </c>
      <c r="L14" s="91">
        <f t="shared" si="3"/>
        <v>7.2503734809671837E-3</v>
      </c>
      <c r="M14" s="42">
        <f t="shared" si="16"/>
        <v>1.0875560221450776E-3</v>
      </c>
      <c r="N14" s="100">
        <f t="shared" si="17"/>
        <v>1.6255249394581046E-3</v>
      </c>
      <c r="O14" s="258">
        <v>739</v>
      </c>
      <c r="P14" s="256">
        <v>104</v>
      </c>
      <c r="Q14" s="256">
        <v>89</v>
      </c>
      <c r="R14" s="256">
        <v>41</v>
      </c>
      <c r="S14" s="43">
        <f t="shared" si="4"/>
        <v>1.7146220461403579E-3</v>
      </c>
      <c r="T14" s="256">
        <v>518.99999999744</v>
      </c>
      <c r="U14" s="256">
        <f>+VLOOKUP(B14,[6]INEGI_Exporta_20210329111405!$B$9:$T$59,19,FALSE)</f>
        <v>104</v>
      </c>
      <c r="V14" s="256">
        <v>66</v>
      </c>
      <c r="W14" s="256">
        <f>+VLOOKUP(B14,[7]INEGI_Exporta_20210329105635!$B$8:$F$58,4,FALSE)</f>
        <v>26</v>
      </c>
      <c r="X14" s="43">
        <f t="shared" si="5"/>
        <v>2.1773658264017354E-3</v>
      </c>
      <c r="Y14" s="44">
        <f t="shared" si="6"/>
        <v>1.850760952441475E-3</v>
      </c>
      <c r="Z14" s="39">
        <f t="shared" si="7"/>
        <v>0.26988092291419047</v>
      </c>
      <c r="AA14" s="39">
        <f t="shared" si="8"/>
        <v>0</v>
      </c>
      <c r="AB14" s="40">
        <f t="shared" si="18"/>
        <v>0</v>
      </c>
      <c r="AC14" s="40">
        <f t="shared" si="9"/>
        <v>0</v>
      </c>
      <c r="AD14" s="100">
        <f t="shared" si="10"/>
        <v>1.850760952441475E-3</v>
      </c>
      <c r="AF14" s="47">
        <f t="shared" si="11"/>
        <v>665780.56843725848</v>
      </c>
      <c r="AG14" s="48">
        <f t="shared" si="12"/>
        <v>3294826.8630520981</v>
      </c>
      <c r="AH14" s="48">
        <f t="shared" si="13"/>
        <v>3751364.7162035583</v>
      </c>
      <c r="AI14" s="48">
        <f t="shared" si="19"/>
        <v>7711972.1476929151</v>
      </c>
      <c r="AJ14" s="49">
        <f t="shared" si="20"/>
        <v>9.5118830059469622E-4</v>
      </c>
    </row>
    <row r="15" spans="1:36" ht="14.25">
      <c r="A15" s="158" t="s">
        <v>207</v>
      </c>
      <c r="B15" s="4" t="s">
        <v>160</v>
      </c>
      <c r="C15" s="41">
        <v>96076042</v>
      </c>
      <c r="D15" s="41">
        <f>+VLOOKUP(B15,'[5]Recaudación general de '!$B$17:$J$68,7,FALSE)</f>
        <v>27527682</v>
      </c>
      <c r="E15" s="45">
        <f t="shared" si="0"/>
        <v>0.28651973402484671</v>
      </c>
      <c r="F15" s="46">
        <f t="shared" si="14"/>
        <v>7887224.1249605604</v>
      </c>
      <c r="G15" s="100">
        <f t="shared" si="1"/>
        <v>4.9528834567919003E-3</v>
      </c>
      <c r="H15" s="38">
        <v>122337</v>
      </c>
      <c r="I15" s="94">
        <f t="shared" si="2"/>
        <v>2.1149317427679282E-2</v>
      </c>
      <c r="J15" s="40">
        <f t="shared" si="15"/>
        <v>1.7976919813527389E-2</v>
      </c>
      <c r="K15" s="41">
        <v>1140.97</v>
      </c>
      <c r="L15" s="91">
        <f t="shared" si="3"/>
        <v>1.7766544887631817E-2</v>
      </c>
      <c r="M15" s="42">
        <f t="shared" si="16"/>
        <v>2.6649817331447726E-3</v>
      </c>
      <c r="N15" s="100">
        <f t="shared" si="17"/>
        <v>2.0641901546672163E-2</v>
      </c>
      <c r="O15" s="258">
        <v>6662</v>
      </c>
      <c r="P15" s="256">
        <v>1587</v>
      </c>
      <c r="Q15" s="256">
        <v>3489</v>
      </c>
      <c r="R15" s="256">
        <v>461</v>
      </c>
      <c r="S15" s="43">
        <f t="shared" si="4"/>
        <v>2.4794035734260943E-2</v>
      </c>
      <c r="T15" s="256">
        <v>5056.9999999440479</v>
      </c>
      <c r="U15" s="256">
        <f>+VLOOKUP(B15,[6]INEGI_Exporta_20210329111405!$B$9:$T$59,19,FALSE)</f>
        <v>1578</v>
      </c>
      <c r="V15" s="256">
        <v>861</v>
      </c>
      <c r="W15" s="256">
        <f>+VLOOKUP(B15,[7]INEGI_Exporta_20210329105635!$B$8:$F$58,4,FALSE)</f>
        <v>132</v>
      </c>
      <c r="X15" s="43">
        <f t="shared" si="5"/>
        <v>1.9688401476927853E-2</v>
      </c>
      <c r="Y15" s="44">
        <f t="shared" si="6"/>
        <v>1.6735141255388674E-2</v>
      </c>
      <c r="Z15" s="39">
        <f t="shared" si="7"/>
        <v>-0.20592187218146227</v>
      </c>
      <c r="AA15" s="39">
        <f t="shared" si="8"/>
        <v>-0.20592187218146227</v>
      </c>
      <c r="AB15" s="40">
        <f t="shared" si="18"/>
        <v>2.6118787105111882E-2</v>
      </c>
      <c r="AC15" s="40">
        <f t="shared" si="9"/>
        <v>3.9178180657667818E-3</v>
      </c>
      <c r="AD15" s="100">
        <f t="shared" si="10"/>
        <v>2.0652959321155455E-2</v>
      </c>
      <c r="AF15" s="47">
        <f t="shared" si="11"/>
        <v>20078305.865235709</v>
      </c>
      <c r="AG15" s="48">
        <f t="shared" si="12"/>
        <v>41839709.788226843</v>
      </c>
      <c r="AH15" s="48">
        <f t="shared" si="13"/>
        <v>41862123.133927502</v>
      </c>
      <c r="AI15" s="48">
        <f t="shared" si="19"/>
        <v>103780138.78739005</v>
      </c>
      <c r="AJ15" s="49">
        <f t="shared" si="20"/>
        <v>1.2800156945352859E-2</v>
      </c>
    </row>
    <row r="16" spans="1:36" ht="14.25">
      <c r="A16" s="158" t="s">
        <v>208</v>
      </c>
      <c r="B16" s="4" t="s">
        <v>161</v>
      </c>
      <c r="C16" s="41">
        <v>25918809</v>
      </c>
      <c r="D16" s="41">
        <f>+VLOOKUP(B16,'[5]Recaudación general de '!$B$17:$J$68,7,FALSE)</f>
        <v>4946842.92</v>
      </c>
      <c r="E16" s="45">
        <f t="shared" si="0"/>
        <v>0.19085919109940583</v>
      </c>
      <c r="F16" s="46">
        <f t="shared" si="14"/>
        <v>944150.43820702273</v>
      </c>
      <c r="G16" s="100">
        <f t="shared" si="1"/>
        <v>5.9289136609158675E-4</v>
      </c>
      <c r="H16" s="38">
        <v>104478</v>
      </c>
      <c r="I16" s="94">
        <f t="shared" si="2"/>
        <v>1.8061897759541888E-2</v>
      </c>
      <c r="J16" s="40">
        <f t="shared" si="15"/>
        <v>1.5352613095610604E-2</v>
      </c>
      <c r="K16" s="41">
        <v>102.38</v>
      </c>
      <c r="L16" s="91">
        <f t="shared" si="3"/>
        <v>1.5942039366466652E-3</v>
      </c>
      <c r="M16" s="42">
        <f t="shared" si="16"/>
        <v>2.3913059049699976E-4</v>
      </c>
      <c r="N16" s="100">
        <f t="shared" si="17"/>
        <v>1.5591743686107603E-2</v>
      </c>
      <c r="O16" s="258">
        <v>981</v>
      </c>
      <c r="P16" s="256">
        <v>253</v>
      </c>
      <c r="Q16" s="256">
        <v>273</v>
      </c>
      <c r="R16" s="256">
        <v>153</v>
      </c>
      <c r="S16" s="43">
        <f t="shared" si="4"/>
        <v>4.7782824446849165E-3</v>
      </c>
      <c r="T16" s="256">
        <v>716.99999998365001</v>
      </c>
      <c r="U16" s="256">
        <f>+VLOOKUP(B16,[6]INEGI_Exporta_20210329111405!$B$9:$T$59,19,FALSE)</f>
        <v>718</v>
      </c>
      <c r="V16" s="256">
        <v>221</v>
      </c>
      <c r="W16" s="256">
        <f>+VLOOKUP(B16,[7]INEGI_Exporta_20210329105635!$B$8:$F$58,4,FALSE)</f>
        <v>186</v>
      </c>
      <c r="X16" s="43">
        <f t="shared" si="5"/>
        <v>1.1864603001703446E-2</v>
      </c>
      <c r="Y16" s="44">
        <f t="shared" si="6"/>
        <v>1.0084912551447929E-2</v>
      </c>
      <c r="Z16" s="39">
        <f t="shared" si="7"/>
        <v>1.4830267233158099</v>
      </c>
      <c r="AA16" s="39">
        <f t="shared" si="8"/>
        <v>0</v>
      </c>
      <c r="AB16" s="40">
        <f t="shared" si="18"/>
        <v>0</v>
      </c>
      <c r="AC16" s="40">
        <f t="shared" si="9"/>
        <v>0</v>
      </c>
      <c r="AD16" s="100">
        <f t="shared" si="10"/>
        <v>1.0084912551447929E-2</v>
      </c>
      <c r="AF16" s="47">
        <f t="shared" si="11"/>
        <v>2403499.7586951065</v>
      </c>
      <c r="AG16" s="48">
        <f t="shared" si="12"/>
        <v>31603388.352771755</v>
      </c>
      <c r="AH16" s="48">
        <f t="shared" si="13"/>
        <v>20441421.70905051</v>
      </c>
      <c r="AI16" s="48">
        <f t="shared" si="19"/>
        <v>54448309.820517376</v>
      </c>
      <c r="AJ16" s="49">
        <f t="shared" si="20"/>
        <v>6.7156097424346788E-3</v>
      </c>
    </row>
    <row r="17" spans="1:36" ht="14.25">
      <c r="A17" s="158" t="s">
        <v>209</v>
      </c>
      <c r="B17" s="4" t="s">
        <v>162</v>
      </c>
      <c r="C17" s="41">
        <v>2065528</v>
      </c>
      <c r="D17" s="41">
        <f>+VLOOKUP(B17,'[5]Recaudación general de '!$B$17:$J$68,7,FALSE)</f>
        <v>1221813</v>
      </c>
      <c r="E17" s="45">
        <f t="shared" si="0"/>
        <v>0.59152575031662602</v>
      </c>
      <c r="F17" s="46">
        <f t="shared" si="14"/>
        <v>722733.85157160775</v>
      </c>
      <c r="G17" s="100">
        <f t="shared" si="1"/>
        <v>4.5384998326396719E-4</v>
      </c>
      <c r="H17" s="38">
        <v>7340</v>
      </c>
      <c r="I17" s="94">
        <f t="shared" si="2"/>
        <v>1.2689210126058832E-3</v>
      </c>
      <c r="J17" s="40">
        <f t="shared" si="15"/>
        <v>1.0785828607150008E-3</v>
      </c>
      <c r="K17" s="41">
        <v>1006.89</v>
      </c>
      <c r="L17" s="91">
        <f t="shared" si="3"/>
        <v>1.5678726331023254E-2</v>
      </c>
      <c r="M17" s="42">
        <f t="shared" si="16"/>
        <v>2.3518089496534882E-3</v>
      </c>
      <c r="N17" s="100">
        <f t="shared" si="17"/>
        <v>3.430391810368489E-3</v>
      </c>
      <c r="O17" s="258">
        <v>1343</v>
      </c>
      <c r="P17" s="256">
        <v>319</v>
      </c>
      <c r="Q17" s="256">
        <v>345</v>
      </c>
      <c r="R17" s="256">
        <v>110</v>
      </c>
      <c r="S17" s="43">
        <f t="shared" si="4"/>
        <v>4.5782718652147671E-3</v>
      </c>
      <c r="T17" s="256">
        <v>655.00000000354908</v>
      </c>
      <c r="U17" s="256">
        <f>+VLOOKUP(B17,[6]INEGI_Exporta_20210329111405!$B$9:$T$59,19,FALSE)</f>
        <v>225</v>
      </c>
      <c r="V17" s="256">
        <v>136</v>
      </c>
      <c r="W17" s="256">
        <f>+VLOOKUP(B17,[7]INEGI_Exporta_20210329105635!$B$8:$F$58,4,FALSE)</f>
        <v>78</v>
      </c>
      <c r="X17" s="43">
        <f t="shared" si="5"/>
        <v>5.1731397653656686E-3</v>
      </c>
      <c r="Y17" s="44">
        <f t="shared" si="6"/>
        <v>4.3971688005608181E-3</v>
      </c>
      <c r="Z17" s="39">
        <f t="shared" si="7"/>
        <v>0.129932847516253</v>
      </c>
      <c r="AA17" s="39">
        <f t="shared" si="8"/>
        <v>0</v>
      </c>
      <c r="AB17" s="40">
        <f t="shared" si="18"/>
        <v>0</v>
      </c>
      <c r="AC17" s="40">
        <f t="shared" si="9"/>
        <v>0</v>
      </c>
      <c r="AD17" s="100">
        <f t="shared" si="10"/>
        <v>4.3971688005608181E-3</v>
      </c>
      <c r="AF17" s="47">
        <f t="shared" si="11"/>
        <v>1839845.1852142806</v>
      </c>
      <c r="AG17" s="48">
        <f t="shared" si="12"/>
        <v>6953167.4434745414</v>
      </c>
      <c r="AH17" s="48">
        <f t="shared" si="13"/>
        <v>8912757.6783239879</v>
      </c>
      <c r="AI17" s="48">
        <f t="shared" si="19"/>
        <v>17705770.307012811</v>
      </c>
      <c r="AJ17" s="49">
        <f t="shared" si="20"/>
        <v>2.1838151443643108E-3</v>
      </c>
    </row>
    <row r="18" spans="1:36" ht="14.25">
      <c r="A18" s="158" t="s">
        <v>210</v>
      </c>
      <c r="B18" s="4" t="s">
        <v>7</v>
      </c>
      <c r="C18" s="41">
        <v>4522487</v>
      </c>
      <c r="D18" s="41">
        <f>+VLOOKUP(B18,'[5]Recaudación general de '!$B$17:$J$68,7,FALSE)</f>
        <v>1408205</v>
      </c>
      <c r="E18" s="45">
        <f t="shared" si="0"/>
        <v>0.31137845172357598</v>
      </c>
      <c r="F18" s="46">
        <f t="shared" si="14"/>
        <v>438484.69260939833</v>
      </c>
      <c r="G18" s="100">
        <f t="shared" si="1"/>
        <v>2.7535208150211281E-4</v>
      </c>
      <c r="H18" s="38">
        <v>9930</v>
      </c>
      <c r="I18" s="94">
        <f t="shared" si="2"/>
        <v>1.7166737949831634E-3</v>
      </c>
      <c r="J18" s="40">
        <f t="shared" si="15"/>
        <v>1.4591727257356889E-3</v>
      </c>
      <c r="K18" s="41">
        <v>4292.05</v>
      </c>
      <c r="L18" s="91">
        <f t="shared" si="3"/>
        <v>6.6833395255756198E-2</v>
      </c>
      <c r="M18" s="42">
        <f t="shared" si="16"/>
        <v>1.002500928836343E-2</v>
      </c>
      <c r="N18" s="100">
        <f t="shared" si="17"/>
        <v>1.1484182014099118E-2</v>
      </c>
      <c r="O18" s="258">
        <v>2046</v>
      </c>
      <c r="P18" s="256">
        <v>378</v>
      </c>
      <c r="Q18" s="256">
        <v>1925</v>
      </c>
      <c r="R18" s="256">
        <v>123</v>
      </c>
      <c r="S18" s="43">
        <f t="shared" si="4"/>
        <v>8.6358928470926001E-3</v>
      </c>
      <c r="T18" s="256">
        <v>787.99999998764804</v>
      </c>
      <c r="U18" s="256">
        <f>+VLOOKUP(B18,[6]INEGI_Exporta_20210329111405!$B$9:$T$59,19,FALSE)</f>
        <v>297</v>
      </c>
      <c r="V18" s="256">
        <v>938</v>
      </c>
      <c r="W18" s="256">
        <f>+VLOOKUP(B18,[7]INEGI_Exporta_20210329105635!$B$8:$F$58,4,FALSE)</f>
        <v>242</v>
      </c>
      <c r="X18" s="43">
        <f t="shared" si="5"/>
        <v>1.6081358180129186E-2</v>
      </c>
      <c r="Y18" s="44">
        <f t="shared" si="6"/>
        <v>1.3669154453109808E-2</v>
      </c>
      <c r="Z18" s="39">
        <f t="shared" si="7"/>
        <v>0.86215351033949095</v>
      </c>
      <c r="AA18" s="39">
        <f t="shared" si="8"/>
        <v>0</v>
      </c>
      <c r="AB18" s="40">
        <f t="shared" si="18"/>
        <v>0</v>
      </c>
      <c r="AC18" s="40">
        <f t="shared" si="9"/>
        <v>0</v>
      </c>
      <c r="AD18" s="100">
        <f t="shared" si="10"/>
        <v>1.3669154453109808E-2</v>
      </c>
      <c r="AF18" s="47">
        <f t="shared" si="11"/>
        <v>1116239.3303333931</v>
      </c>
      <c r="AG18" s="48">
        <f t="shared" si="12"/>
        <v>23277644.336141393</v>
      </c>
      <c r="AH18" s="48">
        <f t="shared" si="13"/>
        <v>27706432.669269532</v>
      </c>
      <c r="AI18" s="48">
        <f t="shared" si="19"/>
        <v>52100316.335744321</v>
      </c>
      <c r="AJ18" s="49">
        <f t="shared" si="20"/>
        <v>6.4260101575532901E-3</v>
      </c>
    </row>
    <row r="19" spans="1:36" ht="14.25">
      <c r="A19" s="158" t="s">
        <v>211</v>
      </c>
      <c r="B19" s="4" t="s">
        <v>163</v>
      </c>
      <c r="C19" s="41">
        <v>45557174</v>
      </c>
      <c r="D19" s="41">
        <f>+VLOOKUP(B19,'[5]Recaudación general de '!$B$17:$J$68,7,FALSE)</f>
        <v>12990205</v>
      </c>
      <c r="E19" s="45">
        <f t="shared" si="0"/>
        <v>0.28514071131804619</v>
      </c>
      <c r="F19" s="46">
        <f t="shared" si="14"/>
        <v>3704036.2938672402</v>
      </c>
      <c r="G19" s="100">
        <f t="shared" si="1"/>
        <v>2.3259970545522657E-3</v>
      </c>
      <c r="H19" s="38">
        <v>68747</v>
      </c>
      <c r="I19" s="94">
        <f t="shared" si="2"/>
        <v>1.1884811015479108E-2</v>
      </c>
      <c r="J19" s="40">
        <f t="shared" si="15"/>
        <v>1.0102089363157242E-2</v>
      </c>
      <c r="K19" s="41">
        <v>146.56</v>
      </c>
      <c r="L19" s="91">
        <f t="shared" si="3"/>
        <v>2.2821501167702212E-3</v>
      </c>
      <c r="M19" s="42">
        <f t="shared" si="16"/>
        <v>3.4232251751553319E-4</v>
      </c>
      <c r="N19" s="100">
        <f t="shared" si="17"/>
        <v>1.0444411880672775E-2</v>
      </c>
      <c r="O19" s="258">
        <v>1162</v>
      </c>
      <c r="P19" s="256">
        <v>358</v>
      </c>
      <c r="Q19" s="256">
        <v>131</v>
      </c>
      <c r="R19" s="256">
        <v>31</v>
      </c>
      <c r="S19" s="43">
        <f t="shared" si="4"/>
        <v>2.732122318270129E-3</v>
      </c>
      <c r="T19" s="256">
        <v>2032.9999999577099</v>
      </c>
      <c r="U19" s="256">
        <f>+VLOOKUP(B19,[6]INEGI_Exporta_20210329111405!$B$9:$T$59,19,FALSE)</f>
        <v>691</v>
      </c>
      <c r="V19" s="256">
        <v>56</v>
      </c>
      <c r="W19" s="256">
        <f>+VLOOKUP(B19,[7]INEGI_Exporta_20210329105635!$B$8:$F$58,4,FALSE)</f>
        <v>67</v>
      </c>
      <c r="X19" s="43">
        <f t="shared" si="5"/>
        <v>7.241133376457703E-3</v>
      </c>
      <c r="Y19" s="44">
        <f t="shared" si="6"/>
        <v>6.1549633699890475E-3</v>
      </c>
      <c r="Z19" s="39">
        <f t="shared" si="7"/>
        <v>1.6503693952628373</v>
      </c>
      <c r="AA19" s="39">
        <f t="shared" si="8"/>
        <v>0</v>
      </c>
      <c r="AB19" s="40">
        <f t="shared" si="18"/>
        <v>0</v>
      </c>
      <c r="AC19" s="40">
        <f t="shared" si="9"/>
        <v>0</v>
      </c>
      <c r="AD19" s="100">
        <f t="shared" si="10"/>
        <v>6.1549633699890475E-3</v>
      </c>
      <c r="AF19" s="47">
        <f t="shared" si="11"/>
        <v>9429270.9914050307</v>
      </c>
      <c r="AG19" s="48">
        <f t="shared" si="12"/>
        <v>21170102.037741192</v>
      </c>
      <c r="AH19" s="48">
        <f t="shared" si="13"/>
        <v>12475685.952441987</v>
      </c>
      <c r="AI19" s="48">
        <f t="shared" si="19"/>
        <v>43075058.981588215</v>
      </c>
      <c r="AJ19" s="49">
        <f t="shared" si="20"/>
        <v>5.3128423399415904E-3</v>
      </c>
    </row>
    <row r="20" spans="1:36" ht="14.25">
      <c r="A20" s="158" t="s">
        <v>212</v>
      </c>
      <c r="B20" s="4" t="s">
        <v>8</v>
      </c>
      <c r="C20" s="41">
        <v>6492908</v>
      </c>
      <c r="D20" s="41">
        <f>+VLOOKUP(B20,'[5]Recaudación general de '!$B$17:$J$68,7,FALSE)</f>
        <v>691812</v>
      </c>
      <c r="E20" s="45">
        <f t="shared" si="0"/>
        <v>0.10654886839610234</v>
      </c>
      <c r="F20" s="46">
        <f t="shared" si="14"/>
        <v>73711.785742844353</v>
      </c>
      <c r="G20" s="100">
        <f t="shared" si="1"/>
        <v>4.6288260405957263E-5</v>
      </c>
      <c r="H20" s="38">
        <v>36088</v>
      </c>
      <c r="I20" s="94">
        <f t="shared" si="2"/>
        <v>6.2388040194715413E-3</v>
      </c>
      <c r="J20" s="40">
        <f t="shared" si="15"/>
        <v>5.3029834165508102E-3</v>
      </c>
      <c r="K20" s="41">
        <v>5091.18</v>
      </c>
      <c r="L20" s="91">
        <f t="shared" si="3"/>
        <v>7.9276999396139566E-2</v>
      </c>
      <c r="M20" s="42">
        <f t="shared" si="16"/>
        <v>1.1891549909420934E-2</v>
      </c>
      <c r="N20" s="100">
        <f t="shared" si="17"/>
        <v>1.7194533325971744E-2</v>
      </c>
      <c r="O20" s="258">
        <v>7369</v>
      </c>
      <c r="P20" s="256">
        <v>3170</v>
      </c>
      <c r="Q20" s="256">
        <v>23798</v>
      </c>
      <c r="R20" s="256">
        <v>1385</v>
      </c>
      <c r="S20" s="43">
        <f t="shared" si="4"/>
        <v>8.8679733485390655E-2</v>
      </c>
      <c r="T20" s="256">
        <v>7387.0000000238397</v>
      </c>
      <c r="U20" s="256">
        <f>+VLOOKUP(B20,[6]INEGI_Exporta_20210329111405!$B$9:$T$59,19,FALSE)</f>
        <v>2297</v>
      </c>
      <c r="V20" s="256">
        <v>15800</v>
      </c>
      <c r="W20" s="256">
        <f>+VLOOKUP(B20,[7]INEGI_Exporta_20210329105635!$B$8:$F$58,4,FALSE)</f>
        <v>477</v>
      </c>
      <c r="X20" s="43">
        <f t="shared" si="5"/>
        <v>0.11264289211612472</v>
      </c>
      <c r="Y20" s="44">
        <f t="shared" si="6"/>
        <v>9.5746458298706011E-2</v>
      </c>
      <c r="Z20" s="39">
        <f t="shared" si="7"/>
        <v>0.27022136500536303</v>
      </c>
      <c r="AA20" s="39">
        <f t="shared" si="8"/>
        <v>0</v>
      </c>
      <c r="AB20" s="40">
        <f t="shared" si="18"/>
        <v>0</v>
      </c>
      <c r="AC20" s="40">
        <f t="shared" si="9"/>
        <v>0</v>
      </c>
      <c r="AD20" s="100">
        <f t="shared" si="10"/>
        <v>9.5746458298706011E-2</v>
      </c>
      <c r="AF20" s="47">
        <f t="shared" si="11"/>
        <v>187646.21831067215</v>
      </c>
      <c r="AG20" s="48">
        <f t="shared" si="12"/>
        <v>34852132.332674302</v>
      </c>
      <c r="AH20" s="48">
        <f t="shared" si="13"/>
        <v>194071462.81609219</v>
      </c>
      <c r="AI20" s="48">
        <f t="shared" si="19"/>
        <v>229111241.36707717</v>
      </c>
      <c r="AJ20" s="49">
        <f t="shared" si="20"/>
        <v>2.8258392036372423E-2</v>
      </c>
    </row>
    <row r="21" spans="1:36" ht="14.25">
      <c r="A21" s="158" t="s">
        <v>213</v>
      </c>
      <c r="B21" s="4" t="s">
        <v>9</v>
      </c>
      <c r="C21" s="41">
        <v>1493874</v>
      </c>
      <c r="D21" s="41">
        <f>+VLOOKUP(B21,'[5]Recaudación general de '!$B$17:$J$68,7,FALSE)</f>
        <v>329170</v>
      </c>
      <c r="E21" s="45">
        <f t="shared" si="0"/>
        <v>0.22034656202598077</v>
      </c>
      <c r="F21" s="46">
        <f t="shared" si="14"/>
        <v>72531.477822092085</v>
      </c>
      <c r="G21" s="100">
        <f t="shared" si="1"/>
        <v>4.5547070922560457E-5</v>
      </c>
      <c r="H21" s="38">
        <v>1360</v>
      </c>
      <c r="I21" s="94">
        <f t="shared" si="2"/>
        <v>2.351134301286105E-4</v>
      </c>
      <c r="J21" s="40">
        <f t="shared" si="15"/>
        <v>1.9984641560931893E-4</v>
      </c>
      <c r="K21" s="41">
        <v>720.74</v>
      </c>
      <c r="L21" s="91">
        <f t="shared" si="3"/>
        <v>1.1222959028117967E-2</v>
      </c>
      <c r="M21" s="42">
        <f t="shared" si="16"/>
        <v>1.683443854217695E-3</v>
      </c>
      <c r="N21" s="100">
        <f t="shared" si="17"/>
        <v>1.883290269827014E-3</v>
      </c>
      <c r="O21" s="258">
        <v>381</v>
      </c>
      <c r="P21" s="256">
        <v>83</v>
      </c>
      <c r="Q21" s="256">
        <v>189</v>
      </c>
      <c r="R21" s="256">
        <v>25</v>
      </c>
      <c r="S21" s="43">
        <f t="shared" si="4"/>
        <v>1.3452333052524088E-3</v>
      </c>
      <c r="T21" s="256">
        <v>157.99999999728001</v>
      </c>
      <c r="U21" s="256">
        <f>+VLOOKUP(B21,[6]INEGI_Exporta_20210329111405!$B$9:$T$59,19,FALSE)</f>
        <v>46</v>
      </c>
      <c r="V21" s="256">
        <v>88</v>
      </c>
      <c r="W21" s="256">
        <f>+VLOOKUP(B21,[7]INEGI_Exporta_20210329105635!$B$8:$F$58,4,FALSE)</f>
        <v>15</v>
      </c>
      <c r="X21" s="43">
        <f t="shared" si="5"/>
        <v>1.3395499066188247E-3</v>
      </c>
      <c r="Y21" s="44">
        <f t="shared" si="6"/>
        <v>1.138617420626001E-3</v>
      </c>
      <c r="Z21" s="39">
        <f t="shared" si="7"/>
        <v>-4.2248423462260976E-3</v>
      </c>
      <c r="AA21" s="39">
        <f t="shared" si="8"/>
        <v>-4.2248423462260976E-3</v>
      </c>
      <c r="AB21" s="40">
        <f t="shared" si="18"/>
        <v>5.3587196262716704E-4</v>
      </c>
      <c r="AC21" s="40">
        <f t="shared" si="9"/>
        <v>8.0380794394075057E-5</v>
      </c>
      <c r="AD21" s="100">
        <f t="shared" si="10"/>
        <v>1.2189982150200762E-3</v>
      </c>
      <c r="AF21" s="47">
        <f t="shared" si="11"/>
        <v>184641.53845467238</v>
      </c>
      <c r="AG21" s="48">
        <f t="shared" si="12"/>
        <v>3817299.3974606488</v>
      </c>
      <c r="AH21" s="48">
        <f t="shared" si="13"/>
        <v>2470825.2499648719</v>
      </c>
      <c r="AI21" s="48">
        <f t="shared" si="19"/>
        <v>6472766.1858801935</v>
      </c>
      <c r="AJ21" s="49">
        <f t="shared" si="20"/>
        <v>7.9834565667305296E-4</v>
      </c>
    </row>
    <row r="22" spans="1:36" ht="14.25">
      <c r="A22" s="158" t="s">
        <v>214</v>
      </c>
      <c r="B22" s="4" t="s">
        <v>164</v>
      </c>
      <c r="C22" s="41">
        <v>2353237</v>
      </c>
      <c r="D22" s="41">
        <f>+VLOOKUP(B22,'[5]Recaudación general de '!$B$17:$J$68,7,FALSE)</f>
        <v>632096</v>
      </c>
      <c r="E22" s="45">
        <f t="shared" si="0"/>
        <v>0.26860702938123104</v>
      </c>
      <c r="F22" s="46">
        <f t="shared" si="14"/>
        <v>169785.42884375862</v>
      </c>
      <c r="G22" s="100">
        <f t="shared" si="1"/>
        <v>1.0661893568654935E-4</v>
      </c>
      <c r="H22" s="38">
        <v>3256</v>
      </c>
      <c r="I22" s="94">
        <f t="shared" si="2"/>
        <v>5.6288921213143808E-4</v>
      </c>
      <c r="J22" s="40">
        <f t="shared" si="15"/>
        <v>4.7845583031172234E-4</v>
      </c>
      <c r="K22" s="41">
        <v>615.78</v>
      </c>
      <c r="L22" s="91">
        <f t="shared" si="3"/>
        <v>9.5885807785532663E-3</v>
      </c>
      <c r="M22" s="42">
        <f t="shared" si="16"/>
        <v>1.4382871167829899E-3</v>
      </c>
      <c r="N22" s="100">
        <f t="shared" si="17"/>
        <v>1.9167429470947123E-3</v>
      </c>
      <c r="O22" s="258">
        <v>519</v>
      </c>
      <c r="P22" s="256">
        <v>136</v>
      </c>
      <c r="Q22" s="256">
        <v>317</v>
      </c>
      <c r="R22" s="256">
        <v>84</v>
      </c>
      <c r="S22" s="43">
        <f t="shared" si="4"/>
        <v>2.9413605324649069E-3</v>
      </c>
      <c r="T22" s="256">
        <v>277.00000000287605</v>
      </c>
      <c r="U22" s="256">
        <f>+VLOOKUP(B22,[6]INEGI_Exporta_20210329111405!$B$9:$T$59,19,FALSE)</f>
        <v>120</v>
      </c>
      <c r="V22" s="256">
        <v>75</v>
      </c>
      <c r="W22" s="256">
        <f>+VLOOKUP(B22,[7]INEGI_Exporta_20210329105635!$B$8:$F$58,4,FALSE)</f>
        <v>23</v>
      </c>
      <c r="X22" s="43">
        <f t="shared" si="5"/>
        <v>1.9752871125510545E-3</v>
      </c>
      <c r="Y22" s="44">
        <f t="shared" si="6"/>
        <v>1.6789940456683962E-3</v>
      </c>
      <c r="Z22" s="39">
        <f t="shared" si="7"/>
        <v>-0.32844440837868571</v>
      </c>
      <c r="AA22" s="39">
        <f t="shared" si="8"/>
        <v>-0.32844440837868571</v>
      </c>
      <c r="AB22" s="40">
        <f t="shared" si="18"/>
        <v>4.1659341416378143E-2</v>
      </c>
      <c r="AC22" s="40">
        <f t="shared" si="9"/>
        <v>6.2489012124567209E-3</v>
      </c>
      <c r="AD22" s="100">
        <f t="shared" si="10"/>
        <v>7.9278952581251175E-3</v>
      </c>
      <c r="AF22" s="47">
        <f t="shared" si="11"/>
        <v>432218.44818594464</v>
      </c>
      <c r="AG22" s="48">
        <f t="shared" si="12"/>
        <v>3885105.6654711342</v>
      </c>
      <c r="AH22" s="48">
        <f t="shared" si="13"/>
        <v>16069296.526844962</v>
      </c>
      <c r="AI22" s="48">
        <f t="shared" si="19"/>
        <v>20386620.640502039</v>
      </c>
      <c r="AJ22" s="49">
        <f t="shared" si="20"/>
        <v>2.5144690191482326E-3</v>
      </c>
    </row>
    <row r="23" spans="1:36" ht="14.25">
      <c r="A23" s="158" t="s">
        <v>215</v>
      </c>
      <c r="B23" s="4" t="s">
        <v>10</v>
      </c>
      <c r="C23" s="41">
        <v>9897478</v>
      </c>
      <c r="D23" s="41">
        <f>+VLOOKUP(B23,'[5]Recaudación general de '!$B$17:$J$68,7,FALSE)</f>
        <v>1193413</v>
      </c>
      <c r="E23" s="45">
        <f t="shared" si="0"/>
        <v>0.120577484486452</v>
      </c>
      <c r="F23" s="46">
        <f t="shared" si="14"/>
        <v>143898.73749343015</v>
      </c>
      <c r="G23" s="100">
        <f t="shared" si="1"/>
        <v>9.0363056138970116E-5</v>
      </c>
      <c r="H23" s="38">
        <v>40903</v>
      </c>
      <c r="I23" s="94">
        <f t="shared" si="2"/>
        <v>7.0712092886401146E-3</v>
      </c>
      <c r="J23" s="40">
        <f t="shared" si="15"/>
        <v>6.0105278953440974E-3</v>
      </c>
      <c r="K23" s="41">
        <v>7010.79</v>
      </c>
      <c r="L23" s="91">
        <f t="shared" si="3"/>
        <v>0.1091680896366778</v>
      </c>
      <c r="M23" s="42">
        <f t="shared" si="16"/>
        <v>1.637521344550167E-2</v>
      </c>
      <c r="N23" s="100">
        <f t="shared" si="17"/>
        <v>2.2385741340845769E-2</v>
      </c>
      <c r="O23" s="258">
        <v>6824</v>
      </c>
      <c r="P23" s="256">
        <v>2466</v>
      </c>
      <c r="Q23" s="256">
        <v>13627</v>
      </c>
      <c r="R23" s="256">
        <v>715</v>
      </c>
      <c r="S23" s="43">
        <f t="shared" si="4"/>
        <v>5.3101630915886641E-2</v>
      </c>
      <c r="T23" s="256">
        <v>7532.9999999958</v>
      </c>
      <c r="U23" s="256">
        <f>+VLOOKUP(B23,[6]INEGI_Exporta_20210329111405!$B$9:$T$59,19,FALSE)</f>
        <v>1907</v>
      </c>
      <c r="V23" s="256">
        <v>3888</v>
      </c>
      <c r="W23" s="256">
        <f>+VLOOKUP(B23,[7]INEGI_Exporta_20210329105635!$B$8:$F$58,4,FALSE)</f>
        <v>352</v>
      </c>
      <c r="X23" s="43">
        <f t="shared" si="5"/>
        <v>4.6780151487491192E-2</v>
      </c>
      <c r="Y23" s="44">
        <f t="shared" si="6"/>
        <v>3.9763128764367515E-2</v>
      </c>
      <c r="Z23" s="39">
        <f t="shared" si="7"/>
        <v>-0.11904492045467902</v>
      </c>
      <c r="AA23" s="39">
        <f t="shared" si="8"/>
        <v>-0.11904492045467902</v>
      </c>
      <c r="AB23" s="40">
        <f t="shared" si="18"/>
        <v>1.5099459325820221E-2</v>
      </c>
      <c r="AC23" s="40">
        <f t="shared" si="9"/>
        <v>2.2649188988730332E-3</v>
      </c>
      <c r="AD23" s="100">
        <f t="shared" si="10"/>
        <v>4.2028047663240552E-2</v>
      </c>
      <c r="AF23" s="47">
        <f t="shared" si="11"/>
        <v>366319.35637163086</v>
      </c>
      <c r="AG23" s="48">
        <f t="shared" si="12"/>
        <v>45374352.696023658</v>
      </c>
      <c r="AH23" s="48">
        <f t="shared" si="13"/>
        <v>85187951.953934282</v>
      </c>
      <c r="AI23" s="48">
        <f t="shared" si="19"/>
        <v>130928624.00632957</v>
      </c>
      <c r="AJ23" s="49">
        <f t="shared" si="20"/>
        <v>1.6148628779091068E-2</v>
      </c>
    </row>
    <row r="24" spans="1:36" ht="14.25">
      <c r="A24" s="158" t="s">
        <v>216</v>
      </c>
      <c r="B24" s="4" t="s">
        <v>165</v>
      </c>
      <c r="C24" s="41">
        <v>377012210</v>
      </c>
      <c r="D24" s="41">
        <f>+VLOOKUP(B24,'[5]Recaudación general de '!$B$17:$J$68,7,FALSE)</f>
        <v>90011508</v>
      </c>
      <c r="E24" s="45">
        <f t="shared" si="0"/>
        <v>0.23874958320315409</v>
      </c>
      <c r="F24" s="46">
        <f t="shared" si="14"/>
        <v>21490210.018487372</v>
      </c>
      <c r="G24" s="100">
        <f t="shared" si="1"/>
        <v>1.3495052758384991E-2</v>
      </c>
      <c r="H24" s="38">
        <v>397205</v>
      </c>
      <c r="I24" s="94">
        <f t="shared" si="2"/>
        <v>6.8667816186937305E-2</v>
      </c>
      <c r="J24" s="40">
        <f t="shared" si="15"/>
        <v>5.8367643758896706E-2</v>
      </c>
      <c r="K24" s="41">
        <v>1040.01</v>
      </c>
      <c r="L24" s="91">
        <f t="shared" si="3"/>
        <v>1.6194452394529189E-2</v>
      </c>
      <c r="M24" s="42">
        <f t="shared" si="16"/>
        <v>2.4291678591793781E-3</v>
      </c>
      <c r="N24" s="100">
        <f t="shared" si="17"/>
        <v>6.0796811618076083E-2</v>
      </c>
      <c r="O24" s="258">
        <v>3671</v>
      </c>
      <c r="P24" s="256">
        <v>1809</v>
      </c>
      <c r="Q24" s="256">
        <v>2369</v>
      </c>
      <c r="R24" s="256">
        <v>783</v>
      </c>
      <c r="S24" s="43">
        <f t="shared" si="4"/>
        <v>2.7393224121097081E-2</v>
      </c>
      <c r="T24" s="256">
        <v>8688.9999999445354</v>
      </c>
      <c r="U24" s="256">
        <f>+VLOOKUP(B24,[6]INEGI_Exporta_20210329111405!$B$9:$T$59,19,FALSE)</f>
        <v>2884</v>
      </c>
      <c r="V24" s="256">
        <v>626</v>
      </c>
      <c r="W24" s="256">
        <f>+VLOOKUP(B24,[7]INEGI_Exporta_20210329105635!$B$8:$F$58,4,FALSE)</f>
        <v>329</v>
      </c>
      <c r="X24" s="43">
        <f t="shared" si="5"/>
        <v>3.4303099783455471E-2</v>
      </c>
      <c r="Y24" s="44">
        <f t="shared" si="6"/>
        <v>2.9157634815937149E-2</v>
      </c>
      <c r="Z24" s="39">
        <f t="shared" si="7"/>
        <v>0.25224762268990092</v>
      </c>
      <c r="AA24" s="39">
        <f t="shared" si="8"/>
        <v>0</v>
      </c>
      <c r="AB24" s="40">
        <f t="shared" si="18"/>
        <v>0</v>
      </c>
      <c r="AC24" s="40">
        <f t="shared" si="9"/>
        <v>0</v>
      </c>
      <c r="AD24" s="100">
        <f t="shared" si="10"/>
        <v>2.9157634815937149E-2</v>
      </c>
      <c r="AF24" s="47">
        <f t="shared" si="11"/>
        <v>54707081.100158259</v>
      </c>
      <c r="AG24" s="48">
        <f t="shared" si="12"/>
        <v>123230941.12227726</v>
      </c>
      <c r="AH24" s="48">
        <f t="shared" si="13"/>
        <v>59100513.392700784</v>
      </c>
      <c r="AI24" s="48">
        <f t="shared" si="19"/>
        <v>237038535.61513633</v>
      </c>
      <c r="AJ24" s="49">
        <f t="shared" si="20"/>
        <v>2.9236137987695813E-2</v>
      </c>
    </row>
    <row r="25" spans="1:36" ht="14.25">
      <c r="A25" s="158" t="s">
        <v>217</v>
      </c>
      <c r="B25" s="4" t="s">
        <v>11</v>
      </c>
      <c r="C25" s="41">
        <v>4942797</v>
      </c>
      <c r="D25" s="41">
        <f>+VLOOKUP(B25,'[5]Recaudación general de '!$B$17:$J$68,7,FALSE)</f>
        <v>877317</v>
      </c>
      <c r="E25" s="45">
        <f t="shared" si="0"/>
        <v>0.17749403829451219</v>
      </c>
      <c r="F25" s="46">
        <f t="shared" si="14"/>
        <v>155718.53719442655</v>
      </c>
      <c r="G25" s="100">
        <f t="shared" si="1"/>
        <v>9.778545082107276E-5</v>
      </c>
      <c r="H25" s="38">
        <v>5506</v>
      </c>
      <c r="I25" s="94">
        <f t="shared" si="2"/>
        <v>9.5186363697656574E-4</v>
      </c>
      <c r="J25" s="40">
        <f t="shared" si="15"/>
        <v>8.0908409143008091E-4</v>
      </c>
      <c r="K25" s="41">
        <v>1894.8</v>
      </c>
      <c r="L25" s="91">
        <f t="shared" si="3"/>
        <v>2.9504762836082252E-2</v>
      </c>
      <c r="M25" s="42">
        <f t="shared" si="16"/>
        <v>4.425714425412338E-3</v>
      </c>
      <c r="N25" s="100">
        <f t="shared" si="17"/>
        <v>5.2347985168424193E-3</v>
      </c>
      <c r="O25" s="258">
        <v>814</v>
      </c>
      <c r="P25" s="256">
        <v>216</v>
      </c>
      <c r="Q25" s="256">
        <v>671</v>
      </c>
      <c r="R25" s="256">
        <v>199</v>
      </c>
      <c r="S25" s="43">
        <f t="shared" si="4"/>
        <v>6.2003374083399419E-3</v>
      </c>
      <c r="T25" s="256">
        <v>320.00000000721394</v>
      </c>
      <c r="U25" s="256">
        <f>+VLOOKUP(B25,[6]INEGI_Exporta_20210329111405!$B$9:$T$59,19,FALSE)</f>
        <v>121</v>
      </c>
      <c r="V25" s="256">
        <v>244</v>
      </c>
      <c r="W25" s="256">
        <f>+VLOOKUP(B25,[7]INEGI_Exporta_20210329105635!$B$8:$F$58,4,FALSE)</f>
        <v>76</v>
      </c>
      <c r="X25" s="43">
        <f t="shared" si="5"/>
        <v>4.9631495236081066E-3</v>
      </c>
      <c r="Y25" s="44">
        <f t="shared" si="6"/>
        <v>4.2186770950668907E-3</v>
      </c>
      <c r="Z25" s="39">
        <f t="shared" si="7"/>
        <v>-0.19953557415564518</v>
      </c>
      <c r="AA25" s="39">
        <f t="shared" si="8"/>
        <v>-0.19953557415564518</v>
      </c>
      <c r="AB25" s="40">
        <f t="shared" si="18"/>
        <v>2.5308759706083945E-2</v>
      </c>
      <c r="AC25" s="40">
        <f t="shared" si="9"/>
        <v>3.7963139559125916E-3</v>
      </c>
      <c r="AD25" s="100">
        <f t="shared" si="10"/>
        <v>8.0149910509794819E-3</v>
      </c>
      <c r="AF25" s="47">
        <f t="shared" si="11"/>
        <v>396408.71986662527</v>
      </c>
      <c r="AG25" s="48">
        <f t="shared" si="12"/>
        <v>10610575.302343566</v>
      </c>
      <c r="AH25" s="48">
        <f t="shared" si="13"/>
        <v>16245833.687850345</v>
      </c>
      <c r="AI25" s="48">
        <f t="shared" si="19"/>
        <v>27252817.710060537</v>
      </c>
      <c r="AJ25" s="49">
        <f t="shared" si="20"/>
        <v>3.3613401173660127E-3</v>
      </c>
    </row>
    <row r="26" spans="1:36" ht="14.25">
      <c r="A26" s="158" t="s">
        <v>218</v>
      </c>
      <c r="B26" s="4" t="s">
        <v>12</v>
      </c>
      <c r="C26" s="41">
        <v>437682929</v>
      </c>
      <c r="D26" s="41">
        <f>+VLOOKUP(B26,'[5]Recaudación general de '!$B$17:$J$68,7,FALSE)</f>
        <v>130662277.23999999</v>
      </c>
      <c r="E26" s="45">
        <f t="shared" si="0"/>
        <v>0.29853181054726491</v>
      </c>
      <c r="F26" s="46">
        <f t="shared" si="14"/>
        <v>39006846.194685884</v>
      </c>
      <c r="G26" s="100">
        <f t="shared" si="1"/>
        <v>2.4494848904810584E-2</v>
      </c>
      <c r="H26" s="38">
        <v>481213</v>
      </c>
      <c r="I26" s="94">
        <f t="shared" si="2"/>
        <v>8.3190911067999293E-2</v>
      </c>
      <c r="J26" s="40">
        <f t="shared" si="15"/>
        <v>7.0712274407799397E-2</v>
      </c>
      <c r="K26" s="41">
        <v>151.27000000000001</v>
      </c>
      <c r="L26" s="91">
        <f t="shared" si="3"/>
        <v>2.3554915950043079E-3</v>
      </c>
      <c r="M26" s="42">
        <f t="shared" si="16"/>
        <v>3.5332373925064616E-4</v>
      </c>
      <c r="N26" s="100">
        <f t="shared" si="17"/>
        <v>7.1065598147050046E-2</v>
      </c>
      <c r="O26" s="258">
        <v>25525</v>
      </c>
      <c r="P26" s="256">
        <v>4791</v>
      </c>
      <c r="Q26" s="256">
        <v>5994</v>
      </c>
      <c r="R26" s="256">
        <v>875</v>
      </c>
      <c r="S26" s="43">
        <f t="shared" si="4"/>
        <v>5.9388194498130251E-2</v>
      </c>
      <c r="T26" s="256">
        <v>20136.00000070727</v>
      </c>
      <c r="U26" s="256">
        <f>+VLOOKUP(B26,[6]INEGI_Exporta_20210329111405!$B$9:$T$59,19,FALSE)</f>
        <v>4953</v>
      </c>
      <c r="V26" s="256">
        <v>1151</v>
      </c>
      <c r="W26" s="256">
        <f>+VLOOKUP(B26,[7]INEGI_Exporta_20210329105635!$B$8:$F$58,4,FALSE)</f>
        <v>297</v>
      </c>
      <c r="X26" s="43">
        <f t="shared" si="5"/>
        <v>5.2740416255770556E-2</v>
      </c>
      <c r="Y26" s="44">
        <f t="shared" si="6"/>
        <v>4.4829353817404972E-2</v>
      </c>
      <c r="Z26" s="39">
        <f t="shared" si="7"/>
        <v>-0.11193770577701247</v>
      </c>
      <c r="AA26" s="39">
        <f t="shared" si="8"/>
        <v>-0.11193770577701247</v>
      </c>
      <c r="AB26" s="40">
        <f t="shared" si="18"/>
        <v>1.4197992060056841E-2</v>
      </c>
      <c r="AC26" s="40">
        <f t="shared" si="9"/>
        <v>2.1296988090085262E-3</v>
      </c>
      <c r="AD26" s="100">
        <f t="shared" si="10"/>
        <v>4.6959052626413499E-2</v>
      </c>
      <c r="AF26" s="47">
        <f t="shared" si="11"/>
        <v>99298736.326834753</v>
      </c>
      <c r="AG26" s="48">
        <f t="shared" si="12"/>
        <v>144045062.69330034</v>
      </c>
      <c r="AH26" s="48">
        <f t="shared" si="13"/>
        <v>95182758.689979553</v>
      </c>
      <c r="AI26" s="48">
        <f t="shared" si="19"/>
        <v>338526557.71011466</v>
      </c>
      <c r="AJ26" s="49">
        <f t="shared" si="20"/>
        <v>4.1753587145771189E-2</v>
      </c>
    </row>
    <row r="27" spans="1:36" ht="14.25">
      <c r="A27" s="158" t="s">
        <v>219</v>
      </c>
      <c r="B27" s="4" t="s">
        <v>166</v>
      </c>
      <c r="C27" s="41">
        <v>11203821</v>
      </c>
      <c r="D27" s="41">
        <f>+VLOOKUP(B27,'[5]Recaudación general de '!$B$17:$J$68,7,FALSE)</f>
        <v>3648762.03</v>
      </c>
      <c r="E27" s="45">
        <f t="shared" si="0"/>
        <v>0.32567121788182796</v>
      </c>
      <c r="F27" s="46">
        <f t="shared" si="14"/>
        <v>1188296.7740710708</v>
      </c>
      <c r="G27" s="100">
        <f t="shared" si="1"/>
        <v>7.4620618620815709E-4</v>
      </c>
      <c r="H27" s="38">
        <v>14109</v>
      </c>
      <c r="I27" s="94">
        <f t="shared" si="2"/>
        <v>2.4391289600621804E-3</v>
      </c>
      <c r="J27" s="40">
        <f t="shared" si="15"/>
        <v>2.0732596160528533E-3</v>
      </c>
      <c r="K27" s="41">
        <v>2479.16</v>
      </c>
      <c r="L27" s="91">
        <f t="shared" si="3"/>
        <v>3.8604088997625963E-2</v>
      </c>
      <c r="M27" s="42">
        <f t="shared" si="16"/>
        <v>5.7906133496438946E-3</v>
      </c>
      <c r="N27" s="100">
        <f t="shared" si="17"/>
        <v>7.8638729656967474E-3</v>
      </c>
      <c r="O27" s="258">
        <v>3166</v>
      </c>
      <c r="P27" s="256">
        <v>572</v>
      </c>
      <c r="Q27" s="256">
        <v>3480</v>
      </c>
      <c r="R27" s="256">
        <v>459</v>
      </c>
      <c r="S27" s="43">
        <f t="shared" si="4"/>
        <v>1.9230399025526604E-2</v>
      </c>
      <c r="T27" s="256">
        <v>1684.0000000044001</v>
      </c>
      <c r="U27" s="256">
        <f>+VLOOKUP(B27,[6]INEGI_Exporta_20210329111405!$B$9:$T$59,19,FALSE)</f>
        <v>407</v>
      </c>
      <c r="V27" s="256">
        <v>1314</v>
      </c>
      <c r="W27" s="256">
        <f>+VLOOKUP(B27,[7]INEGI_Exporta_20210329105635!$B$8:$F$58,4,FALSE)</f>
        <v>100</v>
      </c>
      <c r="X27" s="43">
        <f t="shared" si="5"/>
        <v>1.345054251066352E-2</v>
      </c>
      <c r="Y27" s="44">
        <f t="shared" si="6"/>
        <v>1.1432961134063991E-2</v>
      </c>
      <c r="Z27" s="39">
        <f t="shared" si="7"/>
        <v>-0.30055832472279181</v>
      </c>
      <c r="AA27" s="39">
        <f t="shared" si="8"/>
        <v>-0.30055832472279181</v>
      </c>
      <c r="AB27" s="40">
        <f t="shared" si="18"/>
        <v>3.8122317036754221E-2</v>
      </c>
      <c r="AC27" s="40">
        <f t="shared" si="9"/>
        <v>5.7183475555131332E-3</v>
      </c>
      <c r="AD27" s="100">
        <f t="shared" si="10"/>
        <v>1.7151308689577125E-2</v>
      </c>
      <c r="AF27" s="47">
        <f t="shared" si="11"/>
        <v>3025016.8767191153</v>
      </c>
      <c r="AG27" s="48">
        <f t="shared" si="12"/>
        <v>15939527.758733971</v>
      </c>
      <c r="AH27" s="48">
        <f t="shared" si="13"/>
        <v>34764518.977947101</v>
      </c>
      <c r="AI27" s="48">
        <f t="shared" si="19"/>
        <v>53729063.613400191</v>
      </c>
      <c r="AJ27" s="49">
        <f t="shared" si="20"/>
        <v>6.6268985069225482E-3</v>
      </c>
    </row>
    <row r="28" spans="1:36" ht="14.25">
      <c r="A28" s="158" t="s">
        <v>220</v>
      </c>
      <c r="B28" s="4" t="s">
        <v>13</v>
      </c>
      <c r="C28" s="41">
        <v>822645</v>
      </c>
      <c r="D28" s="41">
        <f>+VLOOKUP(B28,'[5]Recaudación general de '!$B$17:$J$68,7,FALSE)</f>
        <v>218938</v>
      </c>
      <c r="E28" s="45">
        <f t="shared" si="0"/>
        <v>0.26613910009785507</v>
      </c>
      <c r="F28" s="46">
        <f t="shared" si="14"/>
        <v>58267.962297224192</v>
      </c>
      <c r="G28" s="100">
        <f t="shared" si="1"/>
        <v>3.6590113574887031E-5</v>
      </c>
      <c r="H28" s="38">
        <v>1808</v>
      </c>
      <c r="I28" s="94">
        <f t="shared" si="2"/>
        <v>3.1256256005332924E-4</v>
      </c>
      <c r="J28" s="40">
        <f t="shared" si="15"/>
        <v>2.6567817604532983E-4</v>
      </c>
      <c r="K28" s="41">
        <v>388.05</v>
      </c>
      <c r="L28" s="91">
        <f t="shared" si="3"/>
        <v>6.0424969487765032E-3</v>
      </c>
      <c r="M28" s="42">
        <f t="shared" si="16"/>
        <v>9.0637454231647541E-4</v>
      </c>
      <c r="N28" s="100">
        <f t="shared" si="17"/>
        <v>1.1720527183618052E-3</v>
      </c>
      <c r="O28" s="258">
        <v>248</v>
      </c>
      <c r="P28" s="256">
        <v>45</v>
      </c>
      <c r="Q28" s="256">
        <v>165</v>
      </c>
      <c r="R28" s="256">
        <v>30</v>
      </c>
      <c r="S28" s="43">
        <f t="shared" si="4"/>
        <v>1.1800840492623579E-3</v>
      </c>
      <c r="T28" s="256">
        <v>138</v>
      </c>
      <c r="U28" s="256">
        <f>+VLOOKUP(B28,[6]INEGI_Exporta_20210329111405!$B$9:$T$59,19,FALSE)</f>
        <v>42</v>
      </c>
      <c r="V28" s="256">
        <v>26</v>
      </c>
      <c r="W28" s="256">
        <f>+VLOOKUP(B28,[7]INEGI_Exporta_20210329105635!$B$8:$F$58,4,FALSE)</f>
        <v>12</v>
      </c>
      <c r="X28" s="43">
        <f t="shared" si="5"/>
        <v>8.7935671088598514E-4</v>
      </c>
      <c r="Y28" s="44">
        <f t="shared" si="6"/>
        <v>7.4745320425308734E-4</v>
      </c>
      <c r="Z28" s="39">
        <f t="shared" si="7"/>
        <v>-0.25483552511734248</v>
      </c>
      <c r="AA28" s="39">
        <f t="shared" si="8"/>
        <v>-0.25483552511734248</v>
      </c>
      <c r="AB28" s="40">
        <f t="shared" si="18"/>
        <v>3.2322913330420144E-2</v>
      </c>
      <c r="AC28" s="40">
        <f t="shared" si="9"/>
        <v>4.8484369995630211E-3</v>
      </c>
      <c r="AD28" s="100">
        <f t="shared" si="10"/>
        <v>5.5958902038161082E-3</v>
      </c>
      <c r="AF28" s="47">
        <f t="shared" si="11"/>
        <v>148331.26973598456</v>
      </c>
      <c r="AG28" s="48">
        <f t="shared" si="12"/>
        <v>2375669.968286722</v>
      </c>
      <c r="AH28" s="48">
        <f t="shared" si="13"/>
        <v>11342483.230291031</v>
      </c>
      <c r="AI28" s="48">
        <f t="shared" si="19"/>
        <v>13866484.468313739</v>
      </c>
      <c r="AJ28" s="49">
        <f t="shared" si="20"/>
        <v>1.7102807873319223E-3</v>
      </c>
    </row>
    <row r="29" spans="1:36" ht="14.25">
      <c r="A29" s="158" t="s">
        <v>221</v>
      </c>
      <c r="B29" s="4" t="s">
        <v>14</v>
      </c>
      <c r="C29" s="41">
        <v>1482915</v>
      </c>
      <c r="D29" s="41">
        <f>+VLOOKUP(B29,'[5]Recaudación general de '!$B$17:$J$68,7,FALSE)</f>
        <v>140414</v>
      </c>
      <c r="E29" s="45">
        <f t="shared" si="0"/>
        <v>9.4687827690730753E-2</v>
      </c>
      <c r="F29" s="46">
        <f t="shared" si="14"/>
        <v>13295.496637366268</v>
      </c>
      <c r="G29" s="100">
        <f t="shared" si="1"/>
        <v>8.3490774829950728E-6</v>
      </c>
      <c r="H29" s="38">
        <v>6282</v>
      </c>
      <c r="I29" s="94">
        <f t="shared" si="2"/>
        <v>1.0860165941675964E-3</v>
      </c>
      <c r="J29" s="40">
        <f t="shared" si="15"/>
        <v>9.2311410504245688E-4</v>
      </c>
      <c r="K29" s="41">
        <v>1314.52</v>
      </c>
      <c r="L29" s="91">
        <f t="shared" si="3"/>
        <v>2.0468968146129852E-2</v>
      </c>
      <c r="M29" s="42">
        <f t="shared" si="16"/>
        <v>3.0703452219194775E-3</v>
      </c>
      <c r="N29" s="100">
        <f t="shared" si="17"/>
        <v>3.9934593269619345E-3</v>
      </c>
      <c r="O29" s="258">
        <v>1391</v>
      </c>
      <c r="P29" s="256">
        <v>288</v>
      </c>
      <c r="Q29" s="256">
        <v>3319</v>
      </c>
      <c r="R29" s="256">
        <v>607</v>
      </c>
      <c r="S29" s="43">
        <f t="shared" si="4"/>
        <v>1.9591711602070995E-2</v>
      </c>
      <c r="T29" s="256">
        <v>1108.99999999377</v>
      </c>
      <c r="U29" s="256">
        <f>+VLOOKUP(B29,[6]INEGI_Exporta_20210329111405!$B$9:$T$59,19,FALSE)</f>
        <v>248</v>
      </c>
      <c r="V29" s="256">
        <v>1071</v>
      </c>
      <c r="W29" s="256">
        <f>+VLOOKUP(B29,[7]INEGI_Exporta_20210329105635!$B$8:$F$58,4,FALSE)</f>
        <v>111</v>
      </c>
      <c r="X29" s="43">
        <f t="shared" si="5"/>
        <v>1.1600674236277331E-2</v>
      </c>
      <c r="Y29" s="44">
        <f t="shared" si="6"/>
        <v>9.8605731008357313E-3</v>
      </c>
      <c r="Z29" s="39">
        <f t="shared" si="7"/>
        <v>-0.40787847065638461</v>
      </c>
      <c r="AA29" s="39">
        <f t="shared" si="8"/>
        <v>-0.40787847065638461</v>
      </c>
      <c r="AB29" s="40">
        <f t="shared" si="18"/>
        <v>5.1734625501291334E-2</v>
      </c>
      <c r="AC29" s="40">
        <f t="shared" si="9"/>
        <v>7.7601938251937001E-3</v>
      </c>
      <c r="AD29" s="100">
        <f t="shared" si="10"/>
        <v>1.762076692602943E-2</v>
      </c>
      <c r="AF29" s="47">
        <f t="shared" si="11"/>
        <v>33846.007655651301</v>
      </c>
      <c r="AG29" s="48">
        <f t="shared" si="12"/>
        <v>8094466.4382488579</v>
      </c>
      <c r="AH29" s="48">
        <f t="shared" si="13"/>
        <v>35716078.422528595</v>
      </c>
      <c r="AI29" s="48">
        <f t="shared" si="19"/>
        <v>43844390.868433103</v>
      </c>
      <c r="AJ29" s="49">
        <f t="shared" si="20"/>
        <v>5.4077311019893395E-3</v>
      </c>
    </row>
    <row r="30" spans="1:36" ht="14.25">
      <c r="A30" s="158" t="s">
        <v>222</v>
      </c>
      <c r="B30" s="4" t="s">
        <v>15</v>
      </c>
      <c r="C30" s="41">
        <v>59610291</v>
      </c>
      <c r="D30" s="41">
        <f>+VLOOKUP(B30,'[5]Recaudación general de '!$B$17:$J$68,7,FALSE)</f>
        <v>9156806</v>
      </c>
      <c r="E30" s="45">
        <f t="shared" si="0"/>
        <v>0.15361116086482449</v>
      </c>
      <c r="F30" s="46">
        <f t="shared" si="14"/>
        <v>1406587.59947399</v>
      </c>
      <c r="G30" s="100">
        <f t="shared" si="1"/>
        <v>8.8328470721607565E-4</v>
      </c>
      <c r="H30" s="38">
        <v>102149</v>
      </c>
      <c r="I30" s="94">
        <f t="shared" si="2"/>
        <v>1.7659266010446643E-2</v>
      </c>
      <c r="J30" s="40">
        <f t="shared" si="15"/>
        <v>1.5010376108879647E-2</v>
      </c>
      <c r="K30" s="41">
        <v>184.87</v>
      </c>
      <c r="L30" s="91">
        <f t="shared" si="3"/>
        <v>2.8786919492856905E-3</v>
      </c>
      <c r="M30" s="42">
        <f t="shared" si="16"/>
        <v>4.3180379239285356E-4</v>
      </c>
      <c r="N30" s="100">
        <f t="shared" si="17"/>
        <v>1.5442179901272501E-2</v>
      </c>
      <c r="O30" s="258">
        <v>870</v>
      </c>
      <c r="P30" s="256">
        <v>513</v>
      </c>
      <c r="Q30" s="256">
        <v>350</v>
      </c>
      <c r="R30" s="256">
        <v>123</v>
      </c>
      <c r="S30" s="43">
        <f t="shared" si="4"/>
        <v>5.2107891032981742E-3</v>
      </c>
      <c r="T30" s="256">
        <v>2629.9999999954803</v>
      </c>
      <c r="U30" s="256">
        <f>+VLOOKUP(B30,[6]INEGI_Exporta_20210329111405!$B$9:$T$59,19,FALSE)</f>
        <v>724</v>
      </c>
      <c r="V30" s="256">
        <v>85</v>
      </c>
      <c r="W30" s="256">
        <f>+VLOOKUP(B30,[7]INEGI_Exporta_20210329105635!$B$8:$F$58,4,FALSE)</f>
        <v>417</v>
      </c>
      <c r="X30" s="43">
        <f t="shared" si="5"/>
        <v>2.1893178641778942E-2</v>
      </c>
      <c r="Y30" s="44">
        <f t="shared" si="6"/>
        <v>1.86092018455121E-2</v>
      </c>
      <c r="Z30" s="39">
        <f t="shared" si="7"/>
        <v>3.2015092546964969</v>
      </c>
      <c r="AA30" s="39">
        <f t="shared" si="8"/>
        <v>0</v>
      </c>
      <c r="AB30" s="40">
        <f t="shared" si="18"/>
        <v>0</v>
      </c>
      <c r="AC30" s="40">
        <f t="shared" si="9"/>
        <v>0</v>
      </c>
      <c r="AD30" s="100">
        <f t="shared" si="10"/>
        <v>1.86092018455121E-2</v>
      </c>
      <c r="AF30" s="47">
        <f t="shared" si="11"/>
        <v>3580714.2793254466</v>
      </c>
      <c r="AG30" s="48">
        <f t="shared" si="12"/>
        <v>31300232.88338922</v>
      </c>
      <c r="AH30" s="48">
        <f t="shared" si="13"/>
        <v>37719567.785279267</v>
      </c>
      <c r="AI30" s="48">
        <f t="shared" si="19"/>
        <v>72600514.947993934</v>
      </c>
      <c r="AJ30" s="49">
        <f t="shared" si="20"/>
        <v>8.9544877903041907E-3</v>
      </c>
    </row>
    <row r="31" spans="1:36" ht="14.25">
      <c r="A31" s="158" t="s">
        <v>223</v>
      </c>
      <c r="B31" s="4" t="s">
        <v>16</v>
      </c>
      <c r="C31" s="41">
        <v>542535324</v>
      </c>
      <c r="D31" s="41">
        <f>+VLOOKUP(B31,'[5]Recaudación general de '!$B$17:$J$68,7,FALSE)</f>
        <v>215375991.11000001</v>
      </c>
      <c r="E31" s="45">
        <f t="shared" si="0"/>
        <v>0.39698058648435586</v>
      </c>
      <c r="F31" s="46">
        <f t="shared" si="14"/>
        <v>85500087.265497223</v>
      </c>
      <c r="G31" s="100">
        <f t="shared" si="1"/>
        <v>5.3690875403348902E-2</v>
      </c>
      <c r="H31" s="38">
        <v>643143</v>
      </c>
      <c r="I31" s="94">
        <f t="shared" si="2"/>
        <v>0.11118496823029775</v>
      </c>
      <c r="J31" s="40">
        <f t="shared" si="15"/>
        <v>9.4507222995753079E-2</v>
      </c>
      <c r="K31" s="41">
        <v>117.79</v>
      </c>
      <c r="L31" s="91">
        <f t="shared" si="3"/>
        <v>1.8341598134167874E-3</v>
      </c>
      <c r="M31" s="42">
        <f t="shared" si="16"/>
        <v>2.7512397201251811E-4</v>
      </c>
      <c r="N31" s="100">
        <f t="shared" si="17"/>
        <v>9.4782346967765593E-2</v>
      </c>
      <c r="O31" s="258">
        <v>69698</v>
      </c>
      <c r="P31" s="256">
        <v>9468</v>
      </c>
      <c r="Q31" s="256">
        <v>3881</v>
      </c>
      <c r="R31" s="256">
        <v>299</v>
      </c>
      <c r="S31" s="43">
        <f t="shared" si="4"/>
        <v>8.640218657214932E-2</v>
      </c>
      <c r="T31" s="256">
        <v>32769.999999791457</v>
      </c>
      <c r="U31" s="256">
        <f>+VLOOKUP(B31,[6]INEGI_Exporta_20210329111405!$B$9:$T$59,19,FALSE)</f>
        <v>7194</v>
      </c>
      <c r="V31" s="256">
        <v>736</v>
      </c>
      <c r="W31" s="256">
        <f>+VLOOKUP(B31,[7]INEGI_Exporta_20210329105635!$B$8:$F$58,4,FALSE)</f>
        <v>247</v>
      </c>
      <c r="X31" s="43">
        <f t="shared" si="5"/>
        <v>6.7373865202308994E-2</v>
      </c>
      <c r="Y31" s="44">
        <f t="shared" si="6"/>
        <v>5.726778542196264E-2</v>
      </c>
      <c r="Z31" s="39">
        <f t="shared" si="7"/>
        <v>-0.22022962756794248</v>
      </c>
      <c r="AA31" s="39">
        <f t="shared" si="8"/>
        <v>-0.22022962756794248</v>
      </c>
      <c r="AB31" s="40">
        <f t="shared" si="18"/>
        <v>2.7933558954904417E-2</v>
      </c>
      <c r="AC31" s="40">
        <f t="shared" si="9"/>
        <v>4.190033843235662E-3</v>
      </c>
      <c r="AD31" s="100">
        <f t="shared" si="10"/>
        <v>6.1457819265198305E-2</v>
      </c>
      <c r="AF31" s="47">
        <f t="shared" si="11"/>
        <v>217655397.69412625</v>
      </c>
      <c r="AG31" s="48">
        <f t="shared" si="12"/>
        <v>192117275.68856996</v>
      </c>
      <c r="AH31" s="48">
        <f t="shared" si="13"/>
        <v>124570758.00207683</v>
      </c>
      <c r="AI31" s="48">
        <f t="shared" si="19"/>
        <v>534343431.38477302</v>
      </c>
      <c r="AJ31" s="49">
        <f t="shared" si="20"/>
        <v>6.5905479259915439E-2</v>
      </c>
    </row>
    <row r="32" spans="1:36" ht="14.25">
      <c r="A32" s="158" t="s">
        <v>224</v>
      </c>
      <c r="B32" s="4" t="s">
        <v>167</v>
      </c>
      <c r="C32" s="41">
        <v>1019354</v>
      </c>
      <c r="D32" s="41">
        <f>+VLOOKUP(B32,'[5]Recaudación general de '!$B$17:$J$68,7,FALSE)</f>
        <v>288216.5</v>
      </c>
      <c r="E32" s="45">
        <f t="shared" si="0"/>
        <v>0.282744267447815</v>
      </c>
      <c r="F32" s="46">
        <f t="shared" si="14"/>
        <v>81491.563158873178</v>
      </c>
      <c r="G32" s="100">
        <f t="shared" si="1"/>
        <v>5.1173671325044735E-5</v>
      </c>
      <c r="H32" s="38">
        <v>1959</v>
      </c>
      <c r="I32" s="94">
        <f t="shared" si="2"/>
        <v>3.3866706589849116E-4</v>
      </c>
      <c r="J32" s="40">
        <f t="shared" si="15"/>
        <v>2.8786700601371749E-4</v>
      </c>
      <c r="K32" s="41">
        <v>497.27</v>
      </c>
      <c r="L32" s="91">
        <f t="shared" si="3"/>
        <v>7.743209528973307E-3</v>
      </c>
      <c r="M32" s="42">
        <f t="shared" si="16"/>
        <v>1.1614814293459961E-3</v>
      </c>
      <c r="N32" s="100">
        <f t="shared" si="17"/>
        <v>1.4493484353597136E-3</v>
      </c>
      <c r="O32" s="258">
        <v>525</v>
      </c>
      <c r="P32" s="256">
        <v>98</v>
      </c>
      <c r="Q32" s="256">
        <v>163</v>
      </c>
      <c r="R32" s="256">
        <v>24</v>
      </c>
      <c r="S32" s="43">
        <f t="shared" si="4"/>
        <v>1.4096324493135357E-3</v>
      </c>
      <c r="T32" s="256">
        <v>374.99999999594002</v>
      </c>
      <c r="U32" s="256">
        <f>+VLOOKUP(B32,[6]INEGI_Exporta_20210329111405!$B$9:$T$59,19,FALSE)</f>
        <v>59</v>
      </c>
      <c r="V32" s="256">
        <v>60</v>
      </c>
      <c r="W32" s="256">
        <f>+VLOOKUP(B32,[7]INEGI_Exporta_20210329105635!$B$8:$F$58,4,FALSE)</f>
        <v>19</v>
      </c>
      <c r="X32" s="43">
        <f t="shared" si="5"/>
        <v>1.5801406149717687E-3</v>
      </c>
      <c r="Y32" s="44">
        <f t="shared" si="6"/>
        <v>1.3431195227260034E-3</v>
      </c>
      <c r="Z32" s="39">
        <f t="shared" si="7"/>
        <v>0.12095930803896239</v>
      </c>
      <c r="AA32" s="39">
        <f t="shared" si="8"/>
        <v>0</v>
      </c>
      <c r="AB32" s="40">
        <f t="shared" si="18"/>
        <v>0</v>
      </c>
      <c r="AC32" s="40">
        <f t="shared" si="9"/>
        <v>0</v>
      </c>
      <c r="AD32" s="100">
        <f t="shared" si="10"/>
        <v>1.3431195227260034E-3</v>
      </c>
      <c r="AF32" s="47">
        <f t="shared" si="11"/>
        <v>207450.9998215895</v>
      </c>
      <c r="AG32" s="48">
        <f t="shared" si="12"/>
        <v>2937729.2484590574</v>
      </c>
      <c r="AH32" s="48">
        <f t="shared" si="13"/>
        <v>2722410.5741758789</v>
      </c>
      <c r="AI32" s="48">
        <f t="shared" si="19"/>
        <v>5867590.8224565256</v>
      </c>
      <c r="AJ32" s="49">
        <f t="shared" si="20"/>
        <v>7.2370382518395179E-4</v>
      </c>
    </row>
    <row r="33" spans="1:36" ht="14.25">
      <c r="A33" s="158" t="s">
        <v>225</v>
      </c>
      <c r="B33" s="4" t="s">
        <v>17</v>
      </c>
      <c r="C33" s="41">
        <v>2430155</v>
      </c>
      <c r="D33" s="41">
        <f>+VLOOKUP(B33,'[5]Recaudación general de '!$B$17:$J$68,7,FALSE)</f>
        <v>518824</v>
      </c>
      <c r="E33" s="45">
        <f t="shared" si="0"/>
        <v>0.21349420098717983</v>
      </c>
      <c r="F33" s="46">
        <f t="shared" si="14"/>
        <v>110765.9153329726</v>
      </c>
      <c r="G33" s="100">
        <f t="shared" si="1"/>
        <v>6.95568758966686E-5</v>
      </c>
      <c r="H33" s="38">
        <v>16086</v>
      </c>
      <c r="I33" s="94">
        <f t="shared" si="2"/>
        <v>2.7809078213594327E-3</v>
      </c>
      <c r="J33" s="40">
        <f t="shared" si="15"/>
        <v>2.3637716481555177E-3</v>
      </c>
      <c r="K33" s="41">
        <v>170.12</v>
      </c>
      <c r="L33" s="91">
        <f t="shared" si="3"/>
        <v>2.6490132223318096E-3</v>
      </c>
      <c r="M33" s="42">
        <f t="shared" si="16"/>
        <v>3.9735198334977145E-4</v>
      </c>
      <c r="N33" s="100">
        <f t="shared" si="17"/>
        <v>2.7611236315052893E-3</v>
      </c>
      <c r="O33" s="258">
        <v>1777</v>
      </c>
      <c r="P33" s="256">
        <v>349</v>
      </c>
      <c r="Q33" s="256">
        <v>145</v>
      </c>
      <c r="R33" s="256">
        <v>79</v>
      </c>
      <c r="S33" s="43">
        <f t="shared" si="4"/>
        <v>3.9637238245243383E-3</v>
      </c>
      <c r="T33" s="256">
        <v>887.9999999826681</v>
      </c>
      <c r="U33" s="256">
        <f>+VLOOKUP(B33,[6]INEGI_Exporta_20210329111405!$B$9:$T$59,19,FALSE)</f>
        <v>347</v>
      </c>
      <c r="V33" s="256">
        <v>71</v>
      </c>
      <c r="W33" s="256">
        <f>+VLOOKUP(B33,[7]INEGI_Exporta_20210329105635!$B$8:$F$58,4,FALSE)</f>
        <v>43</v>
      </c>
      <c r="X33" s="43">
        <f t="shared" si="5"/>
        <v>4.1176242868988557E-3</v>
      </c>
      <c r="Y33" s="44">
        <f t="shared" si="6"/>
        <v>3.4999806438640274E-3</v>
      </c>
      <c r="Z33" s="39">
        <f t="shared" si="7"/>
        <v>3.8827241550560346E-2</v>
      </c>
      <c r="AA33" s="39">
        <f t="shared" si="8"/>
        <v>0</v>
      </c>
      <c r="AB33" s="40">
        <f t="shared" si="18"/>
        <v>0</v>
      </c>
      <c r="AC33" s="40">
        <f t="shared" si="9"/>
        <v>0</v>
      </c>
      <c r="AD33" s="100">
        <f t="shared" si="10"/>
        <v>3.4999806438640274E-3</v>
      </c>
      <c r="AF33" s="47">
        <f t="shared" si="11"/>
        <v>281973.97363921703</v>
      </c>
      <c r="AG33" s="48">
        <f t="shared" si="12"/>
        <v>5596607.035955023</v>
      </c>
      <c r="AH33" s="48">
        <f t="shared" si="13"/>
        <v>7094219.2061414337</v>
      </c>
      <c r="AI33" s="48">
        <f t="shared" si="19"/>
        <v>12972800.215735674</v>
      </c>
      <c r="AJ33" s="49">
        <f t="shared" si="20"/>
        <v>1.600054506790664E-3</v>
      </c>
    </row>
    <row r="34" spans="1:36" ht="14.25">
      <c r="A34" s="158" t="s">
        <v>226</v>
      </c>
      <c r="B34" s="4" t="s">
        <v>18</v>
      </c>
      <c r="C34" s="41">
        <v>721085</v>
      </c>
      <c r="D34" s="41">
        <f>+VLOOKUP(B34,'[5]Recaudación general de '!$B$17:$J$68,7,FALSE)</f>
        <v>336929</v>
      </c>
      <c r="E34" s="45">
        <f t="shared" si="0"/>
        <v>0.46725282040258775</v>
      </c>
      <c r="F34" s="46">
        <f t="shared" si="14"/>
        <v>157431.02552542349</v>
      </c>
      <c r="G34" s="100">
        <f t="shared" si="1"/>
        <v>9.886082981248519E-5</v>
      </c>
      <c r="H34" s="38">
        <v>1386</v>
      </c>
      <c r="I34" s="94">
        <f t="shared" si="2"/>
        <v>2.3960824570459864E-4</v>
      </c>
      <c r="J34" s="40">
        <f t="shared" si="15"/>
        <v>2.0366700884890884E-4</v>
      </c>
      <c r="K34" s="41">
        <v>444.11</v>
      </c>
      <c r="L34" s="91">
        <f t="shared" si="3"/>
        <v>6.9154318255924057E-3</v>
      </c>
      <c r="M34" s="42">
        <f t="shared" si="16"/>
        <v>1.0373147738388607E-3</v>
      </c>
      <c r="N34" s="100">
        <f t="shared" si="17"/>
        <v>1.2409817826877696E-3</v>
      </c>
      <c r="O34" s="258">
        <v>236</v>
      </c>
      <c r="P34" s="256">
        <v>60</v>
      </c>
      <c r="Q34" s="256">
        <v>117</v>
      </c>
      <c r="R34" s="256">
        <v>25</v>
      </c>
      <c r="S34" s="43">
        <f t="shared" si="4"/>
        <v>1.0357297174192843E-3</v>
      </c>
      <c r="T34" s="256">
        <v>156.00000000186</v>
      </c>
      <c r="U34" s="256">
        <f>+VLOOKUP(B34,[6]INEGI_Exporta_20210329111405!$B$9:$T$59,19,FALSE)</f>
        <v>44</v>
      </c>
      <c r="V34" s="256">
        <v>20</v>
      </c>
      <c r="W34" s="256">
        <f>+VLOOKUP(B34,[7]INEGI_Exporta_20210329105635!$B$8:$F$58,4,FALSE)</f>
        <v>31</v>
      </c>
      <c r="X34" s="43">
        <f t="shared" si="5"/>
        <v>1.6264120738302961E-3</v>
      </c>
      <c r="Y34" s="44">
        <f t="shared" si="6"/>
        <v>1.3824502627557515E-3</v>
      </c>
      <c r="Z34" s="39">
        <f t="shared" si="7"/>
        <v>0.5703055019825134</v>
      </c>
      <c r="AA34" s="39">
        <f t="shared" si="8"/>
        <v>0</v>
      </c>
      <c r="AB34" s="40">
        <f t="shared" si="18"/>
        <v>0</v>
      </c>
      <c r="AC34" s="40">
        <f t="shared" si="9"/>
        <v>0</v>
      </c>
      <c r="AD34" s="100">
        <f t="shared" si="10"/>
        <v>1.3824502627557515E-3</v>
      </c>
      <c r="AF34" s="47">
        <f t="shared" si="11"/>
        <v>400768.15785845177</v>
      </c>
      <c r="AG34" s="48">
        <f t="shared" si="12"/>
        <v>2515384.424382329</v>
      </c>
      <c r="AH34" s="48">
        <f t="shared" si="13"/>
        <v>2802131.269717427</v>
      </c>
      <c r="AI34" s="48">
        <f t="shared" si="19"/>
        <v>5718283.8519582078</v>
      </c>
      <c r="AJ34" s="49">
        <f t="shared" si="20"/>
        <v>7.0528842626712304E-4</v>
      </c>
    </row>
    <row r="35" spans="1:36" ht="14.25">
      <c r="A35" s="158" t="s">
        <v>227</v>
      </c>
      <c r="B35" s="4" t="s">
        <v>19</v>
      </c>
      <c r="C35" s="41">
        <v>1890448</v>
      </c>
      <c r="D35" s="41">
        <f>+VLOOKUP(B35,'[5]Recaudación general de '!$B$17:$J$68,7,FALSE)</f>
        <v>629171</v>
      </c>
      <c r="E35" s="45">
        <f t="shared" si="0"/>
        <v>0.33281581931901855</v>
      </c>
      <c r="F35" s="46">
        <f t="shared" si="14"/>
        <v>209398.06185676623</v>
      </c>
      <c r="G35" s="100">
        <f t="shared" si="1"/>
        <v>1.3149419618652597E-4</v>
      </c>
      <c r="H35" s="38">
        <v>7026</v>
      </c>
      <c r="I35" s="94">
        <f t="shared" si="2"/>
        <v>1.2146374706497186E-3</v>
      </c>
      <c r="J35" s="40">
        <f t="shared" si="15"/>
        <v>1.0324418500522608E-3</v>
      </c>
      <c r="K35" s="41">
        <v>127.8</v>
      </c>
      <c r="L35" s="91">
        <f t="shared" si="3"/>
        <v>1.990029918963116E-3</v>
      </c>
      <c r="M35" s="42">
        <f t="shared" si="16"/>
        <v>2.9850448784446741E-4</v>
      </c>
      <c r="N35" s="100">
        <f t="shared" si="17"/>
        <v>1.3309463378967283E-3</v>
      </c>
      <c r="O35" s="258">
        <v>1201</v>
      </c>
      <c r="P35" s="256">
        <v>185</v>
      </c>
      <c r="Q35" s="256">
        <v>941</v>
      </c>
      <c r="R35" s="256">
        <v>42</v>
      </c>
      <c r="S35" s="43">
        <f t="shared" si="4"/>
        <v>4.0095605509974496E-3</v>
      </c>
      <c r="T35" s="256">
        <v>649.99999999475995</v>
      </c>
      <c r="U35" s="256">
        <f>+VLOOKUP(B35,[6]INEGI_Exporta_20210329111405!$B$9:$T$59,19,FALSE)</f>
        <v>163</v>
      </c>
      <c r="V35" s="256">
        <v>395</v>
      </c>
      <c r="W35" s="256">
        <f>+VLOOKUP(B35,[7]INEGI_Exporta_20210329105635!$B$8:$F$58,4,FALSE)</f>
        <v>10</v>
      </c>
      <c r="X35" s="43">
        <f t="shared" si="5"/>
        <v>3.5180673320548577E-3</v>
      </c>
      <c r="Y35" s="44">
        <f t="shared" si="6"/>
        <v>2.990357232246629E-3</v>
      </c>
      <c r="Z35" s="39">
        <f t="shared" si="7"/>
        <v>-0.12258032088337566</v>
      </c>
      <c r="AA35" s="39">
        <f t="shared" si="8"/>
        <v>-0.12258032088337566</v>
      </c>
      <c r="AB35" s="40">
        <f t="shared" si="18"/>
        <v>1.5547883624561429E-2</v>
      </c>
      <c r="AC35" s="40">
        <f t="shared" si="9"/>
        <v>2.3321825436842143E-3</v>
      </c>
      <c r="AD35" s="100">
        <f t="shared" si="10"/>
        <v>5.3225397759308433E-3</v>
      </c>
      <c r="AF35" s="47">
        <f t="shared" si="11"/>
        <v>533059.32060967304</v>
      </c>
      <c r="AG35" s="48">
        <f t="shared" si="12"/>
        <v>2697736.3686864418</v>
      </c>
      <c r="AH35" s="48">
        <f t="shared" si="13"/>
        <v>10788420.778857097</v>
      </c>
      <c r="AI35" s="48">
        <f t="shared" si="19"/>
        <v>14019216.468153212</v>
      </c>
      <c r="AJ35" s="49">
        <f t="shared" si="20"/>
        <v>1.7291186265501563E-3</v>
      </c>
    </row>
    <row r="36" spans="1:36" ht="14.25">
      <c r="A36" s="158" t="s">
        <v>228</v>
      </c>
      <c r="B36" s="4" t="s">
        <v>20</v>
      </c>
      <c r="C36" s="41">
        <v>574456</v>
      </c>
      <c r="D36" s="41">
        <f>+VLOOKUP(B36,'[5]Recaudación general de '!$B$17:$J$68,7,FALSE)</f>
        <v>112915</v>
      </c>
      <c r="E36" s="45">
        <f t="shared" si="0"/>
        <v>0.19655987577812747</v>
      </c>
      <c r="F36" s="46">
        <f t="shared" si="14"/>
        <v>22194.558373487263</v>
      </c>
      <c r="G36" s="100">
        <f t="shared" si="1"/>
        <v>1.3937357333483521E-5</v>
      </c>
      <c r="H36" s="38">
        <v>3298</v>
      </c>
      <c r="I36" s="94">
        <f t="shared" si="2"/>
        <v>5.7015006806188052E-4</v>
      </c>
      <c r="J36" s="40">
        <f t="shared" si="15"/>
        <v>4.8462755785259843E-4</v>
      </c>
      <c r="K36" s="41">
        <v>561.88</v>
      </c>
      <c r="L36" s="91">
        <f t="shared" si="3"/>
        <v>8.7492802102268827E-3</v>
      </c>
      <c r="M36" s="42">
        <f t="shared" si="16"/>
        <v>1.3123920315340324E-3</v>
      </c>
      <c r="N36" s="100">
        <f t="shared" si="17"/>
        <v>1.7970195893866308E-3</v>
      </c>
      <c r="O36" s="258">
        <v>779</v>
      </c>
      <c r="P36" s="256">
        <v>188</v>
      </c>
      <c r="Q36" s="256">
        <v>1437</v>
      </c>
      <c r="R36" s="256">
        <v>355</v>
      </c>
      <c r="S36" s="43">
        <f t="shared" si="4"/>
        <v>1.0481063203940282E-2</v>
      </c>
      <c r="T36" s="256">
        <v>671.99999999645991</v>
      </c>
      <c r="U36" s="256">
        <f>+VLOOKUP(B36,[6]INEGI_Exporta_20210329111405!$B$9:$T$59,19,FALSE)</f>
        <v>134</v>
      </c>
      <c r="V36" s="256">
        <v>300</v>
      </c>
      <c r="W36" s="256">
        <f>+VLOOKUP(B36,[7]INEGI_Exporta_20210329105635!$B$8:$F$58,4,FALSE)</f>
        <v>75</v>
      </c>
      <c r="X36" s="43">
        <f t="shared" si="5"/>
        <v>5.5306963347555565E-3</v>
      </c>
      <c r="Y36" s="44">
        <f t="shared" si="6"/>
        <v>4.7010918845422226E-3</v>
      </c>
      <c r="Z36" s="39">
        <f t="shared" si="7"/>
        <v>-0.47231533412790316</v>
      </c>
      <c r="AA36" s="39">
        <f t="shared" si="8"/>
        <v>-0.47231533412790316</v>
      </c>
      <c r="AB36" s="40">
        <f t="shared" si="18"/>
        <v>5.9907689881993215E-2</v>
      </c>
      <c r="AC36" s="40">
        <f t="shared" si="9"/>
        <v>8.9861534822989822E-3</v>
      </c>
      <c r="AD36" s="100">
        <f t="shared" si="10"/>
        <v>1.3687245366841204E-2</v>
      </c>
      <c r="AF36" s="47">
        <f t="shared" si="11"/>
        <v>56500.122794334049</v>
      </c>
      <c r="AG36" s="48">
        <f t="shared" si="12"/>
        <v>3642434.682371432</v>
      </c>
      <c r="AH36" s="48">
        <f t="shared" si="13"/>
        <v>27743101.702818308</v>
      </c>
      <c r="AI36" s="48">
        <f t="shared" si="19"/>
        <v>31442036.507984072</v>
      </c>
      <c r="AJ36" s="49">
        <f t="shared" si="20"/>
        <v>3.8780349177237011E-3</v>
      </c>
    </row>
    <row r="37" spans="1:36" ht="14.25">
      <c r="A37" s="158" t="s">
        <v>229</v>
      </c>
      <c r="B37" s="4" t="s">
        <v>168</v>
      </c>
      <c r="C37" s="41">
        <v>369239404</v>
      </c>
      <c r="D37" s="41">
        <f>+VLOOKUP(B37,'[5]Recaudación general de '!$B$17:$J$68,7,FALSE)</f>
        <v>99086847.890000001</v>
      </c>
      <c r="E37" s="45">
        <f t="shared" si="0"/>
        <v>0.26835393735496332</v>
      </c>
      <c r="F37" s="46">
        <f t="shared" si="14"/>
        <v>26590345.771373838</v>
      </c>
      <c r="G37" s="100">
        <f t="shared" si="1"/>
        <v>1.669774835795889E-2</v>
      </c>
      <c r="H37" s="38">
        <v>471523</v>
      </c>
      <c r="I37" s="94">
        <f t="shared" si="2"/>
        <v>8.1515727878332944E-2</v>
      </c>
      <c r="J37" s="40">
        <f t="shared" si="15"/>
        <v>6.9288368696583003E-2</v>
      </c>
      <c r="K37" s="41">
        <v>247</v>
      </c>
      <c r="L37" s="91">
        <f t="shared" si="3"/>
        <v>3.8461454615327825E-3</v>
      </c>
      <c r="M37" s="42">
        <f t="shared" si="16"/>
        <v>5.769218192299174E-4</v>
      </c>
      <c r="N37" s="100">
        <f t="shared" si="17"/>
        <v>6.9865290515812917E-2</v>
      </c>
      <c r="O37" s="258">
        <v>7826</v>
      </c>
      <c r="P37" s="256">
        <v>2619</v>
      </c>
      <c r="Q37" s="256">
        <v>3702</v>
      </c>
      <c r="R37" s="256">
        <v>260</v>
      </c>
      <c r="S37" s="43">
        <f t="shared" si="4"/>
        <v>2.5768872466013677E-2</v>
      </c>
      <c r="T37" s="256">
        <v>16068.000000124277</v>
      </c>
      <c r="U37" s="256">
        <f>+VLOOKUP(B37,[6]INEGI_Exporta_20210329111405!$B$9:$T$59,19,FALSE)</f>
        <v>3566</v>
      </c>
      <c r="V37" s="256">
        <v>735</v>
      </c>
      <c r="W37" s="256">
        <f>+VLOOKUP(B37,[7]INEGI_Exporta_20210329105635!$B$8:$F$58,4,FALSE)</f>
        <v>271</v>
      </c>
      <c r="X37" s="43">
        <f t="shared" si="5"/>
        <v>4.101076717571589E-2</v>
      </c>
      <c r="Y37" s="44">
        <f t="shared" si="6"/>
        <v>3.4859152099358505E-2</v>
      </c>
      <c r="Z37" s="39">
        <f t="shared" si="7"/>
        <v>0.59148473530631207</v>
      </c>
      <c r="AA37" s="39">
        <f t="shared" si="8"/>
        <v>0</v>
      </c>
      <c r="AB37" s="40">
        <f t="shared" si="18"/>
        <v>0</v>
      </c>
      <c r="AC37" s="40">
        <f t="shared" si="9"/>
        <v>0</v>
      </c>
      <c r="AD37" s="100">
        <f t="shared" si="10"/>
        <v>3.4859152099358505E-2</v>
      </c>
      <c r="AF37" s="47">
        <f t="shared" si="11"/>
        <v>67690366.978469819</v>
      </c>
      <c r="AG37" s="48">
        <f t="shared" si="12"/>
        <v>141612121.96669117</v>
      </c>
      <c r="AH37" s="48">
        <f t="shared" si="13"/>
        <v>70657095.423263147</v>
      </c>
      <c r="AI37" s="48">
        <f t="shared" si="19"/>
        <v>279959584.36842412</v>
      </c>
      <c r="AJ37" s="49">
        <f t="shared" si="20"/>
        <v>3.4529984832772309E-2</v>
      </c>
    </row>
    <row r="38" spans="1:36" ht="14.25">
      <c r="A38" s="158" t="s">
        <v>230</v>
      </c>
      <c r="B38" s="4" t="s">
        <v>21</v>
      </c>
      <c r="C38" s="41">
        <v>3808697</v>
      </c>
      <c r="D38" s="41">
        <f>+VLOOKUP(B38,'[5]Recaudación general de '!$B$17:$J$68,7,FALSE)</f>
        <v>1194083</v>
      </c>
      <c r="E38" s="45">
        <f t="shared" si="0"/>
        <v>0.31351483197534485</v>
      </c>
      <c r="F38" s="46">
        <f t="shared" si="14"/>
        <v>374362.73110961571</v>
      </c>
      <c r="G38" s="100">
        <f t="shared" si="1"/>
        <v>2.3508587411436363E-4</v>
      </c>
      <c r="H38" s="38">
        <v>5351</v>
      </c>
      <c r="I38" s="94">
        <f t="shared" si="2"/>
        <v>9.2506762104279034E-4</v>
      </c>
      <c r="J38" s="40">
        <f t="shared" si="15"/>
        <v>7.8630747788637173E-4</v>
      </c>
      <c r="K38" s="41">
        <v>3428.68</v>
      </c>
      <c r="L38" s="91">
        <f t="shared" si="3"/>
        <v>5.3389481866591988E-2</v>
      </c>
      <c r="M38" s="42">
        <f t="shared" si="16"/>
        <v>8.0084222799887972E-3</v>
      </c>
      <c r="N38" s="100">
        <f t="shared" si="17"/>
        <v>8.7947297578751683E-3</v>
      </c>
      <c r="O38" s="258">
        <v>900</v>
      </c>
      <c r="P38" s="256">
        <v>170</v>
      </c>
      <c r="Q38" s="256">
        <v>749</v>
      </c>
      <c r="R38" s="256">
        <v>32</v>
      </c>
      <c r="S38" s="43">
        <f t="shared" si="4"/>
        <v>3.2103292508626068E-3</v>
      </c>
      <c r="T38" s="256">
        <v>711.99999999240003</v>
      </c>
      <c r="U38" s="256">
        <f>+VLOOKUP(B38,[6]INEGI_Exporta_20210329111405!$B$9:$T$59,19,FALSE)</f>
        <v>165</v>
      </c>
      <c r="V38" s="256">
        <v>176</v>
      </c>
      <c r="W38" s="256">
        <f>+VLOOKUP(B38,[7]INEGI_Exporta_20210329105635!$B$8:$F$58,4,FALSE)</f>
        <v>26</v>
      </c>
      <c r="X38" s="43">
        <f t="shared" si="5"/>
        <v>3.1168282000013352E-3</v>
      </c>
      <c r="Y38" s="44">
        <f t="shared" si="6"/>
        <v>2.649303970001135E-3</v>
      </c>
      <c r="Z38" s="39">
        <f t="shared" si="7"/>
        <v>-2.9125065859256664E-2</v>
      </c>
      <c r="AA38" s="39">
        <f t="shared" si="8"/>
        <v>-2.9125065859256664E-2</v>
      </c>
      <c r="AB38" s="40">
        <f t="shared" si="18"/>
        <v>3.6941748175732102E-3</v>
      </c>
      <c r="AC38" s="40">
        <f t="shared" si="9"/>
        <v>5.5412622263598154E-4</v>
      </c>
      <c r="AD38" s="100">
        <f t="shared" si="10"/>
        <v>3.2034301926371165E-3</v>
      </c>
      <c r="AF38" s="47">
        <f t="shared" si="11"/>
        <v>953005.68370769371</v>
      </c>
      <c r="AG38" s="48">
        <f t="shared" si="12"/>
        <v>17826310.231321812</v>
      </c>
      <c r="AH38" s="48">
        <f t="shared" si="13"/>
        <v>6493131.9085953413</v>
      </c>
      <c r="AI38" s="48">
        <f t="shared" si="19"/>
        <v>25272447.823624849</v>
      </c>
      <c r="AJ38" s="49">
        <f t="shared" si="20"/>
        <v>3.1170829246852539E-3</v>
      </c>
    </row>
    <row r="39" spans="1:36" ht="14.25">
      <c r="A39" s="158" t="s">
        <v>231</v>
      </c>
      <c r="B39" s="4" t="s">
        <v>22</v>
      </c>
      <c r="C39" s="41">
        <v>39439786</v>
      </c>
      <c r="D39" s="41">
        <f>+VLOOKUP(B39,'[5]Recaudación general de '!$B$17:$J$68,7,FALSE)</f>
        <v>10280239</v>
      </c>
      <c r="E39" s="45">
        <f t="shared" ref="E39:E58" si="21">+D39/C39</f>
        <v>0.26065656137180865</v>
      </c>
      <c r="F39" s="46">
        <f t="shared" si="14"/>
        <v>2679611.7478203606</v>
      </c>
      <c r="G39" s="100">
        <f t="shared" ref="G39:G57" si="22">+F39/F$58</f>
        <v>1.6826965338037809E-3</v>
      </c>
      <c r="H39" s="38">
        <v>84666</v>
      </c>
      <c r="I39" s="94">
        <f t="shared" ref="I39:I57" si="23">+H39/$H$58</f>
        <v>1.4636848290638924E-2</v>
      </c>
      <c r="J39" s="40">
        <f t="shared" si="15"/>
        <v>1.2441321047043085E-2</v>
      </c>
      <c r="K39" s="41">
        <v>2539.67</v>
      </c>
      <c r="L39" s="91">
        <f t="shared" ref="L39:L58" si="24">+K39/$K$58</f>
        <v>3.9546316778505917E-2</v>
      </c>
      <c r="M39" s="42">
        <f t="shared" si="16"/>
        <v>5.9319475167758876E-3</v>
      </c>
      <c r="N39" s="100">
        <f t="shared" si="17"/>
        <v>1.8373268563818972E-2</v>
      </c>
      <c r="O39" s="258">
        <v>12929</v>
      </c>
      <c r="P39" s="256">
        <v>1702</v>
      </c>
      <c r="Q39" s="256">
        <v>11424</v>
      </c>
      <c r="R39" s="256">
        <v>888</v>
      </c>
      <c r="S39" s="43">
        <f t="shared" ref="S39:S57" si="25">(0.25*(O39/O$58))+(0.25*(P39/P$58))+(0.25*(Q39/Q$58))+(0.25*(R39/R$58))</f>
        <v>5.2741452105129996E-2</v>
      </c>
      <c r="T39" s="256">
        <v>10671.999999957041</v>
      </c>
      <c r="U39" s="256">
        <f>+VLOOKUP(B39,[6]INEGI_Exporta_20210329111405!$B$9:$T$59,19,FALSE)</f>
        <v>1334</v>
      </c>
      <c r="V39" s="256">
        <v>4922</v>
      </c>
      <c r="W39" s="256">
        <f>+VLOOKUP(B39,[7]INEGI_Exporta_20210329105635!$B$8:$F$58,4,FALSE)</f>
        <v>346</v>
      </c>
      <c r="X39" s="43">
        <f t="shared" ref="X39:X57" si="26">(0.25*(T39/T$58))+(0.25*(U39/U$58))+(0.25*(V39/V$58))+(0.25*(W39/W$58))</f>
        <v>5.1935046247198774E-2</v>
      </c>
      <c r="Y39" s="44">
        <f t="shared" ref="Y39:Y57" si="27">+X39*Y$4</f>
        <v>4.4144789310118955E-2</v>
      </c>
      <c r="Z39" s="39">
        <f t="shared" ref="Z39:Z57" si="28">+(X39-S39)/S39</f>
        <v>-1.528979248284265E-2</v>
      </c>
      <c r="AA39" s="39">
        <f t="shared" si="8"/>
        <v>-1.528979248284265E-2</v>
      </c>
      <c r="AB39" s="40">
        <f t="shared" si="18"/>
        <v>1.9393317985609204E-3</v>
      </c>
      <c r="AC39" s="40">
        <f t="shared" ref="AC39:AC57" si="29">+AB39*AC$4</f>
        <v>2.9089976978413802E-4</v>
      </c>
      <c r="AD39" s="100">
        <f t="shared" si="10"/>
        <v>4.4435689079903092E-2</v>
      </c>
      <c r="AF39" s="47">
        <f t="shared" ref="AF39:AF57" si="30">+G39*AF$5</f>
        <v>6821419.4779313551</v>
      </c>
      <c r="AG39" s="48">
        <f t="shared" ref="AG39:AG57" si="31">+N39*AG$5</f>
        <v>37241347.306748986</v>
      </c>
      <c r="AH39" s="48">
        <f t="shared" ref="AH39:AH57" si="32">+AD39*AH$5</f>
        <v>90068074.93676655</v>
      </c>
      <c r="AI39" s="48">
        <f t="shared" si="19"/>
        <v>134130841.7214469</v>
      </c>
      <c r="AJ39" s="49">
        <f t="shared" si="20"/>
        <v>1.654358767783241E-2</v>
      </c>
    </row>
    <row r="40" spans="1:36" ht="14.25">
      <c r="A40" s="158" t="s">
        <v>232</v>
      </c>
      <c r="B40" s="4" t="s">
        <v>169</v>
      </c>
      <c r="C40" s="41">
        <v>2142351</v>
      </c>
      <c r="D40" s="41">
        <f>+VLOOKUP(B40,'[5]Recaudación general de '!$B$17:$J$68,7,FALSE)</f>
        <v>940947</v>
      </c>
      <c r="E40" s="45">
        <f t="shared" si="21"/>
        <v>0.43921234195516984</v>
      </c>
      <c r="F40" s="46">
        <f t="shared" si="14"/>
        <v>413275.53552569117</v>
      </c>
      <c r="G40" s="100">
        <f t="shared" si="22"/>
        <v>2.5952166827923688E-4</v>
      </c>
      <c r="H40" s="38">
        <v>5119</v>
      </c>
      <c r="I40" s="94">
        <f t="shared" si="23"/>
        <v>8.8496003590320376E-4</v>
      </c>
      <c r="J40" s="40">
        <f t="shared" si="15"/>
        <v>7.5221603051772322E-4</v>
      </c>
      <c r="K40" s="41">
        <v>264.23</v>
      </c>
      <c r="L40" s="91">
        <f t="shared" si="24"/>
        <v>4.114441357493147E-3</v>
      </c>
      <c r="M40" s="42">
        <f t="shared" si="16"/>
        <v>6.1716620362397201E-4</v>
      </c>
      <c r="N40" s="100">
        <f t="shared" si="17"/>
        <v>1.3693822341416953E-3</v>
      </c>
      <c r="O40" s="258">
        <v>549</v>
      </c>
      <c r="P40" s="256">
        <v>118</v>
      </c>
      <c r="Q40" s="256">
        <v>143</v>
      </c>
      <c r="R40" s="256">
        <v>8</v>
      </c>
      <c r="S40" s="43">
        <f t="shared" si="25"/>
        <v>1.1599041643378795E-3</v>
      </c>
      <c r="T40" s="256">
        <v>273.99999999933596</v>
      </c>
      <c r="U40" s="256">
        <f>+VLOOKUP(B40,[6]INEGI_Exporta_20210329111405!$B$9:$T$59,19,FALSE)</f>
        <v>106</v>
      </c>
      <c r="V40" s="256">
        <v>22</v>
      </c>
      <c r="W40" s="256">
        <f>+VLOOKUP(B40,[7]INEGI_Exporta_20210329105635!$B$8:$F$58,4,FALSE)</f>
        <v>0</v>
      </c>
      <c r="X40" s="43">
        <f t="shared" si="26"/>
        <v>7.395471817715941E-4</v>
      </c>
      <c r="Y40" s="44">
        <f t="shared" si="27"/>
        <v>6.2861510450585494E-4</v>
      </c>
      <c r="Z40" s="39">
        <f t="shared" si="28"/>
        <v>-0.36240665004099049</v>
      </c>
      <c r="AA40" s="39">
        <f t="shared" si="8"/>
        <v>-0.36240665004099049</v>
      </c>
      <c r="AB40" s="40">
        <f t="shared" si="18"/>
        <v>4.5967055551807197E-2</v>
      </c>
      <c r="AC40" s="40">
        <f t="shared" si="29"/>
        <v>6.8950583327710797E-3</v>
      </c>
      <c r="AD40" s="100">
        <f t="shared" si="10"/>
        <v>7.523673437276935E-3</v>
      </c>
      <c r="AF40" s="47">
        <f t="shared" si="30"/>
        <v>1052065.0202704116</v>
      </c>
      <c r="AG40" s="48">
        <f t="shared" si="31"/>
        <v>2775643.2776358784</v>
      </c>
      <c r="AH40" s="48">
        <f t="shared" si="32"/>
        <v>15249966.79425629</v>
      </c>
      <c r="AI40" s="48">
        <f t="shared" si="19"/>
        <v>19077675.092162579</v>
      </c>
      <c r="AJ40" s="49">
        <f t="shared" si="20"/>
        <v>2.3530247519942763E-3</v>
      </c>
    </row>
    <row r="41" spans="1:36" ht="14.25">
      <c r="A41" s="158" t="s">
        <v>233</v>
      </c>
      <c r="B41" s="4" t="s">
        <v>23</v>
      </c>
      <c r="C41" s="41">
        <v>758867</v>
      </c>
      <c r="D41" s="41">
        <f>+VLOOKUP(B41,'[5]Recaudación general de '!$B$17:$J$68,7,FALSE)</f>
        <v>301669</v>
      </c>
      <c r="E41" s="45">
        <f t="shared" si="21"/>
        <v>0.39752552159996418</v>
      </c>
      <c r="F41" s="46">
        <f t="shared" si="14"/>
        <v>119921.1265755396</v>
      </c>
      <c r="G41" s="100">
        <f t="shared" si="22"/>
        <v>7.5306008112050149E-5</v>
      </c>
      <c r="H41" s="38">
        <v>1483</v>
      </c>
      <c r="I41" s="94">
        <f t="shared" si="23"/>
        <v>2.5637736535347747E-4</v>
      </c>
      <c r="J41" s="40">
        <f t="shared" si="15"/>
        <v>2.1792076055045584E-4</v>
      </c>
      <c r="K41" s="41">
        <v>207.92</v>
      </c>
      <c r="L41" s="91">
        <f t="shared" si="24"/>
        <v>3.2376136208983647E-3</v>
      </c>
      <c r="M41" s="42">
        <f t="shared" si="16"/>
        <v>4.8564204313475466E-4</v>
      </c>
      <c r="N41" s="100">
        <f t="shared" si="17"/>
        <v>7.0356280368521053E-4</v>
      </c>
      <c r="O41" s="258">
        <v>166</v>
      </c>
      <c r="P41" s="256">
        <v>28</v>
      </c>
      <c r="Q41" s="256">
        <v>16</v>
      </c>
      <c r="R41" s="256">
        <v>3</v>
      </c>
      <c r="S41" s="43">
        <f t="shared" si="25"/>
        <v>2.7977761574675224E-4</v>
      </c>
      <c r="T41" s="256">
        <v>122.00000000265999</v>
      </c>
      <c r="U41" s="256">
        <f>+VLOOKUP(B41,[6]INEGI_Exporta_20210329111405!$B$9:$T$59,19,FALSE)</f>
        <v>17</v>
      </c>
      <c r="V41" s="256">
        <v>14</v>
      </c>
      <c r="W41" s="256">
        <f>+VLOOKUP(B41,[7]INEGI_Exporta_20210329105635!$B$8:$F$58,4,FALSE)</f>
        <v>3</v>
      </c>
      <c r="X41" s="43">
        <f t="shared" si="26"/>
        <v>3.515070065353251E-4</v>
      </c>
      <c r="Y41" s="44">
        <f t="shared" si="27"/>
        <v>2.9878095555502634E-4</v>
      </c>
      <c r="Z41" s="39">
        <f t="shared" si="28"/>
        <v>0.25638002024257911</v>
      </c>
      <c r="AA41" s="39">
        <f t="shared" si="8"/>
        <v>0</v>
      </c>
      <c r="AB41" s="40">
        <f t="shared" si="18"/>
        <v>0</v>
      </c>
      <c r="AC41" s="40">
        <f t="shared" si="29"/>
        <v>0</v>
      </c>
      <c r="AD41" s="100">
        <f t="shared" si="10"/>
        <v>2.9878095555502634E-4</v>
      </c>
      <c r="AF41" s="47">
        <f t="shared" si="30"/>
        <v>305280.16206200689</v>
      </c>
      <c r="AG41" s="48">
        <f t="shared" si="31"/>
        <v>1426073.2451137071</v>
      </c>
      <c r="AH41" s="48">
        <f t="shared" si="32"/>
        <v>605608.37587595067</v>
      </c>
      <c r="AI41" s="48">
        <f t="shared" si="19"/>
        <v>2336961.7830516649</v>
      </c>
      <c r="AJ41" s="49">
        <f t="shared" si="20"/>
        <v>2.8823894386608437E-4</v>
      </c>
    </row>
    <row r="42" spans="1:36" ht="14.25">
      <c r="A42" s="158" t="s">
        <v>234</v>
      </c>
      <c r="B42" s="4" t="s">
        <v>24</v>
      </c>
      <c r="C42" s="41">
        <v>746282</v>
      </c>
      <c r="D42" s="41">
        <f>+VLOOKUP(B42,'[5]Recaudación general de '!$B$17:$J$68,7,FALSE)</f>
        <v>64774</v>
      </c>
      <c r="E42" s="45">
        <f t="shared" si="21"/>
        <v>8.6795608094527271E-2</v>
      </c>
      <c r="F42" s="46">
        <f t="shared" si="14"/>
        <v>5622.0987187149094</v>
      </c>
      <c r="G42" s="100">
        <f t="shared" si="22"/>
        <v>3.5304689324412032E-6</v>
      </c>
      <c r="H42" s="38">
        <v>7652</v>
      </c>
      <c r="I42" s="94">
        <f t="shared" si="23"/>
        <v>1.322858799517741E-3</v>
      </c>
      <c r="J42" s="40">
        <f t="shared" si="15"/>
        <v>1.1244299795900798E-3</v>
      </c>
      <c r="K42" s="41">
        <v>1006.78</v>
      </c>
      <c r="L42" s="91">
        <f t="shared" si="24"/>
        <v>1.5677013472720547E-2</v>
      </c>
      <c r="M42" s="42">
        <f t="shared" si="16"/>
        <v>2.3515520209080819E-3</v>
      </c>
      <c r="N42" s="100">
        <f t="shared" si="17"/>
        <v>3.4759820004981617E-3</v>
      </c>
      <c r="O42" s="258">
        <v>1457</v>
      </c>
      <c r="P42" s="256">
        <v>656</v>
      </c>
      <c r="Q42" s="256">
        <v>3161</v>
      </c>
      <c r="R42" s="256">
        <v>242</v>
      </c>
      <c r="S42" s="43">
        <f t="shared" si="25"/>
        <v>1.3917613986608209E-2</v>
      </c>
      <c r="T42" s="256">
        <v>1103.9999999949041</v>
      </c>
      <c r="U42" s="256">
        <f>+VLOOKUP(B42,[6]INEGI_Exporta_20210329111405!$B$9:$T$59,19,FALSE)</f>
        <v>595</v>
      </c>
      <c r="V42" s="256">
        <v>4358</v>
      </c>
      <c r="W42" s="256">
        <f>+VLOOKUP(B42,[7]INEGI_Exporta_20210329105635!$B$8:$F$58,4,FALSE)</f>
        <v>125</v>
      </c>
      <c r="X42" s="43">
        <f t="shared" si="26"/>
        <v>2.9923630557353052E-2</v>
      </c>
      <c r="Y42" s="44">
        <f t="shared" si="27"/>
        <v>2.5435085973750094E-2</v>
      </c>
      <c r="Z42" s="39">
        <f t="shared" si="28"/>
        <v>1.1500546419915179</v>
      </c>
      <c r="AA42" s="39">
        <f t="shared" si="8"/>
        <v>0</v>
      </c>
      <c r="AB42" s="40">
        <f t="shared" si="18"/>
        <v>0</v>
      </c>
      <c r="AC42" s="40">
        <f t="shared" si="29"/>
        <v>0</v>
      </c>
      <c r="AD42" s="100">
        <f t="shared" si="10"/>
        <v>2.5435085973750094E-2</v>
      </c>
      <c r="AF42" s="47">
        <f t="shared" si="30"/>
        <v>14312.033725740255</v>
      </c>
      <c r="AG42" s="48">
        <f t="shared" si="31"/>
        <v>7045575.6123587256</v>
      </c>
      <c r="AH42" s="48">
        <f t="shared" si="32"/>
        <v>51555163.809599228</v>
      </c>
      <c r="AI42" s="48">
        <f t="shared" si="19"/>
        <v>58615051.455683693</v>
      </c>
      <c r="AJ42" s="49">
        <f t="shared" si="20"/>
        <v>7.2295322280282867E-3</v>
      </c>
    </row>
    <row r="43" spans="1:36" ht="14.25">
      <c r="A43" s="158" t="s">
        <v>235</v>
      </c>
      <c r="B43" s="4" t="s">
        <v>25</v>
      </c>
      <c r="C43" s="41">
        <v>4564482</v>
      </c>
      <c r="D43" s="41">
        <f>+VLOOKUP(B43,'[5]Recaudación general de '!$B$17:$J$68,7,FALSE)</f>
        <v>1105076</v>
      </c>
      <c r="E43" s="45">
        <f t="shared" si="21"/>
        <v>0.24210326604420832</v>
      </c>
      <c r="F43" s="46">
        <f t="shared" si="14"/>
        <v>267542.50882706954</v>
      </c>
      <c r="G43" s="100">
        <f t="shared" si="22"/>
        <v>1.680067467291377E-4</v>
      </c>
      <c r="H43" s="38">
        <v>6048</v>
      </c>
      <c r="I43" s="94">
        <f t="shared" si="23"/>
        <v>1.0455632539837032E-3</v>
      </c>
      <c r="J43" s="40">
        <f t="shared" si="15"/>
        <v>8.8872876588614767E-4</v>
      </c>
      <c r="K43" s="41">
        <v>3872.26</v>
      </c>
      <c r="L43" s="91">
        <f t="shared" si="24"/>
        <v>6.0296660829453175E-2</v>
      </c>
      <c r="M43" s="42">
        <f t="shared" si="16"/>
        <v>9.0444991244179752E-3</v>
      </c>
      <c r="N43" s="100">
        <f t="shared" si="17"/>
        <v>9.9332278903041232E-3</v>
      </c>
      <c r="O43" s="258">
        <v>871</v>
      </c>
      <c r="P43" s="256">
        <v>247</v>
      </c>
      <c r="Q43" s="256">
        <v>493</v>
      </c>
      <c r="R43" s="256">
        <v>128</v>
      </c>
      <c r="S43" s="43">
        <f t="shared" si="25"/>
        <v>4.6848694940444004E-3</v>
      </c>
      <c r="T43" s="256">
        <v>541.99999999184001</v>
      </c>
      <c r="U43" s="256">
        <f>+VLOOKUP(B43,[6]INEGI_Exporta_20210329111405!$B$9:$T$59,19,FALSE)</f>
        <v>203</v>
      </c>
      <c r="V43" s="256">
        <v>151</v>
      </c>
      <c r="W43" s="256">
        <f>+VLOOKUP(B43,[7]INEGI_Exporta_20210329105635!$B$8:$F$58,4,FALSE)</f>
        <v>39</v>
      </c>
      <c r="X43" s="43">
        <f t="shared" si="26"/>
        <v>3.5233788487839665E-3</v>
      </c>
      <c r="Y43" s="44">
        <f t="shared" si="27"/>
        <v>2.9948720214663716E-3</v>
      </c>
      <c r="Z43" s="39">
        <f t="shared" si="28"/>
        <v>-0.24792379952888097</v>
      </c>
      <c r="AA43" s="39">
        <f t="shared" si="8"/>
        <v>-0.24792379952888097</v>
      </c>
      <c r="AB43" s="40">
        <f t="shared" si="18"/>
        <v>3.1446241574955056E-2</v>
      </c>
      <c r="AC43" s="40">
        <f t="shared" si="29"/>
        <v>4.7169362362432582E-3</v>
      </c>
      <c r="AD43" s="100">
        <f t="shared" si="10"/>
        <v>7.7118082577096302E-3</v>
      </c>
      <c r="AF43" s="47">
        <f t="shared" si="30"/>
        <v>681076.16051918489</v>
      </c>
      <c r="AG43" s="48">
        <f t="shared" si="31"/>
        <v>20133967.369767241</v>
      </c>
      <c r="AH43" s="48">
        <f t="shared" si="32"/>
        <v>15631303.090729091</v>
      </c>
      <c r="AI43" s="48">
        <f t="shared" si="19"/>
        <v>36446346.621015519</v>
      </c>
      <c r="AJ43" s="49">
        <f t="shared" si="20"/>
        <v>4.4952624103680085E-3</v>
      </c>
    </row>
    <row r="44" spans="1:36" ht="14.25">
      <c r="A44" s="158" t="s">
        <v>236</v>
      </c>
      <c r="B44" s="4" t="s">
        <v>26</v>
      </c>
      <c r="C44" s="41">
        <v>56486259</v>
      </c>
      <c r="D44" s="41">
        <f>+VLOOKUP(B44,'[5]Recaudación general de '!$B$17:$J$68,7,FALSE)</f>
        <v>16891683.199999999</v>
      </c>
      <c r="E44" s="45">
        <f t="shared" si="21"/>
        <v>0.29904057197344225</v>
      </c>
      <c r="F44" s="46">
        <f t="shared" si="14"/>
        <v>5051298.6057221852</v>
      </c>
      <c r="G44" s="100">
        <f t="shared" si="22"/>
        <v>3.1720276872089655E-3</v>
      </c>
      <c r="H44" s="38">
        <v>67428</v>
      </c>
      <c r="I44" s="94">
        <f t="shared" si="23"/>
        <v>1.1656785563758786E-2</v>
      </c>
      <c r="J44" s="40">
        <f t="shared" si="15"/>
        <v>9.9082677291949667E-3</v>
      </c>
      <c r="K44" s="41">
        <v>1869.3</v>
      </c>
      <c r="L44" s="91">
        <f t="shared" si="24"/>
        <v>2.9107691138636562E-2</v>
      </c>
      <c r="M44" s="42">
        <f t="shared" si="16"/>
        <v>4.3661536707954845E-3</v>
      </c>
      <c r="N44" s="100">
        <f t="shared" si="17"/>
        <v>1.4274421399990451E-2</v>
      </c>
      <c r="O44" s="258">
        <v>9097</v>
      </c>
      <c r="P44" s="256">
        <v>1434</v>
      </c>
      <c r="Q44" s="256">
        <v>7372</v>
      </c>
      <c r="R44" s="256">
        <v>494</v>
      </c>
      <c r="S44" s="43">
        <f t="shared" si="25"/>
        <v>3.4181623783210227E-2</v>
      </c>
      <c r="T44" s="256">
        <v>5867.9999999965466</v>
      </c>
      <c r="U44" s="256">
        <f>+VLOOKUP(B44,[6]INEGI_Exporta_20210329111405!$B$9:$T$59,19,FALSE)</f>
        <v>977</v>
      </c>
      <c r="V44" s="256">
        <v>2574</v>
      </c>
      <c r="W44" s="256">
        <f>+VLOOKUP(B44,[7]INEGI_Exporta_20210329105635!$B$8:$F$58,4,FALSE)</f>
        <v>206</v>
      </c>
      <c r="X44" s="43">
        <f t="shared" si="26"/>
        <v>2.9472936173455838E-2</v>
      </c>
      <c r="Y44" s="44">
        <f t="shared" si="27"/>
        <v>2.5051995747437463E-2</v>
      </c>
      <c r="Z44" s="39">
        <f t="shared" si="28"/>
        <v>-0.13775494223499304</v>
      </c>
      <c r="AA44" s="39">
        <f t="shared" si="8"/>
        <v>-0.13775494223499304</v>
      </c>
      <c r="AB44" s="40">
        <f t="shared" si="18"/>
        <v>1.747260730876684E-2</v>
      </c>
      <c r="AC44" s="40">
        <f t="shared" si="29"/>
        <v>2.620891096315026E-3</v>
      </c>
      <c r="AD44" s="100">
        <f t="shared" si="10"/>
        <v>2.7672886843752489E-2</v>
      </c>
      <c r="AF44" s="47">
        <f t="shared" si="30"/>
        <v>12858962.394812873</v>
      </c>
      <c r="AG44" s="48">
        <f t="shared" si="31"/>
        <v>28933266.99674819</v>
      </c>
      <c r="AH44" s="48">
        <f t="shared" si="32"/>
        <v>56091031.726275556</v>
      </c>
      <c r="AI44" s="48">
        <f t="shared" si="19"/>
        <v>97883261.117836624</v>
      </c>
      <c r="AJ44" s="49">
        <f t="shared" si="20"/>
        <v>1.2072840904540222E-2</v>
      </c>
    </row>
    <row r="45" spans="1:36" ht="14.25">
      <c r="A45" s="158" t="s">
        <v>237</v>
      </c>
      <c r="B45" s="4" t="s">
        <v>27</v>
      </c>
      <c r="C45" s="41">
        <v>2430413136</v>
      </c>
      <c r="D45" s="41">
        <f>+VLOOKUP(B45,'[5]Recaudación general de '!$B$17:$J$68,7,FALSE)</f>
        <v>1205887491.6800001</v>
      </c>
      <c r="E45" s="45">
        <f t="shared" si="21"/>
        <v>0.49616564106654831</v>
      </c>
      <c r="F45" s="46">
        <f t="shared" si="14"/>
        <v>598319940.36353922</v>
      </c>
      <c r="G45" s="100">
        <f t="shared" si="22"/>
        <v>0.37572267347101768</v>
      </c>
      <c r="H45" s="38">
        <v>1142994</v>
      </c>
      <c r="I45" s="94">
        <f t="shared" si="23"/>
        <v>0.19759797055619194</v>
      </c>
      <c r="J45" s="40">
        <f t="shared" si="15"/>
        <v>0.16795827497276314</v>
      </c>
      <c r="K45" s="41">
        <v>323.60000000000002</v>
      </c>
      <c r="L45" s="91">
        <f t="shared" si="24"/>
        <v>5.0389176977814112E-3</v>
      </c>
      <c r="M45" s="42">
        <f t="shared" si="16"/>
        <v>7.558376546672117E-4</v>
      </c>
      <c r="N45" s="100">
        <f t="shared" si="17"/>
        <v>0.16871411262743036</v>
      </c>
      <c r="O45" s="258">
        <v>123398</v>
      </c>
      <c r="P45" s="256">
        <v>19246</v>
      </c>
      <c r="Q45" s="256">
        <v>4982</v>
      </c>
      <c r="R45" s="256">
        <v>694</v>
      </c>
      <c r="S45" s="43">
        <f t="shared" si="25"/>
        <v>0.16061061815025374</v>
      </c>
      <c r="T45" s="256">
        <v>88873.999998769097</v>
      </c>
      <c r="U45" s="256">
        <f>+VLOOKUP(B45,[6]INEGI_Exporta_20210329111405!$B$9:$T$59,19,FALSE)</f>
        <v>14067</v>
      </c>
      <c r="V45" s="256">
        <v>2251</v>
      </c>
      <c r="W45" s="256">
        <f>+VLOOKUP(B45,[7]INEGI_Exporta_20210329105635!$B$8:$F$58,4,FALSE)</f>
        <v>390</v>
      </c>
      <c r="X45" s="43">
        <f t="shared" si="26"/>
        <v>0.15160210020375978</v>
      </c>
      <c r="Y45" s="44">
        <f t="shared" si="27"/>
        <v>0.1288617851731958</v>
      </c>
      <c r="Z45" s="39">
        <f t="shared" si="28"/>
        <v>-5.608918046792119E-2</v>
      </c>
      <c r="AA45" s="39">
        <f t="shared" si="8"/>
        <v>-5.608918046792119E-2</v>
      </c>
      <c r="AB45" s="40">
        <f t="shared" si="18"/>
        <v>7.1142581796792507E-3</v>
      </c>
      <c r="AC45" s="40">
        <f t="shared" si="29"/>
        <v>1.0671387269518876E-3</v>
      </c>
      <c r="AD45" s="100">
        <f t="shared" si="10"/>
        <v>0.12992892390014768</v>
      </c>
      <c r="AF45" s="47">
        <f t="shared" si="30"/>
        <v>1523127855.5747647</v>
      </c>
      <c r="AG45" s="48">
        <f t="shared" si="31"/>
        <v>341971862.11499637</v>
      </c>
      <c r="AH45" s="48">
        <f t="shared" si="32"/>
        <v>263356961.41110596</v>
      </c>
      <c r="AI45" s="48">
        <f t="shared" si="19"/>
        <v>2128456679.100867</v>
      </c>
      <c r="AJ45" s="49">
        <f t="shared" si="20"/>
        <v>0.26252209586740344</v>
      </c>
    </row>
    <row r="46" spans="1:36" ht="14.25">
      <c r="A46" s="158" t="s">
        <v>238</v>
      </c>
      <c r="B46" s="4" t="s">
        <v>170</v>
      </c>
      <c r="C46" s="41">
        <v>1354101</v>
      </c>
      <c r="D46" s="41">
        <f>+VLOOKUP(B46,'[5]Recaudación general de '!$B$17:$J$68,7,FALSE)</f>
        <v>451420</v>
      </c>
      <c r="E46" s="45">
        <f t="shared" si="21"/>
        <v>0.33337247369287815</v>
      </c>
      <c r="F46" s="46">
        <f t="shared" si="14"/>
        <v>150491.00207443905</v>
      </c>
      <c r="G46" s="100">
        <f t="shared" si="22"/>
        <v>9.4502753156422046E-5</v>
      </c>
      <c r="H46" s="38">
        <v>906</v>
      </c>
      <c r="I46" s="94">
        <f t="shared" si="23"/>
        <v>1.5662703507097141E-4</v>
      </c>
      <c r="J46" s="40">
        <f t="shared" si="15"/>
        <v>1.331329798103257E-4</v>
      </c>
      <c r="K46" s="41">
        <v>1172.6600000000001</v>
      </c>
      <c r="L46" s="91">
        <f t="shared" si="24"/>
        <v>1.8260003793202563E-2</v>
      </c>
      <c r="M46" s="42">
        <f t="shared" si="16"/>
        <v>2.7390005689803842E-3</v>
      </c>
      <c r="N46" s="100">
        <f t="shared" si="17"/>
        <v>2.8721335487907097E-3</v>
      </c>
      <c r="O46" s="258">
        <v>244</v>
      </c>
      <c r="P46" s="256">
        <v>43</v>
      </c>
      <c r="Q46" s="256">
        <v>84</v>
      </c>
      <c r="R46" s="256">
        <v>27</v>
      </c>
      <c r="S46" s="43">
        <f t="shared" si="25"/>
        <v>9.5179838848569989E-4</v>
      </c>
      <c r="T46" s="256">
        <v>95.999999999399989</v>
      </c>
      <c r="U46" s="256">
        <f>+VLOOKUP(B46,[6]INEGI_Exporta_20210329111405!$B$9:$T$59,19,FALSE)</f>
        <v>31</v>
      </c>
      <c r="V46" s="256">
        <v>6</v>
      </c>
      <c r="W46" s="256">
        <f>+VLOOKUP(B46,[7]INEGI_Exporta_20210329105635!$B$8:$F$58,4,FALSE)</f>
        <v>9</v>
      </c>
      <c r="X46" s="43">
        <f t="shared" si="26"/>
        <v>5.8424890460455434E-4</v>
      </c>
      <c r="Y46" s="44">
        <f t="shared" si="27"/>
        <v>4.9661156891387119E-4</v>
      </c>
      <c r="Z46" s="39">
        <f t="shared" si="28"/>
        <v>-0.38616317103237846</v>
      </c>
      <c r="AA46" s="39">
        <f t="shared" si="8"/>
        <v>-0.38616317103237846</v>
      </c>
      <c r="AB46" s="40">
        <f t="shared" si="18"/>
        <v>4.8980293084852709E-2</v>
      </c>
      <c r="AC46" s="40">
        <f t="shared" si="29"/>
        <v>7.3470439627279062E-3</v>
      </c>
      <c r="AD46" s="100">
        <f t="shared" si="10"/>
        <v>7.8436555316417772E-3</v>
      </c>
      <c r="AF46" s="47">
        <f t="shared" si="30"/>
        <v>383101.11665953422</v>
      </c>
      <c r="AG46" s="48">
        <f t="shared" si="31"/>
        <v>5821616.4766955171</v>
      </c>
      <c r="AH46" s="48">
        <f t="shared" si="32"/>
        <v>15898548.415255854</v>
      </c>
      <c r="AI46" s="48">
        <f t="shared" si="19"/>
        <v>22103266.008610904</v>
      </c>
      <c r="AJ46" s="49">
        <f t="shared" si="20"/>
        <v>2.7261986466863334E-3</v>
      </c>
    </row>
    <row r="47" spans="1:36" ht="14.25">
      <c r="A47" s="158" t="s">
        <v>239</v>
      </c>
      <c r="B47" s="4" t="s">
        <v>171</v>
      </c>
      <c r="C47" s="41">
        <v>81632998</v>
      </c>
      <c r="D47" s="41">
        <f>+VLOOKUP(B47,'[5]Recaudación general de '!$B$17:$J$68,7,FALSE)</f>
        <v>17252658</v>
      </c>
      <c r="E47" s="45">
        <f t="shared" si="21"/>
        <v>0.21134416746522039</v>
      </c>
      <c r="F47" s="46">
        <f t="shared" si="14"/>
        <v>3646248.6415721742</v>
      </c>
      <c r="G47" s="100">
        <f t="shared" si="22"/>
        <v>2.289708557797965E-3</v>
      </c>
      <c r="H47" s="38">
        <v>147624</v>
      </c>
      <c r="I47" s="94">
        <f t="shared" si="23"/>
        <v>2.5520871330372057E-2</v>
      </c>
      <c r="J47" s="40">
        <f t="shared" si="15"/>
        <v>2.1692740630816248E-2</v>
      </c>
      <c r="K47" s="41">
        <v>308.89</v>
      </c>
      <c r="L47" s="91">
        <f t="shared" si="24"/>
        <v>4.8098618283921504E-3</v>
      </c>
      <c r="M47" s="42">
        <f t="shared" si="16"/>
        <v>7.2147927425882249E-4</v>
      </c>
      <c r="N47" s="100">
        <f t="shared" si="17"/>
        <v>2.241421990507507E-2</v>
      </c>
      <c r="O47" s="258">
        <v>1423</v>
      </c>
      <c r="P47" s="256">
        <v>435</v>
      </c>
      <c r="Q47" s="256">
        <v>1115</v>
      </c>
      <c r="R47" s="256">
        <v>155</v>
      </c>
      <c r="S47" s="43">
        <f t="shared" si="25"/>
        <v>7.4041804496497816E-3</v>
      </c>
      <c r="T47" s="256">
        <v>502.9999955589883</v>
      </c>
      <c r="U47" s="256">
        <f>+VLOOKUP(B47,[6]INEGI_Exporta_20210329111405!$B$9:$T$59,19,FALSE)</f>
        <v>1210</v>
      </c>
      <c r="V47" s="256">
        <v>251</v>
      </c>
      <c r="W47" s="256">
        <f>+VLOOKUP(B47,[7]INEGI_Exporta_20210329105635!$B$8:$F$58,4,FALSE)</f>
        <v>178</v>
      </c>
      <c r="X47" s="43">
        <f t="shared" si="26"/>
        <v>1.3450674958247873E-2</v>
      </c>
      <c r="Y47" s="44">
        <f t="shared" si="27"/>
        <v>1.1433073714510692E-2</v>
      </c>
      <c r="Z47" s="39">
        <f t="shared" si="28"/>
        <v>0.81663251587609409</v>
      </c>
      <c r="AA47" s="39">
        <f t="shared" si="8"/>
        <v>0</v>
      </c>
      <c r="AB47" s="40">
        <f t="shared" si="18"/>
        <v>0</v>
      </c>
      <c r="AC47" s="40">
        <f t="shared" si="29"/>
        <v>0</v>
      </c>
      <c r="AD47" s="100">
        <f t="shared" si="10"/>
        <v>1.1433073714510692E-2</v>
      </c>
      <c r="AF47" s="47">
        <f t="shared" si="30"/>
        <v>9282162.4346261881</v>
      </c>
      <c r="AG47" s="48">
        <f t="shared" si="31"/>
        <v>45432076.780204818</v>
      </c>
      <c r="AH47" s="48">
        <f t="shared" si="32"/>
        <v>23174051.340228945</v>
      </c>
      <c r="AI47" s="48">
        <f t="shared" si="19"/>
        <v>77888290.555059955</v>
      </c>
      <c r="AJ47" s="49">
        <f t="shared" si="20"/>
        <v>9.6066776837954258E-3</v>
      </c>
    </row>
    <row r="48" spans="1:36" ht="14.25">
      <c r="A48" s="158" t="s">
        <v>240</v>
      </c>
      <c r="B48" s="4" t="s">
        <v>172</v>
      </c>
      <c r="C48" s="41">
        <v>7103115</v>
      </c>
      <c r="D48" s="41">
        <f>+VLOOKUP(B48,'[5]Recaudación general de '!$B$17:$J$68,7,FALSE)</f>
        <v>1075933</v>
      </c>
      <c r="E48" s="45">
        <f t="shared" si="21"/>
        <v>0.15147340286620728</v>
      </c>
      <c r="F48" s="46">
        <f t="shared" si="14"/>
        <v>162975.232766047</v>
      </c>
      <c r="G48" s="100">
        <f t="shared" si="22"/>
        <v>1.0234238579315125E-4</v>
      </c>
      <c r="H48" s="38">
        <v>5389</v>
      </c>
      <c r="I48" s="94">
        <f t="shared" si="23"/>
        <v>9.3163696688461914E-4</v>
      </c>
      <c r="J48" s="40">
        <f t="shared" si="15"/>
        <v>7.918914218519263E-4</v>
      </c>
      <c r="K48" s="41">
        <v>1341.58</v>
      </c>
      <c r="L48" s="91">
        <f t="shared" si="24"/>
        <v>2.089033128859575E-2</v>
      </c>
      <c r="M48" s="42">
        <f t="shared" si="16"/>
        <v>3.1335496932893623E-3</v>
      </c>
      <c r="N48" s="100">
        <f t="shared" si="17"/>
        <v>3.9254411151412889E-3</v>
      </c>
      <c r="O48" s="258">
        <v>1104</v>
      </c>
      <c r="P48" s="256">
        <v>264</v>
      </c>
      <c r="Q48" s="256">
        <v>999</v>
      </c>
      <c r="R48" s="256">
        <v>49</v>
      </c>
      <c r="S48" s="43">
        <f t="shared" si="25"/>
        <v>4.4677612588684239E-3</v>
      </c>
      <c r="T48" s="256">
        <v>511.00000000414997</v>
      </c>
      <c r="U48" s="256">
        <f>+VLOOKUP(B48,[6]INEGI_Exporta_20210329111405!$B$9:$T$59,19,FALSE)</f>
        <v>185</v>
      </c>
      <c r="V48" s="256">
        <v>408</v>
      </c>
      <c r="W48" s="256">
        <f>+VLOOKUP(B48,[7]INEGI_Exporta_20210329105635!$B$8:$F$58,4,FALSE)</f>
        <v>13</v>
      </c>
      <c r="X48" s="43">
        <f t="shared" si="26"/>
        <v>3.678850456694578E-3</v>
      </c>
      <c r="Y48" s="44">
        <f t="shared" si="27"/>
        <v>3.1270228881903912E-3</v>
      </c>
      <c r="Z48" s="39">
        <f t="shared" si="28"/>
        <v>-0.17657854940388151</v>
      </c>
      <c r="AA48" s="39">
        <f t="shared" si="8"/>
        <v>-0.17657854940388151</v>
      </c>
      <c r="AB48" s="40">
        <f t="shared" si="18"/>
        <v>2.2396928943736797E-2</v>
      </c>
      <c r="AC48" s="40">
        <f t="shared" si="29"/>
        <v>3.3595393415605194E-3</v>
      </c>
      <c r="AD48" s="100">
        <f t="shared" si="10"/>
        <v>6.4865622297509105E-3</v>
      </c>
      <c r="AF48" s="47">
        <f t="shared" si="30"/>
        <v>414881.90522936854</v>
      </c>
      <c r="AG48" s="48">
        <f t="shared" si="31"/>
        <v>7956598.2173170149</v>
      </c>
      <c r="AH48" s="48">
        <f t="shared" si="32"/>
        <v>13147813.955144335</v>
      </c>
      <c r="AI48" s="48">
        <f t="shared" si="19"/>
        <v>21519294.077690717</v>
      </c>
      <c r="AJ48" s="49">
        <f t="shared" si="20"/>
        <v>2.6541720291196258E-3</v>
      </c>
    </row>
    <row r="49" spans="1:36" ht="14.25">
      <c r="A49" s="158" t="s">
        <v>241</v>
      </c>
      <c r="B49" s="4" t="s">
        <v>28</v>
      </c>
      <c r="C49" s="41">
        <v>939947</v>
      </c>
      <c r="D49" s="41">
        <f>+VLOOKUP(B49,'[5]Recaudación general de '!$B$17:$J$68,7,FALSE)</f>
        <v>222448</v>
      </c>
      <c r="E49" s="45">
        <f t="shared" si="21"/>
        <v>0.23666015211495967</v>
      </c>
      <c r="F49" s="46">
        <f t="shared" si="14"/>
        <v>52644.577517668549</v>
      </c>
      <c r="G49" s="100">
        <f t="shared" si="22"/>
        <v>3.3058837044061201E-5</v>
      </c>
      <c r="H49" s="38">
        <v>2377</v>
      </c>
      <c r="I49" s="94">
        <f t="shared" si="23"/>
        <v>4.1092987015860824E-4</v>
      </c>
      <c r="J49" s="40">
        <f t="shared" si="15"/>
        <v>3.4929038963481702E-4</v>
      </c>
      <c r="K49" s="41">
        <v>673.76</v>
      </c>
      <c r="L49" s="91">
        <f t="shared" si="24"/>
        <v>1.0491412818470961E-2</v>
      </c>
      <c r="M49" s="42">
        <f t="shared" si="16"/>
        <v>1.5737119227706442E-3</v>
      </c>
      <c r="N49" s="100">
        <f t="shared" si="17"/>
        <v>1.9230023124054611E-3</v>
      </c>
      <c r="O49" s="258">
        <v>671</v>
      </c>
      <c r="P49" s="256">
        <v>212</v>
      </c>
      <c r="Q49" s="256">
        <v>872</v>
      </c>
      <c r="R49" s="256">
        <v>90</v>
      </c>
      <c r="S49" s="43">
        <f t="shared" si="25"/>
        <v>4.525928718865738E-3</v>
      </c>
      <c r="T49" s="256">
        <v>600.99999999995009</v>
      </c>
      <c r="U49" s="256">
        <f>+VLOOKUP(B49,[6]INEGI_Exporta_20210329111405!$B$9:$T$59,19,FALSE)</f>
        <v>181</v>
      </c>
      <c r="V49" s="256">
        <v>344</v>
      </c>
      <c r="W49" s="256">
        <f>+VLOOKUP(B49,[7]INEGI_Exporta_20210329105635!$B$8:$F$58,4,FALSE)</f>
        <v>35</v>
      </c>
      <c r="X49" s="43">
        <f t="shared" si="26"/>
        <v>4.2886635759841803E-3</v>
      </c>
      <c r="Y49" s="44">
        <f t="shared" si="27"/>
        <v>3.6453640395865531E-3</v>
      </c>
      <c r="Z49" s="39">
        <f t="shared" si="28"/>
        <v>-5.242352622403202E-2</v>
      </c>
      <c r="AA49" s="39">
        <f t="shared" si="8"/>
        <v>-5.242352622403202E-2</v>
      </c>
      <c r="AB49" s="40">
        <f t="shared" si="18"/>
        <v>6.6493127040829483E-3</v>
      </c>
      <c r="AC49" s="40">
        <f t="shared" si="29"/>
        <v>9.9739690561244224E-4</v>
      </c>
      <c r="AD49" s="100">
        <f t="shared" si="10"/>
        <v>4.6427609451989956E-3</v>
      </c>
      <c r="AF49" s="47">
        <f t="shared" si="30"/>
        <v>134015.96211786944</v>
      </c>
      <c r="AG49" s="48">
        <f t="shared" si="31"/>
        <v>3897792.966951964</v>
      </c>
      <c r="AH49" s="48">
        <f t="shared" si="32"/>
        <v>9410556.0054159109</v>
      </c>
      <c r="AI49" s="48">
        <f t="shared" si="19"/>
        <v>13442364.934485745</v>
      </c>
      <c r="AJ49" s="49">
        <f t="shared" si="20"/>
        <v>1.6579702329231451E-3</v>
      </c>
    </row>
    <row r="50" spans="1:36" ht="14.25">
      <c r="A50" s="158" t="s">
        <v>242</v>
      </c>
      <c r="B50" s="4" t="s">
        <v>29</v>
      </c>
      <c r="C50" s="41">
        <v>19089007</v>
      </c>
      <c r="D50" s="41">
        <f>+VLOOKUP(B50,'[5]Recaudación general de '!$B$17:$J$68,7,FALSE)</f>
        <v>7881801</v>
      </c>
      <c r="E50" s="45">
        <f t="shared" si="21"/>
        <v>0.41289738119955638</v>
      </c>
      <c r="F50" s="46">
        <f t="shared" si="14"/>
        <v>3254374.9920360446</v>
      </c>
      <c r="G50" s="100">
        <f t="shared" si="22"/>
        <v>2.0436264780713579E-3</v>
      </c>
      <c r="H50" s="38">
        <v>34709</v>
      </c>
      <c r="I50" s="94">
        <f t="shared" si="23"/>
        <v>6.0004059164220159E-3</v>
      </c>
      <c r="J50" s="40">
        <f t="shared" si="15"/>
        <v>5.1003450289587131E-3</v>
      </c>
      <c r="K50" s="41">
        <v>1542.15</v>
      </c>
      <c r="L50" s="91">
        <f t="shared" si="24"/>
        <v>2.4013494831995066E-2</v>
      </c>
      <c r="M50" s="42">
        <f t="shared" si="16"/>
        <v>3.6020242247992596E-3</v>
      </c>
      <c r="N50" s="100">
        <f t="shared" si="17"/>
        <v>8.7023692537579727E-3</v>
      </c>
      <c r="O50" s="258">
        <v>4789</v>
      </c>
      <c r="P50" s="256">
        <v>841</v>
      </c>
      <c r="Q50" s="256">
        <v>1534</v>
      </c>
      <c r="R50" s="256">
        <v>182</v>
      </c>
      <c r="S50" s="43">
        <f t="shared" si="25"/>
        <v>1.2100958797318876E-2</v>
      </c>
      <c r="T50" s="256">
        <v>3480.0000000606401</v>
      </c>
      <c r="U50" s="256">
        <f>+VLOOKUP(B50,[6]INEGI_Exporta_20210329111405!$B$9:$T$59,19,FALSE)</f>
        <v>651</v>
      </c>
      <c r="V50" s="256">
        <v>448</v>
      </c>
      <c r="W50" s="256">
        <f>+VLOOKUP(B50,[7]INEGI_Exporta_20210329105635!$B$8:$F$58,4,FALSE)</f>
        <v>54</v>
      </c>
      <c r="X50" s="43">
        <f t="shared" si="26"/>
        <v>9.6638113248825736E-3</v>
      </c>
      <c r="Y50" s="44">
        <f t="shared" si="27"/>
        <v>8.2142396261501872E-3</v>
      </c>
      <c r="Z50" s="39">
        <f t="shared" si="28"/>
        <v>-0.201401187563442</v>
      </c>
      <c r="AA50" s="39">
        <f t="shared" si="8"/>
        <v>-0.201401187563442</v>
      </c>
      <c r="AB50" s="40">
        <f t="shared" si="18"/>
        <v>2.554539100174227E-2</v>
      </c>
      <c r="AC50" s="40">
        <f t="shared" si="29"/>
        <v>3.8318086502613403E-3</v>
      </c>
      <c r="AD50" s="100">
        <f t="shared" si="10"/>
        <v>1.2046048276411528E-2</v>
      </c>
      <c r="AF50" s="47">
        <f t="shared" si="30"/>
        <v>8284579.6512217745</v>
      </c>
      <c r="AG50" s="48">
        <f t="shared" si="31"/>
        <v>17639101.863942463</v>
      </c>
      <c r="AH50" s="48">
        <f t="shared" si="32"/>
        <v>24416508.471395291</v>
      </c>
      <c r="AI50" s="48">
        <f t="shared" si="19"/>
        <v>50340189.986559525</v>
      </c>
      <c r="AJ50" s="49">
        <f t="shared" si="20"/>
        <v>6.2089176215780551E-3</v>
      </c>
    </row>
    <row r="51" spans="1:36" ht="14.25">
      <c r="A51" s="158" t="s">
        <v>243</v>
      </c>
      <c r="B51" s="4" t="s">
        <v>30</v>
      </c>
      <c r="C51" s="41">
        <v>119215481</v>
      </c>
      <c r="D51" s="41">
        <f>+VLOOKUP(B51,'[5]Recaudación general de '!$B$17:$J$68,7,FALSE)</f>
        <v>19038713.890000001</v>
      </c>
      <c r="E51" s="45">
        <f t="shared" si="21"/>
        <v>0.15970001320549973</v>
      </c>
      <c r="F51" s="46">
        <f t="shared" si="14"/>
        <v>3040482.8596487311</v>
      </c>
      <c r="G51" s="100">
        <f t="shared" si="22"/>
        <v>1.9093101727077942E-3</v>
      </c>
      <c r="H51" s="38">
        <v>86766</v>
      </c>
      <c r="I51" s="94">
        <f t="shared" si="23"/>
        <v>1.4999891087161044E-2</v>
      </c>
      <c r="J51" s="40">
        <f t="shared" si="15"/>
        <v>1.2749907424086887E-2</v>
      </c>
      <c r="K51" s="41">
        <v>1658.08</v>
      </c>
      <c r="L51" s="91">
        <f t="shared" si="24"/>
        <v>2.5818691768656987E-2</v>
      </c>
      <c r="M51" s="42">
        <f t="shared" si="16"/>
        <v>3.8728037652985478E-3</v>
      </c>
      <c r="N51" s="100">
        <f t="shared" si="17"/>
        <v>1.6622711189385436E-2</v>
      </c>
      <c r="O51" s="258">
        <v>2382</v>
      </c>
      <c r="P51" s="256">
        <v>775</v>
      </c>
      <c r="Q51" s="256">
        <v>2276</v>
      </c>
      <c r="R51" s="256">
        <v>675</v>
      </c>
      <c r="S51" s="43">
        <f t="shared" si="25"/>
        <v>2.0954130559288194E-2</v>
      </c>
      <c r="T51" s="256">
        <v>1795.99999997852</v>
      </c>
      <c r="U51" s="256">
        <f>+VLOOKUP(B51,[6]INEGI_Exporta_20210329111405!$B$9:$T$59,19,FALSE)</f>
        <v>951</v>
      </c>
      <c r="V51" s="256">
        <v>379</v>
      </c>
      <c r="W51" s="256">
        <f>+VLOOKUP(B51,[7]INEGI_Exporta_20210329105635!$B$8:$F$58,4,FALSE)</f>
        <v>86</v>
      </c>
      <c r="X51" s="43">
        <f t="shared" si="26"/>
        <v>1.0438730367332736E-2</v>
      </c>
      <c r="Y51" s="44">
        <f t="shared" si="27"/>
        <v>8.8729208122328256E-3</v>
      </c>
      <c r="Z51" s="39">
        <f t="shared" si="28"/>
        <v>-0.50182946804702278</v>
      </c>
      <c r="AA51" s="39">
        <f t="shared" si="8"/>
        <v>-0.50182946804702278</v>
      </c>
      <c r="AB51" s="40">
        <f t="shared" si="18"/>
        <v>6.3651213443909643E-2</v>
      </c>
      <c r="AC51" s="40">
        <f t="shared" si="29"/>
        <v>9.5476820165864458E-3</v>
      </c>
      <c r="AD51" s="100">
        <f t="shared" si="10"/>
        <v>1.8420602828819271E-2</v>
      </c>
      <c r="AF51" s="47">
        <f t="shared" si="30"/>
        <v>7740079.8895567097</v>
      </c>
      <c r="AG51" s="48">
        <f t="shared" si="31"/>
        <v>33693088.327394083</v>
      </c>
      <c r="AH51" s="48">
        <f t="shared" si="32"/>
        <v>37337290.595024712</v>
      </c>
      <c r="AI51" s="48">
        <f t="shared" si="19"/>
        <v>78770458.811975509</v>
      </c>
      <c r="AJ51" s="49">
        <f t="shared" si="20"/>
        <v>9.7154835909050771E-3</v>
      </c>
    </row>
    <row r="52" spans="1:36" ht="14.25">
      <c r="A52" s="158" t="s">
        <v>244</v>
      </c>
      <c r="B52" s="4" t="s">
        <v>173</v>
      </c>
      <c r="C52" s="41">
        <v>642295900</v>
      </c>
      <c r="D52" s="41">
        <f>+VLOOKUP(B52,'[5]Recaudación general de '!$B$17:$J$68,7,FALSE)</f>
        <v>306694612.58999997</v>
      </c>
      <c r="E52" s="45">
        <f t="shared" si="21"/>
        <v>0.47749738491246785</v>
      </c>
      <c r="F52" s="46">
        <f t="shared" si="14"/>
        <v>146445875.47846743</v>
      </c>
      <c r="G52" s="100">
        <f t="shared" si="22"/>
        <v>9.1962564075904835E-2</v>
      </c>
      <c r="H52" s="38">
        <v>412199</v>
      </c>
      <c r="I52" s="94">
        <f t="shared" si="23"/>
        <v>7.125994175410523E-2</v>
      </c>
      <c r="J52" s="40">
        <f t="shared" si="15"/>
        <v>6.0570950490989442E-2</v>
      </c>
      <c r="K52" s="41">
        <v>60.1</v>
      </c>
      <c r="L52" s="91">
        <f t="shared" si="24"/>
        <v>9.3584349084259205E-4</v>
      </c>
      <c r="M52" s="42">
        <f t="shared" si="16"/>
        <v>1.403765236263888E-4</v>
      </c>
      <c r="N52" s="100">
        <f t="shared" si="17"/>
        <v>6.0711327014615832E-2</v>
      </c>
      <c r="O52" s="258">
        <v>40580</v>
      </c>
      <c r="P52" s="256">
        <v>4217</v>
      </c>
      <c r="Q52" s="256">
        <v>161</v>
      </c>
      <c r="R52" s="256">
        <v>91</v>
      </c>
      <c r="S52" s="43">
        <f t="shared" si="25"/>
        <v>4.0108812949691139E-2</v>
      </c>
      <c r="T52" s="256">
        <v>18155.999999995089</v>
      </c>
      <c r="U52" s="256">
        <f>+VLOOKUP(B52,[6]INEGI_Exporta_20210329111405!$B$9:$T$59,19,FALSE)</f>
        <v>3293</v>
      </c>
      <c r="V52" s="256">
        <v>78</v>
      </c>
      <c r="W52" s="256">
        <f>+VLOOKUP(B52,[7]INEGI_Exporta_20210329105635!$B$8:$F$58,4,FALSE)</f>
        <v>74</v>
      </c>
      <c r="X52" s="43">
        <f t="shared" si="26"/>
        <v>3.0476591267156274E-2</v>
      </c>
      <c r="Y52" s="44">
        <f t="shared" si="27"/>
        <v>2.5905102577082832E-2</v>
      </c>
      <c r="Z52" s="39">
        <f t="shared" si="28"/>
        <v>-0.24015225019540348</v>
      </c>
      <c r="AA52" s="39">
        <f t="shared" si="8"/>
        <v>-0.24015225019540348</v>
      </c>
      <c r="AB52" s="40">
        <f t="shared" si="18"/>
        <v>3.0460511208541624E-2</v>
      </c>
      <c r="AC52" s="40">
        <f t="shared" si="29"/>
        <v>4.5690766812812433E-3</v>
      </c>
      <c r="AD52" s="100">
        <f t="shared" si="10"/>
        <v>3.0474179258364077E-2</v>
      </c>
      <c r="AF52" s="47">
        <f t="shared" si="30"/>
        <v>372803540.76074821</v>
      </c>
      <c r="AG52" s="48">
        <f t="shared" si="31"/>
        <v>123057669.73097391</v>
      </c>
      <c r="AH52" s="48">
        <f t="shared" si="32"/>
        <v>61769058.113248885</v>
      </c>
      <c r="AI52" s="48">
        <f t="shared" si="19"/>
        <v>557630268.60497093</v>
      </c>
      <c r="AJ52" s="49">
        <f t="shared" si="20"/>
        <v>6.8777658606197403E-2</v>
      </c>
    </row>
    <row r="53" spans="1:36" ht="14.25">
      <c r="A53" s="158" t="s">
        <v>245</v>
      </c>
      <c r="B53" s="4" t="s">
        <v>174</v>
      </c>
      <c r="C53" s="41">
        <v>1119704293</v>
      </c>
      <c r="D53" s="41">
        <f>+VLOOKUP(B53,'[5]Recaudación general de '!$B$17:$J$68,7,FALSE)</f>
        <v>671271036.40999997</v>
      </c>
      <c r="E53" s="45">
        <f t="shared" si="21"/>
        <v>0.5995074240641497</v>
      </c>
      <c r="F53" s="46">
        <f t="shared" si="14"/>
        <v>402431969.88703114</v>
      </c>
      <c r="G53" s="100">
        <f t="shared" si="22"/>
        <v>0.25271231228612001</v>
      </c>
      <c r="H53" s="38">
        <v>132169</v>
      </c>
      <c r="I53" s="94">
        <f t="shared" si="23"/>
        <v>2.2849049225491413E-2</v>
      </c>
      <c r="J53" s="40">
        <f t="shared" si="15"/>
        <v>1.9421691841667702E-2</v>
      </c>
      <c r="K53" s="41">
        <v>72.010000000000005</v>
      </c>
      <c r="L53" s="91">
        <f t="shared" si="24"/>
        <v>1.1212993307084037E-3</v>
      </c>
      <c r="M53" s="42">
        <f t="shared" si="16"/>
        <v>1.6819489960626053E-4</v>
      </c>
      <c r="N53" s="100">
        <f t="shared" si="17"/>
        <v>1.9589886741273963E-2</v>
      </c>
      <c r="O53" s="258">
        <v>9903</v>
      </c>
      <c r="P53" s="256">
        <v>1283</v>
      </c>
      <c r="Q53" s="256">
        <v>140</v>
      </c>
      <c r="R53" s="256">
        <v>21</v>
      </c>
      <c r="S53" s="43">
        <f t="shared" si="25"/>
        <v>1.0837167470654441E-2</v>
      </c>
      <c r="T53" s="256">
        <v>4908.0000000006539</v>
      </c>
      <c r="U53" s="256">
        <f>+VLOOKUP(B53,[6]INEGI_Exporta_20210329111405!$B$9:$T$59,19,FALSE)</f>
        <v>1055</v>
      </c>
      <c r="V53" s="256">
        <v>49</v>
      </c>
      <c r="W53" s="256">
        <f>+VLOOKUP(B53,[7]INEGI_Exporta_20210329105635!$B$8:$F$58,4,FALSE)</f>
        <v>43</v>
      </c>
      <c r="X53" s="43">
        <f t="shared" si="26"/>
        <v>9.9358403416608034E-3</v>
      </c>
      <c r="Y53" s="44">
        <f t="shared" si="27"/>
        <v>8.4454642904116823E-3</v>
      </c>
      <c r="Z53" s="39">
        <f t="shared" si="28"/>
        <v>-8.3169991737629526E-2</v>
      </c>
      <c r="AA53" s="39">
        <f t="shared" si="8"/>
        <v>-8.3169991737629526E-2</v>
      </c>
      <c r="AB53" s="40">
        <f t="shared" si="18"/>
        <v>1.0549143151800739E-2</v>
      </c>
      <c r="AC53" s="40">
        <f t="shared" si="29"/>
        <v>1.5823714727701108E-3</v>
      </c>
      <c r="AD53" s="100">
        <f t="shared" si="10"/>
        <v>1.0027835763181793E-2</v>
      </c>
      <c r="AF53" s="47">
        <f t="shared" si="30"/>
        <v>1024460831.0001006</v>
      </c>
      <c r="AG53" s="48">
        <f t="shared" si="31"/>
        <v>39707348.384833038</v>
      </c>
      <c r="AH53" s="48">
        <f t="shared" si="32"/>
        <v>20325730.998516902</v>
      </c>
      <c r="AI53" s="48">
        <f t="shared" si="19"/>
        <v>1084493910.3834505</v>
      </c>
      <c r="AJ53" s="49">
        <f t="shared" si="20"/>
        <v>0.13376058676917396</v>
      </c>
    </row>
    <row r="54" spans="1:36" ht="14.25">
      <c r="A54" s="158" t="s">
        <v>246</v>
      </c>
      <c r="B54" s="4" t="s">
        <v>31</v>
      </c>
      <c r="C54" s="41">
        <v>274755070</v>
      </c>
      <c r="D54" s="41">
        <f>+VLOOKUP(B54,'[5]Recaudación general de '!$B$17:$J$68,7,FALSE)</f>
        <v>112141719.38</v>
      </c>
      <c r="E54" s="45">
        <f t="shared" si="21"/>
        <v>0.40815159254386096</v>
      </c>
      <c r="F54" s="46">
        <f t="shared" si="14"/>
        <v>45770821.355553754</v>
      </c>
      <c r="G54" s="100">
        <f t="shared" si="22"/>
        <v>2.8742373781198108E-2</v>
      </c>
      <c r="H54" s="38">
        <v>306322</v>
      </c>
      <c r="I54" s="94">
        <f t="shared" si="23"/>
        <v>5.2956188341070756E-2</v>
      </c>
      <c r="J54" s="40">
        <f t="shared" si="15"/>
        <v>4.5012760089910141E-2</v>
      </c>
      <c r="K54" s="41">
        <v>885.01</v>
      </c>
      <c r="L54" s="91">
        <f t="shared" si="24"/>
        <v>1.3780879331624E-2</v>
      </c>
      <c r="M54" s="42">
        <f t="shared" si="16"/>
        <v>2.0671318997435998E-3</v>
      </c>
      <c r="N54" s="100">
        <f t="shared" si="17"/>
        <v>4.707989198965374E-2</v>
      </c>
      <c r="O54" s="258">
        <v>25924</v>
      </c>
      <c r="P54" s="256">
        <v>4306</v>
      </c>
      <c r="Q54" s="256">
        <v>2328</v>
      </c>
      <c r="R54" s="256">
        <v>359</v>
      </c>
      <c r="S54" s="43">
        <f t="shared" si="25"/>
        <v>4.1123629604477997E-2</v>
      </c>
      <c r="T54" s="256">
        <v>21053.000000219407</v>
      </c>
      <c r="U54" s="256">
        <f>+VLOOKUP(B54,[6]INEGI_Exporta_20210329111405!$B$9:$T$59,19,FALSE)</f>
        <v>3591</v>
      </c>
      <c r="V54" s="256">
        <v>756</v>
      </c>
      <c r="W54" s="256">
        <f>+VLOOKUP(B54,[7]INEGI_Exporta_20210329105635!$B$8:$F$58,4,FALSE)</f>
        <v>199</v>
      </c>
      <c r="X54" s="43">
        <f t="shared" si="26"/>
        <v>4.2272622844828737E-2</v>
      </c>
      <c r="Y54" s="44">
        <f t="shared" si="27"/>
        <v>3.5931729418104429E-2</v>
      </c>
      <c r="Z54" s="39">
        <f t="shared" si="28"/>
        <v>2.7939976393173842E-2</v>
      </c>
      <c r="AA54" s="39">
        <f t="shared" si="8"/>
        <v>0</v>
      </c>
      <c r="AB54" s="40">
        <f t="shared" si="18"/>
        <v>0</v>
      </c>
      <c r="AC54" s="40">
        <f t="shared" si="29"/>
        <v>0</v>
      </c>
      <c r="AD54" s="100">
        <f t="shared" si="10"/>
        <v>3.5931729418104429E-2</v>
      </c>
      <c r="AF54" s="47">
        <f t="shared" si="30"/>
        <v>116517615.87090263</v>
      </c>
      <c r="AG54" s="48">
        <f t="shared" si="31"/>
        <v>95427691.739269331</v>
      </c>
      <c r="AH54" s="48">
        <f t="shared" si="32"/>
        <v>72831135.62204507</v>
      </c>
      <c r="AI54" s="48">
        <f t="shared" si="19"/>
        <v>284776443.23221707</v>
      </c>
      <c r="AJ54" s="49">
        <f t="shared" si="20"/>
        <v>3.512409224253861E-2</v>
      </c>
    </row>
    <row r="55" spans="1:36" ht="14.25">
      <c r="A55" s="158" t="s">
        <v>247</v>
      </c>
      <c r="B55" s="4" t="s">
        <v>32</v>
      </c>
      <c r="C55" s="41">
        <v>175563518</v>
      </c>
      <c r="D55" s="41">
        <f>+VLOOKUP(B55,'[5]Recaudación general de '!$B$17:$J$68,7,FALSE)</f>
        <v>85362095.170000002</v>
      </c>
      <c r="E55" s="45">
        <f t="shared" si="21"/>
        <v>0.48621772987027978</v>
      </c>
      <c r="F55" s="46">
        <f t="shared" si="14"/>
        <v>41504564.130528174</v>
      </c>
      <c r="G55" s="100">
        <f t="shared" si="22"/>
        <v>2.606332288858083E-2</v>
      </c>
      <c r="H55" s="38">
        <v>46784</v>
      </c>
      <c r="I55" s="94">
        <f t="shared" si="23"/>
        <v>8.0879019964242016E-3</v>
      </c>
      <c r="J55" s="40">
        <f t="shared" si="15"/>
        <v>6.8747166969605712E-3</v>
      </c>
      <c r="K55" s="41">
        <v>746.48</v>
      </c>
      <c r="L55" s="91">
        <f t="shared" si="24"/>
        <v>1.1623767870951384E-2</v>
      </c>
      <c r="M55" s="42">
        <f t="shared" si="16"/>
        <v>1.7435651806427075E-3</v>
      </c>
      <c r="N55" s="100">
        <f t="shared" si="17"/>
        <v>8.6182818776032784E-3</v>
      </c>
      <c r="O55" s="258">
        <v>4577</v>
      </c>
      <c r="P55" s="256">
        <v>666</v>
      </c>
      <c r="Q55" s="256">
        <v>1225</v>
      </c>
      <c r="R55" s="256">
        <v>325</v>
      </c>
      <c r="S55" s="43">
        <f t="shared" si="25"/>
        <v>1.3356739601046762E-2</v>
      </c>
      <c r="T55" s="256">
        <v>2792.0000000464884</v>
      </c>
      <c r="U55" s="256">
        <f>+VLOOKUP(B55,[6]INEGI_Exporta_20210329111405!$B$9:$T$59,19,FALSE)</f>
        <v>715</v>
      </c>
      <c r="V55" s="256">
        <v>322</v>
      </c>
      <c r="W55" s="256">
        <f>+VLOOKUP(B55,[7]INEGI_Exporta_20210329105635!$B$8:$F$58,4,FALSE)</f>
        <v>122</v>
      </c>
      <c r="X55" s="43">
        <f t="shared" si="26"/>
        <v>1.1445854704936189E-2</v>
      </c>
      <c r="Y55" s="44">
        <f t="shared" si="27"/>
        <v>9.7289764991957614E-3</v>
      </c>
      <c r="Z55" s="39">
        <f t="shared" si="28"/>
        <v>-0.14306522049443993</v>
      </c>
      <c r="AA55" s="39">
        <f t="shared" si="8"/>
        <v>-0.14306522049443993</v>
      </c>
      <c r="AB55" s="40">
        <f t="shared" si="18"/>
        <v>1.8146154153781797E-2</v>
      </c>
      <c r="AC55" s="40">
        <f t="shared" si="29"/>
        <v>2.7219231230672697E-3</v>
      </c>
      <c r="AD55" s="100">
        <f t="shared" si="10"/>
        <v>1.2450899622263031E-2</v>
      </c>
      <c r="AF55" s="47">
        <f t="shared" si="30"/>
        <v>105657113.3535783</v>
      </c>
      <c r="AG55" s="48">
        <f t="shared" si="31"/>
        <v>17468662.555954721</v>
      </c>
      <c r="AH55" s="48">
        <f t="shared" si="32"/>
        <v>25237114.20771762</v>
      </c>
      <c r="AI55" s="48">
        <f t="shared" si="19"/>
        <v>148362890.11725065</v>
      </c>
      <c r="AJ55" s="49">
        <f t="shared" si="20"/>
        <v>1.8298956819256997E-2</v>
      </c>
    </row>
    <row r="56" spans="1:36" ht="14.25">
      <c r="A56" s="158" t="s">
        <v>248</v>
      </c>
      <c r="B56" s="4" t="s">
        <v>33</v>
      </c>
      <c r="C56" s="41">
        <v>4524382</v>
      </c>
      <c r="D56" s="41">
        <f>+VLOOKUP(B56,'[5]Recaudación general de '!$B$17:$J$68,7,FALSE)</f>
        <v>1456869</v>
      </c>
      <c r="E56" s="45">
        <f t="shared" si="21"/>
        <v>0.32200397755980814</v>
      </c>
      <c r="F56" s="46">
        <f t="shared" si="14"/>
        <v>469117.61278358015</v>
      </c>
      <c r="G56" s="100">
        <f t="shared" si="22"/>
        <v>2.9458841625818778E-4</v>
      </c>
      <c r="H56" s="38">
        <v>1552</v>
      </c>
      <c r="I56" s="94">
        <f t="shared" si="23"/>
        <v>2.6830591438206137E-4</v>
      </c>
      <c r="J56" s="40">
        <f t="shared" si="15"/>
        <v>2.2806002722475217E-4</v>
      </c>
      <c r="K56" s="41">
        <v>1766.28</v>
      </c>
      <c r="L56" s="91">
        <f t="shared" si="24"/>
        <v>2.7503521480955966E-2</v>
      </c>
      <c r="M56" s="42">
        <f t="shared" si="16"/>
        <v>4.1255282221433947E-3</v>
      </c>
      <c r="N56" s="100">
        <f t="shared" si="17"/>
        <v>4.353588249368147E-3</v>
      </c>
      <c r="O56" s="258">
        <v>477</v>
      </c>
      <c r="P56" s="256">
        <v>85</v>
      </c>
      <c r="Q56" s="256">
        <v>641</v>
      </c>
      <c r="R56" s="256">
        <v>46</v>
      </c>
      <c r="S56" s="43">
        <f t="shared" si="25"/>
        <v>2.7085182769833877E-3</v>
      </c>
      <c r="T56" s="256">
        <v>265.99999999676999</v>
      </c>
      <c r="U56" s="256">
        <f>+VLOOKUP(B56,[6]INEGI_Exporta_20210329111405!$B$9:$T$59,19,FALSE)</f>
        <v>57</v>
      </c>
      <c r="V56" s="256">
        <v>132</v>
      </c>
      <c r="W56" s="256">
        <f>+VLOOKUP(B56,[7]INEGI_Exporta_20210329105635!$B$8:$F$58,4,FALSE)</f>
        <v>7</v>
      </c>
      <c r="X56" s="43">
        <f t="shared" si="26"/>
        <v>1.3692833921487941E-3</v>
      </c>
      <c r="Y56" s="44">
        <f t="shared" si="27"/>
        <v>1.163890883326475E-3</v>
      </c>
      <c r="Z56" s="39">
        <f t="shared" si="28"/>
        <v>-0.49445296205501943</v>
      </c>
      <c r="AA56" s="39">
        <f t="shared" si="8"/>
        <v>-0.49445296205501943</v>
      </c>
      <c r="AB56" s="40">
        <f t="shared" si="18"/>
        <v>6.2715589716601364E-2</v>
      </c>
      <c r="AC56" s="40">
        <f t="shared" si="29"/>
        <v>9.4073384574902049E-3</v>
      </c>
      <c r="AD56" s="100">
        <f t="shared" si="10"/>
        <v>1.057122934081668E-2</v>
      </c>
      <c r="AF56" s="47">
        <f t="shared" si="30"/>
        <v>1194220.7761574204</v>
      </c>
      <c r="AG56" s="48">
        <f t="shared" si="31"/>
        <v>8824422.9088653922</v>
      </c>
      <c r="AH56" s="48">
        <f t="shared" si="32"/>
        <v>21427152.276863005</v>
      </c>
      <c r="AI56" s="48">
        <f t="shared" si="19"/>
        <v>31445795.961885817</v>
      </c>
      <c r="AJ56" s="49">
        <f t="shared" si="20"/>
        <v>3.8784986056753018E-3</v>
      </c>
    </row>
    <row r="57" spans="1:36" ht="14.25">
      <c r="A57" s="158" t="s">
        <v>249</v>
      </c>
      <c r="B57" s="4" t="s">
        <v>34</v>
      </c>
      <c r="C57" s="41">
        <v>2896776</v>
      </c>
      <c r="D57" s="41">
        <f>+VLOOKUP(B57,'[5]Recaudación general de '!$B$17:$J$68,7,FALSE)</f>
        <v>668168</v>
      </c>
      <c r="E57" s="45">
        <f t="shared" si="21"/>
        <v>0.23065918800763333</v>
      </c>
      <c r="F57" s="46">
        <f t="shared" si="14"/>
        <v>154119.08833268433</v>
      </c>
      <c r="G57" s="100">
        <f t="shared" si="22"/>
        <v>9.6781056412875653E-5</v>
      </c>
      <c r="H57" s="38">
        <v>3573</v>
      </c>
      <c r="I57" s="94">
        <f t="shared" si="23"/>
        <v>6.1769138665406279E-4</v>
      </c>
      <c r="J57" s="40">
        <f t="shared" si="15"/>
        <v>5.2503767865595338E-4</v>
      </c>
      <c r="K57" s="41">
        <v>879.68</v>
      </c>
      <c r="L57" s="91">
        <f t="shared" si="24"/>
        <v>1.3697883561138291E-2</v>
      </c>
      <c r="M57" s="42">
        <f t="shared" si="16"/>
        <v>2.0546825341707436E-3</v>
      </c>
      <c r="N57" s="100">
        <f t="shared" si="17"/>
        <v>2.579720212826697E-3</v>
      </c>
      <c r="O57" s="258">
        <v>765</v>
      </c>
      <c r="P57" s="256">
        <v>123</v>
      </c>
      <c r="Q57" s="256">
        <v>468</v>
      </c>
      <c r="R57" s="256">
        <v>34</v>
      </c>
      <c r="S57" s="43">
        <f t="shared" si="25"/>
        <v>2.4367839703679983E-3</v>
      </c>
      <c r="T57" s="256">
        <v>609.99999999842794</v>
      </c>
      <c r="U57" s="256">
        <f>+VLOOKUP(B57,[6]INEGI_Exporta_20210329111405!$B$9:$T$59,19,FALSE)</f>
        <v>85</v>
      </c>
      <c r="V57" s="256">
        <v>106</v>
      </c>
      <c r="W57" s="256">
        <f>+VLOOKUP(B57,[7]INEGI_Exporta_20210329105635!$B$8:$F$58,4,FALSE)</f>
        <v>11</v>
      </c>
      <c r="X57" s="43">
        <f t="shared" si="26"/>
        <v>1.7783548685878572E-3</v>
      </c>
      <c r="Y57" s="44">
        <f t="shared" si="27"/>
        <v>1.5116016382996785E-3</v>
      </c>
      <c r="Z57" s="39">
        <f t="shared" si="28"/>
        <v>-0.27020413372167185</v>
      </c>
      <c r="AA57" s="39">
        <f t="shared" si="8"/>
        <v>-0.27020413372167185</v>
      </c>
      <c r="AB57" s="40">
        <f t="shared" si="18"/>
        <v>3.4272242034485825E-2</v>
      </c>
      <c r="AC57" s="40">
        <f t="shared" si="29"/>
        <v>5.1408363051728733E-3</v>
      </c>
      <c r="AD57" s="100">
        <f t="shared" si="10"/>
        <v>6.6524379434725516E-3</v>
      </c>
      <c r="AF57" s="47">
        <f t="shared" si="30"/>
        <v>392337.04357683501</v>
      </c>
      <c r="AG57" s="48">
        <f t="shared" si="31"/>
        <v>5228914.8262550822</v>
      </c>
      <c r="AH57" s="48">
        <f t="shared" si="32"/>
        <v>13484032.578575728</v>
      </c>
      <c r="AI57" s="48">
        <f t="shared" si="19"/>
        <v>19105284.448407646</v>
      </c>
      <c r="AJ57" s="49">
        <f t="shared" si="20"/>
        <v>2.356430067281251E-3</v>
      </c>
    </row>
    <row r="58" spans="1:36" ht="15.75" thickBot="1">
      <c r="B58" s="6" t="s">
        <v>35</v>
      </c>
      <c r="C58" s="104">
        <f>SUM(C7:C57)</f>
        <v>7728371151</v>
      </c>
      <c r="D58" s="104">
        <f>SUM(D7:D57)</f>
        <v>3390132264.2400002</v>
      </c>
      <c r="E58" s="59">
        <f t="shared" si="21"/>
        <v>0.43866064375044145</v>
      </c>
      <c r="F58" s="60">
        <f t="shared" ref="F58:K58" si="33">SUM(F7:F57)</f>
        <v>1592450982.0930254</v>
      </c>
      <c r="G58" s="101">
        <f t="shared" si="33"/>
        <v>0.99999999999999989</v>
      </c>
      <c r="H58" s="50">
        <f t="shared" si="33"/>
        <v>5784442</v>
      </c>
      <c r="I58" s="95">
        <f t="shared" si="33"/>
        <v>1.0000000000000002</v>
      </c>
      <c r="J58" s="52">
        <f t="shared" si="33"/>
        <v>0.8500000000000002</v>
      </c>
      <c r="K58" s="53">
        <f t="shared" si="33"/>
        <v>64220.140000000021</v>
      </c>
      <c r="L58" s="92">
        <f t="shared" si="24"/>
        <v>1</v>
      </c>
      <c r="M58" s="54">
        <f>SUM(M7:M57)</f>
        <v>0.15</v>
      </c>
      <c r="N58" s="101">
        <f>SUM(N7:N57)</f>
        <v>1</v>
      </c>
      <c r="O58" s="259">
        <f>SUM(O7:O57)</f>
        <v>427511</v>
      </c>
      <c r="P58" s="261">
        <f t="shared" ref="P58:R58" si="34">SUM(P7:P57)</f>
        <v>73242</v>
      </c>
      <c r="Q58" s="261">
        <f t="shared" si="34"/>
        <v>123116</v>
      </c>
      <c r="R58" s="260">
        <f t="shared" si="34"/>
        <v>13726</v>
      </c>
      <c r="S58" s="55"/>
      <c r="T58" s="254">
        <f t="shared" ref="T58:W58" si="35">SUM(T7:T57)</f>
        <v>317877.99999509094</v>
      </c>
      <c r="U58" s="254">
        <f t="shared" si="35"/>
        <v>63980</v>
      </c>
      <c r="V58" s="254">
        <f>SUM(V7:V57)</f>
        <v>50062</v>
      </c>
      <c r="W58" s="254">
        <f t="shared" si="35"/>
        <v>6291</v>
      </c>
      <c r="X58" s="55">
        <f t="shared" ref="X58:Y58" si="36">SUM(X7:X57)</f>
        <v>1.0000000000000002</v>
      </c>
      <c r="Y58" s="56">
        <f t="shared" si="36"/>
        <v>0.8500000000000002</v>
      </c>
      <c r="Z58" s="57"/>
      <c r="AA58" s="51">
        <f>SUM(AA7:AA57)</f>
        <v>-7.8840518647651878</v>
      </c>
      <c r="AB58" s="58">
        <f>SUM(AB7:AB57)</f>
        <v>1</v>
      </c>
      <c r="AC58" s="52">
        <f>SUM(AC7:AC57)</f>
        <v>0.14999999999999994</v>
      </c>
      <c r="AD58" s="101">
        <f>SUM(AD7:AD57)</f>
        <v>1</v>
      </c>
      <c r="AF58" s="61">
        <f>SUM(AF7:AF57)</f>
        <v>4053861965.538939</v>
      </c>
      <c r="AG58" s="62">
        <f>SUM(AG7:AG57)</f>
        <v>2026930982.7694695</v>
      </c>
      <c r="AH58" s="62">
        <f>SUM(AH7:AH57)</f>
        <v>2026930982.769469</v>
      </c>
      <c r="AI58" s="62">
        <f>SUM(AI7:AI57)</f>
        <v>8107723931.0778761</v>
      </c>
      <c r="AJ58" s="63">
        <f>SUM(AJ7:AJ57)</f>
        <v>1.0000000000000002</v>
      </c>
    </row>
    <row r="59" spans="1:36" ht="13.5" thickTop="1">
      <c r="L59" s="65"/>
      <c r="S59" s="67"/>
    </row>
    <row r="60" spans="1:36" ht="86.45" customHeight="1">
      <c r="C60" s="264" t="s">
        <v>266</v>
      </c>
      <c r="D60" s="264"/>
      <c r="E60" s="264"/>
      <c r="F60" s="264"/>
      <c r="G60" s="264"/>
      <c r="L60" s="65"/>
      <c r="S60" s="67"/>
    </row>
    <row r="61" spans="1:36" s="11" customFormat="1">
      <c r="J61" s="68"/>
      <c r="M61" s="68"/>
      <c r="N61" s="69"/>
      <c r="S61" s="70"/>
      <c r="T61" s="70"/>
      <c r="Y61" s="68"/>
      <c r="AB61" s="68"/>
      <c r="AC61" s="68"/>
      <c r="AD61" s="69"/>
    </row>
    <row r="62" spans="1:36">
      <c r="S62" s="67"/>
    </row>
    <row r="63" spans="1:36">
      <c r="S63" s="67"/>
    </row>
    <row r="64" spans="1:36">
      <c r="S64" s="67"/>
    </row>
    <row r="65" spans="10:31">
      <c r="J65" s="14"/>
      <c r="M65" s="14"/>
      <c r="N65" s="14"/>
      <c r="S65" s="67"/>
      <c r="Y65" s="14"/>
      <c r="AB65" s="14"/>
      <c r="AC65" s="14"/>
      <c r="AD65" s="14"/>
      <c r="AE65" s="14"/>
    </row>
    <row r="66" spans="10:31">
      <c r="J66" s="14"/>
      <c r="M66" s="14"/>
      <c r="N66" s="14"/>
      <c r="S66" s="67"/>
      <c r="Y66" s="14"/>
      <c r="AB66" s="14"/>
      <c r="AC66" s="14"/>
      <c r="AD66" s="14"/>
      <c r="AE66" s="14"/>
    </row>
    <row r="67" spans="10:31">
      <c r="J67" s="14"/>
      <c r="M67" s="14"/>
      <c r="N67" s="14"/>
      <c r="S67" s="67"/>
      <c r="Y67" s="14"/>
      <c r="AB67" s="14"/>
      <c r="AC67" s="14"/>
      <c r="AD67" s="14"/>
      <c r="AE67" s="14"/>
    </row>
    <row r="68" spans="10:31">
      <c r="J68" s="14"/>
      <c r="M68" s="14"/>
      <c r="N68" s="14"/>
      <c r="S68" s="67"/>
      <c r="Y68" s="14"/>
      <c r="AB68" s="14"/>
      <c r="AC68" s="14"/>
      <c r="AD68" s="14"/>
      <c r="AE68" s="14"/>
    </row>
    <row r="69" spans="10:31">
      <c r="J69" s="14"/>
      <c r="M69" s="14"/>
      <c r="N69" s="14"/>
      <c r="S69" s="67"/>
      <c r="Y69" s="14"/>
      <c r="AB69" s="14"/>
      <c r="AC69" s="14"/>
      <c r="AD69" s="14"/>
      <c r="AE69" s="14"/>
    </row>
    <row r="70" spans="10:31">
      <c r="J70" s="14"/>
      <c r="M70" s="14"/>
      <c r="N70" s="14"/>
      <c r="S70" s="67"/>
      <c r="Y70" s="14"/>
      <c r="AB70" s="14"/>
      <c r="AC70" s="14"/>
      <c r="AD70" s="14"/>
      <c r="AE70" s="14"/>
    </row>
    <row r="71" spans="10:31">
      <c r="J71" s="14"/>
      <c r="M71" s="14"/>
      <c r="N71" s="14"/>
      <c r="S71" s="67"/>
      <c r="Y71" s="14"/>
      <c r="AB71" s="14"/>
      <c r="AC71" s="14"/>
      <c r="AD71" s="14"/>
      <c r="AE71" s="14"/>
    </row>
    <row r="72" spans="10:31">
      <c r="J72" s="14"/>
      <c r="M72" s="14"/>
      <c r="N72" s="14"/>
      <c r="S72" s="67"/>
      <c r="Y72" s="14"/>
      <c r="AB72" s="14"/>
      <c r="AC72" s="14"/>
      <c r="AD72" s="14"/>
      <c r="AE72" s="14"/>
    </row>
    <row r="73" spans="10:31">
      <c r="J73" s="14"/>
      <c r="M73" s="14"/>
      <c r="N73" s="14"/>
      <c r="S73" s="67"/>
      <c r="Y73" s="14"/>
      <c r="AB73" s="14"/>
      <c r="AC73" s="14"/>
      <c r="AD73" s="14"/>
      <c r="AE73" s="14"/>
    </row>
    <row r="74" spans="10:31">
      <c r="J74" s="14"/>
      <c r="M74" s="14"/>
      <c r="N74" s="14"/>
      <c r="S74" s="67"/>
      <c r="Y74" s="14"/>
      <c r="AB74" s="14"/>
      <c r="AC74" s="14"/>
      <c r="AD74" s="14"/>
      <c r="AE74" s="14"/>
    </row>
    <row r="75" spans="10:31">
      <c r="J75" s="14"/>
      <c r="M75" s="14"/>
      <c r="N75" s="14"/>
      <c r="S75" s="67"/>
      <c r="Y75" s="14"/>
      <c r="AB75" s="14"/>
      <c r="AC75" s="14"/>
      <c r="AD75" s="14"/>
      <c r="AE75" s="14"/>
    </row>
    <row r="76" spans="10:31">
      <c r="J76" s="14"/>
      <c r="M76" s="14"/>
      <c r="N76" s="14"/>
      <c r="S76" s="67"/>
      <c r="Y76" s="14"/>
      <c r="AB76" s="14"/>
      <c r="AC76" s="14"/>
      <c r="AD76" s="14"/>
      <c r="AE76" s="14"/>
    </row>
    <row r="77" spans="10:31">
      <c r="J77" s="14"/>
      <c r="M77" s="14"/>
      <c r="N77" s="14"/>
      <c r="S77" s="67"/>
      <c r="Y77" s="14"/>
      <c r="AB77" s="14"/>
      <c r="AC77" s="14"/>
      <c r="AD77" s="14"/>
      <c r="AE77" s="14"/>
    </row>
    <row r="78" spans="10:31">
      <c r="J78" s="14"/>
      <c r="M78" s="14"/>
      <c r="N78" s="14"/>
      <c r="S78" s="67"/>
      <c r="Y78" s="14"/>
      <c r="AB78" s="14"/>
      <c r="AC78" s="14"/>
      <c r="AD78" s="14"/>
      <c r="AE78" s="14"/>
    </row>
    <row r="79" spans="10:31">
      <c r="J79" s="14"/>
      <c r="M79" s="14"/>
      <c r="N79" s="14"/>
      <c r="S79" s="67"/>
      <c r="Y79" s="14"/>
      <c r="AB79" s="14"/>
      <c r="AC79" s="14"/>
      <c r="AD79" s="14"/>
      <c r="AE79" s="14"/>
    </row>
    <row r="80" spans="10:31">
      <c r="J80" s="14"/>
      <c r="M80" s="14"/>
      <c r="N80" s="14"/>
      <c r="S80" s="67"/>
      <c r="Y80" s="14"/>
      <c r="AB80" s="14"/>
      <c r="AC80" s="14"/>
      <c r="AD80" s="14"/>
      <c r="AE80" s="14"/>
    </row>
    <row r="81" spans="10:31">
      <c r="J81" s="14"/>
      <c r="M81" s="14"/>
      <c r="N81" s="14"/>
      <c r="S81" s="67"/>
      <c r="Y81" s="14"/>
      <c r="AB81" s="14"/>
      <c r="AC81" s="14"/>
      <c r="AD81" s="14"/>
      <c r="AE81" s="14"/>
    </row>
    <row r="82" spans="10:31">
      <c r="J82" s="14"/>
      <c r="M82" s="14"/>
      <c r="N82" s="14"/>
      <c r="S82" s="67"/>
      <c r="Y82" s="14"/>
      <c r="AB82" s="14"/>
      <c r="AC82" s="14"/>
      <c r="AD82" s="14"/>
      <c r="AE82" s="14"/>
    </row>
    <row r="83" spans="10:31">
      <c r="J83" s="14"/>
      <c r="M83" s="14"/>
      <c r="N83" s="14"/>
      <c r="S83" s="67"/>
      <c r="Y83" s="14"/>
      <c r="AB83" s="14"/>
      <c r="AC83" s="14"/>
      <c r="AD83" s="14"/>
      <c r="AE83" s="14"/>
    </row>
    <row r="84" spans="10:31">
      <c r="J84" s="14"/>
      <c r="M84" s="14"/>
      <c r="N84" s="14"/>
      <c r="S84" s="67"/>
      <c r="Y84" s="14"/>
      <c r="AB84" s="14"/>
      <c r="AC84" s="14"/>
      <c r="AD84" s="14"/>
      <c r="AE84" s="14"/>
    </row>
    <row r="85" spans="10:31">
      <c r="J85" s="14"/>
      <c r="M85" s="14"/>
      <c r="N85" s="14"/>
      <c r="S85" s="67"/>
      <c r="Y85" s="14"/>
      <c r="AB85" s="14"/>
      <c r="AC85" s="14"/>
      <c r="AD85" s="14"/>
      <c r="AE85" s="14"/>
    </row>
    <row r="86" spans="10:31">
      <c r="J86" s="14"/>
      <c r="M86" s="14"/>
      <c r="N86" s="14"/>
      <c r="S86" s="67"/>
      <c r="Y86" s="14"/>
      <c r="AB86" s="14"/>
      <c r="AC86" s="14"/>
      <c r="AD86" s="14"/>
      <c r="AE86" s="14"/>
    </row>
    <row r="87" spans="10:31">
      <c r="J87" s="14"/>
      <c r="M87" s="14"/>
      <c r="N87" s="14"/>
      <c r="S87" s="67"/>
      <c r="Y87" s="14"/>
      <c r="AB87" s="14"/>
      <c r="AC87" s="14"/>
      <c r="AD87" s="14"/>
      <c r="AE87" s="14"/>
    </row>
  </sheetData>
  <mergeCells count="8">
    <mergeCell ref="C60:G60"/>
    <mergeCell ref="AF3:AJ3"/>
    <mergeCell ref="C3:G3"/>
    <mergeCell ref="H3:N3"/>
    <mergeCell ref="O3:R3"/>
    <mergeCell ref="S3:V3"/>
    <mergeCell ref="X3:Y3"/>
    <mergeCell ref="Z3:AD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>
    <oddHeader>&amp;LANEXO I</oddHeader>
  </headerFooter>
  <colBreaks count="2" manualBreakCount="2">
    <brk id="14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4"/>
  <sheetViews>
    <sheetView showGridLines="0" zoomScaleSheetLayoutView="100" workbookViewId="0">
      <selection activeCell="A60" sqref="A60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16" width="19.42578125" style="14" customWidth="1"/>
    <col min="17" max="17" width="19.42578125" style="147" customWidth="1"/>
    <col min="18" max="18" width="5.42578125" style="14" customWidth="1"/>
    <col min="19" max="16384" width="9.7109375" style="14"/>
  </cols>
  <sheetData>
    <row r="1" spans="1:17" ht="47.25" customHeight="1">
      <c r="A1" s="271" t="s">
        <v>123</v>
      </c>
      <c r="B1" s="271"/>
      <c r="C1" s="271"/>
      <c r="D1" s="271"/>
      <c r="E1" s="271"/>
      <c r="F1" s="271"/>
      <c r="G1" s="271"/>
      <c r="H1" s="271"/>
      <c r="I1" s="272"/>
      <c r="J1" s="272"/>
      <c r="K1" s="272"/>
      <c r="L1" s="272"/>
      <c r="M1" s="272"/>
      <c r="N1" s="272"/>
      <c r="O1" s="272"/>
      <c r="P1" s="272"/>
      <c r="Q1" s="272"/>
    </row>
    <row r="2" spans="1:17" ht="8.25" customHeight="1" thickBot="1">
      <c r="I2" s="82"/>
    </row>
    <row r="3" spans="1:17" ht="72.75" thickBot="1">
      <c r="A3" s="275" t="s">
        <v>0</v>
      </c>
      <c r="B3" s="273" t="s">
        <v>93</v>
      </c>
      <c r="C3" s="278" t="s">
        <v>183</v>
      </c>
      <c r="D3" s="267" t="s">
        <v>94</v>
      </c>
      <c r="E3" s="267" t="s">
        <v>111</v>
      </c>
      <c r="F3" s="267" t="s">
        <v>105</v>
      </c>
      <c r="G3" s="267" t="s">
        <v>124</v>
      </c>
      <c r="H3" s="269" t="s">
        <v>125</v>
      </c>
      <c r="I3" s="273" t="s">
        <v>156</v>
      </c>
      <c r="J3" s="212" t="s">
        <v>157</v>
      </c>
      <c r="K3" s="273" t="s">
        <v>178</v>
      </c>
      <c r="L3" s="273" t="s">
        <v>158</v>
      </c>
      <c r="M3" s="273" t="s">
        <v>179</v>
      </c>
      <c r="N3" s="212" t="s">
        <v>180</v>
      </c>
      <c r="O3" s="273" t="s">
        <v>181</v>
      </c>
      <c r="P3" s="273" t="s">
        <v>182</v>
      </c>
      <c r="Q3" s="273" t="s">
        <v>185</v>
      </c>
    </row>
    <row r="4" spans="1:17" ht="20.45" customHeight="1" thickBot="1">
      <c r="A4" s="276"/>
      <c r="B4" s="277"/>
      <c r="C4" s="279"/>
      <c r="D4" s="268"/>
      <c r="E4" s="268"/>
      <c r="F4" s="268"/>
      <c r="G4" s="268"/>
      <c r="H4" s="270"/>
      <c r="I4" s="277"/>
      <c r="J4" s="140">
        <f>IF(A59&lt;A60,A59,A60)</f>
        <v>1.2011813577900916E-2</v>
      </c>
      <c r="K4" s="274"/>
      <c r="L4" s="277"/>
      <c r="M4" s="277"/>
      <c r="N4" s="128">
        <f>+L57/M57</f>
        <v>1.0000000000000009</v>
      </c>
      <c r="O4" s="277"/>
      <c r="P4" s="277"/>
      <c r="Q4" s="277"/>
    </row>
    <row r="5" spans="1:17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48" t="s">
        <v>106</v>
      </c>
      <c r="L5" s="148" t="s">
        <v>107</v>
      </c>
      <c r="M5" s="148" t="s">
        <v>108</v>
      </c>
      <c r="N5" s="148" t="s">
        <v>109</v>
      </c>
      <c r="O5" s="148"/>
      <c r="P5" s="148"/>
      <c r="Q5" s="148" t="s">
        <v>110</v>
      </c>
    </row>
    <row r="6" spans="1:17" ht="12.75" customHeight="1" thickTop="1">
      <c r="A6" s="2" t="s">
        <v>1</v>
      </c>
      <c r="B6" s="3">
        <v>7961092.290000001</v>
      </c>
      <c r="C6" s="3">
        <v>1176115.3700000003</v>
      </c>
      <c r="D6" s="3">
        <v>243429.76000000001</v>
      </c>
      <c r="E6" s="3">
        <v>414772.02999999991</v>
      </c>
      <c r="F6" s="3">
        <v>10300.939999999999</v>
      </c>
      <c r="G6" s="3">
        <v>174909.15999999997</v>
      </c>
      <c r="H6" s="3">
        <v>47521.079999999987</v>
      </c>
      <c r="I6" s="3">
        <f>SUM(B6:H6)</f>
        <v>10028140.630000001</v>
      </c>
      <c r="J6" s="3">
        <f>(+I6*J$4)+I6</f>
        <v>10148596.785780534</v>
      </c>
      <c r="K6" s="3">
        <f>+'COEF Art 14 F I'!AI7</f>
        <v>20738906.893221106</v>
      </c>
      <c r="L6" s="3">
        <f t="shared" ref="L6:L56" si="0">IF(K6&lt;J6,J6-K6,0)</f>
        <v>0</v>
      </c>
      <c r="M6" s="3">
        <f t="shared" ref="M6:M56" si="1">IF(K6&gt;J6,K6-J6,0)</f>
        <v>10590310.107440572</v>
      </c>
      <c r="N6" s="3">
        <f>+M6*N$4</f>
        <v>10590310.107440582</v>
      </c>
      <c r="O6" s="3">
        <f t="shared" ref="O6:O56" si="2">IF(L6&lt;&gt;0,K6+L6,K6-N6)</f>
        <v>10148596.785780525</v>
      </c>
      <c r="P6" s="141">
        <f t="shared" ref="P6:P57" si="3">+(O6-I6)/I6</f>
        <v>1.2011813577899934E-2</v>
      </c>
      <c r="Q6" s="144">
        <f>+O6/O$57</f>
        <v>1.2517195790152321E-3</v>
      </c>
    </row>
    <row r="7" spans="1:17" ht="12.75" customHeight="1">
      <c r="A7" s="4" t="s">
        <v>2</v>
      </c>
      <c r="B7" s="5">
        <v>15769151.479999999</v>
      </c>
      <c r="C7" s="157">
        <v>2329622.7000000002</v>
      </c>
      <c r="D7" s="157">
        <v>482180.15000000008</v>
      </c>
      <c r="E7" s="157">
        <v>821571.08</v>
      </c>
      <c r="F7" s="157">
        <v>20403.87</v>
      </c>
      <c r="G7" s="157">
        <v>346456.14</v>
      </c>
      <c r="H7" s="157">
        <v>94128.719999999987</v>
      </c>
      <c r="I7" s="5">
        <f t="shared" ref="I7:I56" si="4">SUM(B7:H7)</f>
        <v>19863514.139999997</v>
      </c>
      <c r="J7" s="5">
        <f t="shared" ref="J7:J56" si="5">(+I7*J$4)+I7</f>
        <v>20102110.968851674</v>
      </c>
      <c r="K7" s="5">
        <f>+'COEF Art 14 F I'!AI8</f>
        <v>10990749.305553939</v>
      </c>
      <c r="L7" s="5">
        <f t="shared" si="0"/>
        <v>9111361.6632977352</v>
      </c>
      <c r="M7" s="5">
        <f t="shared" si="1"/>
        <v>0</v>
      </c>
      <c r="N7" s="5">
        <f t="shared" ref="N7:N56" si="6">+M7*N$4</f>
        <v>0</v>
      </c>
      <c r="O7" s="5">
        <f t="shared" si="2"/>
        <v>20102110.968851674</v>
      </c>
      <c r="P7" s="142">
        <f t="shared" si="3"/>
        <v>1.201181357790085E-2</v>
      </c>
      <c r="Q7" s="145">
        <f t="shared" ref="Q7:Q56" si="7">+O7/O$57</f>
        <v>2.4793778302931442E-3</v>
      </c>
    </row>
    <row r="8" spans="1:17" ht="12.75" customHeight="1">
      <c r="A8" s="4" t="s">
        <v>175</v>
      </c>
      <c r="B8" s="5">
        <v>16404570.699999999</v>
      </c>
      <c r="C8" s="157">
        <v>2423495.0299999998</v>
      </c>
      <c r="D8" s="157">
        <v>501609.65</v>
      </c>
      <c r="E8" s="157">
        <v>854676.37000000011</v>
      </c>
      <c r="F8" s="157">
        <v>21226.04</v>
      </c>
      <c r="G8" s="157">
        <v>360416.6</v>
      </c>
      <c r="H8" s="157">
        <v>97921.680000000008</v>
      </c>
      <c r="I8" s="5">
        <f t="shared" si="4"/>
        <v>20663916.07</v>
      </c>
      <c r="J8" s="5">
        <f t="shared" si="5"/>
        <v>20912127.177622233</v>
      </c>
      <c r="K8" s="5">
        <f>+'COEF Art 14 F I'!AI9</f>
        <v>27333561.570223227</v>
      </c>
      <c r="L8" s="5">
        <f t="shared" si="0"/>
        <v>0</v>
      </c>
      <c r="M8" s="5">
        <f t="shared" si="1"/>
        <v>6421434.3926009946</v>
      </c>
      <c r="N8" s="5">
        <f t="shared" si="6"/>
        <v>6421434.3926010001</v>
      </c>
      <c r="O8" s="5">
        <f t="shared" si="2"/>
        <v>20912127.177622229</v>
      </c>
      <c r="P8" s="142">
        <f t="shared" si="3"/>
        <v>1.2011813577900802E-2</v>
      </c>
      <c r="Q8" s="145">
        <f t="shared" si="7"/>
        <v>2.57928456313905E-3</v>
      </c>
    </row>
    <row r="9" spans="1:17" ht="12.75" customHeight="1">
      <c r="A9" s="4" t="s">
        <v>3</v>
      </c>
      <c r="B9" s="5">
        <v>45373965.81000001</v>
      </c>
      <c r="C9" s="157">
        <v>6703228.169999999</v>
      </c>
      <c r="D9" s="157">
        <v>1387419.3800000001</v>
      </c>
      <c r="E9" s="157">
        <v>2363978.77</v>
      </c>
      <c r="F9" s="157">
        <v>58709.840000000004</v>
      </c>
      <c r="G9" s="157">
        <v>996888.63000000012</v>
      </c>
      <c r="H9" s="157">
        <v>270845.03999999992</v>
      </c>
      <c r="I9" s="5">
        <f t="shared" si="4"/>
        <v>57155035.640000023</v>
      </c>
      <c r="J9" s="5">
        <f t="shared" si="5"/>
        <v>57841571.273145989</v>
      </c>
      <c r="K9" s="5">
        <f>+'COEF Art 14 F I'!AI10</f>
        <v>70155677.831951976</v>
      </c>
      <c r="L9" s="5">
        <f t="shared" si="0"/>
        <v>0</v>
      </c>
      <c r="M9" s="5">
        <f t="shared" si="1"/>
        <v>12314106.558805987</v>
      </c>
      <c r="N9" s="5">
        <f t="shared" si="6"/>
        <v>12314106.558805998</v>
      </c>
      <c r="O9" s="5">
        <f t="shared" si="2"/>
        <v>57841571.273145974</v>
      </c>
      <c r="P9" s="142">
        <f t="shared" si="3"/>
        <v>1.2011813577900701E-2</v>
      </c>
      <c r="Q9" s="145">
        <f t="shared" si="7"/>
        <v>7.1341318186022946E-3</v>
      </c>
    </row>
    <row r="10" spans="1:17" ht="12.75" customHeight="1">
      <c r="A10" s="4" t="s">
        <v>176</v>
      </c>
      <c r="B10" s="5">
        <v>57306237.120000005</v>
      </c>
      <c r="C10" s="157">
        <v>8466017.379999999</v>
      </c>
      <c r="D10" s="157">
        <v>1752277.57</v>
      </c>
      <c r="E10" s="157">
        <v>2985648.85</v>
      </c>
      <c r="F10" s="157">
        <v>74149.13</v>
      </c>
      <c r="G10" s="157">
        <v>1259046.6000000001</v>
      </c>
      <c r="H10" s="157">
        <v>342070.80000000005</v>
      </c>
      <c r="I10" s="5">
        <f t="shared" si="4"/>
        <v>72185447.449999973</v>
      </c>
      <c r="J10" s="5">
        <f t="shared" si="5"/>
        <v>73052525.587806731</v>
      </c>
      <c r="K10" s="5">
        <f>+'COEF Art 14 F I'!AI11</f>
        <v>59383234.775330395</v>
      </c>
      <c r="L10" s="5">
        <f t="shared" si="0"/>
        <v>13669290.812476337</v>
      </c>
      <c r="M10" s="5">
        <f t="shared" si="1"/>
        <v>0</v>
      </c>
      <c r="N10" s="5">
        <f t="shared" si="6"/>
        <v>0</v>
      </c>
      <c r="O10" s="5">
        <f t="shared" si="2"/>
        <v>73052525.587806731</v>
      </c>
      <c r="P10" s="142">
        <f t="shared" si="3"/>
        <v>1.2011813577900854E-2</v>
      </c>
      <c r="Q10" s="145">
        <f t="shared" si="7"/>
        <v>9.0102384107810622E-3</v>
      </c>
    </row>
    <row r="11" spans="1:17" ht="12.75" customHeight="1">
      <c r="A11" s="4" t="s">
        <v>4</v>
      </c>
      <c r="B11" s="5">
        <v>390968214.71999997</v>
      </c>
      <c r="C11" s="157">
        <v>57758873.440000005</v>
      </c>
      <c r="D11" s="157">
        <v>11954804.030000003</v>
      </c>
      <c r="E11" s="157">
        <v>20369402.180000003</v>
      </c>
      <c r="F11" s="157">
        <v>505877.82000000007</v>
      </c>
      <c r="G11" s="157">
        <v>8589766.5599999987</v>
      </c>
      <c r="H11" s="157">
        <v>2333756.4</v>
      </c>
      <c r="I11" s="5">
        <f t="shared" si="4"/>
        <v>492480695.14999998</v>
      </c>
      <c r="J11" s="5">
        <f t="shared" si="5"/>
        <v>498396281.4508568</v>
      </c>
      <c r="K11" s="5">
        <f>+'COEF Art 14 F I'!AI12</f>
        <v>611035045.14973414</v>
      </c>
      <c r="L11" s="5">
        <f t="shared" si="0"/>
        <v>0</v>
      </c>
      <c r="M11" s="5">
        <f t="shared" si="1"/>
        <v>112638763.69887733</v>
      </c>
      <c r="N11" s="5">
        <f t="shared" si="6"/>
        <v>112638763.69887744</v>
      </c>
      <c r="O11" s="5">
        <f t="shared" si="2"/>
        <v>498396281.45085669</v>
      </c>
      <c r="P11" s="142">
        <f t="shared" si="3"/>
        <v>1.2011813577900628E-2</v>
      </c>
      <c r="Q11" s="145">
        <f t="shared" si="7"/>
        <v>6.1471787358279913E-2</v>
      </c>
    </row>
    <row r="12" spans="1:17" ht="12.75" customHeight="1">
      <c r="A12" s="4" t="s">
        <v>5</v>
      </c>
      <c r="B12" s="5">
        <v>65415439.799999997</v>
      </c>
      <c r="C12" s="157">
        <v>9664013.5300000012</v>
      </c>
      <c r="D12" s="157">
        <v>2000236.1900000002</v>
      </c>
      <c r="E12" s="157">
        <v>3408137.44</v>
      </c>
      <c r="F12" s="157">
        <v>84641.71</v>
      </c>
      <c r="G12" s="157">
        <v>1437209.8199999998</v>
      </c>
      <c r="H12" s="157">
        <v>390476.03999999986</v>
      </c>
      <c r="I12" s="5">
        <f t="shared" si="4"/>
        <v>82400154.529999986</v>
      </c>
      <c r="J12" s="5">
        <f t="shared" si="5"/>
        <v>83389929.825004578</v>
      </c>
      <c r="K12" s="5">
        <f>+'COEF Art 14 F I'!AI13</f>
        <v>79086906.580936909</v>
      </c>
      <c r="L12" s="5">
        <f t="shared" si="0"/>
        <v>4303023.2440676689</v>
      </c>
      <c r="M12" s="5">
        <f t="shared" si="1"/>
        <v>0</v>
      </c>
      <c r="N12" s="5">
        <f t="shared" si="6"/>
        <v>0</v>
      </c>
      <c r="O12" s="5">
        <f t="shared" si="2"/>
        <v>83389929.825004578</v>
      </c>
      <c r="P12" s="142">
        <f t="shared" si="3"/>
        <v>1.2011813577900963E-2</v>
      </c>
      <c r="Q12" s="145">
        <f t="shared" si="7"/>
        <v>1.0285245345535382E-2</v>
      </c>
    </row>
    <row r="13" spans="1:17" ht="12.75" customHeight="1">
      <c r="A13" s="4" t="s">
        <v>6</v>
      </c>
      <c r="B13" s="5">
        <v>10401401.620000001</v>
      </c>
      <c r="C13" s="157">
        <v>1536629.36</v>
      </c>
      <c r="D13" s="157">
        <v>318048.15000000002</v>
      </c>
      <c r="E13" s="157">
        <v>541911.89</v>
      </c>
      <c r="F13" s="157">
        <v>13458.469999999998</v>
      </c>
      <c r="G13" s="157">
        <v>228524.00000000003</v>
      </c>
      <c r="H13" s="157">
        <v>62087.75999999998</v>
      </c>
      <c r="I13" s="5">
        <f t="shared" si="4"/>
        <v>13102061.250000002</v>
      </c>
      <c r="J13" s="5">
        <f t="shared" si="5"/>
        <v>13259440.767221242</v>
      </c>
      <c r="K13" s="5">
        <f>+'COEF Art 14 F I'!AI14</f>
        <v>7711972.1476929151</v>
      </c>
      <c r="L13" s="5">
        <f t="shared" si="0"/>
        <v>5547468.6195283271</v>
      </c>
      <c r="M13" s="5">
        <f t="shared" si="1"/>
        <v>0</v>
      </c>
      <c r="N13" s="5">
        <f t="shared" si="6"/>
        <v>0</v>
      </c>
      <c r="O13" s="5">
        <f t="shared" si="2"/>
        <v>13259440.767221242</v>
      </c>
      <c r="P13" s="142">
        <f t="shared" si="3"/>
        <v>1.2011813577900982E-2</v>
      </c>
      <c r="Q13" s="145">
        <f t="shared" si="7"/>
        <v>1.6354085166116984E-3</v>
      </c>
    </row>
    <row r="14" spans="1:17" ht="12.75" customHeight="1">
      <c r="A14" s="4" t="s">
        <v>160</v>
      </c>
      <c r="B14" s="5">
        <v>103391967.3</v>
      </c>
      <c r="C14" s="157">
        <v>15274396.569999997</v>
      </c>
      <c r="D14" s="157">
        <v>3161460.84</v>
      </c>
      <c r="E14" s="157">
        <v>5386710.4800000004</v>
      </c>
      <c r="F14" s="157">
        <v>133779.93</v>
      </c>
      <c r="G14" s="157">
        <v>2271573.06</v>
      </c>
      <c r="H14" s="157">
        <v>617164.44000000006</v>
      </c>
      <c r="I14" s="5">
        <f t="shared" si="4"/>
        <v>130237052.62</v>
      </c>
      <c r="J14" s="5">
        <f t="shared" si="5"/>
        <v>131801435.81700672</v>
      </c>
      <c r="K14" s="5">
        <f>+'COEF Art 14 F I'!AI15</f>
        <v>103780138.78739005</v>
      </c>
      <c r="L14" s="5">
        <f t="shared" si="0"/>
        <v>28021297.029616669</v>
      </c>
      <c r="M14" s="5">
        <f t="shared" si="1"/>
        <v>0</v>
      </c>
      <c r="N14" s="5">
        <f t="shared" si="6"/>
        <v>0</v>
      </c>
      <c r="O14" s="5">
        <f t="shared" si="2"/>
        <v>131801435.81700672</v>
      </c>
      <c r="P14" s="142">
        <f t="shared" si="3"/>
        <v>1.2011813577900956E-2</v>
      </c>
      <c r="Q14" s="145">
        <f t="shared" si="7"/>
        <v>1.6256280669818567E-2</v>
      </c>
    </row>
    <row r="15" spans="1:17" ht="12.75" customHeight="1">
      <c r="A15" s="4" t="s">
        <v>161</v>
      </c>
      <c r="B15" s="5">
        <v>17178452.890000001</v>
      </c>
      <c r="C15" s="157">
        <v>2537822.9000000004</v>
      </c>
      <c r="D15" s="157">
        <v>525272.97</v>
      </c>
      <c r="E15" s="157">
        <v>894995.54</v>
      </c>
      <c r="F15" s="157">
        <v>22227.370000000003</v>
      </c>
      <c r="G15" s="157">
        <v>377419.17</v>
      </c>
      <c r="H15" s="157">
        <v>102541.07999999997</v>
      </c>
      <c r="I15" s="5">
        <f t="shared" si="4"/>
        <v>21638731.919999998</v>
      </c>
      <c r="J15" s="5">
        <f t="shared" si="5"/>
        <v>21898652.333885211</v>
      </c>
      <c r="K15" s="5">
        <f>+'COEF Art 14 F I'!AI16</f>
        <v>54448309.820517376</v>
      </c>
      <c r="L15" s="5">
        <f t="shared" si="0"/>
        <v>0</v>
      </c>
      <c r="M15" s="5">
        <f t="shared" si="1"/>
        <v>32549657.486632165</v>
      </c>
      <c r="N15" s="5">
        <f t="shared" si="6"/>
        <v>32549657.486632194</v>
      </c>
      <c r="O15" s="5">
        <f t="shared" si="2"/>
        <v>21898652.333885182</v>
      </c>
      <c r="P15" s="142">
        <f t="shared" si="3"/>
        <v>1.2011813577899516E-2</v>
      </c>
      <c r="Q15" s="145">
        <f t="shared" si="7"/>
        <v>2.7009617643670649E-3</v>
      </c>
    </row>
    <row r="16" spans="1:17" s="11" customFormat="1" ht="12.75" customHeight="1">
      <c r="A16" s="4" t="s">
        <v>162</v>
      </c>
      <c r="B16" s="5">
        <v>24957742.009999994</v>
      </c>
      <c r="C16" s="157">
        <v>3687079.94</v>
      </c>
      <c r="D16" s="157">
        <v>763143.66</v>
      </c>
      <c r="E16" s="157">
        <v>1300295.69</v>
      </c>
      <c r="F16" s="157">
        <v>32293.07</v>
      </c>
      <c r="G16" s="157">
        <v>548334.04</v>
      </c>
      <c r="H16" s="157">
        <v>148977</v>
      </c>
      <c r="I16" s="5">
        <f t="shared" si="4"/>
        <v>31437865.409999996</v>
      </c>
      <c r="J16" s="5">
        <f t="shared" si="5"/>
        <v>31815491.188592058</v>
      </c>
      <c r="K16" s="5">
        <f>+'COEF Art 14 F I'!AI17</f>
        <v>17705770.307012811</v>
      </c>
      <c r="L16" s="5">
        <f t="shared" si="0"/>
        <v>14109720.881579246</v>
      </c>
      <c r="M16" s="5">
        <f t="shared" si="1"/>
        <v>0</v>
      </c>
      <c r="N16" s="5">
        <f t="shared" si="6"/>
        <v>0</v>
      </c>
      <c r="O16" s="5">
        <f t="shared" si="2"/>
        <v>31815491.188592058</v>
      </c>
      <c r="P16" s="142">
        <f t="shared" si="3"/>
        <v>1.2011813577900972E-2</v>
      </c>
      <c r="Q16" s="145">
        <f t="shared" si="7"/>
        <v>3.9240965108147631E-3</v>
      </c>
    </row>
    <row r="17" spans="1:17" ht="12.75" customHeight="1">
      <c r="A17" s="4" t="s">
        <v>7</v>
      </c>
      <c r="B17" s="5">
        <v>52489783.149999991</v>
      </c>
      <c r="C17" s="157">
        <v>7754468.5899999999</v>
      </c>
      <c r="D17" s="157">
        <v>1605002.8</v>
      </c>
      <c r="E17" s="157">
        <v>2734712.13</v>
      </c>
      <c r="F17" s="157">
        <v>67917.070000000007</v>
      </c>
      <c r="G17" s="157">
        <v>1153226.7</v>
      </c>
      <c r="H17" s="157">
        <v>313320.48000000004</v>
      </c>
      <c r="I17" s="5">
        <f t="shared" si="4"/>
        <v>66118430.919999994</v>
      </c>
      <c r="J17" s="5">
        <f t="shared" si="5"/>
        <v>66912633.186274357</v>
      </c>
      <c r="K17" s="5">
        <f>+'COEF Art 14 F I'!AI18</f>
        <v>52100316.335744321</v>
      </c>
      <c r="L17" s="5">
        <f t="shared" si="0"/>
        <v>14812316.850530036</v>
      </c>
      <c r="M17" s="5">
        <f t="shared" si="1"/>
        <v>0</v>
      </c>
      <c r="N17" s="5">
        <f t="shared" si="6"/>
        <v>0</v>
      </c>
      <c r="O17" s="5">
        <f t="shared" si="2"/>
        <v>66912633.186274357</v>
      </c>
      <c r="P17" s="142">
        <f t="shared" si="3"/>
        <v>1.2011813577900963E-2</v>
      </c>
      <c r="Q17" s="145">
        <f t="shared" si="7"/>
        <v>8.2529491328374172E-3</v>
      </c>
    </row>
    <row r="18" spans="1:17" ht="12.75" customHeight="1">
      <c r="A18" s="4" t="s">
        <v>163</v>
      </c>
      <c r="B18" s="5">
        <v>26707303.090000011</v>
      </c>
      <c r="C18" s="157">
        <v>3945547.709999999</v>
      </c>
      <c r="D18" s="157">
        <v>816640.74000000011</v>
      </c>
      <c r="E18" s="157">
        <v>1391447.5900000003</v>
      </c>
      <c r="F18" s="157">
        <v>34556.86</v>
      </c>
      <c r="G18" s="157">
        <v>586772.76</v>
      </c>
      <c r="H18" s="157">
        <v>159420.48000000007</v>
      </c>
      <c r="I18" s="5">
        <f t="shared" si="4"/>
        <v>33641689.230000012</v>
      </c>
      <c r="J18" s="5">
        <f t="shared" si="5"/>
        <v>34045786.929476447</v>
      </c>
      <c r="K18" s="5">
        <f>+'COEF Art 14 F I'!AI19</f>
        <v>43075058.981588215</v>
      </c>
      <c r="L18" s="5">
        <f t="shared" si="0"/>
        <v>0</v>
      </c>
      <c r="M18" s="5">
        <f t="shared" si="1"/>
        <v>9029272.0521117672</v>
      </c>
      <c r="N18" s="5">
        <f t="shared" si="6"/>
        <v>9029272.0521117747</v>
      </c>
      <c r="O18" s="5">
        <f t="shared" si="2"/>
        <v>34045786.92947644</v>
      </c>
      <c r="P18" s="142">
        <f t="shared" si="3"/>
        <v>1.2011813577900654E-2</v>
      </c>
      <c r="Q18" s="145">
        <f t="shared" si="7"/>
        <v>4.1991793527866497E-3</v>
      </c>
    </row>
    <row r="19" spans="1:17" ht="12.75" customHeight="1">
      <c r="A19" s="4" t="s">
        <v>8</v>
      </c>
      <c r="B19" s="5">
        <v>146285856.51000002</v>
      </c>
      <c r="C19" s="157">
        <v>21611235.77</v>
      </c>
      <c r="D19" s="157">
        <v>4473045.8500000006</v>
      </c>
      <c r="E19" s="157">
        <v>7621477.4600000009</v>
      </c>
      <c r="F19" s="157">
        <v>189280.80000000002</v>
      </c>
      <c r="G19" s="157">
        <v>3213973.1799999997</v>
      </c>
      <c r="H19" s="157">
        <v>873205.32</v>
      </c>
      <c r="I19" s="5">
        <f t="shared" si="4"/>
        <v>184268074.89000005</v>
      </c>
      <c r="J19" s="5">
        <f t="shared" si="5"/>
        <v>186481468.6539374</v>
      </c>
      <c r="K19" s="5">
        <f>+'COEF Art 14 F I'!AI20</f>
        <v>229111241.36707717</v>
      </c>
      <c r="L19" s="5">
        <f t="shared" si="0"/>
        <v>0</v>
      </c>
      <c r="M19" s="5">
        <f t="shared" si="1"/>
        <v>42629772.713139772</v>
      </c>
      <c r="N19" s="5">
        <f t="shared" si="6"/>
        <v>42629772.71313981</v>
      </c>
      <c r="O19" s="5">
        <f t="shared" si="2"/>
        <v>186481468.65393737</v>
      </c>
      <c r="P19" s="142">
        <f t="shared" si="3"/>
        <v>1.2011813577900692E-2</v>
      </c>
      <c r="Q19" s="145">
        <f t="shared" si="7"/>
        <v>2.3000470938475289E-2</v>
      </c>
    </row>
    <row r="20" spans="1:17" ht="12.75" customHeight="1">
      <c r="A20" s="4" t="s">
        <v>9</v>
      </c>
      <c r="B20" s="5">
        <v>18674970.939999998</v>
      </c>
      <c r="C20" s="157">
        <v>2758907.88</v>
      </c>
      <c r="D20" s="157">
        <v>571032.65</v>
      </c>
      <c r="E20" s="157">
        <v>972963.99999999977</v>
      </c>
      <c r="F20" s="157">
        <v>24163.729999999996</v>
      </c>
      <c r="G20" s="157">
        <v>410298.41999999993</v>
      </c>
      <c r="H20" s="157">
        <v>111474.11999999998</v>
      </c>
      <c r="I20" s="5">
        <f t="shared" si="4"/>
        <v>23523811.739999998</v>
      </c>
      <c r="J20" s="5">
        <f t="shared" si="5"/>
        <v>23806375.381262515</v>
      </c>
      <c r="K20" s="5">
        <f>+'COEF Art 14 F I'!AI21</f>
        <v>6472766.1858801935</v>
      </c>
      <c r="L20" s="5">
        <f t="shared" si="0"/>
        <v>17333609.195382319</v>
      </c>
      <c r="M20" s="5">
        <f t="shared" si="1"/>
        <v>0</v>
      </c>
      <c r="N20" s="5">
        <f t="shared" si="6"/>
        <v>0</v>
      </c>
      <c r="O20" s="5">
        <f t="shared" si="2"/>
        <v>23806375.381262511</v>
      </c>
      <c r="P20" s="142">
        <f t="shared" si="3"/>
        <v>1.2011813577900734E-2</v>
      </c>
      <c r="Q20" s="145">
        <f t="shared" si="7"/>
        <v>2.9362587556798544E-3</v>
      </c>
    </row>
    <row r="21" spans="1:17" ht="12.75" customHeight="1">
      <c r="A21" s="4" t="s">
        <v>164</v>
      </c>
      <c r="B21" s="5">
        <v>13004749.23</v>
      </c>
      <c r="C21" s="157">
        <v>1921229.47</v>
      </c>
      <c r="D21" s="157">
        <v>397651.83999999997</v>
      </c>
      <c r="E21" s="157">
        <v>677546.05000000016</v>
      </c>
      <c r="F21" s="157">
        <v>16826.969999999998</v>
      </c>
      <c r="G21" s="157">
        <v>285720.82</v>
      </c>
      <c r="H21" s="157">
        <v>77627.520000000004</v>
      </c>
      <c r="I21" s="5">
        <f t="shared" si="4"/>
        <v>16381351.900000002</v>
      </c>
      <c r="J21" s="5">
        <f t="shared" si="5"/>
        <v>16578121.645176794</v>
      </c>
      <c r="K21" s="5">
        <f>+'COEF Art 14 F I'!AI22</f>
        <v>20386620.640502039</v>
      </c>
      <c r="L21" s="5">
        <f t="shared" si="0"/>
        <v>0</v>
      </c>
      <c r="M21" s="5">
        <f t="shared" si="1"/>
        <v>3808498.995325245</v>
      </c>
      <c r="N21" s="5">
        <f t="shared" si="6"/>
        <v>3808498.9953252482</v>
      </c>
      <c r="O21" s="5">
        <f t="shared" si="2"/>
        <v>16578121.645176791</v>
      </c>
      <c r="P21" s="142">
        <f t="shared" si="3"/>
        <v>1.2011813577900637E-2</v>
      </c>
      <c r="Q21" s="145">
        <f t="shared" si="7"/>
        <v>2.0447318860513813E-3</v>
      </c>
    </row>
    <row r="22" spans="1:17" ht="12.75" customHeight="1">
      <c r="A22" s="4" t="s">
        <v>10</v>
      </c>
      <c r="B22" s="5">
        <v>114053395.42999996</v>
      </c>
      <c r="C22" s="157">
        <v>16849440.399999999</v>
      </c>
      <c r="D22" s="157">
        <v>3487459.9400000004</v>
      </c>
      <c r="E22" s="157">
        <v>5942169.7300000004</v>
      </c>
      <c r="F22" s="157">
        <v>147574.87</v>
      </c>
      <c r="G22" s="157">
        <v>2505809.9700000002</v>
      </c>
      <c r="H22" s="157">
        <v>680804.28</v>
      </c>
      <c r="I22" s="5">
        <f t="shared" si="4"/>
        <v>143666654.61999995</v>
      </c>
      <c r="J22" s="5">
        <f t="shared" si="5"/>
        <v>145392351.69265607</v>
      </c>
      <c r="K22" s="5">
        <f>+'COEF Art 14 F I'!AI23</f>
        <v>130928624.00632957</v>
      </c>
      <c r="L22" s="5">
        <f t="shared" si="0"/>
        <v>14463727.686326504</v>
      </c>
      <c r="M22" s="5">
        <f t="shared" si="1"/>
        <v>0</v>
      </c>
      <c r="N22" s="5">
        <f t="shared" si="6"/>
        <v>0</v>
      </c>
      <c r="O22" s="5">
        <f t="shared" si="2"/>
        <v>145392351.69265607</v>
      </c>
      <c r="P22" s="142">
        <f t="shared" si="3"/>
        <v>1.2011813577900973E-2</v>
      </c>
      <c r="Q22" s="145">
        <f t="shared" si="7"/>
        <v>1.7932573053622329E-2</v>
      </c>
    </row>
    <row r="23" spans="1:17" ht="12.75" customHeight="1">
      <c r="A23" s="4" t="s">
        <v>165</v>
      </c>
      <c r="B23" s="5">
        <v>139890405.95999998</v>
      </c>
      <c r="C23" s="157">
        <v>20666417.229999997</v>
      </c>
      <c r="D23" s="157">
        <v>4277489.3999999994</v>
      </c>
      <c r="E23" s="157">
        <v>7288275.1599999983</v>
      </c>
      <c r="F23" s="157">
        <v>181005.63999999998</v>
      </c>
      <c r="G23" s="157">
        <v>3073461.9500000007</v>
      </c>
      <c r="H23" s="157">
        <v>835029.84000000032</v>
      </c>
      <c r="I23" s="5">
        <f t="shared" si="4"/>
        <v>176212085.17999995</v>
      </c>
      <c r="J23" s="5">
        <f t="shared" si="5"/>
        <v>178328711.89735532</v>
      </c>
      <c r="K23" s="5">
        <f>+'COEF Art 14 F I'!AI24</f>
        <v>237038535.61513633</v>
      </c>
      <c r="L23" s="5">
        <f t="shared" si="0"/>
        <v>0</v>
      </c>
      <c r="M23" s="5">
        <f t="shared" si="1"/>
        <v>58709823.717781007</v>
      </c>
      <c r="N23" s="5">
        <f t="shared" si="6"/>
        <v>58709823.717781059</v>
      </c>
      <c r="O23" s="5">
        <f t="shared" si="2"/>
        <v>178328711.89735526</v>
      </c>
      <c r="P23" s="142">
        <f t="shared" si="3"/>
        <v>1.2011813577900659E-2</v>
      </c>
      <c r="Q23" s="145">
        <f t="shared" si="7"/>
        <v>2.1994916626822961E-2</v>
      </c>
    </row>
    <row r="24" spans="1:17" ht="12.75" customHeight="1">
      <c r="A24" s="4" t="s">
        <v>11</v>
      </c>
      <c r="B24" s="5">
        <v>21921102.199999996</v>
      </c>
      <c r="C24" s="157">
        <v>3238468.27</v>
      </c>
      <c r="D24" s="157">
        <v>670291.01</v>
      </c>
      <c r="E24" s="157">
        <v>1142087.0899999999</v>
      </c>
      <c r="F24" s="157">
        <v>28363.940000000002</v>
      </c>
      <c r="G24" s="157">
        <v>481617.55</v>
      </c>
      <c r="H24" s="157">
        <v>130850.75999999997</v>
      </c>
      <c r="I24" s="5">
        <f t="shared" si="4"/>
        <v>27612780.82</v>
      </c>
      <c r="J24" s="5">
        <f t="shared" si="5"/>
        <v>27944460.395577278</v>
      </c>
      <c r="K24" s="5">
        <f>+'COEF Art 14 F I'!AI25</f>
        <v>27252817.710060537</v>
      </c>
      <c r="L24" s="5">
        <f t="shared" si="0"/>
        <v>691642.68551674113</v>
      </c>
      <c r="M24" s="5">
        <f t="shared" si="1"/>
        <v>0</v>
      </c>
      <c r="N24" s="5">
        <f t="shared" si="6"/>
        <v>0</v>
      </c>
      <c r="O24" s="5">
        <f t="shared" si="2"/>
        <v>27944460.395577278</v>
      </c>
      <c r="P24" s="142">
        <f t="shared" si="3"/>
        <v>1.2011813577900906E-2</v>
      </c>
      <c r="Q24" s="145">
        <f t="shared" si="7"/>
        <v>3.4466467572314354E-3</v>
      </c>
    </row>
    <row r="25" spans="1:17" ht="12.75" customHeight="1">
      <c r="A25" s="4" t="s">
        <v>12</v>
      </c>
      <c r="B25" s="5">
        <v>299648492.95999986</v>
      </c>
      <c r="C25" s="157">
        <v>44267944.899999991</v>
      </c>
      <c r="D25" s="157">
        <v>9162481.4399999995</v>
      </c>
      <c r="E25" s="157">
        <v>15611654.469999999</v>
      </c>
      <c r="F25" s="157">
        <v>387718.30000000005</v>
      </c>
      <c r="G25" s="157">
        <v>6583426.7300000004</v>
      </c>
      <c r="H25" s="157">
        <v>1788653.2799999996</v>
      </c>
      <c r="I25" s="5">
        <f t="shared" si="4"/>
        <v>377450372.07999986</v>
      </c>
      <c r="J25" s="5">
        <f t="shared" si="5"/>
        <v>381984235.58433414</v>
      </c>
      <c r="K25" s="5">
        <f>+'COEF Art 14 F I'!AI26</f>
        <v>338526557.71011466</v>
      </c>
      <c r="L25" s="5">
        <f t="shared" si="0"/>
        <v>43457677.874219477</v>
      </c>
      <c r="M25" s="5">
        <f t="shared" si="1"/>
        <v>0</v>
      </c>
      <c r="N25" s="5">
        <f t="shared" si="6"/>
        <v>0</v>
      </c>
      <c r="O25" s="5">
        <f t="shared" si="2"/>
        <v>381984235.58433414</v>
      </c>
      <c r="P25" s="142">
        <f t="shared" si="3"/>
        <v>1.2011813577900852E-2</v>
      </c>
      <c r="Q25" s="145">
        <f t="shared" si="7"/>
        <v>4.7113621385176017E-2</v>
      </c>
    </row>
    <row r="26" spans="1:17" s="11" customFormat="1" ht="12.75" customHeight="1">
      <c r="A26" s="4" t="s">
        <v>166</v>
      </c>
      <c r="B26" s="5">
        <v>44241967.469999991</v>
      </c>
      <c r="C26" s="157">
        <v>6535994.7699999996</v>
      </c>
      <c r="D26" s="157">
        <v>1352805.76</v>
      </c>
      <c r="E26" s="157">
        <v>2305001.75</v>
      </c>
      <c r="F26" s="157">
        <v>57245.14</v>
      </c>
      <c r="G26" s="157">
        <v>972018.05999999994</v>
      </c>
      <c r="H26" s="157">
        <v>264087.84000000003</v>
      </c>
      <c r="I26" s="5">
        <f t="shared" si="4"/>
        <v>55729120.789999999</v>
      </c>
      <c r="J26" s="5">
        <f t="shared" si="5"/>
        <v>56398528.599789798</v>
      </c>
      <c r="K26" s="5">
        <f>+'COEF Art 14 F I'!AI27</f>
        <v>53729063.613400191</v>
      </c>
      <c r="L26" s="5">
        <f t="shared" si="0"/>
        <v>2669464.9863896072</v>
      </c>
      <c r="M26" s="5">
        <f t="shared" si="1"/>
        <v>0</v>
      </c>
      <c r="N26" s="5">
        <f t="shared" si="6"/>
        <v>0</v>
      </c>
      <c r="O26" s="5">
        <f t="shared" si="2"/>
        <v>56398528.599789798</v>
      </c>
      <c r="P26" s="142">
        <f t="shared" si="3"/>
        <v>1.2011813577900861E-2</v>
      </c>
      <c r="Q26" s="145">
        <f t="shared" si="7"/>
        <v>6.9561481223611313E-3</v>
      </c>
    </row>
    <row r="27" spans="1:17" ht="12.75" customHeight="1">
      <c r="A27" s="4" t="s">
        <v>13</v>
      </c>
      <c r="B27" s="5">
        <v>7096430.4199999999</v>
      </c>
      <c r="C27" s="157">
        <v>1048376.3099999999</v>
      </c>
      <c r="D27" s="157">
        <v>216990.62</v>
      </c>
      <c r="E27" s="157">
        <v>369723.23999999987</v>
      </c>
      <c r="F27" s="157">
        <v>9182.14</v>
      </c>
      <c r="G27" s="157">
        <v>155912.12000000002</v>
      </c>
      <c r="H27" s="157">
        <v>42359.760000000009</v>
      </c>
      <c r="I27" s="5">
        <f t="shared" si="4"/>
        <v>8938974.6099999994</v>
      </c>
      <c r="J27" s="5">
        <f t="shared" si="5"/>
        <v>9046347.9065929092</v>
      </c>
      <c r="K27" s="5">
        <f>+'COEF Art 14 F I'!AI28</f>
        <v>13866484.468313739</v>
      </c>
      <c r="L27" s="5">
        <f t="shared" si="0"/>
        <v>0</v>
      </c>
      <c r="M27" s="5">
        <f t="shared" si="1"/>
        <v>4820136.5617208295</v>
      </c>
      <c r="N27" s="5">
        <f t="shared" si="6"/>
        <v>4820136.5617208341</v>
      </c>
      <c r="O27" s="5">
        <f t="shared" si="2"/>
        <v>9046347.9065929055</v>
      </c>
      <c r="P27" s="142">
        <f t="shared" si="3"/>
        <v>1.2011813577900533E-2</v>
      </c>
      <c r="Q27" s="145">
        <f t="shared" si="7"/>
        <v>1.1157691089995268E-3</v>
      </c>
    </row>
    <row r="28" spans="1:17" ht="12.75" customHeight="1">
      <c r="A28" s="4" t="s">
        <v>14</v>
      </c>
      <c r="B28" s="5">
        <v>32863508.580000002</v>
      </c>
      <c r="C28" s="157">
        <v>4855021.8699999992</v>
      </c>
      <c r="D28" s="157">
        <v>1004881.7299999999</v>
      </c>
      <c r="E28" s="157">
        <v>1712185.2700000003</v>
      </c>
      <c r="F28" s="157">
        <v>42522.45</v>
      </c>
      <c r="G28" s="157">
        <v>722027.67</v>
      </c>
      <c r="H28" s="157">
        <v>196167.95999999996</v>
      </c>
      <c r="I28" s="5">
        <f t="shared" si="4"/>
        <v>41396315.530000009</v>
      </c>
      <c r="J28" s="5">
        <f t="shared" si="5"/>
        <v>41893560.354958333</v>
      </c>
      <c r="K28" s="5">
        <f>+'COEF Art 14 F I'!AI29</f>
        <v>43844390.868433103</v>
      </c>
      <c r="L28" s="5">
        <f t="shared" si="0"/>
        <v>0</v>
      </c>
      <c r="M28" s="5">
        <f t="shared" si="1"/>
        <v>1950830.5134747699</v>
      </c>
      <c r="N28" s="5">
        <f t="shared" si="6"/>
        <v>1950830.5134747715</v>
      </c>
      <c r="O28" s="5">
        <f t="shared" si="2"/>
        <v>41893560.354958333</v>
      </c>
      <c r="P28" s="142">
        <f t="shared" si="3"/>
        <v>1.2011813577900911E-2</v>
      </c>
      <c r="Q28" s="145">
        <f t="shared" si="7"/>
        <v>5.1671172712695959E-3</v>
      </c>
    </row>
    <row r="29" spans="1:17" ht="12.75" customHeight="1">
      <c r="A29" s="4" t="s">
        <v>15</v>
      </c>
      <c r="B29" s="5">
        <v>32021360.150000002</v>
      </c>
      <c r="C29" s="157">
        <v>4730608.8600000003</v>
      </c>
      <c r="D29" s="157">
        <v>979130.96</v>
      </c>
      <c r="E29" s="157">
        <v>1668309.4500000004</v>
      </c>
      <c r="F29" s="157">
        <v>41432.769999999997</v>
      </c>
      <c r="G29" s="157">
        <v>703525.24999999988</v>
      </c>
      <c r="H29" s="157">
        <v>191141.04000000004</v>
      </c>
      <c r="I29" s="5">
        <f t="shared" si="4"/>
        <v>40335508.480000012</v>
      </c>
      <c r="J29" s="5">
        <f t="shared" si="5"/>
        <v>40820011.088431612</v>
      </c>
      <c r="K29" s="5">
        <f>+'COEF Art 14 F I'!AI30</f>
        <v>72600514.947993934</v>
      </c>
      <c r="L29" s="5">
        <f t="shared" si="0"/>
        <v>0</v>
      </c>
      <c r="M29" s="5">
        <f t="shared" si="1"/>
        <v>31780503.859562322</v>
      </c>
      <c r="N29" s="5">
        <f t="shared" si="6"/>
        <v>31780503.859562352</v>
      </c>
      <c r="O29" s="5">
        <f t="shared" si="2"/>
        <v>40820011.088431582</v>
      </c>
      <c r="P29" s="142">
        <f t="shared" si="3"/>
        <v>1.2011813577900137E-2</v>
      </c>
      <c r="Q29" s="145">
        <f t="shared" si="7"/>
        <v>5.0347065878703122E-3</v>
      </c>
    </row>
    <row r="30" spans="1:17" ht="12.75" customHeight="1">
      <c r="A30" s="4" t="s">
        <v>16</v>
      </c>
      <c r="B30" s="5">
        <v>512493199.22000003</v>
      </c>
      <c r="C30" s="157">
        <v>75712113.450000003</v>
      </c>
      <c r="D30" s="157">
        <v>15670725.99</v>
      </c>
      <c r="E30" s="157">
        <v>26700840.909999996</v>
      </c>
      <c r="F30" s="157">
        <v>663120.25000000012</v>
      </c>
      <c r="G30" s="157">
        <v>11259731.030000001</v>
      </c>
      <c r="H30" s="157">
        <v>3059159.8800000008</v>
      </c>
      <c r="I30" s="5">
        <f t="shared" si="4"/>
        <v>645558890.73000002</v>
      </c>
      <c r="J30" s="5">
        <f t="shared" si="5"/>
        <v>653313223.77900529</v>
      </c>
      <c r="K30" s="5">
        <f>+'COEF Art 14 F I'!AI31</f>
        <v>534343431.38477302</v>
      </c>
      <c r="L30" s="5">
        <f t="shared" si="0"/>
        <v>118969792.39423227</v>
      </c>
      <c r="M30" s="5">
        <f t="shared" si="1"/>
        <v>0</v>
      </c>
      <c r="N30" s="5">
        <f t="shared" si="6"/>
        <v>0</v>
      </c>
      <c r="O30" s="5">
        <f t="shared" si="2"/>
        <v>653313223.77900529</v>
      </c>
      <c r="P30" s="142">
        <f t="shared" si="3"/>
        <v>1.2011813577900919E-2</v>
      </c>
      <c r="Q30" s="145">
        <f t="shared" si="7"/>
        <v>8.0579115585667299E-2</v>
      </c>
    </row>
    <row r="31" spans="1:17" ht="12.75" customHeight="1">
      <c r="A31" s="4" t="s">
        <v>167</v>
      </c>
      <c r="B31" s="5">
        <v>13196489.440000005</v>
      </c>
      <c r="C31" s="157">
        <v>1949555.8299999996</v>
      </c>
      <c r="D31" s="157">
        <v>403514.75000000006</v>
      </c>
      <c r="E31" s="157">
        <v>687535.7200000002</v>
      </c>
      <c r="F31" s="157">
        <v>17075.079999999998</v>
      </c>
      <c r="G31" s="157">
        <v>289933.42</v>
      </c>
      <c r="H31" s="157">
        <v>78772.079999999973</v>
      </c>
      <c r="I31" s="5">
        <f t="shared" si="4"/>
        <v>16622876.320000006</v>
      </c>
      <c r="J31" s="5">
        <f t="shared" si="5"/>
        <v>16822547.21148435</v>
      </c>
      <c r="K31" s="5">
        <f>+'COEF Art 14 F I'!AI32</f>
        <v>5867590.8224565256</v>
      </c>
      <c r="L31" s="5">
        <f t="shared" si="0"/>
        <v>10954956.389027825</v>
      </c>
      <c r="M31" s="5">
        <f t="shared" si="1"/>
        <v>0</v>
      </c>
      <c r="N31" s="5">
        <f t="shared" si="6"/>
        <v>0</v>
      </c>
      <c r="O31" s="5">
        <f t="shared" si="2"/>
        <v>16822547.21148435</v>
      </c>
      <c r="P31" s="142">
        <f t="shared" si="3"/>
        <v>1.2011813577900958E-2</v>
      </c>
      <c r="Q31" s="145">
        <f t="shared" si="7"/>
        <v>2.0748791343278856E-3</v>
      </c>
    </row>
    <row r="32" spans="1:17" ht="12.75" customHeight="1">
      <c r="A32" s="4" t="s">
        <v>17</v>
      </c>
      <c r="B32" s="5">
        <v>22715715.980000004</v>
      </c>
      <c r="C32" s="157">
        <v>3355858.8999999994</v>
      </c>
      <c r="D32" s="157">
        <v>694588.26</v>
      </c>
      <c r="E32" s="157">
        <v>1183486.3899999999</v>
      </c>
      <c r="F32" s="157">
        <v>29392.100000000002</v>
      </c>
      <c r="G32" s="157">
        <v>499075.59</v>
      </c>
      <c r="H32" s="157">
        <v>135594</v>
      </c>
      <c r="I32" s="5">
        <f t="shared" si="4"/>
        <v>28613711.220000006</v>
      </c>
      <c r="J32" s="5">
        <f t="shared" si="5"/>
        <v>28957413.784946539</v>
      </c>
      <c r="K32" s="5">
        <f>+'COEF Art 14 F I'!AI33</f>
        <v>12972800.215735674</v>
      </c>
      <c r="L32" s="5">
        <f t="shared" si="0"/>
        <v>15984613.569210865</v>
      </c>
      <c r="M32" s="5">
        <f t="shared" si="1"/>
        <v>0</v>
      </c>
      <c r="N32" s="5">
        <f t="shared" si="6"/>
        <v>0</v>
      </c>
      <c r="O32" s="5">
        <f t="shared" si="2"/>
        <v>28957413.784946539</v>
      </c>
      <c r="P32" s="142">
        <f t="shared" si="3"/>
        <v>1.201181357790093E-2</v>
      </c>
      <c r="Q32" s="145">
        <f t="shared" si="7"/>
        <v>3.5715835949901176E-3</v>
      </c>
    </row>
    <row r="33" spans="1:17" ht="12.75" customHeight="1">
      <c r="A33" s="4" t="s">
        <v>18</v>
      </c>
      <c r="B33" s="5">
        <v>13037091.569999998</v>
      </c>
      <c r="C33" s="157">
        <v>1926007.5099999998</v>
      </c>
      <c r="D33" s="157">
        <v>398640.79</v>
      </c>
      <c r="E33" s="157">
        <v>679231.07999999973</v>
      </c>
      <c r="F33" s="157">
        <v>16868.82</v>
      </c>
      <c r="G33" s="157">
        <v>286431.42</v>
      </c>
      <c r="H33" s="157">
        <v>77820.60000000002</v>
      </c>
      <c r="I33" s="5">
        <f t="shared" si="4"/>
        <v>16422091.789999997</v>
      </c>
      <c r="J33" s="5">
        <f t="shared" si="5"/>
        <v>16619350.895140653</v>
      </c>
      <c r="K33" s="5">
        <f>+'COEF Art 14 F I'!AI34</f>
        <v>5718283.8519582078</v>
      </c>
      <c r="L33" s="5">
        <f t="shared" si="0"/>
        <v>10901067.043182446</v>
      </c>
      <c r="M33" s="5">
        <f t="shared" si="1"/>
        <v>0</v>
      </c>
      <c r="N33" s="5">
        <f t="shared" si="6"/>
        <v>0</v>
      </c>
      <c r="O33" s="5">
        <f t="shared" si="2"/>
        <v>16619350.895140653</v>
      </c>
      <c r="P33" s="142">
        <f t="shared" si="3"/>
        <v>1.2011813577900862E-2</v>
      </c>
      <c r="Q33" s="145">
        <f t="shared" si="7"/>
        <v>2.049817067825495E-3</v>
      </c>
    </row>
    <row r="34" spans="1:17" ht="12.75" customHeight="1">
      <c r="A34" s="4" t="s">
        <v>19</v>
      </c>
      <c r="B34" s="5">
        <v>18185303.399999999</v>
      </c>
      <c r="C34" s="157">
        <v>2686567.8599999994</v>
      </c>
      <c r="D34" s="157">
        <v>556059.87999999989</v>
      </c>
      <c r="E34" s="157">
        <v>947452.34000000008</v>
      </c>
      <c r="F34" s="157">
        <v>23530.159999999996</v>
      </c>
      <c r="G34" s="157">
        <v>399540.18</v>
      </c>
      <c r="H34" s="157">
        <v>108551.15999999997</v>
      </c>
      <c r="I34" s="5">
        <f t="shared" si="4"/>
        <v>22907004.979999997</v>
      </c>
      <c r="J34" s="5">
        <f t="shared" si="5"/>
        <v>23182159.653447803</v>
      </c>
      <c r="K34" s="5">
        <f>+'COEF Art 14 F I'!AI35</f>
        <v>14019216.468153212</v>
      </c>
      <c r="L34" s="5">
        <f t="shared" si="0"/>
        <v>9162943.1852945909</v>
      </c>
      <c r="M34" s="5">
        <f t="shared" si="1"/>
        <v>0</v>
      </c>
      <c r="N34" s="5">
        <f t="shared" si="6"/>
        <v>0</v>
      </c>
      <c r="O34" s="5">
        <f t="shared" si="2"/>
        <v>23182159.653447803</v>
      </c>
      <c r="P34" s="142">
        <f t="shared" si="3"/>
        <v>1.2011813577900852E-2</v>
      </c>
      <c r="Q34" s="145">
        <f t="shared" si="7"/>
        <v>2.8592685013099427E-3</v>
      </c>
    </row>
    <row r="35" spans="1:17" ht="12.75" customHeight="1">
      <c r="A35" s="4" t="s">
        <v>20</v>
      </c>
      <c r="B35" s="5">
        <v>17116674.110000003</v>
      </c>
      <c r="C35" s="157">
        <v>2528696.1400000006</v>
      </c>
      <c r="D35" s="157">
        <v>523383.95</v>
      </c>
      <c r="E35" s="157">
        <v>891776.89000000013</v>
      </c>
      <c r="F35" s="157">
        <v>22147.440000000002</v>
      </c>
      <c r="G35" s="157">
        <v>376061.87</v>
      </c>
      <c r="H35" s="157">
        <v>102172.32</v>
      </c>
      <c r="I35" s="5">
        <f t="shared" si="4"/>
        <v>21560912.720000006</v>
      </c>
      <c r="J35" s="5">
        <f t="shared" si="5"/>
        <v>21819898.384162039</v>
      </c>
      <c r="K35" s="5">
        <f>+'COEF Art 14 F I'!AI36</f>
        <v>31442036.507984072</v>
      </c>
      <c r="L35" s="5">
        <f t="shared" si="0"/>
        <v>0</v>
      </c>
      <c r="M35" s="5">
        <f t="shared" si="1"/>
        <v>9622138.1238220334</v>
      </c>
      <c r="N35" s="5">
        <f t="shared" si="6"/>
        <v>9622138.1238220427</v>
      </c>
      <c r="O35" s="5">
        <f t="shared" si="2"/>
        <v>21819898.384162031</v>
      </c>
      <c r="P35" s="142">
        <f t="shared" si="3"/>
        <v>1.2011813577900555E-2</v>
      </c>
      <c r="Q35" s="145">
        <f t="shared" si="7"/>
        <v>2.6912483169935944E-3</v>
      </c>
    </row>
    <row r="36" spans="1:17" ht="12.75" customHeight="1">
      <c r="A36" s="4" t="s">
        <v>168</v>
      </c>
      <c r="B36" s="5">
        <v>159003898.21000001</v>
      </c>
      <c r="C36" s="157">
        <v>23490109.129999999</v>
      </c>
      <c r="D36" s="157">
        <v>4861930.8899999997</v>
      </c>
      <c r="E36" s="157">
        <v>8284086.0999999996</v>
      </c>
      <c r="F36" s="157">
        <v>205736.78</v>
      </c>
      <c r="G36" s="157">
        <v>3493394.91</v>
      </c>
      <c r="H36" s="157">
        <v>949121.5199999999</v>
      </c>
      <c r="I36" s="5">
        <f t="shared" si="4"/>
        <v>200288277.53999999</v>
      </c>
      <c r="J36" s="5">
        <f t="shared" si="5"/>
        <v>202694102.99164936</v>
      </c>
      <c r="K36" s="5">
        <f>+'COEF Art 14 F I'!AI37</f>
        <v>279959584.36842412</v>
      </c>
      <c r="L36" s="5">
        <f t="shared" si="0"/>
        <v>0</v>
      </c>
      <c r="M36" s="5">
        <f t="shared" si="1"/>
        <v>77265481.376774758</v>
      </c>
      <c r="N36" s="5">
        <f t="shared" si="6"/>
        <v>77265481.376774833</v>
      </c>
      <c r="O36" s="5">
        <f t="shared" si="2"/>
        <v>202694102.99164927</v>
      </c>
      <c r="P36" s="142">
        <f t="shared" si="3"/>
        <v>1.2011813577900514E-2</v>
      </c>
      <c r="Q36" s="145">
        <f t="shared" si="7"/>
        <v>2.5000123920684871E-2</v>
      </c>
    </row>
    <row r="37" spans="1:17" ht="12.75" customHeight="1">
      <c r="A37" s="4" t="s">
        <v>21</v>
      </c>
      <c r="B37" s="5">
        <v>30986252.440000001</v>
      </c>
      <c r="C37" s="157">
        <v>4577689.37</v>
      </c>
      <c r="D37" s="157">
        <v>947480.03999999992</v>
      </c>
      <c r="E37" s="157">
        <v>1614380.4300000004</v>
      </c>
      <c r="F37" s="157">
        <v>40093.439999999995</v>
      </c>
      <c r="G37" s="157">
        <v>680783.39999999991</v>
      </c>
      <c r="H37" s="157">
        <v>184962.24</v>
      </c>
      <c r="I37" s="5">
        <f t="shared" si="4"/>
        <v>39031641.359999999</v>
      </c>
      <c r="J37" s="5">
        <f t="shared" si="5"/>
        <v>39500482.159655809</v>
      </c>
      <c r="K37" s="5">
        <f>+'COEF Art 14 F I'!AI38</f>
        <v>25272447.823624849</v>
      </c>
      <c r="L37" s="5">
        <f t="shared" si="0"/>
        <v>14228034.33603096</v>
      </c>
      <c r="M37" s="5">
        <f t="shared" si="1"/>
        <v>0</v>
      </c>
      <c r="N37" s="5">
        <f t="shared" si="6"/>
        <v>0</v>
      </c>
      <c r="O37" s="5">
        <f t="shared" si="2"/>
        <v>39500482.159655809</v>
      </c>
      <c r="P37" s="142">
        <f t="shared" si="3"/>
        <v>1.2011813577900994E-2</v>
      </c>
      <c r="Q37" s="145">
        <f t="shared" si="7"/>
        <v>4.87195697527955E-3</v>
      </c>
    </row>
    <row r="38" spans="1:17" s="11" customFormat="1" ht="12.75" customHeight="1">
      <c r="A38" s="4" t="s">
        <v>22</v>
      </c>
      <c r="B38" s="5">
        <v>113608223.21000001</v>
      </c>
      <c r="C38" s="157">
        <v>16783673.820000004</v>
      </c>
      <c r="D38" s="157">
        <v>3473847.7300000004</v>
      </c>
      <c r="E38" s="157">
        <v>5918976.2900000019</v>
      </c>
      <c r="F38" s="157">
        <v>146998.86000000002</v>
      </c>
      <c r="G38" s="157">
        <v>2496029.2800000003</v>
      </c>
      <c r="H38" s="157">
        <v>678147</v>
      </c>
      <c r="I38" s="5">
        <f t="shared" si="4"/>
        <v>143105896.19000003</v>
      </c>
      <c r="J38" s="5">
        <f t="shared" si="5"/>
        <v>144824857.53693274</v>
      </c>
      <c r="K38" s="5">
        <f>+'COEF Art 14 F I'!AI39</f>
        <v>134130841.7214469</v>
      </c>
      <c r="L38" s="5">
        <f t="shared" si="0"/>
        <v>10694015.815485835</v>
      </c>
      <c r="M38" s="5">
        <f t="shared" si="1"/>
        <v>0</v>
      </c>
      <c r="N38" s="5">
        <f t="shared" si="6"/>
        <v>0</v>
      </c>
      <c r="O38" s="5">
        <f t="shared" si="2"/>
        <v>144824857.53693274</v>
      </c>
      <c r="P38" s="142">
        <f t="shared" si="3"/>
        <v>1.2011813577900831E-2</v>
      </c>
      <c r="Q38" s="145">
        <f t="shared" si="7"/>
        <v>1.7862578791293285E-2</v>
      </c>
    </row>
    <row r="39" spans="1:17" ht="12.75" customHeight="1">
      <c r="A39" s="4" t="s">
        <v>169</v>
      </c>
      <c r="B39" s="5">
        <v>24240160.689999998</v>
      </c>
      <c r="C39" s="157">
        <v>3581069.57</v>
      </c>
      <c r="D39" s="157">
        <v>741201.86</v>
      </c>
      <c r="E39" s="157">
        <v>1262909.7900000003</v>
      </c>
      <c r="F39" s="157">
        <v>31364.6</v>
      </c>
      <c r="G39" s="157">
        <v>532568.40999999992</v>
      </c>
      <c r="H39" s="157">
        <v>144693.72</v>
      </c>
      <c r="I39" s="5">
        <f t="shared" si="4"/>
        <v>30533968.639999997</v>
      </c>
      <c r="J39" s="5">
        <f t="shared" si="5"/>
        <v>30900736.97909715</v>
      </c>
      <c r="K39" s="5">
        <f>+'COEF Art 14 F I'!AI40</f>
        <v>19077675.092162579</v>
      </c>
      <c r="L39" s="5">
        <f t="shared" si="0"/>
        <v>11823061.886934571</v>
      </c>
      <c r="M39" s="5">
        <f t="shared" si="1"/>
        <v>0</v>
      </c>
      <c r="N39" s="5">
        <f t="shared" si="6"/>
        <v>0</v>
      </c>
      <c r="O39" s="5">
        <f t="shared" si="2"/>
        <v>30900736.97909715</v>
      </c>
      <c r="P39" s="142">
        <f t="shared" si="3"/>
        <v>1.2011813577900939E-2</v>
      </c>
      <c r="Q39" s="145">
        <f t="shared" si="7"/>
        <v>3.8112714791201656E-3</v>
      </c>
    </row>
    <row r="40" spans="1:17" ht="12.75" customHeight="1">
      <c r="A40" s="4" t="s">
        <v>23</v>
      </c>
      <c r="B40" s="5">
        <v>23299723.010000002</v>
      </c>
      <c r="C40" s="157">
        <v>3442135.9600000004</v>
      </c>
      <c r="D40" s="157">
        <v>712445.71</v>
      </c>
      <c r="E40" s="157">
        <v>1213913.06</v>
      </c>
      <c r="F40" s="157">
        <v>30147.759999999998</v>
      </c>
      <c r="G40" s="157">
        <v>511906.51999999996</v>
      </c>
      <c r="H40" s="157">
        <v>139080</v>
      </c>
      <c r="I40" s="5">
        <f t="shared" si="4"/>
        <v>29349352.020000003</v>
      </c>
      <c r="J40" s="5">
        <f t="shared" si="5"/>
        <v>29701890.965096433</v>
      </c>
      <c r="K40" s="5">
        <f>+'COEF Art 14 F I'!AI41</f>
        <v>2336961.7830516649</v>
      </c>
      <c r="L40" s="5">
        <f t="shared" si="0"/>
        <v>27364929.182044767</v>
      </c>
      <c r="M40" s="5">
        <f t="shared" si="1"/>
        <v>0</v>
      </c>
      <c r="N40" s="5">
        <f t="shared" si="6"/>
        <v>0</v>
      </c>
      <c r="O40" s="5">
        <f t="shared" si="2"/>
        <v>29701890.965096433</v>
      </c>
      <c r="P40" s="142">
        <f t="shared" si="3"/>
        <v>1.2011813577900907E-2</v>
      </c>
      <c r="Q40" s="145">
        <f t="shared" si="7"/>
        <v>3.6634067979603399E-3</v>
      </c>
    </row>
    <row r="41" spans="1:17" ht="12.75" customHeight="1">
      <c r="A41" s="4" t="s">
        <v>24</v>
      </c>
      <c r="B41" s="5">
        <v>24464426.359999999</v>
      </c>
      <c r="C41" s="157">
        <v>3614200.9799999995</v>
      </c>
      <c r="D41" s="157">
        <v>748059.33</v>
      </c>
      <c r="E41" s="157">
        <v>1274594.0100000002</v>
      </c>
      <c r="F41" s="157">
        <v>31654.780000000002</v>
      </c>
      <c r="G41" s="157">
        <v>537495.63</v>
      </c>
      <c r="H41" s="157">
        <v>146032.32000000001</v>
      </c>
      <c r="I41" s="5">
        <f t="shared" si="4"/>
        <v>30816463.41</v>
      </c>
      <c r="J41" s="5">
        <f t="shared" si="5"/>
        <v>31186625.023611125</v>
      </c>
      <c r="K41" s="5">
        <f>+'COEF Art 14 F I'!AI42</f>
        <v>58615051.455683693</v>
      </c>
      <c r="L41" s="5">
        <f t="shared" si="0"/>
        <v>0</v>
      </c>
      <c r="M41" s="5">
        <f t="shared" si="1"/>
        <v>27428426.432072569</v>
      </c>
      <c r="N41" s="5">
        <f t="shared" si="6"/>
        <v>27428426.432072595</v>
      </c>
      <c r="O41" s="5">
        <f t="shared" si="2"/>
        <v>31186625.023611099</v>
      </c>
      <c r="P41" s="142">
        <f t="shared" si="3"/>
        <v>1.2011813577900059E-2</v>
      </c>
      <c r="Q41" s="145">
        <f t="shared" si="7"/>
        <v>3.8465326753503561E-3</v>
      </c>
    </row>
    <row r="42" spans="1:17" ht="12.75" customHeight="1">
      <c r="A42" s="4" t="s">
        <v>25</v>
      </c>
      <c r="B42" s="5">
        <v>34459204.980000004</v>
      </c>
      <c r="C42" s="157">
        <v>5090758.7399999993</v>
      </c>
      <c r="D42" s="157">
        <v>1053674</v>
      </c>
      <c r="E42" s="157">
        <v>1795320.8699999996</v>
      </c>
      <c r="F42" s="157">
        <v>44587.119999999995</v>
      </c>
      <c r="G42" s="157">
        <v>757085.92</v>
      </c>
      <c r="H42" s="157">
        <v>205692.96000000008</v>
      </c>
      <c r="I42" s="5">
        <f t="shared" si="4"/>
        <v>43406324.590000004</v>
      </c>
      <c r="J42" s="5">
        <f t="shared" si="5"/>
        <v>43927713.269076943</v>
      </c>
      <c r="K42" s="5">
        <f>+'COEF Art 14 F I'!AI43</f>
        <v>36446346.621015519</v>
      </c>
      <c r="L42" s="5">
        <f t="shared" si="0"/>
        <v>7481366.6480614245</v>
      </c>
      <c r="M42" s="5">
        <f t="shared" si="1"/>
        <v>0</v>
      </c>
      <c r="N42" s="5">
        <f t="shared" si="6"/>
        <v>0</v>
      </c>
      <c r="O42" s="5">
        <f t="shared" si="2"/>
        <v>43927713.269076943</v>
      </c>
      <c r="P42" s="142">
        <f t="shared" si="3"/>
        <v>1.2011813577900994E-2</v>
      </c>
      <c r="Q42" s="145">
        <f t="shared" si="7"/>
        <v>5.4180080183412194E-3</v>
      </c>
    </row>
    <row r="43" spans="1:17" s="11" customFormat="1" ht="12.75" customHeight="1">
      <c r="A43" s="4" t="s">
        <v>26</v>
      </c>
      <c r="B43" s="5">
        <v>80844476.999999985</v>
      </c>
      <c r="C43" s="157">
        <v>11943390.130000003</v>
      </c>
      <c r="D43" s="157">
        <v>2472016.5099999998</v>
      </c>
      <c r="E43" s="157">
        <v>4211988.58</v>
      </c>
      <c r="F43" s="157">
        <v>104605.51999999999</v>
      </c>
      <c r="G43" s="157">
        <v>1776193.46</v>
      </c>
      <c r="H43" s="157">
        <v>482574.59999999992</v>
      </c>
      <c r="I43" s="5">
        <f t="shared" si="4"/>
        <v>101835245.79999998</v>
      </c>
      <c r="J43" s="5">
        <f t="shared" si="5"/>
        <v>103058471.7882093</v>
      </c>
      <c r="K43" s="5">
        <f>+'COEF Art 14 F I'!AI44</f>
        <v>97883261.117836624</v>
      </c>
      <c r="L43" s="5">
        <f t="shared" si="0"/>
        <v>5175210.6703726798</v>
      </c>
      <c r="M43" s="5">
        <f t="shared" si="1"/>
        <v>0</v>
      </c>
      <c r="N43" s="5">
        <f t="shared" si="6"/>
        <v>0</v>
      </c>
      <c r="O43" s="5">
        <f t="shared" si="2"/>
        <v>103058471.7882093</v>
      </c>
      <c r="P43" s="142">
        <f t="shared" si="3"/>
        <v>1.2011813577900966E-2</v>
      </c>
      <c r="Q43" s="145">
        <f t="shared" si="7"/>
        <v>1.271114713133902E-2</v>
      </c>
    </row>
    <row r="44" spans="1:17" ht="12.75" customHeight="1">
      <c r="A44" s="4" t="s">
        <v>27</v>
      </c>
      <c r="B44" s="5">
        <v>1673093482.5799999</v>
      </c>
      <c r="C44" s="157">
        <v>247170974.37999997</v>
      </c>
      <c r="D44" s="157">
        <v>51158902.350000001</v>
      </c>
      <c r="E44" s="157">
        <v>87167991.600000009</v>
      </c>
      <c r="F44" s="157">
        <v>2164833.0099999998</v>
      </c>
      <c r="G44" s="157">
        <v>36758697.729999997</v>
      </c>
      <c r="H44" s="157">
        <v>9986982.0399999991</v>
      </c>
      <c r="I44" s="5">
        <f t="shared" si="4"/>
        <v>2107501863.6899996</v>
      </c>
      <c r="J44" s="5">
        <f t="shared" si="5"/>
        <v>2132816783.1917226</v>
      </c>
      <c r="K44" s="5">
        <f>+'COEF Art 14 F I'!AI45</f>
        <v>2128456679.100867</v>
      </c>
      <c r="L44" s="5">
        <f t="shared" si="0"/>
        <v>4360104.0908555984</v>
      </c>
      <c r="M44" s="5">
        <f t="shared" si="1"/>
        <v>0</v>
      </c>
      <c r="N44" s="5">
        <f t="shared" si="6"/>
        <v>0</v>
      </c>
      <c r="O44" s="5">
        <f t="shared" si="2"/>
        <v>2132816783.1917226</v>
      </c>
      <c r="P44" s="142">
        <f t="shared" si="3"/>
        <v>1.201181357790093E-2</v>
      </c>
      <c r="Q44" s="145">
        <f t="shared" si="7"/>
        <v>0.26305986751921584</v>
      </c>
    </row>
    <row r="45" spans="1:17" ht="12.75" customHeight="1">
      <c r="A45" s="4" t="s">
        <v>170</v>
      </c>
      <c r="B45" s="5">
        <v>8640862.4000000004</v>
      </c>
      <c r="C45" s="157">
        <v>1276539.7600000002</v>
      </c>
      <c r="D45" s="157">
        <v>264215.39</v>
      </c>
      <c r="E45" s="157">
        <v>450188.04</v>
      </c>
      <c r="F45" s="157">
        <v>11180.5</v>
      </c>
      <c r="G45" s="157">
        <v>189844.06</v>
      </c>
      <c r="H45" s="157">
        <v>51578.75999999998</v>
      </c>
      <c r="I45" s="5">
        <f t="shared" si="4"/>
        <v>10884408.91</v>
      </c>
      <c r="J45" s="5">
        <f t="shared" si="5"/>
        <v>11015150.400732564</v>
      </c>
      <c r="K45" s="5">
        <f>+'COEF Art 14 F I'!AI46</f>
        <v>22103266.008610904</v>
      </c>
      <c r="L45" s="5">
        <f t="shared" si="0"/>
        <v>0</v>
      </c>
      <c r="M45" s="5">
        <f t="shared" si="1"/>
        <v>11088115.60787834</v>
      </c>
      <c r="N45" s="5">
        <f t="shared" si="6"/>
        <v>11088115.60787835</v>
      </c>
      <c r="O45" s="5">
        <f t="shared" si="2"/>
        <v>11015150.400732554</v>
      </c>
      <c r="P45" s="142">
        <f t="shared" si="3"/>
        <v>1.2011813577900056E-2</v>
      </c>
      <c r="Q45" s="145">
        <f t="shared" si="7"/>
        <v>1.3585995890301791E-3</v>
      </c>
    </row>
    <row r="46" spans="1:17" s="11" customFormat="1" ht="12.75" customHeight="1">
      <c r="A46" s="4" t="s">
        <v>171</v>
      </c>
      <c r="B46" s="5">
        <v>36380011.600000001</v>
      </c>
      <c r="C46" s="157">
        <v>5374525.1199999992</v>
      </c>
      <c r="D46" s="157">
        <v>1112407.3199999998</v>
      </c>
      <c r="E46" s="157">
        <v>1895394.74</v>
      </c>
      <c r="F46" s="157">
        <v>47072.480000000003</v>
      </c>
      <c r="G46" s="157">
        <v>799286.98999999987</v>
      </c>
      <c r="H46" s="157">
        <v>217158.48000000007</v>
      </c>
      <c r="I46" s="5">
        <f t="shared" si="4"/>
        <v>45825856.729999997</v>
      </c>
      <c r="J46" s="5">
        <f t="shared" si="5"/>
        <v>46376308.378088355</v>
      </c>
      <c r="K46" s="5">
        <f>+'COEF Art 14 F I'!AI47</f>
        <v>77888290.555059955</v>
      </c>
      <c r="L46" s="5">
        <f t="shared" si="0"/>
        <v>0</v>
      </c>
      <c r="M46" s="5">
        <f t="shared" si="1"/>
        <v>31511982.176971599</v>
      </c>
      <c r="N46" s="5">
        <f t="shared" si="6"/>
        <v>31511982.176971629</v>
      </c>
      <c r="O46" s="5">
        <f t="shared" si="2"/>
        <v>46376308.378088325</v>
      </c>
      <c r="P46" s="142">
        <f t="shared" si="3"/>
        <v>1.2011813577900316E-2</v>
      </c>
      <c r="Q46" s="145">
        <f t="shared" si="7"/>
        <v>5.7200157247982225E-3</v>
      </c>
    </row>
    <row r="47" spans="1:17" ht="12.75" customHeight="1">
      <c r="A47" s="4" t="s">
        <v>172</v>
      </c>
      <c r="B47" s="5">
        <v>18327006.490000002</v>
      </c>
      <c r="C47" s="157">
        <v>2707502.0599999996</v>
      </c>
      <c r="D47" s="157">
        <v>560392.80000000005</v>
      </c>
      <c r="E47" s="157">
        <v>954835.08000000007</v>
      </c>
      <c r="F47" s="157">
        <v>23713.5</v>
      </c>
      <c r="G47" s="157">
        <v>402653.45</v>
      </c>
      <c r="H47" s="157">
        <v>109397.04</v>
      </c>
      <c r="I47" s="5">
        <f t="shared" si="4"/>
        <v>23085500.419999998</v>
      </c>
      <c r="J47" s="5">
        <f t="shared" si="5"/>
        <v>23362799.147397593</v>
      </c>
      <c r="K47" s="5">
        <f>+'COEF Art 14 F I'!AI48</f>
        <v>21519294.077690717</v>
      </c>
      <c r="L47" s="5">
        <f t="shared" si="0"/>
        <v>1843505.0697068758</v>
      </c>
      <c r="M47" s="5">
        <f t="shared" si="1"/>
        <v>0</v>
      </c>
      <c r="N47" s="5">
        <f t="shared" si="6"/>
        <v>0</v>
      </c>
      <c r="O47" s="5">
        <f t="shared" si="2"/>
        <v>23362799.147397593</v>
      </c>
      <c r="P47" s="142">
        <f t="shared" si="3"/>
        <v>1.2011813577900973E-2</v>
      </c>
      <c r="Q47" s="145">
        <f t="shared" si="7"/>
        <v>2.8815484278941934E-3</v>
      </c>
    </row>
    <row r="48" spans="1:17" ht="12.75" customHeight="1">
      <c r="A48" s="4" t="s">
        <v>28</v>
      </c>
      <c r="B48" s="5">
        <v>20536773.130000003</v>
      </c>
      <c r="C48" s="157">
        <v>3033957.3300000005</v>
      </c>
      <c r="D48" s="157">
        <v>627961.79000000015</v>
      </c>
      <c r="E48" s="157">
        <v>1069963.7</v>
      </c>
      <c r="F48" s="157">
        <v>26572.749999999996</v>
      </c>
      <c r="G48" s="157">
        <v>451203.14000000007</v>
      </c>
      <c r="H48" s="157">
        <v>122587.56000000001</v>
      </c>
      <c r="I48" s="5">
        <f t="shared" si="4"/>
        <v>25869019.400000002</v>
      </c>
      <c r="J48" s="5">
        <f t="shared" si="5"/>
        <v>26179753.238475904</v>
      </c>
      <c r="K48" s="5">
        <f>+'COEF Art 14 F I'!AI49</f>
        <v>13442364.934485745</v>
      </c>
      <c r="L48" s="5">
        <f t="shared" si="0"/>
        <v>12737388.303990159</v>
      </c>
      <c r="M48" s="5">
        <f t="shared" si="1"/>
        <v>0</v>
      </c>
      <c r="N48" s="5">
        <f t="shared" si="6"/>
        <v>0</v>
      </c>
      <c r="O48" s="5">
        <f t="shared" si="2"/>
        <v>26179753.238475904</v>
      </c>
      <c r="P48" s="142">
        <f t="shared" si="3"/>
        <v>1.2011813577900893E-2</v>
      </c>
      <c r="Q48" s="145">
        <f t="shared" si="7"/>
        <v>3.2289892281760811E-3</v>
      </c>
    </row>
    <row r="49" spans="1:17" ht="12.75" customHeight="1">
      <c r="A49" s="4" t="s">
        <v>29</v>
      </c>
      <c r="B49" s="5">
        <v>59087516.599999994</v>
      </c>
      <c r="C49" s="157">
        <v>8729170.9900000002</v>
      </c>
      <c r="D49" s="157">
        <v>1806744.53</v>
      </c>
      <c r="E49" s="157">
        <v>3078453.2899999996</v>
      </c>
      <c r="F49" s="157">
        <v>76453.959999999992</v>
      </c>
      <c r="G49" s="157">
        <v>1298182.18</v>
      </c>
      <c r="H49" s="157">
        <v>352703.52</v>
      </c>
      <c r="I49" s="5">
        <f t="shared" si="4"/>
        <v>74429225.069999993</v>
      </c>
      <c r="J49" s="5">
        <f t="shared" si="5"/>
        <v>75323255.04628846</v>
      </c>
      <c r="K49" s="5">
        <f>+'COEF Art 14 F I'!AI50</f>
        <v>50340189.986559525</v>
      </c>
      <c r="L49" s="5">
        <f t="shared" si="0"/>
        <v>24983065.059728935</v>
      </c>
      <c r="M49" s="5">
        <f t="shared" si="1"/>
        <v>0</v>
      </c>
      <c r="N49" s="5">
        <f t="shared" si="6"/>
        <v>0</v>
      </c>
      <c r="O49" s="5">
        <f t="shared" si="2"/>
        <v>75323255.04628846</v>
      </c>
      <c r="P49" s="142">
        <f t="shared" si="3"/>
        <v>1.2011813577900895E-2</v>
      </c>
      <c r="Q49" s="145">
        <f t="shared" si="7"/>
        <v>9.2903083142194063E-3</v>
      </c>
    </row>
    <row r="50" spans="1:17" ht="12.75" customHeight="1">
      <c r="A50" s="4" t="s">
        <v>30</v>
      </c>
      <c r="B50" s="5">
        <v>50847905.830000006</v>
      </c>
      <c r="C50" s="157">
        <v>7511909.2699999977</v>
      </c>
      <c r="D50" s="157">
        <v>1554798.39</v>
      </c>
      <c r="E50" s="157">
        <v>2649170.4499999993</v>
      </c>
      <c r="F50" s="157">
        <v>65792.62</v>
      </c>
      <c r="G50" s="157">
        <v>1117153.83</v>
      </c>
      <c r="H50" s="157">
        <v>303519.84000000003</v>
      </c>
      <c r="I50" s="5">
        <f t="shared" si="4"/>
        <v>64050250.229999997</v>
      </c>
      <c r="J50" s="5">
        <f t="shared" si="5"/>
        <v>64819609.895380661</v>
      </c>
      <c r="K50" s="5">
        <f>+'COEF Art 14 F I'!AI51</f>
        <v>78770458.811975509</v>
      </c>
      <c r="L50" s="5">
        <f t="shared" si="0"/>
        <v>0</v>
      </c>
      <c r="M50" s="5">
        <f t="shared" si="1"/>
        <v>13950848.916594848</v>
      </c>
      <c r="N50" s="5">
        <f t="shared" si="6"/>
        <v>13950848.916594861</v>
      </c>
      <c r="O50" s="5">
        <f t="shared" si="2"/>
        <v>64819609.895380646</v>
      </c>
      <c r="P50" s="142">
        <f t="shared" si="3"/>
        <v>1.2011813577900666E-2</v>
      </c>
      <c r="Q50" s="145">
        <f t="shared" si="7"/>
        <v>7.9947973619229062E-3</v>
      </c>
    </row>
    <row r="51" spans="1:17" ht="12.75" customHeight="1">
      <c r="A51" s="4" t="s">
        <v>173</v>
      </c>
      <c r="B51" s="5">
        <v>460099828.91000009</v>
      </c>
      <c r="C51" s="157">
        <v>67971888.239999995</v>
      </c>
      <c r="D51" s="157">
        <v>14068671.27</v>
      </c>
      <c r="E51" s="157">
        <v>23971151.900000002</v>
      </c>
      <c r="F51" s="157">
        <v>595327.93999999994</v>
      </c>
      <c r="G51" s="157">
        <v>10108622.569999998</v>
      </c>
      <c r="H51" s="157">
        <v>2746414.7999999993</v>
      </c>
      <c r="I51" s="5">
        <f t="shared" si="4"/>
        <v>579561905.63000011</v>
      </c>
      <c r="J51" s="5">
        <f t="shared" si="5"/>
        <v>586523495.19728065</v>
      </c>
      <c r="K51" s="5">
        <f>+'COEF Art 14 F I'!AI52</f>
        <v>557630268.60497093</v>
      </c>
      <c r="L51" s="5">
        <f t="shared" si="0"/>
        <v>28893226.592309713</v>
      </c>
      <c r="M51" s="5">
        <f t="shared" si="1"/>
        <v>0</v>
      </c>
      <c r="N51" s="5">
        <f t="shared" si="6"/>
        <v>0</v>
      </c>
      <c r="O51" s="5">
        <f t="shared" si="2"/>
        <v>586523495.19728065</v>
      </c>
      <c r="P51" s="142">
        <f t="shared" si="3"/>
        <v>1.2011813577900857E-2</v>
      </c>
      <c r="Q51" s="145">
        <f t="shared" si="7"/>
        <v>7.2341325405649998E-2</v>
      </c>
    </row>
    <row r="52" spans="1:17" ht="12.75" customHeight="1">
      <c r="A52" s="4" t="s">
        <v>174</v>
      </c>
      <c r="B52" s="5">
        <v>889030126.80000007</v>
      </c>
      <c r="C52" s="157">
        <v>131339010.85000001</v>
      </c>
      <c r="D52" s="157">
        <v>27184258.32</v>
      </c>
      <c r="E52" s="157">
        <v>46318374.57</v>
      </c>
      <c r="F52" s="157">
        <v>1150325.31</v>
      </c>
      <c r="G52" s="157">
        <v>19532435</v>
      </c>
      <c r="H52" s="157">
        <v>5306773.32</v>
      </c>
      <c r="I52" s="5">
        <f t="shared" si="4"/>
        <v>1119861304.1700001</v>
      </c>
      <c r="J52" s="5">
        <f t="shared" si="5"/>
        <v>1133312869.3887951</v>
      </c>
      <c r="K52" s="5">
        <f>+'COEF Art 14 F I'!AI53</f>
        <v>1084493910.3834505</v>
      </c>
      <c r="L52" s="5">
        <f t="shared" si="0"/>
        <v>48818959.005344629</v>
      </c>
      <c r="M52" s="5">
        <f t="shared" si="1"/>
        <v>0</v>
      </c>
      <c r="N52" s="5">
        <f t="shared" si="6"/>
        <v>0</v>
      </c>
      <c r="O52" s="5">
        <f t="shared" si="2"/>
        <v>1133312869.3887951</v>
      </c>
      <c r="P52" s="142">
        <f t="shared" si="3"/>
        <v>1.201181357790094E-2</v>
      </c>
      <c r="Q52" s="145">
        <f t="shared" si="7"/>
        <v>0.13978187701293959</v>
      </c>
    </row>
    <row r="53" spans="1:17" s="11" customFormat="1" ht="12.75" customHeight="1">
      <c r="A53" s="4" t="s">
        <v>31</v>
      </c>
      <c r="B53" s="5">
        <v>239562344.57999995</v>
      </c>
      <c r="C53" s="157">
        <v>35391243.140000008</v>
      </c>
      <c r="D53" s="157">
        <v>7325201.3199999984</v>
      </c>
      <c r="E53" s="157">
        <v>12481172.560000001</v>
      </c>
      <c r="F53" s="157">
        <v>309972.21000000002</v>
      </c>
      <c r="G53" s="157">
        <v>5263304.1199999992</v>
      </c>
      <c r="H53" s="157">
        <v>1429988.76</v>
      </c>
      <c r="I53" s="5">
        <f t="shared" si="4"/>
        <v>301763226.68999994</v>
      </c>
      <c r="J53" s="5">
        <f t="shared" si="5"/>
        <v>305387950.31366605</v>
      </c>
      <c r="K53" s="5">
        <f>+'COEF Art 14 F I'!AI54</f>
        <v>284776443.23221707</v>
      </c>
      <c r="L53" s="5">
        <f t="shared" si="0"/>
        <v>20611507.081448972</v>
      </c>
      <c r="M53" s="5">
        <f t="shared" si="1"/>
        <v>0</v>
      </c>
      <c r="N53" s="5">
        <f t="shared" si="6"/>
        <v>0</v>
      </c>
      <c r="O53" s="5">
        <f t="shared" si="2"/>
        <v>305387950.31366605</v>
      </c>
      <c r="P53" s="142">
        <f t="shared" si="3"/>
        <v>1.2011813577900831E-2</v>
      </c>
      <c r="Q53" s="145">
        <f t="shared" si="7"/>
        <v>3.7666298570314831E-2</v>
      </c>
    </row>
    <row r="54" spans="1:17" s="11" customFormat="1" ht="12.75" customHeight="1">
      <c r="A54" s="4" t="s">
        <v>32</v>
      </c>
      <c r="B54" s="5">
        <v>76359741.650000021</v>
      </c>
      <c r="C54" s="157">
        <v>11280847.090000002</v>
      </c>
      <c r="D54" s="157">
        <v>2334884.8199999998</v>
      </c>
      <c r="E54" s="157">
        <v>3978334.3599999989</v>
      </c>
      <c r="F54" s="157">
        <v>98802.669999999984</v>
      </c>
      <c r="G54" s="157">
        <v>1677661.5900000003</v>
      </c>
      <c r="H54" s="157">
        <v>455804.40000000008</v>
      </c>
      <c r="I54" s="5">
        <f t="shared" si="4"/>
        <v>96186076.580000028</v>
      </c>
      <c r="J54" s="5">
        <f t="shared" si="5"/>
        <v>97341445.800668687</v>
      </c>
      <c r="K54" s="5">
        <f>+'COEF Art 14 F I'!AI55</f>
        <v>148362890.11725065</v>
      </c>
      <c r="L54" s="5">
        <f t="shared" si="0"/>
        <v>0</v>
      </c>
      <c r="M54" s="5">
        <f t="shared" si="1"/>
        <v>51021444.316581964</v>
      </c>
      <c r="N54" s="5">
        <f t="shared" si="6"/>
        <v>51021444.316582009</v>
      </c>
      <c r="O54" s="5">
        <f t="shared" si="2"/>
        <v>97341445.800668642</v>
      </c>
      <c r="P54" s="142">
        <f t="shared" si="3"/>
        <v>1.201181357790042E-2</v>
      </c>
      <c r="Q54" s="145">
        <f t="shared" si="7"/>
        <v>1.2006013849034399E-2</v>
      </c>
    </row>
    <row r="55" spans="1:17" ht="12.75" customHeight="1">
      <c r="A55" s="4" t="s">
        <v>33</v>
      </c>
      <c r="B55" s="5">
        <v>15342654.370000001</v>
      </c>
      <c r="C55" s="157">
        <v>2266615.0499999998</v>
      </c>
      <c r="D55" s="157">
        <v>469138.98000000004</v>
      </c>
      <c r="E55" s="157">
        <v>799350.69000000006</v>
      </c>
      <c r="F55" s="157">
        <v>19852.02</v>
      </c>
      <c r="G55" s="157">
        <v>337085.74999999994</v>
      </c>
      <c r="H55" s="157">
        <v>91582.920000000027</v>
      </c>
      <c r="I55" s="5">
        <f t="shared" si="4"/>
        <v>19326279.780000005</v>
      </c>
      <c r="J55" s="5">
        <f t="shared" si="5"/>
        <v>19558423.449871723</v>
      </c>
      <c r="K55" s="5">
        <f>+'COEF Art 14 F I'!AI56</f>
        <v>31445795.961885817</v>
      </c>
      <c r="L55" s="5">
        <f t="shared" si="0"/>
        <v>0</v>
      </c>
      <c r="M55" s="5">
        <f t="shared" si="1"/>
        <v>11887372.512014095</v>
      </c>
      <c r="N55" s="5">
        <f t="shared" si="6"/>
        <v>11887372.512014106</v>
      </c>
      <c r="O55" s="5">
        <f t="shared" si="2"/>
        <v>19558423.449871711</v>
      </c>
      <c r="P55" s="142">
        <f t="shared" si="3"/>
        <v>1.2011813577900425E-2</v>
      </c>
      <c r="Q55" s="145">
        <f t="shared" si="7"/>
        <v>2.4123198589559676E-3</v>
      </c>
    </row>
    <row r="56" spans="1:17" ht="12.75" customHeight="1">
      <c r="A56" s="4" t="s">
        <v>34</v>
      </c>
      <c r="B56" s="5">
        <v>21137744.940000005</v>
      </c>
      <c r="C56" s="157">
        <v>3122740.67</v>
      </c>
      <c r="D56" s="157">
        <v>646337.98</v>
      </c>
      <c r="E56" s="157">
        <v>1101274.25</v>
      </c>
      <c r="F56" s="157">
        <v>27350.35</v>
      </c>
      <c r="G56" s="157">
        <v>464406.77999999997</v>
      </c>
      <c r="H56" s="157">
        <v>126174.84000000003</v>
      </c>
      <c r="I56" s="5">
        <f t="shared" si="4"/>
        <v>26626029.81000001</v>
      </c>
      <c r="J56" s="5">
        <f t="shared" si="5"/>
        <v>26945856.716397364</v>
      </c>
      <c r="K56" s="5">
        <f>+'COEF Art 14 F I'!AI57</f>
        <v>19105284.448407646</v>
      </c>
      <c r="L56" s="5">
        <f t="shared" si="0"/>
        <v>7840572.2679897174</v>
      </c>
      <c r="M56" s="5">
        <f t="shared" si="1"/>
        <v>0</v>
      </c>
      <c r="N56" s="5">
        <f t="shared" si="6"/>
        <v>0</v>
      </c>
      <c r="O56" s="5">
        <f t="shared" si="2"/>
        <v>26945856.716397364</v>
      </c>
      <c r="P56" s="142">
        <f t="shared" si="3"/>
        <v>1.2011813577900961E-2</v>
      </c>
      <c r="Q56" s="145">
        <f t="shared" si="7"/>
        <v>3.3234798009230014E-3</v>
      </c>
    </row>
    <row r="57" spans="1:17" s="149" customFormat="1" ht="16.5" customHeight="1" thickBot="1">
      <c r="A57" s="6" t="s">
        <v>35</v>
      </c>
      <c r="B57" s="7">
        <f>SUM(B6:B56)</f>
        <v>6360124401.3299999</v>
      </c>
      <c r="C57" s="7">
        <f t="shared" ref="C57:I57" si="8">SUM(C6:C56)</f>
        <v>939599707.75999987</v>
      </c>
      <c r="D57" s="7">
        <f t="shared" si="8"/>
        <v>194476272.03999993</v>
      </c>
      <c r="E57" s="7">
        <f t="shared" si="8"/>
        <v>331361801.39999998</v>
      </c>
      <c r="F57" s="7">
        <f t="shared" si="8"/>
        <v>8229430.8999999994</v>
      </c>
      <c r="G57" s="7">
        <f t="shared" si="8"/>
        <v>139735103.19000003</v>
      </c>
      <c r="H57" s="7">
        <f t="shared" si="8"/>
        <v>37964673.400000006</v>
      </c>
      <c r="I57" s="7">
        <f t="shared" si="8"/>
        <v>8011491390.0199976</v>
      </c>
      <c r="J57" s="7">
        <f>SUM(J6:J56)</f>
        <v>8107723931.0778799</v>
      </c>
      <c r="K57" s="7">
        <f>SUM(K6:K56)</f>
        <v>8107723931.0778761</v>
      </c>
      <c r="L57" s="7">
        <f t="shared" ref="L57:O57" si="9">SUM(L6:L56)</f>
        <v>561018920.12018359</v>
      </c>
      <c r="M57" s="7">
        <f t="shared" si="9"/>
        <v>561018920.12018311</v>
      </c>
      <c r="N57" s="7">
        <f t="shared" si="9"/>
        <v>561018920.12018347</v>
      </c>
      <c r="O57" s="7">
        <f t="shared" si="9"/>
        <v>8107723931.077879</v>
      </c>
      <c r="P57" s="143">
        <f t="shared" si="3"/>
        <v>1.2011813577901273E-2</v>
      </c>
      <c r="Q57" s="146">
        <f>SUM(Q6:Q56)</f>
        <v>0.99999999999999967</v>
      </c>
    </row>
    <row r="58" spans="1:17" ht="15" thickTop="1">
      <c r="K58" s="150"/>
      <c r="L58" s="151"/>
      <c r="M58" s="151"/>
      <c r="N58" s="151"/>
      <c r="O58" s="152"/>
      <c r="P58" s="151"/>
      <c r="Q58" s="153"/>
    </row>
    <row r="59" spans="1:17">
      <c r="A59" s="232">
        <v>3.15E-2</v>
      </c>
      <c r="B59" s="83"/>
      <c r="C59" s="83"/>
      <c r="D59" s="83"/>
      <c r="E59" s="83"/>
      <c r="F59" s="83"/>
      <c r="G59" s="83"/>
      <c r="H59" s="83"/>
      <c r="I59" s="83" t="s">
        <v>184</v>
      </c>
      <c r="K59" s="154"/>
    </row>
    <row r="60" spans="1:17">
      <c r="A60" s="232">
        <f>+(K57-I57)/I57</f>
        <v>1.2011813577900916E-2</v>
      </c>
      <c r="B60" s="83"/>
      <c r="C60" s="83"/>
      <c r="D60" s="83"/>
      <c r="E60" s="83"/>
      <c r="F60" s="83"/>
      <c r="G60" s="83"/>
      <c r="H60" s="83"/>
      <c r="I60" s="83" t="s">
        <v>193</v>
      </c>
      <c r="K60" s="155"/>
    </row>
    <row r="64" spans="1:17">
      <c r="N64" s="156"/>
    </row>
  </sheetData>
  <mergeCells count="16">
    <mergeCell ref="E3:E4"/>
    <mergeCell ref="F3:F4"/>
    <mergeCell ref="G3:G4"/>
    <mergeCell ref="H3:H4"/>
    <mergeCell ref="A1:Q1"/>
    <mergeCell ref="K3:K4"/>
    <mergeCell ref="A3:A4"/>
    <mergeCell ref="I3:I4"/>
    <mergeCell ref="Q3:Q4"/>
    <mergeCell ref="P3:P4"/>
    <mergeCell ref="O3:O4"/>
    <mergeCell ref="L3:L4"/>
    <mergeCell ref="M3:M4"/>
    <mergeCell ref="B3:B4"/>
    <mergeCell ref="C3:C4"/>
    <mergeCell ref="D3:D4"/>
  </mergeCells>
  <conditionalFormatting sqref="P6:P56">
    <cfRule type="cellIs" dxfId="0" priority="1" operator="lessThan">
      <formula>#REF!-0.00001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zoomScaleNormal="100" workbookViewId="0">
      <selection activeCell="L5" sqref="L5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66" customWidth="1"/>
    <col min="4" max="4" width="17.28515625" style="14" customWidth="1"/>
    <col min="5" max="5" width="15.7109375" style="66" customWidth="1"/>
    <col min="6" max="6" width="2" style="11" customWidth="1"/>
    <col min="7" max="7" width="16.140625" style="66" customWidth="1"/>
    <col min="8" max="8" width="2" style="66" customWidth="1"/>
    <col min="9" max="11" width="18.42578125" style="14" customWidth="1"/>
    <col min="12" max="12" width="15.7109375" style="14" customWidth="1"/>
    <col min="13" max="13" width="15.7109375" style="66" customWidth="1"/>
    <col min="14" max="16384" width="9.7109375" style="14"/>
  </cols>
  <sheetData>
    <row r="1" spans="1:13" s="81" customFormat="1" ht="51" customHeight="1">
      <c r="A1" s="280" t="s">
        <v>118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3" spans="1:13" ht="37.5" customHeight="1" thickBot="1">
      <c r="B3" s="282" t="s">
        <v>89</v>
      </c>
      <c r="C3" s="283"/>
      <c r="D3" s="284" t="s">
        <v>91</v>
      </c>
      <c r="E3" s="284"/>
      <c r="G3" s="97" t="s">
        <v>90</v>
      </c>
      <c r="H3" s="97"/>
    </row>
    <row r="4" spans="1:13" ht="39" customHeight="1" thickBot="1">
      <c r="A4" s="8" t="s">
        <v>0</v>
      </c>
      <c r="B4" s="8" t="s">
        <v>190</v>
      </c>
      <c r="C4" s="98" t="s">
        <v>77</v>
      </c>
      <c r="D4" s="71" t="s">
        <v>188</v>
      </c>
      <c r="E4" s="98" t="s">
        <v>78</v>
      </c>
      <c r="G4" s="98" t="s">
        <v>84</v>
      </c>
      <c r="H4" s="223"/>
      <c r="I4" s="105" t="s">
        <v>81</v>
      </c>
      <c r="J4" s="105" t="s">
        <v>82</v>
      </c>
      <c r="K4" s="105" t="s">
        <v>83</v>
      </c>
      <c r="L4" s="105" t="s">
        <v>119</v>
      </c>
      <c r="M4" s="107" t="s">
        <v>76</v>
      </c>
    </row>
    <row r="5" spans="1:13" s="17" customFormat="1" ht="11.25">
      <c r="A5" s="72"/>
      <c r="B5" s="84" t="s">
        <v>40</v>
      </c>
      <c r="C5" s="96" t="s">
        <v>55</v>
      </c>
      <c r="D5" s="73" t="s">
        <v>39</v>
      </c>
      <c r="E5" s="96" t="s">
        <v>56</v>
      </c>
      <c r="F5" s="16"/>
      <c r="G5" s="87" t="s">
        <v>52</v>
      </c>
      <c r="H5" s="87"/>
      <c r="I5" s="108">
        <f>+L5*0.35</f>
        <v>65483216.756363638</v>
      </c>
      <c r="J5" s="108">
        <f>+L5*0.35</f>
        <v>65483216.756363638</v>
      </c>
      <c r="K5" s="108">
        <f>+L5*0.3</f>
        <v>56128471.505454548</v>
      </c>
      <c r="L5" s="108">
        <v>187094905.01818183</v>
      </c>
      <c r="M5" s="109"/>
    </row>
    <row r="6" spans="1:13" s="25" customFormat="1" ht="23.25" customHeight="1" thickBot="1">
      <c r="A6" s="18"/>
      <c r="B6" s="18"/>
      <c r="C6" s="74"/>
      <c r="D6" s="75"/>
      <c r="E6" s="76"/>
      <c r="F6" s="19"/>
      <c r="G6" s="21"/>
      <c r="H6" s="21"/>
      <c r="I6" s="108" t="s">
        <v>79</v>
      </c>
      <c r="J6" s="108" t="s">
        <v>51</v>
      </c>
      <c r="K6" s="108" t="s">
        <v>80</v>
      </c>
      <c r="L6" s="110" t="s">
        <v>92</v>
      </c>
      <c r="M6" s="111" t="s">
        <v>53</v>
      </c>
    </row>
    <row r="7" spans="1:13" ht="13.5" thickTop="1">
      <c r="A7" s="2" t="s">
        <v>1</v>
      </c>
      <c r="B7" s="112">
        <v>2974</v>
      </c>
      <c r="C7" s="99">
        <f t="shared" ref="C7:C57" si="0">+B7/$B$58</f>
        <v>5.141377508841821E-4</v>
      </c>
      <c r="D7" s="77">
        <v>2918</v>
      </c>
      <c r="E7" s="99">
        <f t="shared" ref="E7:E58" si="1">(D7/D$58)</f>
        <v>5.2012841717507521E-4</v>
      </c>
      <c r="G7" s="113">
        <f>+'COEF Art 14 F I'!AJ7</f>
        <v>2.5579197157572665E-3</v>
      </c>
      <c r="H7" s="224"/>
      <c r="I7" s="114">
        <f t="shared" ref="I7:I38" si="2">+C7*I$5</f>
        <v>33667.393783778185</v>
      </c>
      <c r="J7" s="115">
        <f t="shared" ref="J7:J38" si="3">+E7*J$5</f>
        <v>34059.681883019781</v>
      </c>
      <c r="K7" s="115">
        <f t="shared" ref="K7:K38" si="4">+G7*K$5</f>
        <v>143572.12387912214</v>
      </c>
      <c r="L7" s="115">
        <f>SUM(I7:K7)</f>
        <v>211299.1995459201</v>
      </c>
      <c r="M7" s="116">
        <f>+L7/L$58</f>
        <v>1.12936907354792E-3</v>
      </c>
    </row>
    <row r="8" spans="1:13">
      <c r="A8" s="4" t="s">
        <v>2</v>
      </c>
      <c r="B8" s="117">
        <v>3382</v>
      </c>
      <c r="C8" s="100">
        <f t="shared" si="0"/>
        <v>5.8467177992276519E-4</v>
      </c>
      <c r="D8" s="78">
        <v>2599</v>
      </c>
      <c r="E8" s="100">
        <f t="shared" si="1"/>
        <v>4.6326722283688166E-4</v>
      </c>
      <c r="G8" s="118">
        <f>+'COEF Art 14 F I'!AJ8</f>
        <v>1.3555899780239287E-3</v>
      </c>
      <c r="H8" s="224"/>
      <c r="I8" s="119">
        <f t="shared" si="2"/>
        <v>38286.188896011372</v>
      </c>
      <c r="J8" s="120">
        <f t="shared" si="3"/>
        <v>30336.227969146137</v>
      </c>
      <c r="K8" s="120">
        <f t="shared" si="4"/>
        <v>76087.193454595836</v>
      </c>
      <c r="L8" s="120">
        <f t="shared" ref="L8:L57" si="5">SUM(I8:K8)</f>
        <v>144709.61031975335</v>
      </c>
      <c r="M8" s="121">
        <f t="shared" ref="M8:M57" si="6">+L8/L$58</f>
        <v>7.7345564437305506E-4</v>
      </c>
    </row>
    <row r="9" spans="1:13">
      <c r="A9" s="4" t="s">
        <v>175</v>
      </c>
      <c r="B9" s="117">
        <v>1407</v>
      </c>
      <c r="C9" s="100">
        <f t="shared" si="0"/>
        <v>2.4323867366981983E-4</v>
      </c>
      <c r="D9" s="78">
        <v>1506</v>
      </c>
      <c r="E9" s="100">
        <f t="shared" si="1"/>
        <v>2.6844187671887026E-4</v>
      </c>
      <c r="G9" s="118">
        <f>+'COEF Art 14 F I'!AJ9</f>
        <v>3.3712989986561352E-3</v>
      </c>
      <c r="H9" s="224"/>
      <c r="I9" s="119">
        <f t="shared" si="2"/>
        <v>15928.050791451213</v>
      </c>
      <c r="J9" s="120">
        <f t="shared" si="3"/>
        <v>17578.437599666828</v>
      </c>
      <c r="K9" s="120">
        <f t="shared" si="4"/>
        <v>189225.85978243835</v>
      </c>
      <c r="L9" s="120">
        <f t="shared" si="5"/>
        <v>222732.34817355638</v>
      </c>
      <c r="M9" s="121">
        <f t="shared" si="6"/>
        <v>1.1904778922328821E-3</v>
      </c>
    </row>
    <row r="10" spans="1:13" ht="13.5" customHeight="1">
      <c r="A10" s="4" t="s">
        <v>3</v>
      </c>
      <c r="B10" s="117">
        <v>35289</v>
      </c>
      <c r="C10" s="100">
        <f t="shared" si="0"/>
        <v>6.1006748792709828E-3</v>
      </c>
      <c r="D10" s="78">
        <v>38297</v>
      </c>
      <c r="E10" s="100">
        <f t="shared" si="1"/>
        <v>6.8263735409711639E-3</v>
      </c>
      <c r="G10" s="118">
        <f>+'COEF Art 14 F I'!AJ10</f>
        <v>8.6529435916085969E-3</v>
      </c>
      <c r="H10" s="224"/>
      <c r="I10" s="119">
        <f t="shared" si="2"/>
        <v>399491.81547940435</v>
      </c>
      <c r="J10" s="120">
        <f t="shared" si="3"/>
        <v>447012.89824332029</v>
      </c>
      <c r="K10" s="120">
        <f t="shared" si="4"/>
        <v>485676.49781990866</v>
      </c>
      <c r="L10" s="120">
        <f t="shared" si="5"/>
        <v>1332181.2115426334</v>
      </c>
      <c r="M10" s="121">
        <f t="shared" si="6"/>
        <v>7.1203500245673301E-3</v>
      </c>
    </row>
    <row r="11" spans="1:13">
      <c r="A11" s="4" t="s">
        <v>176</v>
      </c>
      <c r="B11" s="117">
        <v>18030</v>
      </c>
      <c r="C11" s="100">
        <f t="shared" si="0"/>
        <v>3.1169817244256232E-3</v>
      </c>
      <c r="D11" s="78">
        <v>19976</v>
      </c>
      <c r="E11" s="100">
        <f t="shared" si="1"/>
        <v>3.5606872040744699E-3</v>
      </c>
      <c r="G11" s="118">
        <f>+'COEF Art 14 F I'!AJ11</f>
        <v>7.3242793267426567E-3</v>
      </c>
      <c r="H11" s="224"/>
      <c r="I11" s="119">
        <f t="shared" si="2"/>
        <v>204109.98988618719</v>
      </c>
      <c r="J11" s="120">
        <f t="shared" si="3"/>
        <v>233165.25198601891</v>
      </c>
      <c r="K11" s="120">
        <f t="shared" si="4"/>
        <v>411100.60348906502</v>
      </c>
      <c r="L11" s="120">
        <f t="shared" si="5"/>
        <v>848375.84536127117</v>
      </c>
      <c r="M11" s="121">
        <f t="shared" si="6"/>
        <v>4.5344679229978296E-3</v>
      </c>
    </row>
    <row r="12" spans="1:13">
      <c r="A12" s="4" t="s">
        <v>4</v>
      </c>
      <c r="B12" s="117">
        <v>656464</v>
      </c>
      <c r="C12" s="100">
        <f t="shared" si="0"/>
        <v>0.11348786970290306</v>
      </c>
      <c r="D12" s="78">
        <v>665734</v>
      </c>
      <c r="E12" s="100">
        <f t="shared" si="1"/>
        <v>0.11866592586690594</v>
      </c>
      <c r="G12" s="118">
        <f>+'COEF Art 14 F I'!AJ12</f>
        <v>7.5364559812842624E-2</v>
      </c>
      <c r="H12" s="224"/>
      <c r="I12" s="119">
        <f t="shared" si="2"/>
        <v>7431550.7709731553</v>
      </c>
      <c r="J12" s="120">
        <f t="shared" si="3"/>
        <v>7770626.54513718</v>
      </c>
      <c r="K12" s="120">
        <f t="shared" si="4"/>
        <v>4230097.5479762619</v>
      </c>
      <c r="L12" s="120">
        <f t="shared" si="5"/>
        <v>19432274.864086598</v>
      </c>
      <c r="M12" s="121">
        <f t="shared" si="6"/>
        <v>0.10386319639328594</v>
      </c>
    </row>
    <row r="13" spans="1:13">
      <c r="A13" s="4" t="s">
        <v>5</v>
      </c>
      <c r="B13" s="117">
        <v>14992</v>
      </c>
      <c r="C13" s="100">
        <f t="shared" si="0"/>
        <v>2.5917798121236242E-3</v>
      </c>
      <c r="D13" s="78">
        <v>17800</v>
      </c>
      <c r="E13" s="100">
        <f t="shared" si="1"/>
        <v>3.1728189944195818E-3</v>
      </c>
      <c r="G13" s="118">
        <f>+'COEF Art 14 F I'!AJ13</f>
        <v>9.7545139984092609E-3</v>
      </c>
      <c r="H13" s="224"/>
      <c r="I13" s="119">
        <f t="shared" si="2"/>
        <v>169718.0792220587</v>
      </c>
      <c r="J13" s="120">
        <f t="shared" si="3"/>
        <v>207766.3939402852</v>
      </c>
      <c r="K13" s="120">
        <f t="shared" si="4"/>
        <v>547505.96100927168</v>
      </c>
      <c r="L13" s="120">
        <f t="shared" si="5"/>
        <v>924990.43417161563</v>
      </c>
      <c r="M13" s="121">
        <f t="shared" si="6"/>
        <v>4.9439637818129E-3</v>
      </c>
    </row>
    <row r="14" spans="1:13">
      <c r="A14" s="4" t="s">
        <v>6</v>
      </c>
      <c r="B14" s="117">
        <v>3661</v>
      </c>
      <c r="C14" s="100">
        <f t="shared" si="0"/>
        <v>6.329046086035611E-4</v>
      </c>
      <c r="D14" s="78">
        <v>4384</v>
      </c>
      <c r="E14" s="100">
        <f t="shared" si="1"/>
        <v>7.8144036356940711E-4</v>
      </c>
      <c r="G14" s="118">
        <f>+'COEF Art 14 F I'!AJ14</f>
        <v>9.5118830059469622E-4</v>
      </c>
      <c r="H14" s="224"/>
      <c r="I14" s="119">
        <f t="shared" si="2"/>
        <v>41444.62967128848</v>
      </c>
      <c r="J14" s="120">
        <f t="shared" si="3"/>
        <v>51171.228709787094</v>
      </c>
      <c r="K14" s="120">
        <f t="shared" si="4"/>
        <v>53388.745426251138</v>
      </c>
      <c r="L14" s="120">
        <f t="shared" si="5"/>
        <v>146004.60380732673</v>
      </c>
      <c r="M14" s="121">
        <f t="shared" si="6"/>
        <v>7.8037723043894772E-4</v>
      </c>
    </row>
    <row r="15" spans="1:13">
      <c r="A15" s="4" t="s">
        <v>160</v>
      </c>
      <c r="B15" s="117">
        <v>122337</v>
      </c>
      <c r="C15" s="100">
        <f t="shared" si="0"/>
        <v>2.1149317427679282E-2</v>
      </c>
      <c r="D15" s="78">
        <v>105145</v>
      </c>
      <c r="E15" s="100">
        <f t="shared" si="1"/>
        <v>1.8741913099339716E-2</v>
      </c>
      <c r="G15" s="118">
        <f>+'COEF Art 14 F I'!AJ15</f>
        <v>1.2800156945352859E-2</v>
      </c>
      <c r="H15" s="224"/>
      <c r="I15" s="119">
        <f t="shared" si="2"/>
        <v>1384925.3373658615</v>
      </c>
      <c r="J15" s="120">
        <f t="shared" si="3"/>
        <v>1227280.7579129937</v>
      </c>
      <c r="K15" s="120">
        <f t="shared" si="4"/>
        <v>718453.24437258404</v>
      </c>
      <c r="L15" s="120">
        <f t="shared" si="5"/>
        <v>3330659.3396514393</v>
      </c>
      <c r="M15" s="121">
        <f t="shared" si="6"/>
        <v>1.7801977768062506E-2</v>
      </c>
    </row>
    <row r="16" spans="1:13">
      <c r="A16" s="4" t="s">
        <v>161</v>
      </c>
      <c r="B16" s="117">
        <v>104478</v>
      </c>
      <c r="C16" s="100">
        <f t="shared" si="0"/>
        <v>1.8061897759541888E-2</v>
      </c>
      <c r="D16" s="78">
        <v>47326</v>
      </c>
      <c r="E16" s="100">
        <f t="shared" si="1"/>
        <v>8.4357770634775914E-3</v>
      </c>
      <c r="G16" s="118">
        <f>+'COEF Art 14 F I'!AJ16</f>
        <v>6.7156097424346788E-3</v>
      </c>
      <c r="H16" s="224"/>
      <c r="I16" s="119">
        <f t="shared" si="2"/>
        <v>1182751.1660193603</v>
      </c>
      <c r="J16" s="120">
        <f t="shared" si="3"/>
        <v>552401.8179560639</v>
      </c>
      <c r="K16" s="120">
        <f t="shared" si="4"/>
        <v>376936.91006999783</v>
      </c>
      <c r="L16" s="120">
        <f t="shared" si="5"/>
        <v>2112089.8940454219</v>
      </c>
      <c r="M16" s="121">
        <f t="shared" si="6"/>
        <v>1.1288869110787221E-2</v>
      </c>
    </row>
    <row r="17" spans="1:13">
      <c r="A17" s="4" t="s">
        <v>162</v>
      </c>
      <c r="B17" s="117">
        <v>7340</v>
      </c>
      <c r="C17" s="100">
        <f t="shared" si="0"/>
        <v>1.2689210126058832E-3</v>
      </c>
      <c r="D17" s="78">
        <v>8324</v>
      </c>
      <c r="E17" s="100">
        <f t="shared" si="1"/>
        <v>1.4837385005364381E-3</v>
      </c>
      <c r="G17" s="118">
        <f>+'COEF Art 14 F I'!AJ17</f>
        <v>2.1838151443643108E-3</v>
      </c>
      <c r="H17" s="224"/>
      <c r="I17" s="119">
        <f t="shared" si="2"/>
        <v>83093.029715175493</v>
      </c>
      <c r="J17" s="120">
        <f t="shared" si="3"/>
        <v>97159.969840389545</v>
      </c>
      <c r="K17" s="120">
        <f t="shared" si="4"/>
        <v>122574.20610363233</v>
      </c>
      <c r="L17" s="120">
        <f t="shared" si="5"/>
        <v>302827.20565919735</v>
      </c>
      <c r="M17" s="121">
        <f t="shared" si="6"/>
        <v>1.6185753729091056E-3</v>
      </c>
    </row>
    <row r="18" spans="1:13">
      <c r="A18" s="4" t="s">
        <v>7</v>
      </c>
      <c r="B18" s="117">
        <v>9930</v>
      </c>
      <c r="C18" s="100">
        <f t="shared" si="0"/>
        <v>1.7166737949831634E-3</v>
      </c>
      <c r="D18" s="78">
        <v>11962</v>
      </c>
      <c r="E18" s="100">
        <f t="shared" si="1"/>
        <v>2.1322056635532044E-3</v>
      </c>
      <c r="G18" s="118">
        <f>+'COEF Art 14 F I'!AJ18</f>
        <v>6.4260101575532901E-3</v>
      </c>
      <c r="H18" s="224"/>
      <c r="I18" s="119">
        <f t="shared" si="2"/>
        <v>112413.32221685184</v>
      </c>
      <c r="J18" s="120">
        <f t="shared" si="3"/>
        <v>139623.68563560065</v>
      </c>
      <c r="K18" s="120">
        <f t="shared" si="4"/>
        <v>360682.12802199135</v>
      </c>
      <c r="L18" s="120">
        <f t="shared" si="5"/>
        <v>612719.1358744438</v>
      </c>
      <c r="M18" s="121">
        <f t="shared" si="6"/>
        <v>3.2749108577537155E-3</v>
      </c>
    </row>
    <row r="19" spans="1:13">
      <c r="A19" s="4" t="s">
        <v>163</v>
      </c>
      <c r="B19" s="117">
        <v>68747</v>
      </c>
      <c r="C19" s="100">
        <f t="shared" si="0"/>
        <v>1.1884811015479108E-2</v>
      </c>
      <c r="D19" s="78">
        <v>50563</v>
      </c>
      <c r="E19" s="100">
        <f t="shared" si="1"/>
        <v>9.0127666749908603E-3</v>
      </c>
      <c r="G19" s="118">
        <f>+'COEF Art 14 F I'!AJ19</f>
        <v>5.3128423399415904E-3</v>
      </c>
      <c r="H19" s="224"/>
      <c r="I19" s="119">
        <f t="shared" si="2"/>
        <v>778255.65583503665</v>
      </c>
      <c r="J19" s="120">
        <f t="shared" si="3"/>
        <v>590184.95375295728</v>
      </c>
      <c r="K19" s="120">
        <f t="shared" si="4"/>
        <v>298201.719890384</v>
      </c>
      <c r="L19" s="120">
        <f t="shared" si="5"/>
        <v>1666642.3294783779</v>
      </c>
      <c r="M19" s="121">
        <f t="shared" si="6"/>
        <v>8.9080048936469661E-3</v>
      </c>
    </row>
    <row r="20" spans="1:13">
      <c r="A20" s="4" t="s">
        <v>8</v>
      </c>
      <c r="B20" s="117">
        <v>36088</v>
      </c>
      <c r="C20" s="100">
        <f t="shared" si="0"/>
        <v>6.2388040194715413E-3</v>
      </c>
      <c r="D20" s="78">
        <v>37859</v>
      </c>
      <c r="E20" s="100">
        <f t="shared" si="1"/>
        <v>6.7483008039174687E-3</v>
      </c>
      <c r="G20" s="118">
        <f>+'COEF Art 14 F I'!AJ20</f>
        <v>2.8258392036372423E-2</v>
      </c>
      <c r="H20" s="224"/>
      <c r="I20" s="119">
        <f t="shared" si="2"/>
        <v>408536.95590752765</v>
      </c>
      <c r="J20" s="120">
        <f t="shared" si="3"/>
        <v>441900.4442800706</v>
      </c>
      <c r="K20" s="120">
        <f t="shared" si="4"/>
        <v>1586100.3522034932</v>
      </c>
      <c r="L20" s="120">
        <f t="shared" si="5"/>
        <v>2436537.7523910915</v>
      </c>
      <c r="M20" s="121">
        <f t="shared" si="6"/>
        <v>1.302300429909788E-2</v>
      </c>
    </row>
    <row r="21" spans="1:13">
      <c r="A21" s="4" t="s">
        <v>9</v>
      </c>
      <c r="B21" s="117">
        <v>1360</v>
      </c>
      <c r="C21" s="100">
        <f t="shared" si="0"/>
        <v>2.351134301286105E-4</v>
      </c>
      <c r="D21" s="78">
        <v>1845</v>
      </c>
      <c r="E21" s="100">
        <f t="shared" si="1"/>
        <v>3.2886803621933304E-4</v>
      </c>
      <c r="G21" s="118">
        <f>+'COEF Art 14 F I'!AJ21</f>
        <v>7.9834565667305296E-4</v>
      </c>
      <c r="H21" s="224"/>
      <c r="I21" s="119">
        <f t="shared" si="2"/>
        <v>15395.983707443958</v>
      </c>
      <c r="J21" s="120">
        <f t="shared" si="3"/>
        <v>21535.336899990234</v>
      </c>
      <c r="K21" s="120">
        <f t="shared" si="4"/>
        <v>44809.921442076855</v>
      </c>
      <c r="L21" s="120">
        <f t="shared" si="5"/>
        <v>81741.242049511056</v>
      </c>
      <c r="M21" s="121">
        <f t="shared" si="6"/>
        <v>4.368972102236962E-4</v>
      </c>
    </row>
    <row r="22" spans="1:13">
      <c r="A22" s="4" t="s">
        <v>164</v>
      </c>
      <c r="B22" s="117">
        <v>3256</v>
      </c>
      <c r="C22" s="100">
        <f t="shared" si="0"/>
        <v>5.6288921213143808E-4</v>
      </c>
      <c r="D22" s="78">
        <v>3294</v>
      </c>
      <c r="E22" s="100">
        <f t="shared" si="1"/>
        <v>5.8714976222573611E-4</v>
      </c>
      <c r="G22" s="118">
        <f>+'COEF Art 14 F I'!AJ22</f>
        <v>2.5144690191482326E-3</v>
      </c>
      <c r="H22" s="224"/>
      <c r="I22" s="119">
        <f t="shared" si="2"/>
        <v>36859.796287821715</v>
      </c>
      <c r="J22" s="120">
        <f t="shared" si="3"/>
        <v>38448.45514827525</v>
      </c>
      <c r="K22" s="120">
        <f t="shared" si="4"/>
        <v>141133.30269260981</v>
      </c>
      <c r="L22" s="120">
        <f t="shared" si="5"/>
        <v>216441.55412870678</v>
      </c>
      <c r="M22" s="121">
        <f t="shared" si="6"/>
        <v>1.1568543467694807E-3</v>
      </c>
    </row>
    <row r="23" spans="1:13">
      <c r="A23" s="4" t="s">
        <v>10</v>
      </c>
      <c r="B23" s="117">
        <v>40903</v>
      </c>
      <c r="C23" s="100">
        <f t="shared" si="0"/>
        <v>7.0712092886401146E-3</v>
      </c>
      <c r="D23" s="78">
        <v>44989</v>
      </c>
      <c r="E23" s="100">
        <f t="shared" si="1"/>
        <v>8.0192108842664367E-3</v>
      </c>
      <c r="G23" s="118">
        <f>+'COEF Art 14 F I'!AJ23</f>
        <v>1.6148628779091068E-2</v>
      </c>
      <c r="H23" s="224"/>
      <c r="I23" s="119">
        <f t="shared" si="2"/>
        <v>463045.53057763254</v>
      </c>
      <c r="J23" s="120">
        <f t="shared" si="3"/>
        <v>525123.72454940958</v>
      </c>
      <c r="K23" s="120">
        <f t="shared" si="4"/>
        <v>906397.85027937626</v>
      </c>
      <c r="L23" s="120">
        <f t="shared" si="5"/>
        <v>1894567.1054064184</v>
      </c>
      <c r="M23" s="121">
        <f t="shared" si="6"/>
        <v>1.0126235694244614E-2</v>
      </c>
    </row>
    <row r="24" spans="1:13">
      <c r="A24" s="4" t="s">
        <v>165</v>
      </c>
      <c r="B24" s="117">
        <v>397205</v>
      </c>
      <c r="C24" s="100">
        <f t="shared" si="0"/>
        <v>6.8667816186937305E-2</v>
      </c>
      <c r="D24" s="78">
        <v>300745</v>
      </c>
      <c r="E24" s="100">
        <f t="shared" si="1"/>
        <v>5.3607272386332422E-2</v>
      </c>
      <c r="G24" s="118">
        <f>+'COEF Art 14 F I'!AJ24</f>
        <v>2.9236137987695813E-2</v>
      </c>
      <c r="H24" s="224"/>
      <c r="I24" s="119">
        <f t="shared" si="2"/>
        <v>4496589.4915553508</v>
      </c>
      <c r="J24" s="120">
        <f t="shared" si="3"/>
        <v>3510376.6373916329</v>
      </c>
      <c r="K24" s="120">
        <f t="shared" si="4"/>
        <v>1640979.7379719217</v>
      </c>
      <c r="L24" s="120">
        <f t="shared" si="5"/>
        <v>9647945.8669189066</v>
      </c>
      <c r="M24" s="121">
        <f t="shared" si="6"/>
        <v>5.1567122396953151E-2</v>
      </c>
    </row>
    <row r="25" spans="1:13">
      <c r="A25" s="4" t="s">
        <v>11</v>
      </c>
      <c r="B25" s="117">
        <v>5506</v>
      </c>
      <c r="C25" s="100">
        <f t="shared" si="0"/>
        <v>9.5186363697656574E-4</v>
      </c>
      <c r="D25" s="78">
        <v>6127</v>
      </c>
      <c r="E25" s="100">
        <f t="shared" si="1"/>
        <v>1.0921270774611673E-3</v>
      </c>
      <c r="G25" s="118">
        <f>+'COEF Art 14 F I'!AJ25</f>
        <v>3.3613401173660127E-3</v>
      </c>
      <c r="H25" s="224"/>
      <c r="I25" s="119">
        <f t="shared" si="2"/>
        <v>62331.092862637081</v>
      </c>
      <c r="J25" s="120">
        <f t="shared" si="3"/>
        <v>71515.994138883558</v>
      </c>
      <c r="K25" s="120">
        <f t="shared" si="4"/>
        <v>188666.88299771948</v>
      </c>
      <c r="L25" s="120">
        <f t="shared" si="5"/>
        <v>322513.96999924013</v>
      </c>
      <c r="M25" s="121">
        <f t="shared" si="6"/>
        <v>1.7237987852630103E-3</v>
      </c>
    </row>
    <row r="26" spans="1:13">
      <c r="A26" s="4" t="s">
        <v>12</v>
      </c>
      <c r="B26" s="117">
        <v>481213</v>
      </c>
      <c r="C26" s="100">
        <f t="shared" si="0"/>
        <v>8.3190911067999293E-2</v>
      </c>
      <c r="D26" s="78">
        <v>466325</v>
      </c>
      <c r="E26" s="100">
        <f t="shared" si="1"/>
        <v>8.3121618964759073E-2</v>
      </c>
      <c r="G26" s="118">
        <f>+'COEF Art 14 F I'!AJ26</f>
        <v>4.1753587145771189E-2</v>
      </c>
      <c r="H26" s="224"/>
      <c r="I26" s="119">
        <f t="shared" si="2"/>
        <v>5447608.4616251681</v>
      </c>
      <c r="J26" s="120">
        <f t="shared" si="3"/>
        <v>5443070.9918091847</v>
      </c>
      <c r="K26" s="120">
        <f t="shared" si="4"/>
        <v>2343565.0263619316</v>
      </c>
      <c r="L26" s="120">
        <f t="shared" si="5"/>
        <v>13234244.479796283</v>
      </c>
      <c r="M26" s="121">
        <f t="shared" si="6"/>
        <v>7.0735461655196771E-2</v>
      </c>
    </row>
    <row r="27" spans="1:13">
      <c r="A27" s="4" t="s">
        <v>166</v>
      </c>
      <c r="B27" s="117">
        <v>14109</v>
      </c>
      <c r="C27" s="100">
        <f t="shared" si="0"/>
        <v>2.4391289600621804E-3</v>
      </c>
      <c r="D27" s="78">
        <v>16283</v>
      </c>
      <c r="E27" s="100">
        <f t="shared" si="1"/>
        <v>2.9024163868614635E-3</v>
      </c>
      <c r="G27" s="118">
        <f>+'COEF Art 14 F I'!AJ27</f>
        <v>6.6268985069225482E-3</v>
      </c>
      <c r="H27" s="224"/>
      <c r="I27" s="119">
        <f t="shared" si="2"/>
        <v>159722.01038847558</v>
      </c>
      <c r="J27" s="120">
        <f t="shared" si="3"/>
        <v>190059.561378071</v>
      </c>
      <c r="K27" s="120">
        <f t="shared" si="4"/>
        <v>371957.68401534151</v>
      </c>
      <c r="L27" s="120">
        <f t="shared" si="5"/>
        <v>721739.25578188803</v>
      </c>
      <c r="M27" s="121">
        <f t="shared" si="6"/>
        <v>3.8576104235000393E-3</v>
      </c>
    </row>
    <row r="28" spans="1:13">
      <c r="A28" s="4" t="s">
        <v>13</v>
      </c>
      <c r="B28" s="117">
        <v>1808</v>
      </c>
      <c r="C28" s="100">
        <f t="shared" si="0"/>
        <v>3.1256256005332924E-4</v>
      </c>
      <c r="D28" s="78">
        <v>1194</v>
      </c>
      <c r="E28" s="100">
        <f t="shared" si="1"/>
        <v>2.1282842018747081E-4</v>
      </c>
      <c r="G28" s="118">
        <f>+'COEF Art 14 F I'!AJ28</f>
        <v>1.7102807873319223E-3</v>
      </c>
      <c r="H28" s="224"/>
      <c r="I28" s="119">
        <f t="shared" si="2"/>
        <v>20467.601869896083</v>
      </c>
      <c r="J28" s="120">
        <f t="shared" si="3"/>
        <v>13936.689571050591</v>
      </c>
      <c r="K28" s="120">
        <f t="shared" si="4"/>
        <v>95995.446438086175</v>
      </c>
      <c r="L28" s="120">
        <f t="shared" si="5"/>
        <v>130399.73787903285</v>
      </c>
      <c r="M28" s="121">
        <f t="shared" si="6"/>
        <v>6.9697107928385672E-4</v>
      </c>
    </row>
    <row r="29" spans="1:13">
      <c r="A29" s="4" t="s">
        <v>14</v>
      </c>
      <c r="B29" s="117">
        <v>6282</v>
      </c>
      <c r="C29" s="100">
        <f t="shared" si="0"/>
        <v>1.0860165941675964E-3</v>
      </c>
      <c r="D29" s="78">
        <v>6604</v>
      </c>
      <c r="E29" s="100">
        <f t="shared" si="1"/>
        <v>1.1771514965812876E-3</v>
      </c>
      <c r="G29" s="118">
        <f>+'COEF Art 14 F I'!AJ29</f>
        <v>5.4077311019893395E-3</v>
      </c>
      <c r="H29" s="224"/>
      <c r="I29" s="119">
        <f t="shared" si="2"/>
        <v>71115.860036884522</v>
      </c>
      <c r="J29" s="120">
        <f t="shared" si="3"/>
        <v>77083.666605710299</v>
      </c>
      <c r="K29" s="120">
        <f t="shared" si="4"/>
        <v>303527.68106716895</v>
      </c>
      <c r="L29" s="120">
        <f t="shared" si="5"/>
        <v>451727.20770976378</v>
      </c>
      <c r="M29" s="121">
        <f t="shared" si="6"/>
        <v>2.4144281623589112E-3</v>
      </c>
    </row>
    <row r="30" spans="1:13">
      <c r="A30" s="4" t="s">
        <v>15</v>
      </c>
      <c r="B30" s="117">
        <v>102149</v>
      </c>
      <c r="C30" s="100">
        <f t="shared" si="0"/>
        <v>1.7659266010446643E-2</v>
      </c>
      <c r="D30" s="78">
        <v>91913</v>
      </c>
      <c r="E30" s="100">
        <f t="shared" si="1"/>
        <v>1.6383332147982418E-2</v>
      </c>
      <c r="G30" s="118">
        <f>+'COEF Art 14 F I'!AJ30</f>
        <v>8.9544877903041907E-3</v>
      </c>
      <c r="H30" s="224"/>
      <c r="I30" s="119">
        <f t="shared" si="2"/>
        <v>1156385.5439203626</v>
      </c>
      <c r="J30" s="120">
        <f t="shared" si="3"/>
        <v>1072833.2902378333</v>
      </c>
      <c r="K30" s="120">
        <f t="shared" si="4"/>
        <v>502601.71278402943</v>
      </c>
      <c r="L30" s="120">
        <f t="shared" si="5"/>
        <v>2731820.5469422257</v>
      </c>
      <c r="M30" s="121">
        <f t="shared" si="6"/>
        <v>1.4601255692541431E-2</v>
      </c>
    </row>
    <row r="31" spans="1:13">
      <c r="A31" s="4" t="s">
        <v>16</v>
      </c>
      <c r="B31" s="117">
        <v>643143</v>
      </c>
      <c r="C31" s="100">
        <f t="shared" si="0"/>
        <v>0.11118496823029775</v>
      </c>
      <c r="D31" s="78">
        <v>710413</v>
      </c>
      <c r="E31" s="100">
        <f t="shared" si="1"/>
        <v>0.12662987979115722</v>
      </c>
      <c r="G31" s="118">
        <f>+'COEF Art 14 F I'!AJ31</f>
        <v>6.5905479259915439E-2</v>
      </c>
      <c r="H31" s="224"/>
      <c r="I31" s="119">
        <f t="shared" si="2"/>
        <v>7280749.3746739924</v>
      </c>
      <c r="J31" s="120">
        <f t="shared" si="3"/>
        <v>8292131.8661966203</v>
      </c>
      <c r="K31" s="120">
        <f t="shared" si="4"/>
        <v>3699173.8146934896</v>
      </c>
      <c r="L31" s="120">
        <f t="shared" si="5"/>
        <v>19272055.055564102</v>
      </c>
      <c r="M31" s="121">
        <f t="shared" si="6"/>
        <v>0.10300684058548387</v>
      </c>
    </row>
    <row r="32" spans="1:13">
      <c r="A32" s="4" t="s">
        <v>167</v>
      </c>
      <c r="B32" s="117">
        <v>1959</v>
      </c>
      <c r="C32" s="100">
        <f t="shared" si="0"/>
        <v>3.3866706589849116E-4</v>
      </c>
      <c r="D32" s="78">
        <v>1998</v>
      </c>
      <c r="E32" s="100">
        <f t="shared" si="1"/>
        <v>3.561400197106924E-4</v>
      </c>
      <c r="G32" s="118">
        <f>+'COEF Art 14 F I'!AJ32</f>
        <v>7.2370382518395179E-4</v>
      </c>
      <c r="H32" s="224"/>
      <c r="I32" s="119">
        <f t="shared" si="2"/>
        <v>22177.008884472583</v>
      </c>
      <c r="J32" s="120">
        <f t="shared" si="3"/>
        <v>23321.194106330888</v>
      </c>
      <c r="K32" s="120">
        <f t="shared" si="4"/>
        <v>40620.389530225897</v>
      </c>
      <c r="L32" s="120">
        <f t="shared" si="5"/>
        <v>86118.592521029379</v>
      </c>
      <c r="M32" s="121">
        <f t="shared" si="6"/>
        <v>4.6029362751839978E-4</v>
      </c>
    </row>
    <row r="33" spans="1:13">
      <c r="A33" s="4" t="s">
        <v>17</v>
      </c>
      <c r="B33" s="117">
        <v>16086</v>
      </c>
      <c r="C33" s="100">
        <f t="shared" si="0"/>
        <v>2.7809078213594327E-3</v>
      </c>
      <c r="D33" s="78">
        <v>15902</v>
      </c>
      <c r="E33" s="100">
        <f t="shared" si="1"/>
        <v>2.8345038005202355E-3</v>
      </c>
      <c r="G33" s="118">
        <f>+'COEF Art 14 F I'!AJ33</f>
        <v>1.600054506790664E-3</v>
      </c>
      <c r="H33" s="224"/>
      <c r="I33" s="119">
        <f t="shared" si="2"/>
        <v>182102.7896455467</v>
      </c>
      <c r="J33" s="120">
        <f t="shared" si="3"/>
        <v>185612.42676620311</v>
      </c>
      <c r="K33" s="120">
        <f t="shared" si="4"/>
        <v>89808.613791573909</v>
      </c>
      <c r="L33" s="120">
        <f t="shared" si="5"/>
        <v>457523.83020332374</v>
      </c>
      <c r="M33" s="121">
        <f t="shared" si="6"/>
        <v>2.4454104196950832E-3</v>
      </c>
    </row>
    <row r="34" spans="1:13">
      <c r="A34" s="4" t="s">
        <v>18</v>
      </c>
      <c r="B34" s="117">
        <v>1386</v>
      </c>
      <c r="C34" s="100">
        <f t="shared" si="0"/>
        <v>2.3960824570459864E-4</v>
      </c>
      <c r="D34" s="78">
        <v>1712</v>
      </c>
      <c r="E34" s="100">
        <f t="shared" si="1"/>
        <v>3.0516101789024292E-4</v>
      </c>
      <c r="G34" s="118">
        <f>+'COEF Art 14 F I'!AJ34</f>
        <v>7.0528842626712304E-4</v>
      </c>
      <c r="H34" s="224"/>
      <c r="I34" s="119">
        <f t="shared" si="2"/>
        <v>15690.318690086269</v>
      </c>
      <c r="J34" s="120">
        <f t="shared" si="3"/>
        <v>19982.92508009934</v>
      </c>
      <c r="K34" s="120">
        <f t="shared" si="4"/>
        <v>39586.761336861098</v>
      </c>
      <c r="L34" s="120">
        <f t="shared" si="5"/>
        <v>75260.005107046716</v>
      </c>
      <c r="M34" s="121">
        <f t="shared" si="6"/>
        <v>4.0225577013833149E-4</v>
      </c>
    </row>
    <row r="35" spans="1:13">
      <c r="A35" s="4" t="s">
        <v>19</v>
      </c>
      <c r="B35" s="117">
        <v>7026</v>
      </c>
      <c r="C35" s="100">
        <f t="shared" si="0"/>
        <v>1.2146374706497186E-3</v>
      </c>
      <c r="D35" s="78">
        <v>7746</v>
      </c>
      <c r="E35" s="100">
        <f t="shared" si="1"/>
        <v>1.3807110073468585E-3</v>
      </c>
      <c r="G35" s="118">
        <f>+'COEF Art 14 F I'!AJ35</f>
        <v>1.7291186265501563E-3</v>
      </c>
      <c r="H35" s="224"/>
      <c r="I35" s="119">
        <f t="shared" si="2"/>
        <v>79538.368770956804</v>
      </c>
      <c r="J35" s="120">
        <f t="shared" si="3"/>
        <v>90413.398171991532</v>
      </c>
      <c r="K35" s="120">
        <f t="shared" si="4"/>
        <v>97052.785559871161</v>
      </c>
      <c r="L35" s="120">
        <f t="shared" si="5"/>
        <v>267004.55250281951</v>
      </c>
      <c r="M35" s="121">
        <f t="shared" si="6"/>
        <v>1.4271075552638489E-3</v>
      </c>
    </row>
    <row r="36" spans="1:13">
      <c r="A36" s="4" t="s">
        <v>20</v>
      </c>
      <c r="B36" s="117">
        <v>3298</v>
      </c>
      <c r="C36" s="100">
        <f t="shared" si="0"/>
        <v>5.7015006806188052E-4</v>
      </c>
      <c r="D36" s="78">
        <v>3979</v>
      </c>
      <c r="E36" s="100">
        <f t="shared" si="1"/>
        <v>7.0924981903345598E-4</v>
      </c>
      <c r="G36" s="118">
        <f>+'COEF Art 14 F I'!AJ36</f>
        <v>3.8780349177237011E-3</v>
      </c>
      <c r="H36" s="224"/>
      <c r="I36" s="119">
        <f t="shared" si="2"/>
        <v>37335.260490551605</v>
      </c>
      <c r="J36" s="120">
        <f t="shared" si="3"/>
        <v>46443.959634179482</v>
      </c>
      <c r="K36" s="120">
        <f t="shared" si="4"/>
        <v>217668.17237661252</v>
      </c>
      <c r="L36" s="120">
        <f t="shared" si="5"/>
        <v>301447.39250134362</v>
      </c>
      <c r="M36" s="121">
        <f t="shared" si="6"/>
        <v>1.6112004358004781E-3</v>
      </c>
    </row>
    <row r="37" spans="1:13">
      <c r="A37" s="4" t="s">
        <v>168</v>
      </c>
      <c r="B37" s="117">
        <v>471523</v>
      </c>
      <c r="C37" s="100">
        <f t="shared" si="0"/>
        <v>8.1515727878332944E-2</v>
      </c>
      <c r="D37" s="78">
        <v>396864</v>
      </c>
      <c r="E37" s="100">
        <f t="shared" si="1"/>
        <v>7.0740316707940051E-2</v>
      </c>
      <c r="G37" s="118">
        <f>+'COEF Art 14 F I'!AJ37</f>
        <v>3.4529984832772309E-2</v>
      </c>
      <c r="H37" s="224"/>
      <c r="I37" s="119">
        <f t="shared" si="2"/>
        <v>5337912.0777096301</v>
      </c>
      <c r="J37" s="120">
        <f t="shared" si="3"/>
        <v>4632303.4923998509</v>
      </c>
      <c r="K37" s="120">
        <f t="shared" si="4"/>
        <v>1938115.2697700383</v>
      </c>
      <c r="L37" s="120">
        <f t="shared" si="5"/>
        <v>11908330.83987952</v>
      </c>
      <c r="M37" s="121">
        <f t="shared" si="6"/>
        <v>6.364861105502724E-2</v>
      </c>
    </row>
    <row r="38" spans="1:13">
      <c r="A38" s="4" t="s">
        <v>21</v>
      </c>
      <c r="B38" s="117">
        <v>5351</v>
      </c>
      <c r="C38" s="100">
        <f t="shared" si="0"/>
        <v>9.2506762104279034E-4</v>
      </c>
      <c r="D38" s="78">
        <v>5783</v>
      </c>
      <c r="E38" s="100">
        <f t="shared" si="1"/>
        <v>1.0308096766701372E-3</v>
      </c>
      <c r="G38" s="118">
        <f>+'COEF Art 14 F I'!AJ38</f>
        <v>3.1170829246852539E-3</v>
      </c>
      <c r="H38" s="224"/>
      <c r="I38" s="119">
        <f t="shared" si="2"/>
        <v>60576.403543038694</v>
      </c>
      <c r="J38" s="120">
        <f t="shared" si="3"/>
        <v>67500.733491947714</v>
      </c>
      <c r="K38" s="120">
        <f t="shared" si="4"/>
        <v>174957.10011833519</v>
      </c>
      <c r="L38" s="120">
        <f t="shared" si="5"/>
        <v>303034.23715332162</v>
      </c>
      <c r="M38" s="121">
        <f t="shared" si="6"/>
        <v>1.6196819316051008E-3</v>
      </c>
    </row>
    <row r="39" spans="1:13">
      <c r="A39" s="4" t="s">
        <v>22</v>
      </c>
      <c r="B39" s="117">
        <v>84666</v>
      </c>
      <c r="C39" s="100">
        <f t="shared" si="0"/>
        <v>1.4636848290638924E-2</v>
      </c>
      <c r="D39" s="78">
        <v>88689</v>
      </c>
      <c r="E39" s="100">
        <f t="shared" si="1"/>
        <v>1.5808659763824624E-2</v>
      </c>
      <c r="G39" s="118">
        <f>+'COEF Art 14 F I'!AJ39</f>
        <v>1.654358767783241E-2</v>
      </c>
      <c r="H39" s="224"/>
      <c r="I39" s="119">
        <f t="shared" ref="I39:I57" si="7">+C39*I$5</f>
        <v>958467.9092459192</v>
      </c>
      <c r="J39" s="120">
        <f t="shared" ref="J39:J57" si="8">+E39*J$5</f>
        <v>1035201.8939421322</v>
      </c>
      <c r="K39" s="120">
        <f t="shared" ref="K39:K57" si="9">+G39*K$5</f>
        <v>928566.2895732054</v>
      </c>
      <c r="L39" s="120">
        <f t="shared" si="5"/>
        <v>2922236.0927612567</v>
      </c>
      <c r="M39" s="121">
        <f t="shared" si="6"/>
        <v>1.5619004122411963E-2</v>
      </c>
    </row>
    <row r="40" spans="1:13">
      <c r="A40" s="4" t="s">
        <v>169</v>
      </c>
      <c r="B40" s="117">
        <v>5119</v>
      </c>
      <c r="C40" s="100">
        <f t="shared" si="0"/>
        <v>8.8496003590320376E-4</v>
      </c>
      <c r="D40" s="78">
        <v>6199</v>
      </c>
      <c r="E40" s="100">
        <f t="shared" si="1"/>
        <v>1.1049609520453363E-3</v>
      </c>
      <c r="G40" s="118">
        <f>+'COEF Art 14 F I'!AJ40</f>
        <v>2.3530247519942763E-3</v>
      </c>
      <c r="H40" s="224"/>
      <c r="I40" s="119">
        <f t="shared" si="7"/>
        <v>57950.029851768842</v>
      </c>
      <c r="J40" s="120">
        <f t="shared" si="8"/>
        <v>72356.39753010268</v>
      </c>
      <c r="K40" s="120">
        <f t="shared" si="9"/>
        <v>132071.68274393998</v>
      </c>
      <c r="L40" s="120">
        <f t="shared" si="5"/>
        <v>262378.11012581154</v>
      </c>
      <c r="M40" s="121">
        <f t="shared" si="6"/>
        <v>1.402379771380272E-3</v>
      </c>
    </row>
    <row r="41" spans="1:13">
      <c r="A41" s="4" t="s">
        <v>23</v>
      </c>
      <c r="B41" s="117">
        <v>1483</v>
      </c>
      <c r="C41" s="100">
        <f t="shared" si="0"/>
        <v>2.5637736535347747E-4</v>
      </c>
      <c r="D41" s="78">
        <v>1071</v>
      </c>
      <c r="E41" s="100">
        <f t="shared" si="1"/>
        <v>1.9090388443951528E-4</v>
      </c>
      <c r="G41" s="118">
        <f>+'COEF Art 14 F I'!AJ41</f>
        <v>2.8823894386608437E-4</v>
      </c>
      <c r="H41" s="224"/>
      <c r="I41" s="119">
        <f t="shared" si="7"/>
        <v>16788.414586867199</v>
      </c>
      <c r="J41" s="120">
        <f t="shared" si="8"/>
        <v>12501.000444384574</v>
      </c>
      <c r="K41" s="120">
        <f t="shared" si="9"/>
        <v>16178.411347549829</v>
      </c>
      <c r="L41" s="120">
        <f t="shared" si="5"/>
        <v>45467.826378801605</v>
      </c>
      <c r="M41" s="121">
        <f t="shared" si="6"/>
        <v>2.4302012058737278E-4</v>
      </c>
    </row>
    <row r="42" spans="1:13">
      <c r="A42" s="4" t="s">
        <v>24</v>
      </c>
      <c r="B42" s="117">
        <v>7652</v>
      </c>
      <c r="C42" s="100">
        <f t="shared" si="0"/>
        <v>1.322858799517741E-3</v>
      </c>
      <c r="D42" s="78">
        <v>7601</v>
      </c>
      <c r="E42" s="100">
        <f t="shared" si="1"/>
        <v>1.3548650099204067E-3</v>
      </c>
      <c r="G42" s="118">
        <f>+'COEF Art 14 F I'!AJ42</f>
        <v>7.2295322280282867E-3</v>
      </c>
      <c r="H42" s="224"/>
      <c r="I42" s="119">
        <f t="shared" si="7"/>
        <v>86625.049506883224</v>
      </c>
      <c r="J42" s="120">
        <f t="shared" si="8"/>
        <v>88720.91912023077</v>
      </c>
      <c r="K42" s="120">
        <f t="shared" si="9"/>
        <v>405782.59365865099</v>
      </c>
      <c r="L42" s="120">
        <f t="shared" si="5"/>
        <v>581128.56228576496</v>
      </c>
      <c r="M42" s="121">
        <f t="shared" si="6"/>
        <v>3.1060630017118373E-3</v>
      </c>
    </row>
    <row r="43" spans="1:13">
      <c r="A43" s="4" t="s">
        <v>25</v>
      </c>
      <c r="B43" s="117">
        <v>6048</v>
      </c>
      <c r="C43" s="100">
        <f t="shared" si="0"/>
        <v>1.0455632539837032E-3</v>
      </c>
      <c r="D43" s="78">
        <v>5882</v>
      </c>
      <c r="E43" s="100">
        <f t="shared" si="1"/>
        <v>1.0484562542233697E-3</v>
      </c>
      <c r="G43" s="118">
        <f>+'COEF Art 14 F I'!AJ43</f>
        <v>4.4952624103680085E-3</v>
      </c>
      <c r="H43" s="224"/>
      <c r="I43" s="119">
        <f t="shared" si="7"/>
        <v>68466.845193103727</v>
      </c>
      <c r="J43" s="120">
        <f t="shared" si="8"/>
        <v>68656.288154874012</v>
      </c>
      <c r="K43" s="120">
        <f t="shared" si="9"/>
        <v>252312.2081098817</v>
      </c>
      <c r="L43" s="120">
        <f t="shared" si="5"/>
        <v>389435.34145785944</v>
      </c>
      <c r="M43" s="121">
        <f t="shared" si="6"/>
        <v>2.0814855509828779E-3</v>
      </c>
    </row>
    <row r="44" spans="1:13">
      <c r="A44" s="4" t="s">
        <v>26</v>
      </c>
      <c r="B44" s="117">
        <v>67428</v>
      </c>
      <c r="C44" s="100">
        <f t="shared" si="0"/>
        <v>1.1656785563758786E-2</v>
      </c>
      <c r="D44" s="78">
        <v>67657</v>
      </c>
      <c r="E44" s="100">
        <f t="shared" si="1"/>
        <v>1.205974239918234E-2</v>
      </c>
      <c r="G44" s="118">
        <f>+'COEF Art 14 F I'!AJ44</f>
        <v>1.2072840904540222E-2</v>
      </c>
      <c r="H44" s="224"/>
      <c r="I44" s="119">
        <f t="shared" si="7"/>
        <v>763323.81575406704</v>
      </c>
      <c r="J44" s="120">
        <f t="shared" si="8"/>
        <v>789710.72555156599</v>
      </c>
      <c r="K44" s="120">
        <f t="shared" si="9"/>
        <v>677630.10670037195</v>
      </c>
      <c r="L44" s="120">
        <f t="shared" si="5"/>
        <v>2230664.6480060052</v>
      </c>
      <c r="M44" s="121">
        <f t="shared" si="6"/>
        <v>1.1922637058391462E-2</v>
      </c>
    </row>
    <row r="45" spans="1:13">
      <c r="A45" s="4" t="s">
        <v>27</v>
      </c>
      <c r="B45" s="117">
        <v>1142994</v>
      </c>
      <c r="C45" s="100">
        <f t="shared" si="0"/>
        <v>0.19759797055619194</v>
      </c>
      <c r="D45" s="78">
        <v>1124835</v>
      </c>
      <c r="E45" s="100">
        <f t="shared" si="1"/>
        <v>0.20049987941505337</v>
      </c>
      <c r="G45" s="118">
        <f>+'COEF Art 14 F I'!AJ45</f>
        <v>0.26252209586740344</v>
      </c>
      <c r="H45" s="224"/>
      <c r="I45" s="119">
        <f t="shared" si="7"/>
        <v>12939350.736548677</v>
      </c>
      <c r="J45" s="120">
        <f t="shared" si="8"/>
        <v>13129377.063360712</v>
      </c>
      <c r="K45" s="120">
        <f t="shared" si="9"/>
        <v>14734963.977445761</v>
      </c>
      <c r="L45" s="120">
        <f t="shared" si="5"/>
        <v>40803691.777355149</v>
      </c>
      <c r="M45" s="121">
        <f t="shared" si="6"/>
        <v>0.21809087625015688</v>
      </c>
    </row>
    <row r="46" spans="1:13">
      <c r="A46" s="4" t="s">
        <v>170</v>
      </c>
      <c r="B46" s="117">
        <v>906</v>
      </c>
      <c r="C46" s="100">
        <f t="shared" si="0"/>
        <v>1.5662703507097141E-4</v>
      </c>
      <c r="D46" s="78">
        <v>1083</v>
      </c>
      <c r="E46" s="100">
        <f t="shared" si="1"/>
        <v>1.9304286353687681E-4</v>
      </c>
      <c r="G46" s="118">
        <f>+'COEF Art 14 F I'!AJ46</f>
        <v>2.7261986466863334E-3</v>
      </c>
      <c r="H46" s="224"/>
      <c r="I46" s="119">
        <f t="shared" si="7"/>
        <v>10256.44208745899</v>
      </c>
      <c r="J46" s="120">
        <f t="shared" si="8"/>
        <v>12641.06767625443</v>
      </c>
      <c r="K46" s="120">
        <f t="shared" si="9"/>
        <v>153017.3630587426</v>
      </c>
      <c r="L46" s="120">
        <f t="shared" si="5"/>
        <v>175914.87282245603</v>
      </c>
      <c r="M46" s="121">
        <f t="shared" si="6"/>
        <v>9.4024405851864687E-4</v>
      </c>
    </row>
    <row r="47" spans="1:13">
      <c r="A47" s="4" t="s">
        <v>171</v>
      </c>
      <c r="B47" s="117">
        <v>147624</v>
      </c>
      <c r="C47" s="100">
        <f t="shared" si="0"/>
        <v>2.5520871330372057E-2</v>
      </c>
      <c r="D47" s="78">
        <v>112583</v>
      </c>
      <c r="E47" s="100">
        <f t="shared" si="1"/>
        <v>2.0067723643187627E-2</v>
      </c>
      <c r="G47" s="118">
        <f>+'COEF Art 14 F I'!AJ47</f>
        <v>9.6066776837954258E-3</v>
      </c>
      <c r="H47" s="224"/>
      <c r="I47" s="119">
        <f t="shared" si="7"/>
        <v>1671188.7491380197</v>
      </c>
      <c r="J47" s="120">
        <f t="shared" si="8"/>
        <v>1314099.0971336588</v>
      </c>
      <c r="K47" s="120">
        <f t="shared" si="9"/>
        <v>539208.13463699759</v>
      </c>
      <c r="L47" s="120">
        <f t="shared" si="5"/>
        <v>3524495.9809086765</v>
      </c>
      <c r="M47" s="121">
        <f t="shared" si="6"/>
        <v>1.8838011545884516E-2</v>
      </c>
    </row>
    <row r="48" spans="1:13">
      <c r="A48" s="4" t="s">
        <v>172</v>
      </c>
      <c r="B48" s="117">
        <v>5389</v>
      </c>
      <c r="C48" s="100">
        <f t="shared" si="0"/>
        <v>9.3163696688461914E-4</v>
      </c>
      <c r="D48" s="78">
        <v>5201</v>
      </c>
      <c r="E48" s="100">
        <f t="shared" si="1"/>
        <v>9.2706919044810367E-4</v>
      </c>
      <c r="G48" s="118">
        <f>+'COEF Art 14 F I'!AJ48</f>
        <v>2.6541720291196258E-3</v>
      </c>
      <c r="H48" s="224"/>
      <c r="I48" s="119">
        <f t="shared" si="7"/>
        <v>61006.58544074669</v>
      </c>
      <c r="J48" s="120">
        <f t="shared" si="8"/>
        <v>60707.472746259737</v>
      </c>
      <c r="K48" s="120">
        <f t="shared" si="9"/>
        <v>148974.6191070154</v>
      </c>
      <c r="L48" s="120">
        <f t="shared" si="5"/>
        <v>270688.67729402182</v>
      </c>
      <c r="M48" s="121">
        <f t="shared" si="6"/>
        <v>1.4467987638023406E-3</v>
      </c>
    </row>
    <row r="49" spans="1:13">
      <c r="A49" s="4" t="s">
        <v>28</v>
      </c>
      <c r="B49" s="117">
        <v>2377</v>
      </c>
      <c r="C49" s="100">
        <f t="shared" si="0"/>
        <v>4.1092987015860824E-4</v>
      </c>
      <c r="D49" s="78">
        <v>2987</v>
      </c>
      <c r="E49" s="100">
        <f t="shared" si="1"/>
        <v>5.3242754698490402E-4</v>
      </c>
      <c r="G49" s="118">
        <f>+'COEF Art 14 F I'!AJ49</f>
        <v>1.6579702329231451E-3</v>
      </c>
      <c r="H49" s="224"/>
      <c r="I49" s="119">
        <f t="shared" si="7"/>
        <v>26909.009759260509</v>
      </c>
      <c r="J49" s="120">
        <f t="shared" si="8"/>
        <v>34865.068466271456</v>
      </c>
      <c r="K49" s="120">
        <f t="shared" si="9"/>
        <v>93059.334975518592</v>
      </c>
      <c r="L49" s="120">
        <f t="shared" si="5"/>
        <v>154833.41320105054</v>
      </c>
      <c r="M49" s="121">
        <f t="shared" si="6"/>
        <v>8.2756616587717274E-4</v>
      </c>
    </row>
    <row r="50" spans="1:13">
      <c r="A50" s="4" t="s">
        <v>29</v>
      </c>
      <c r="B50" s="117">
        <v>34709</v>
      </c>
      <c r="C50" s="100">
        <f t="shared" si="0"/>
        <v>6.0004059164220159E-3</v>
      </c>
      <c r="D50" s="78">
        <v>39096</v>
      </c>
      <c r="E50" s="100">
        <f t="shared" si="1"/>
        <v>6.9687938992038182E-3</v>
      </c>
      <c r="G50" s="118">
        <f>+'COEF Art 14 F I'!AJ50</f>
        <v>6.2089176215780551E-3</v>
      </c>
      <c r="H50" s="224"/>
      <c r="I50" s="119">
        <f t="shared" si="7"/>
        <v>392925.88125122967</v>
      </c>
      <c r="J50" s="120">
        <f t="shared" si="8"/>
        <v>456339.04143198818</v>
      </c>
      <c r="K50" s="120">
        <f t="shared" si="9"/>
        <v>348497.05580245849</v>
      </c>
      <c r="L50" s="120">
        <f t="shared" si="5"/>
        <v>1197761.9784856762</v>
      </c>
      <c r="M50" s="121">
        <f t="shared" si="6"/>
        <v>6.4018952219424578E-3</v>
      </c>
    </row>
    <row r="51" spans="1:13">
      <c r="A51" s="4" t="s">
        <v>30</v>
      </c>
      <c r="B51" s="117">
        <v>86766</v>
      </c>
      <c r="C51" s="100">
        <f t="shared" si="0"/>
        <v>1.4999891087161044E-2</v>
      </c>
      <c r="D51" s="78">
        <v>61868</v>
      </c>
      <c r="E51" s="100">
        <f t="shared" si="1"/>
        <v>1.1027863232963522E-2</v>
      </c>
      <c r="G51" s="118">
        <f>+'COEF Art 14 F I'!AJ51</f>
        <v>9.7154835909050771E-3</v>
      </c>
      <c r="H51" s="224"/>
      <c r="I51" s="119">
        <f t="shared" si="7"/>
        <v>982241.11938241369</v>
      </c>
      <c r="J51" s="120">
        <f t="shared" si="8"/>
        <v>722139.95844368346</v>
      </c>
      <c r="K51" s="120">
        <f t="shared" si="9"/>
        <v>545315.24389382685</v>
      </c>
      <c r="L51" s="120">
        <f t="shared" si="5"/>
        <v>2249696.321719924</v>
      </c>
      <c r="M51" s="121">
        <f t="shared" si="6"/>
        <v>1.2024359089315121E-2</v>
      </c>
    </row>
    <row r="52" spans="1:13">
      <c r="A52" s="4" t="s">
        <v>173</v>
      </c>
      <c r="B52" s="117">
        <v>412199</v>
      </c>
      <c r="C52" s="100">
        <f t="shared" si="0"/>
        <v>7.125994175410523E-2</v>
      </c>
      <c r="D52" s="78">
        <v>474163</v>
      </c>
      <c r="E52" s="100">
        <f t="shared" si="1"/>
        <v>8.4518728811852364E-2</v>
      </c>
      <c r="G52" s="118">
        <f>+'COEF Art 14 F I'!AJ52</f>
        <v>6.8777658606197403E-2</v>
      </c>
      <c r="H52" s="224"/>
      <c r="I52" s="119">
        <f t="shared" si="7"/>
        <v>4666330.2119299201</v>
      </c>
      <c r="J52" s="120">
        <f t="shared" si="8"/>
        <v>5534558.2387588453</v>
      </c>
      <c r="K52" s="120">
        <f t="shared" si="9"/>
        <v>3860384.8512898316</v>
      </c>
      <c r="L52" s="120">
        <f t="shared" si="5"/>
        <v>14061273.301978596</v>
      </c>
      <c r="M52" s="121">
        <f t="shared" si="6"/>
        <v>7.5155832279944365E-2</v>
      </c>
    </row>
    <row r="53" spans="1:13">
      <c r="A53" s="4" t="s">
        <v>174</v>
      </c>
      <c r="B53" s="117">
        <v>132169</v>
      </c>
      <c r="C53" s="100">
        <f t="shared" si="0"/>
        <v>2.2849049225491413E-2</v>
      </c>
      <c r="D53" s="78">
        <v>137614</v>
      </c>
      <c r="E53" s="100">
        <f t="shared" si="1"/>
        <v>2.4529455792025635E-2</v>
      </c>
      <c r="G53" s="118">
        <f>+'COEF Art 14 F I'!AJ53</f>
        <v>0.13376058676917396</v>
      </c>
      <c r="H53" s="224"/>
      <c r="I53" s="119">
        <f t="shared" si="7"/>
        <v>1496229.243109677</v>
      </c>
      <c r="J53" s="120">
        <f t="shared" si="8"/>
        <v>1606267.6705448541</v>
      </c>
      <c r="K53" s="120">
        <f t="shared" si="9"/>
        <v>7507777.2830264615</v>
      </c>
      <c r="L53" s="120">
        <f t="shared" si="5"/>
        <v>10610274.196680993</v>
      </c>
      <c r="M53" s="121">
        <f t="shared" si="6"/>
        <v>5.6710652786883156E-2</v>
      </c>
    </row>
    <row r="54" spans="1:13">
      <c r="A54" s="4" t="s">
        <v>31</v>
      </c>
      <c r="B54" s="117">
        <v>306322</v>
      </c>
      <c r="C54" s="100">
        <f t="shared" si="0"/>
        <v>5.2956188341070756E-2</v>
      </c>
      <c r="D54" s="78">
        <v>322051</v>
      </c>
      <c r="E54" s="100">
        <f t="shared" si="1"/>
        <v>5.7405029773697797E-2</v>
      </c>
      <c r="G54" s="118">
        <f>+'COEF Art 14 F I'!AJ54</f>
        <v>3.512409224253861E-2</v>
      </c>
      <c r="H54" s="224"/>
      <c r="I54" s="119">
        <f t="shared" si="7"/>
        <v>3467741.5597291533</v>
      </c>
      <c r="J54" s="120">
        <f t="shared" si="8"/>
        <v>3759066.0075765611</v>
      </c>
      <c r="K54" s="120">
        <f t="shared" si="9"/>
        <v>1971461.6105902854</v>
      </c>
      <c r="L54" s="120">
        <f t="shared" si="5"/>
        <v>9198269.1778959986</v>
      </c>
      <c r="M54" s="121">
        <f t="shared" si="6"/>
        <v>4.9163654012930567E-2</v>
      </c>
    </row>
    <row r="55" spans="1:13">
      <c r="A55" s="4" t="s">
        <v>32</v>
      </c>
      <c r="B55" s="117">
        <v>46784</v>
      </c>
      <c r="C55" s="100">
        <f t="shared" si="0"/>
        <v>8.0879019964242016E-3</v>
      </c>
      <c r="D55" s="78">
        <v>46955</v>
      </c>
      <c r="E55" s="100">
        <f t="shared" si="1"/>
        <v>8.3696469597174979E-3</v>
      </c>
      <c r="G55" s="118">
        <f>+'COEF Art 14 F I'!AJ55</f>
        <v>1.8298956819256997E-2</v>
      </c>
      <c r="H55" s="224"/>
      <c r="I55" s="119">
        <f t="shared" si="7"/>
        <v>529621.83953607222</v>
      </c>
      <c r="J55" s="120">
        <f t="shared" si="8"/>
        <v>548071.40603742085</v>
      </c>
      <c r="K55" s="120">
        <f t="shared" si="9"/>
        <v>1027092.4764092095</v>
      </c>
      <c r="L55" s="120">
        <f t="shared" si="5"/>
        <v>2104785.7219827026</v>
      </c>
      <c r="M55" s="121">
        <f t="shared" si="6"/>
        <v>1.1249829180426694E-2</v>
      </c>
    </row>
    <row r="56" spans="1:13">
      <c r="A56" s="4" t="s">
        <v>33</v>
      </c>
      <c r="B56" s="117">
        <v>1552</v>
      </c>
      <c r="C56" s="100">
        <f t="shared" si="0"/>
        <v>2.6830591438206137E-4</v>
      </c>
      <c r="D56" s="78">
        <v>1942</v>
      </c>
      <c r="E56" s="100">
        <f t="shared" si="1"/>
        <v>3.4615811725633865E-4</v>
      </c>
      <c r="G56" s="118">
        <f>+'COEF Art 14 F I'!AJ56</f>
        <v>3.8784986056753018E-3</v>
      </c>
      <c r="H56" s="224"/>
      <c r="I56" s="119">
        <f t="shared" si="7"/>
        <v>17569.534348494868</v>
      </c>
      <c r="J56" s="120">
        <f t="shared" si="8"/>
        <v>22667.547024271564</v>
      </c>
      <c r="K56" s="120">
        <f t="shared" si="9"/>
        <v>217694.19847259138</v>
      </c>
      <c r="L56" s="120">
        <f t="shared" si="5"/>
        <v>257931.27984535781</v>
      </c>
      <c r="M56" s="121">
        <f t="shared" si="6"/>
        <v>1.3786119927760305E-3</v>
      </c>
    </row>
    <row r="57" spans="1:13">
      <c r="A57" s="4" t="s">
        <v>34</v>
      </c>
      <c r="B57" s="117">
        <v>3573</v>
      </c>
      <c r="C57" s="100">
        <f t="shared" si="0"/>
        <v>6.1769138665406279E-4</v>
      </c>
      <c r="D57" s="78">
        <v>4567</v>
      </c>
      <c r="E57" s="100">
        <f t="shared" si="1"/>
        <v>8.1405979480417019E-4</v>
      </c>
      <c r="G57" s="118">
        <f>+'COEF Art 14 F I'!AJ57</f>
        <v>2.356430067281251E-3</v>
      </c>
      <c r="H57" s="224"/>
      <c r="I57" s="119">
        <f t="shared" si="7"/>
        <v>40448.418960806812</v>
      </c>
      <c r="J57" s="120">
        <f t="shared" si="8"/>
        <v>53307.253995802384</v>
      </c>
      <c r="K57" s="120">
        <f t="shared" si="9"/>
        <v>132262.81788599203</v>
      </c>
      <c r="L57" s="120">
        <f t="shared" si="5"/>
        <v>226018.49084260123</v>
      </c>
      <c r="M57" s="121">
        <f t="shared" si="6"/>
        <v>1.2080419336947567E-3</v>
      </c>
    </row>
    <row r="58" spans="1:13" ht="13.5" thickBot="1">
      <c r="A58" s="6" t="s">
        <v>35</v>
      </c>
      <c r="B58" s="122">
        <f>SUM(B7:B57)</f>
        <v>5784442</v>
      </c>
      <c r="C58" s="101">
        <f>SUM(C7:C57)</f>
        <v>1.0000000000000002</v>
      </c>
      <c r="D58" s="123">
        <f>SUM(D7:D57)</f>
        <v>5610153</v>
      </c>
      <c r="E58" s="101">
        <f t="shared" si="1"/>
        <v>1</v>
      </c>
      <c r="G58" s="124">
        <f t="shared" ref="G58:M58" si="10">SUM(G7:G57)</f>
        <v>1.0000000000000002</v>
      </c>
      <c r="H58" s="225"/>
      <c r="I58" s="125">
        <f t="shared" si="10"/>
        <v>65483216.756363615</v>
      </c>
      <c r="J58" s="126">
        <f t="shared" si="10"/>
        <v>65483216.756363645</v>
      </c>
      <c r="K58" s="126">
        <f t="shared" si="10"/>
        <v>56128471.505454563</v>
      </c>
      <c r="L58" s="126">
        <f t="shared" si="10"/>
        <v>187094905.01818183</v>
      </c>
      <c r="M58" s="127">
        <f t="shared" si="10"/>
        <v>1.0000000000000002</v>
      </c>
    </row>
    <row r="59" spans="1:13" ht="13.5" thickTop="1"/>
    <row r="60" spans="1:13" ht="15.75" customHeight="1">
      <c r="A60" s="14" t="s">
        <v>70</v>
      </c>
    </row>
    <row r="61" spans="1:13">
      <c r="A61" s="14" t="s">
        <v>191</v>
      </c>
    </row>
    <row r="62" spans="1:13">
      <c r="A62" s="14" t="s">
        <v>192</v>
      </c>
    </row>
  </sheetData>
  <mergeCells count="3">
    <mergeCell ref="A1:M1"/>
    <mergeCell ref="B3:C3"/>
    <mergeCell ref="D3:E3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3"/>
  <sheetViews>
    <sheetView showGridLines="0" topLeftCell="M1" zoomScaleNormal="100" workbookViewId="0">
      <selection activeCell="Q3" sqref="Q3"/>
    </sheetView>
  </sheetViews>
  <sheetFormatPr baseColWidth="10" defaultColWidth="11.42578125" defaultRowHeight="12.75"/>
  <cols>
    <col min="1" max="1" width="5.7109375" style="158" customWidth="1"/>
    <col min="2" max="2" width="28.28515625" style="158" bestFit="1" customWidth="1"/>
    <col min="3" max="3" width="17.28515625" style="158" customWidth="1"/>
    <col min="4" max="4" width="16.85546875" style="158" customWidth="1"/>
    <col min="5" max="5" width="14.42578125" style="158" customWidth="1"/>
    <col min="6" max="6" width="21.140625" style="158" customWidth="1"/>
    <col min="7" max="7" width="17" style="158" customWidth="1"/>
    <col min="8" max="8" width="17.42578125" style="158" customWidth="1"/>
    <col min="9" max="9" width="15.42578125" style="158" customWidth="1"/>
    <col min="10" max="10" width="15" style="158" customWidth="1"/>
    <col min="11" max="11" width="21.42578125" style="158" customWidth="1"/>
    <col min="12" max="12" width="11.42578125" style="158"/>
    <col min="13" max="13" width="33.28515625" style="158" customWidth="1"/>
    <col min="14" max="14" width="21.42578125" style="158" customWidth="1"/>
    <col min="15" max="15" width="17.7109375" style="158" customWidth="1"/>
    <col min="16" max="16" width="17.7109375" style="158" bestFit="1" customWidth="1"/>
    <col min="17" max="17" width="22.7109375" style="158" customWidth="1"/>
    <col min="18" max="18" width="20.7109375" style="158" customWidth="1"/>
    <col min="19" max="19" width="0.28515625" style="158" customWidth="1"/>
    <col min="20" max="20" width="11.42578125" style="158" customWidth="1"/>
    <col min="21" max="21" width="21.28515625" style="158" customWidth="1"/>
    <col min="22" max="22" width="16.7109375" style="158" bestFit="1" customWidth="1"/>
    <col min="23" max="24" width="15.28515625" style="158" bestFit="1" customWidth="1"/>
    <col min="25" max="25" width="14.28515625" style="158" bestFit="1" customWidth="1"/>
    <col min="26" max="26" width="13.28515625" style="158" bestFit="1" customWidth="1"/>
    <col min="27" max="27" width="12.5703125" style="158" bestFit="1" customWidth="1"/>
    <col min="28" max="28" width="14.28515625" style="158" bestFit="1" customWidth="1"/>
    <col min="29" max="16384" width="11.42578125" style="158"/>
  </cols>
  <sheetData>
    <row r="1" spans="1:29" ht="38.25" customHeight="1" thickBot="1">
      <c r="B1" s="195"/>
      <c r="C1" s="285" t="s">
        <v>153</v>
      </c>
      <c r="D1" s="285"/>
      <c r="E1" s="285"/>
      <c r="F1" s="285"/>
      <c r="G1" s="285" t="s">
        <v>152</v>
      </c>
      <c r="H1" s="285"/>
      <c r="I1" s="285"/>
      <c r="J1" s="285"/>
      <c r="K1" s="205" t="s">
        <v>151</v>
      </c>
      <c r="M1" s="286" t="s">
        <v>150</v>
      </c>
      <c r="N1" s="286"/>
      <c r="O1" s="286"/>
      <c r="P1" s="286"/>
      <c r="Q1" s="286"/>
      <c r="R1" s="286"/>
    </row>
    <row r="2" spans="1:29" ht="68.25" customHeight="1" thickTop="1" thickBot="1">
      <c r="B2" s="204" t="s">
        <v>0</v>
      </c>
      <c r="C2" s="203" t="s">
        <v>197</v>
      </c>
      <c r="D2" s="202" t="s">
        <v>198</v>
      </c>
      <c r="E2" s="202" t="s">
        <v>149</v>
      </c>
      <c r="F2" s="201" t="s">
        <v>148</v>
      </c>
      <c r="G2" s="202" t="s">
        <v>159</v>
      </c>
      <c r="H2" s="202" t="s">
        <v>147</v>
      </c>
      <c r="I2" s="202" t="s">
        <v>146</v>
      </c>
      <c r="J2" s="199" t="s">
        <v>145</v>
      </c>
      <c r="K2" s="200" t="s">
        <v>144</v>
      </c>
      <c r="M2" s="204" t="s">
        <v>0</v>
      </c>
      <c r="N2" s="203" t="s">
        <v>143</v>
      </c>
      <c r="O2" s="202" t="s">
        <v>142</v>
      </c>
      <c r="P2" s="201" t="s">
        <v>141</v>
      </c>
      <c r="Q2" s="200" t="s">
        <v>140</v>
      </c>
      <c r="R2" s="199" t="s">
        <v>76</v>
      </c>
    </row>
    <row r="3" spans="1:29" ht="26.25" customHeight="1" thickTop="1">
      <c r="B3" s="195"/>
      <c r="C3" s="198" t="s">
        <v>139</v>
      </c>
      <c r="D3" s="198" t="s">
        <v>138</v>
      </c>
      <c r="E3" s="198" t="s">
        <v>137</v>
      </c>
      <c r="F3" s="198" t="s">
        <v>136</v>
      </c>
      <c r="G3" s="198" t="s">
        <v>135</v>
      </c>
      <c r="H3" s="198" t="s">
        <v>134</v>
      </c>
      <c r="I3" s="198"/>
      <c r="J3" s="198" t="s">
        <v>133</v>
      </c>
      <c r="K3" s="198" t="s">
        <v>132</v>
      </c>
      <c r="N3" s="197">
        <f>N4*Q3</f>
        <v>137811965.76783478</v>
      </c>
      <c r="O3" s="197">
        <f>Q3*O4</f>
        <v>82687179.46070087</v>
      </c>
      <c r="P3" s="197">
        <f>Q3*P4</f>
        <v>55124786.307133913</v>
      </c>
      <c r="Q3" s="197">
        <v>275623931.53566957</v>
      </c>
    </row>
    <row r="4" spans="1:29" ht="13.5" thickBot="1">
      <c r="G4" s="196"/>
      <c r="H4" s="195"/>
      <c r="I4" s="195"/>
      <c r="J4" s="195"/>
      <c r="N4" s="194">
        <v>0.5</v>
      </c>
      <c r="O4" s="194">
        <v>0.3</v>
      </c>
      <c r="P4" s="194">
        <v>0.2</v>
      </c>
      <c r="Q4" s="193" t="s">
        <v>131</v>
      </c>
      <c r="R4" s="193"/>
    </row>
    <row r="5" spans="1:29" ht="13.5" thickTop="1">
      <c r="A5" s="158" t="s">
        <v>199</v>
      </c>
      <c r="B5" s="239" t="s">
        <v>1</v>
      </c>
      <c r="C5" s="187">
        <v>626624</v>
      </c>
      <c r="D5" s="186">
        <v>145672.85</v>
      </c>
      <c r="E5" s="192">
        <f t="shared" ref="E5:E36" si="0">IFERROR(D5/C5,0)</f>
        <v>0.23247250344704321</v>
      </c>
      <c r="F5" s="191">
        <f t="shared" ref="F5:F36" si="1">IFERROR(E5/$E$56,0)</f>
        <v>1.7129206960559418E-2</v>
      </c>
      <c r="G5" s="186">
        <v>110684</v>
      </c>
      <c r="H5" s="221">
        <f t="shared" ref="H5:H36" si="2">IFERROR((D5/G5)-1,0)</f>
        <v>0.31611479527302966</v>
      </c>
      <c r="I5" s="190">
        <f t="shared" ref="I5:I36" si="3">IF(H5&lt;0,0,H5)</f>
        <v>0.31611479527302966</v>
      </c>
      <c r="J5" s="183">
        <f t="shared" ref="J5:J36" si="4">IFERROR(I5/$I$56,0)</f>
        <v>0.11047203821567791</v>
      </c>
      <c r="K5" s="189">
        <f t="shared" ref="K5:K36" si="5">IFERROR(D5/$D$56,0)</f>
        <v>6.9888220261119801E-5</v>
      </c>
      <c r="M5" s="188" t="s">
        <v>1</v>
      </c>
      <c r="N5" s="187">
        <f t="shared" ref="N5:N36" si="6">IFERROR($N$3*F5,0)</f>
        <v>2360609.6832787716</v>
      </c>
      <c r="O5" s="186">
        <f t="shared" ref="O5:O36" si="7">IFERROR($O$3*J5,0)</f>
        <v>9134621.2493291646</v>
      </c>
      <c r="P5" s="185">
        <f t="shared" ref="P5:P36" si="8">IFERROR($P$3*K5,0)</f>
        <v>3852.5732072801356</v>
      </c>
      <c r="Q5" s="184">
        <f t="shared" ref="Q5:Q36" si="9">IFERROR(SUM(N5:P5),0)</f>
        <v>11499083.505815215</v>
      </c>
      <c r="R5" s="183">
        <f t="shared" ref="R5:R36" si="10">IFERROR(Q5/$Q$56,0)</f>
        <v>4.1720192589035303E-2</v>
      </c>
      <c r="T5" s="159"/>
      <c r="AC5" s="159"/>
    </row>
    <row r="6" spans="1:29">
      <c r="A6" s="158" t="s">
        <v>200</v>
      </c>
      <c r="B6" s="240" t="s">
        <v>2</v>
      </c>
      <c r="C6" s="177">
        <v>2597546</v>
      </c>
      <c r="D6" s="176">
        <v>768052</v>
      </c>
      <c r="E6" s="182">
        <f t="shared" si="0"/>
        <v>0.29568369530318234</v>
      </c>
      <c r="F6" s="181">
        <f t="shared" si="1"/>
        <v>2.1786779669041415E-2</v>
      </c>
      <c r="G6" s="176">
        <v>953414</v>
      </c>
      <c r="H6" s="222">
        <f t="shared" si="2"/>
        <v>-0.19441921347913915</v>
      </c>
      <c r="I6" s="180">
        <f t="shared" si="3"/>
        <v>0</v>
      </c>
      <c r="J6" s="173">
        <f t="shared" si="4"/>
        <v>0</v>
      </c>
      <c r="K6" s="179">
        <f t="shared" si="5"/>
        <v>3.6848175447925667E-4</v>
      </c>
      <c r="M6" s="178" t="s">
        <v>2</v>
      </c>
      <c r="N6" s="177">
        <f t="shared" si="6"/>
        <v>3002478.9339412944</v>
      </c>
      <c r="O6" s="176">
        <f t="shared" si="7"/>
        <v>0</v>
      </c>
      <c r="P6" s="175">
        <f t="shared" si="8"/>
        <v>20312.477973746809</v>
      </c>
      <c r="Q6" s="174">
        <f t="shared" si="9"/>
        <v>3022791.411915041</v>
      </c>
      <c r="R6" s="173">
        <f t="shared" si="10"/>
        <v>1.0967086185416558E-2</v>
      </c>
      <c r="T6" s="159"/>
      <c r="U6" s="159"/>
      <c r="V6" s="159"/>
      <c r="W6" s="159"/>
      <c r="X6" s="159"/>
      <c r="Y6" s="159"/>
      <c r="Z6" s="159"/>
    </row>
    <row r="7" spans="1:29">
      <c r="A7" s="158" t="s">
        <v>201</v>
      </c>
      <c r="B7" s="240" t="s">
        <v>175</v>
      </c>
      <c r="C7" s="177">
        <v>1129316</v>
      </c>
      <c r="D7" s="176">
        <v>272877</v>
      </c>
      <c r="E7" s="182">
        <f t="shared" si="0"/>
        <v>0.24163033198856654</v>
      </c>
      <c r="F7" s="181">
        <f t="shared" si="1"/>
        <v>1.780398069969457E-2</v>
      </c>
      <c r="G7" s="176">
        <v>293401</v>
      </c>
      <c r="H7" s="222">
        <f t="shared" si="2"/>
        <v>-6.9952045153220288E-2</v>
      </c>
      <c r="I7" s="180">
        <f t="shared" si="3"/>
        <v>0</v>
      </c>
      <c r="J7" s="173">
        <f t="shared" si="4"/>
        <v>0</v>
      </c>
      <c r="K7" s="179">
        <f t="shared" si="5"/>
        <v>1.3091586991119888E-4</v>
      </c>
      <c r="M7" s="178" t="s">
        <v>175</v>
      </c>
      <c r="N7" s="177">
        <f t="shared" si="6"/>
        <v>2453601.578717499</v>
      </c>
      <c r="O7" s="176">
        <f t="shared" si="7"/>
        <v>0</v>
      </c>
      <c r="P7" s="175">
        <f t="shared" si="8"/>
        <v>7216.7093530673801</v>
      </c>
      <c r="Q7" s="174">
        <f t="shared" si="9"/>
        <v>2460818.2880705665</v>
      </c>
      <c r="R7" s="173">
        <f t="shared" si="10"/>
        <v>8.9281735238295242E-3</v>
      </c>
      <c r="T7" s="159"/>
      <c r="U7" s="159"/>
      <c r="V7" s="159"/>
      <c r="W7" s="159"/>
      <c r="X7" s="159"/>
      <c r="Y7" s="159"/>
      <c r="Z7" s="159"/>
    </row>
    <row r="8" spans="1:29">
      <c r="A8" s="158" t="s">
        <v>202</v>
      </c>
      <c r="B8" s="240" t="s">
        <v>3</v>
      </c>
      <c r="C8" s="177">
        <v>54890194.010000005</v>
      </c>
      <c r="D8" s="176">
        <v>23142962</v>
      </c>
      <c r="E8" s="182">
        <f t="shared" si="0"/>
        <v>0.42162288578873974</v>
      </c>
      <c r="F8" s="181">
        <f t="shared" si="1"/>
        <v>3.1066322093566658E-2</v>
      </c>
      <c r="G8" s="176">
        <v>18200124</v>
      </c>
      <c r="H8" s="222">
        <f t="shared" si="2"/>
        <v>0.27158265515114066</v>
      </c>
      <c r="I8" s="180">
        <f t="shared" si="3"/>
        <v>0.27158265515114066</v>
      </c>
      <c r="J8" s="173">
        <f t="shared" si="4"/>
        <v>9.4909475631025059E-2</v>
      </c>
      <c r="K8" s="179">
        <f t="shared" si="5"/>
        <v>1.11031014066844E-2</v>
      </c>
      <c r="M8" s="178" t="s">
        <v>3</v>
      </c>
      <c r="N8" s="177">
        <f t="shared" si="6"/>
        <v>4281310.9168911381</v>
      </c>
      <c r="O8" s="176">
        <f t="shared" si="7"/>
        <v>7847796.8440235853</v>
      </c>
      <c r="P8" s="175">
        <f t="shared" si="8"/>
        <v>612056.09238991549</v>
      </c>
      <c r="Q8" s="174">
        <f t="shared" si="9"/>
        <v>12741163.853304639</v>
      </c>
      <c r="R8" s="173">
        <f t="shared" si="10"/>
        <v>4.6226624017427734E-2</v>
      </c>
      <c r="T8" s="159"/>
      <c r="U8" s="159"/>
      <c r="V8" s="159"/>
      <c r="W8" s="159"/>
      <c r="X8" s="159"/>
      <c r="Y8" s="159"/>
      <c r="Z8" s="159"/>
    </row>
    <row r="9" spans="1:29">
      <c r="A9" s="158" t="s">
        <v>203</v>
      </c>
      <c r="B9" s="240" t="s">
        <v>176</v>
      </c>
      <c r="C9" s="177">
        <v>10678636</v>
      </c>
      <c r="D9" s="176">
        <v>2531264</v>
      </c>
      <c r="E9" s="182">
        <f t="shared" si="0"/>
        <v>0.23704001147712123</v>
      </c>
      <c r="F9" s="181">
        <f t="shared" si="1"/>
        <v>1.7465753387259923E-2</v>
      </c>
      <c r="G9" s="176">
        <v>1756976</v>
      </c>
      <c r="H9" s="222">
        <f t="shared" si="2"/>
        <v>0.44069355529045362</v>
      </c>
      <c r="I9" s="180">
        <f t="shared" si="3"/>
        <v>0.44069355529045362</v>
      </c>
      <c r="J9" s="173">
        <f t="shared" si="4"/>
        <v>0.15400834130335822</v>
      </c>
      <c r="K9" s="179">
        <f t="shared" si="5"/>
        <v>1.2144029307523203E-3</v>
      </c>
      <c r="M9" s="178" t="s">
        <v>176</v>
      </c>
      <c r="N9" s="177">
        <f t="shared" si="6"/>
        <v>2406989.807914509</v>
      </c>
      <c r="O9" s="176">
        <f t="shared" si="7"/>
        <v>12734515.355795652</v>
      </c>
      <c r="P9" s="175">
        <f t="shared" si="8"/>
        <v>66943.702048478808</v>
      </c>
      <c r="Q9" s="174">
        <f t="shared" si="9"/>
        <v>15208448.865758639</v>
      </c>
      <c r="R9" s="173">
        <f t="shared" si="10"/>
        <v>5.5178259670787891E-2</v>
      </c>
      <c r="T9" s="159"/>
      <c r="U9" s="159"/>
      <c r="V9" s="159"/>
      <c r="W9" s="159"/>
      <c r="X9" s="159"/>
      <c r="Y9" s="159"/>
      <c r="Z9" s="159"/>
    </row>
    <row r="10" spans="1:29">
      <c r="A10" s="158" t="s">
        <v>204</v>
      </c>
      <c r="B10" s="240" t="s">
        <v>4</v>
      </c>
      <c r="C10" s="177">
        <v>683317463.73000002</v>
      </c>
      <c r="D10" s="176">
        <v>299493654.98000002</v>
      </c>
      <c r="E10" s="182">
        <f t="shared" si="0"/>
        <v>0.43829357637834249</v>
      </c>
      <c r="F10" s="181">
        <f t="shared" si="1"/>
        <v>3.2294663962177388E-2</v>
      </c>
      <c r="G10" s="176">
        <v>292840828.44</v>
      </c>
      <c r="H10" s="222">
        <f t="shared" si="2"/>
        <v>2.2718234255245218E-2</v>
      </c>
      <c r="I10" s="180">
        <f t="shared" si="3"/>
        <v>2.2718234255245218E-2</v>
      </c>
      <c r="J10" s="173">
        <f t="shared" si="4"/>
        <v>7.9392982560987334E-3</v>
      </c>
      <c r="K10" s="179">
        <f t="shared" si="5"/>
        <v>0.14368551535890223</v>
      </c>
      <c r="M10" s="178" t="s">
        <v>4</v>
      </c>
      <c r="N10" s="177">
        <f t="shared" si="6"/>
        <v>4450591.1244393177</v>
      </c>
      <c r="O10" s="176">
        <f t="shared" si="7"/>
        <v>656478.17969406547</v>
      </c>
      <c r="P10" s="175">
        <f t="shared" si="8"/>
        <v>7920633.3295898931</v>
      </c>
      <c r="Q10" s="174">
        <f t="shared" si="9"/>
        <v>13027702.633723278</v>
      </c>
      <c r="R10" s="173">
        <f t="shared" si="10"/>
        <v>4.7266224529698767E-2</v>
      </c>
      <c r="T10" s="159"/>
      <c r="U10" s="159"/>
      <c r="V10" s="159"/>
      <c r="W10" s="159"/>
      <c r="X10" s="159"/>
      <c r="Y10" s="159"/>
      <c r="Z10" s="159"/>
    </row>
    <row r="11" spans="1:29">
      <c r="A11" s="158" t="s">
        <v>205</v>
      </c>
      <c r="B11" s="178" t="s">
        <v>5</v>
      </c>
      <c r="C11" s="177"/>
      <c r="D11" s="176"/>
      <c r="E11" s="182">
        <f t="shared" si="0"/>
        <v>0</v>
      </c>
      <c r="F11" s="181">
        <f t="shared" si="1"/>
        <v>0</v>
      </c>
      <c r="G11" s="176"/>
      <c r="H11" s="222">
        <f t="shared" si="2"/>
        <v>0</v>
      </c>
      <c r="I11" s="180">
        <f t="shared" si="3"/>
        <v>0</v>
      </c>
      <c r="J11" s="173">
        <f t="shared" si="4"/>
        <v>0</v>
      </c>
      <c r="K11" s="179">
        <f t="shared" si="5"/>
        <v>0</v>
      </c>
      <c r="M11" s="178" t="s">
        <v>5</v>
      </c>
      <c r="N11" s="177">
        <f t="shared" si="6"/>
        <v>0</v>
      </c>
      <c r="O11" s="176">
        <f t="shared" si="7"/>
        <v>0</v>
      </c>
      <c r="P11" s="175">
        <f t="shared" si="8"/>
        <v>0</v>
      </c>
      <c r="Q11" s="174">
        <f t="shared" si="9"/>
        <v>0</v>
      </c>
      <c r="R11" s="173">
        <f t="shared" si="10"/>
        <v>0</v>
      </c>
      <c r="T11" s="159"/>
      <c r="U11" s="159"/>
      <c r="V11" s="159"/>
      <c r="W11" s="159"/>
      <c r="X11" s="159"/>
      <c r="Y11" s="159"/>
      <c r="Z11" s="159"/>
    </row>
    <row r="12" spans="1:29">
      <c r="A12" s="158" t="s">
        <v>206</v>
      </c>
      <c r="B12" s="240" t="s">
        <v>6</v>
      </c>
      <c r="C12" s="177">
        <v>2185720</v>
      </c>
      <c r="D12" s="176">
        <v>799410</v>
      </c>
      <c r="E12" s="182">
        <f t="shared" si="0"/>
        <v>0.36574218106619327</v>
      </c>
      <c r="F12" s="181">
        <f t="shared" si="1"/>
        <v>2.6948879634345002E-2</v>
      </c>
      <c r="G12" s="176">
        <v>927656</v>
      </c>
      <c r="H12" s="222">
        <f t="shared" si="2"/>
        <v>-0.13824736755866396</v>
      </c>
      <c r="I12" s="180">
        <f t="shared" si="3"/>
        <v>0</v>
      </c>
      <c r="J12" s="173">
        <f t="shared" si="4"/>
        <v>0</v>
      </c>
      <c r="K12" s="179">
        <f t="shared" si="5"/>
        <v>3.835261145707095E-4</v>
      </c>
      <c r="M12" s="178" t="s">
        <v>6</v>
      </c>
      <c r="N12" s="177">
        <f t="shared" si="6"/>
        <v>3713878.0776498532</v>
      </c>
      <c r="O12" s="176">
        <f t="shared" si="7"/>
        <v>0</v>
      </c>
      <c r="P12" s="175">
        <f t="shared" si="8"/>
        <v>21141.795108915718</v>
      </c>
      <c r="Q12" s="174">
        <f t="shared" si="9"/>
        <v>3735019.872758769</v>
      </c>
      <c r="R12" s="173">
        <f t="shared" si="10"/>
        <v>1.3551145040086643E-2</v>
      </c>
      <c r="T12" s="159"/>
      <c r="U12" s="159"/>
      <c r="V12" s="159"/>
      <c r="W12" s="159"/>
      <c r="X12" s="159"/>
      <c r="Y12" s="159"/>
      <c r="Z12" s="159"/>
    </row>
    <row r="13" spans="1:29">
      <c r="A13" s="158" t="s">
        <v>207</v>
      </c>
      <c r="B13" s="240" t="s">
        <v>160</v>
      </c>
      <c r="C13" s="177">
        <v>110141115</v>
      </c>
      <c r="D13" s="176">
        <v>27527682</v>
      </c>
      <c r="E13" s="182">
        <f t="shared" si="0"/>
        <v>0.24993102711916435</v>
      </c>
      <c r="F13" s="181">
        <f t="shared" si="1"/>
        <v>1.8415598515566317E-2</v>
      </c>
      <c r="G13" s="176">
        <v>28519495.5</v>
      </c>
      <c r="H13" s="222">
        <f t="shared" si="2"/>
        <v>-3.4776684601591223E-2</v>
      </c>
      <c r="I13" s="180">
        <f t="shared" si="3"/>
        <v>0</v>
      </c>
      <c r="J13" s="173">
        <f t="shared" si="4"/>
        <v>0</v>
      </c>
      <c r="K13" s="179">
        <f t="shared" si="5"/>
        <v>1.3206721107564401E-2</v>
      </c>
      <c r="M13" s="178" t="s">
        <v>160</v>
      </c>
      <c r="N13" s="177">
        <f t="shared" si="6"/>
        <v>2537889.8322214144</v>
      </c>
      <c r="O13" s="176">
        <f t="shared" si="7"/>
        <v>0</v>
      </c>
      <c r="P13" s="175">
        <f t="shared" si="8"/>
        <v>728017.67887240252</v>
      </c>
      <c r="Q13" s="174">
        <f t="shared" si="9"/>
        <v>3265907.5110938167</v>
      </c>
      <c r="R13" s="173">
        <f t="shared" si="10"/>
        <v>1.1849143479296038E-2</v>
      </c>
      <c r="T13" s="159"/>
      <c r="U13" s="159"/>
      <c r="V13" s="159"/>
      <c r="W13" s="159"/>
      <c r="X13" s="159"/>
      <c r="Y13" s="159"/>
      <c r="Z13" s="159"/>
    </row>
    <row r="14" spans="1:29">
      <c r="A14" s="158" t="s">
        <v>208</v>
      </c>
      <c r="B14" s="240" t="s">
        <v>161</v>
      </c>
      <c r="C14" s="177">
        <v>32779189</v>
      </c>
      <c r="D14" s="176">
        <v>4946842.92</v>
      </c>
      <c r="E14" s="182">
        <f t="shared" si="0"/>
        <v>0.15091413396469328</v>
      </c>
      <c r="F14" s="181">
        <f t="shared" si="1"/>
        <v>1.1119764254372078E-2</v>
      </c>
      <c r="G14" s="252">
        <v>6103961.7199999997</v>
      </c>
      <c r="H14" s="222">
        <f t="shared" si="2"/>
        <v>-0.1895684889714544</v>
      </c>
      <c r="I14" s="180">
        <f t="shared" si="3"/>
        <v>0</v>
      </c>
      <c r="J14" s="173">
        <f t="shared" si="4"/>
        <v>0</v>
      </c>
      <c r="K14" s="179">
        <f t="shared" si="5"/>
        <v>2.3733046177796414E-3</v>
      </c>
      <c r="M14" s="178" t="s">
        <v>161</v>
      </c>
      <c r="N14" s="177">
        <f t="shared" si="6"/>
        <v>1532436.5707699177</v>
      </c>
      <c r="O14" s="176">
        <f t="shared" si="7"/>
        <v>0</v>
      </c>
      <c r="P14" s="175">
        <f t="shared" si="8"/>
        <v>130827.90989683686</v>
      </c>
      <c r="Q14" s="174">
        <f t="shared" si="9"/>
        <v>1663264.4806667545</v>
      </c>
      <c r="R14" s="173">
        <f t="shared" si="10"/>
        <v>6.0345430507419669E-3</v>
      </c>
      <c r="T14" s="159"/>
      <c r="U14" s="159"/>
      <c r="V14" s="159"/>
      <c r="W14" s="159"/>
      <c r="X14" s="159"/>
      <c r="Y14" s="159"/>
      <c r="Z14" s="159"/>
    </row>
    <row r="15" spans="1:29">
      <c r="A15" s="158" t="s">
        <v>209</v>
      </c>
      <c r="B15" s="240" t="s">
        <v>162</v>
      </c>
      <c r="C15" s="177">
        <v>2853628</v>
      </c>
      <c r="D15" s="176">
        <v>1221813</v>
      </c>
      <c r="E15" s="182">
        <f t="shared" si="0"/>
        <v>0.42816127399927389</v>
      </c>
      <c r="F15" s="181">
        <f t="shared" si="1"/>
        <v>3.1548088337686075E-2</v>
      </c>
      <c r="G15" s="176">
        <v>826855</v>
      </c>
      <c r="H15" s="222">
        <f t="shared" si="2"/>
        <v>0.47766295178719353</v>
      </c>
      <c r="I15" s="180">
        <f t="shared" si="3"/>
        <v>0.47766295178719353</v>
      </c>
      <c r="J15" s="173">
        <f t="shared" si="4"/>
        <v>0.16692796621073072</v>
      </c>
      <c r="K15" s="179">
        <f t="shared" si="5"/>
        <v>5.8617879764073788E-4</v>
      </c>
      <c r="M15" s="178" t="s">
        <v>162</v>
      </c>
      <c r="N15" s="177">
        <f t="shared" si="6"/>
        <v>4347704.0700338213</v>
      </c>
      <c r="O15" s="176">
        <f t="shared" si="7"/>
        <v>13802802.699076502</v>
      </c>
      <c r="P15" s="175">
        <f t="shared" si="8"/>
        <v>32312.98095771837</v>
      </c>
      <c r="Q15" s="174">
        <f t="shared" si="9"/>
        <v>18182819.750068039</v>
      </c>
      <c r="R15" s="173">
        <f t="shared" si="10"/>
        <v>6.5969669791590385E-2</v>
      </c>
      <c r="T15" s="159"/>
      <c r="U15" s="159"/>
      <c r="V15" s="159"/>
      <c r="W15" s="159"/>
      <c r="X15" s="159"/>
      <c r="Y15" s="159"/>
      <c r="Z15" s="159"/>
    </row>
    <row r="16" spans="1:29">
      <c r="A16" s="158" t="s">
        <v>210</v>
      </c>
      <c r="B16" s="240" t="s">
        <v>7</v>
      </c>
      <c r="C16" s="177">
        <v>4729640</v>
      </c>
      <c r="D16" s="176">
        <v>1408205</v>
      </c>
      <c r="E16" s="182">
        <f t="shared" si="0"/>
        <v>0.29774041998968209</v>
      </c>
      <c r="F16" s="181">
        <f t="shared" si="1"/>
        <v>2.1938324743377362E-2</v>
      </c>
      <c r="G16" s="252">
        <v>1648610</v>
      </c>
      <c r="H16" s="222">
        <f t="shared" si="2"/>
        <v>-0.14582284469947415</v>
      </c>
      <c r="I16" s="180">
        <f t="shared" si="3"/>
        <v>0</v>
      </c>
      <c r="J16" s="173">
        <f t="shared" si="4"/>
        <v>0</v>
      </c>
      <c r="K16" s="179">
        <f t="shared" si="5"/>
        <v>6.7560249705288396E-4</v>
      </c>
      <c r="M16" s="178" t="s">
        <v>7</v>
      </c>
      <c r="N16" s="177">
        <f t="shared" si="6"/>
        <v>3023363.6585379639</v>
      </c>
      <c r="O16" s="176">
        <f t="shared" si="7"/>
        <v>0</v>
      </c>
      <c r="P16" s="175">
        <f t="shared" si="8"/>
        <v>37242.443278606297</v>
      </c>
      <c r="Q16" s="174">
        <f t="shared" si="9"/>
        <v>3060606.1018165704</v>
      </c>
      <c r="R16" s="173">
        <f t="shared" si="10"/>
        <v>1.1104282871099259E-2</v>
      </c>
      <c r="T16" s="159"/>
      <c r="U16" s="159"/>
      <c r="V16" s="159"/>
      <c r="W16" s="159"/>
      <c r="X16" s="159"/>
      <c r="Y16" s="159"/>
      <c r="Z16" s="159"/>
    </row>
    <row r="17" spans="1:26">
      <c r="A17" s="158" t="s">
        <v>211</v>
      </c>
      <c r="B17" s="240" t="s">
        <v>163</v>
      </c>
      <c r="C17" s="177">
        <v>49791403.200000003</v>
      </c>
      <c r="D17" s="176">
        <v>12990205</v>
      </c>
      <c r="E17" s="182">
        <f t="shared" si="0"/>
        <v>0.26089252692521026</v>
      </c>
      <c r="F17" s="181">
        <f t="shared" si="1"/>
        <v>1.9223271663967992E-2</v>
      </c>
      <c r="G17" s="176">
        <v>14225141</v>
      </c>
      <c r="H17" s="222">
        <f t="shared" si="2"/>
        <v>-8.6813621038975941E-2</v>
      </c>
      <c r="I17" s="180">
        <f t="shared" si="3"/>
        <v>0</v>
      </c>
      <c r="J17" s="173">
        <f t="shared" si="4"/>
        <v>0</v>
      </c>
      <c r="K17" s="179">
        <f t="shared" si="5"/>
        <v>6.2321998112695662E-3</v>
      </c>
      <c r="M17" s="178" t="s">
        <v>163</v>
      </c>
      <c r="N17" s="177">
        <f t="shared" si="6"/>
        <v>2649196.8565005451</v>
      </c>
      <c r="O17" s="176">
        <f t="shared" si="7"/>
        <v>0</v>
      </c>
      <c r="P17" s="175">
        <f t="shared" si="8"/>
        <v>343548.68281959515</v>
      </c>
      <c r="Q17" s="174">
        <f t="shared" si="9"/>
        <v>2992745.5393201401</v>
      </c>
      <c r="R17" s="173">
        <f t="shared" si="10"/>
        <v>1.0858075794237908E-2</v>
      </c>
      <c r="T17" s="159"/>
      <c r="U17" s="159"/>
      <c r="V17" s="159"/>
      <c r="W17" s="159"/>
      <c r="X17" s="159"/>
      <c r="Y17" s="159"/>
      <c r="Z17" s="159"/>
    </row>
    <row r="18" spans="1:26">
      <c r="A18" s="158" t="s">
        <v>212</v>
      </c>
      <c r="B18" s="240" t="s">
        <v>8</v>
      </c>
      <c r="C18" s="177">
        <v>6711875</v>
      </c>
      <c r="D18" s="176">
        <v>691812</v>
      </c>
      <c r="E18" s="182">
        <f t="shared" si="0"/>
        <v>0.10307283732191079</v>
      </c>
      <c r="F18" s="181">
        <f t="shared" si="1"/>
        <v>7.5946872697625215E-3</v>
      </c>
      <c r="G18" s="176">
        <v>766514</v>
      </c>
      <c r="H18" s="222">
        <f t="shared" si="2"/>
        <v>-9.7456797918889948E-2</v>
      </c>
      <c r="I18" s="180">
        <f t="shared" si="3"/>
        <v>0</v>
      </c>
      <c r="J18" s="173">
        <f t="shared" si="4"/>
        <v>0</v>
      </c>
      <c r="K18" s="179">
        <f t="shared" si="5"/>
        <v>3.3190474021264644E-4</v>
      </c>
      <c r="M18" s="178" t="s">
        <v>8</v>
      </c>
      <c r="N18" s="177">
        <f t="shared" si="6"/>
        <v>1046638.7820379232</v>
      </c>
      <c r="O18" s="176">
        <f t="shared" si="7"/>
        <v>0</v>
      </c>
      <c r="P18" s="175">
        <f t="shared" si="8"/>
        <v>18296.177878546932</v>
      </c>
      <c r="Q18" s="174">
        <f t="shared" si="9"/>
        <v>1064934.9599164701</v>
      </c>
      <c r="R18" s="173">
        <f t="shared" si="10"/>
        <v>3.8637245829237898E-3</v>
      </c>
      <c r="T18" s="159"/>
      <c r="U18" s="159"/>
      <c r="V18" s="159"/>
      <c r="W18" s="159"/>
      <c r="X18" s="159"/>
      <c r="Y18" s="159"/>
      <c r="Z18" s="159"/>
    </row>
    <row r="19" spans="1:26">
      <c r="A19" s="158" t="s">
        <v>213</v>
      </c>
      <c r="B19" s="240" t="s">
        <v>9</v>
      </c>
      <c r="C19" s="177">
        <v>1548836</v>
      </c>
      <c r="D19" s="176">
        <v>329170</v>
      </c>
      <c r="E19" s="182">
        <f t="shared" si="0"/>
        <v>0.21252734311444207</v>
      </c>
      <c r="F19" s="181">
        <f t="shared" si="1"/>
        <v>1.5659593246538005E-2</v>
      </c>
      <c r="G19" s="176">
        <v>328496</v>
      </c>
      <c r="H19" s="222">
        <f t="shared" si="2"/>
        <v>2.05177536408363E-3</v>
      </c>
      <c r="I19" s="180">
        <f t="shared" si="3"/>
        <v>2.05177536408363E-3</v>
      </c>
      <c r="J19" s="173">
        <f t="shared" si="4"/>
        <v>7.17030046743819E-4</v>
      </c>
      <c r="K19" s="179">
        <f t="shared" si="5"/>
        <v>1.5792308218966545E-4</v>
      </c>
      <c r="M19" s="178" t="s">
        <v>9</v>
      </c>
      <c r="N19" s="177">
        <f t="shared" si="6"/>
        <v>2158079.3284301125</v>
      </c>
      <c r="O19" s="176">
        <f t="shared" si="7"/>
        <v>59289.192153820892</v>
      </c>
      <c r="P19" s="175">
        <f t="shared" si="8"/>
        <v>8705.476158669253</v>
      </c>
      <c r="Q19" s="174">
        <f t="shared" si="9"/>
        <v>2226073.9967426024</v>
      </c>
      <c r="R19" s="173">
        <f t="shared" si="10"/>
        <v>8.0764902537300808E-3</v>
      </c>
      <c r="T19" s="159"/>
      <c r="U19" s="159"/>
      <c r="V19" s="159"/>
      <c r="W19" s="159"/>
      <c r="X19" s="159"/>
      <c r="Y19" s="159"/>
      <c r="Z19" s="159"/>
    </row>
    <row r="20" spans="1:26">
      <c r="A20" s="158" t="s">
        <v>214</v>
      </c>
      <c r="B20" s="240" t="s">
        <v>164</v>
      </c>
      <c r="C20" s="177">
        <v>2192867</v>
      </c>
      <c r="D20" s="176">
        <v>632096</v>
      </c>
      <c r="E20" s="182">
        <f t="shared" si="0"/>
        <v>0.28825095183611227</v>
      </c>
      <c r="F20" s="181">
        <f t="shared" si="1"/>
        <v>2.1239114894737506E-2</v>
      </c>
      <c r="G20" s="176">
        <v>704192</v>
      </c>
      <c r="H20" s="222">
        <f t="shared" si="2"/>
        <v>-0.10238116877215309</v>
      </c>
      <c r="I20" s="180">
        <f t="shared" si="3"/>
        <v>0</v>
      </c>
      <c r="J20" s="173">
        <f t="shared" si="4"/>
        <v>0</v>
      </c>
      <c r="K20" s="179">
        <f t="shared" si="5"/>
        <v>3.0325530443162731E-4</v>
      </c>
      <c r="M20" s="178" t="s">
        <v>164</v>
      </c>
      <c r="N20" s="177">
        <f t="shared" si="6"/>
        <v>2927004.174812675</v>
      </c>
      <c r="O20" s="176">
        <f t="shared" si="7"/>
        <v>0</v>
      </c>
      <c r="P20" s="175">
        <f t="shared" si="8"/>
        <v>16716.883853298295</v>
      </c>
      <c r="Q20" s="174">
        <f t="shared" si="9"/>
        <v>2943721.0586659731</v>
      </c>
      <c r="R20" s="173">
        <f t="shared" si="10"/>
        <v>1.0680208508255077E-2</v>
      </c>
      <c r="T20" s="159"/>
      <c r="U20" s="159"/>
      <c r="V20" s="159"/>
      <c r="W20" s="159"/>
      <c r="X20" s="159"/>
      <c r="Y20" s="159"/>
      <c r="Z20" s="159"/>
    </row>
    <row r="21" spans="1:26">
      <c r="A21" s="158" t="s">
        <v>215</v>
      </c>
      <c r="B21" s="240" t="s">
        <v>10</v>
      </c>
      <c r="C21" s="177">
        <v>10046865</v>
      </c>
      <c r="D21" s="176">
        <v>1193413</v>
      </c>
      <c r="E21" s="182">
        <f t="shared" si="0"/>
        <v>0.11878461589759591</v>
      </c>
      <c r="F21" s="181">
        <f t="shared" si="1"/>
        <v>8.7523738905490572E-3</v>
      </c>
      <c r="G21" s="176">
        <v>1253081</v>
      </c>
      <c r="H21" s="222">
        <f t="shared" si="2"/>
        <v>-4.7617033535741093E-2</v>
      </c>
      <c r="I21" s="180">
        <f t="shared" si="3"/>
        <v>0</v>
      </c>
      <c r="J21" s="173">
        <f t="shared" si="4"/>
        <v>0</v>
      </c>
      <c r="K21" s="179">
        <f t="shared" si="5"/>
        <v>5.7255357196954525E-4</v>
      </c>
      <c r="M21" s="178" t="s">
        <v>10</v>
      </c>
      <c r="N21" s="177">
        <f t="shared" si="6"/>
        <v>1206181.8509916377</v>
      </c>
      <c r="O21" s="176">
        <f t="shared" si="7"/>
        <v>0</v>
      </c>
      <c r="P21" s="175">
        <f t="shared" si="8"/>
        <v>31561.893304207399</v>
      </c>
      <c r="Q21" s="174">
        <f t="shared" si="9"/>
        <v>1237743.744295845</v>
      </c>
      <c r="R21" s="173">
        <f t="shared" si="10"/>
        <v>4.490697659668438E-3</v>
      </c>
      <c r="T21" s="159"/>
      <c r="U21" s="159"/>
      <c r="V21" s="159"/>
      <c r="W21" s="159"/>
      <c r="X21" s="159"/>
      <c r="Y21" s="159"/>
      <c r="Z21" s="159"/>
    </row>
    <row r="22" spans="1:26">
      <c r="A22" s="158" t="s">
        <v>216</v>
      </c>
      <c r="B22" s="240" t="s">
        <v>165</v>
      </c>
      <c r="C22" s="177">
        <v>425436337.39000034</v>
      </c>
      <c r="D22" s="176">
        <v>90011508</v>
      </c>
      <c r="E22" s="182">
        <f t="shared" si="0"/>
        <v>0.21157456495655624</v>
      </c>
      <c r="F22" s="181">
        <f t="shared" si="1"/>
        <v>1.5589389957925661E-2</v>
      </c>
      <c r="G22" s="176">
        <v>89654721.319999993</v>
      </c>
      <c r="H22" s="222">
        <f t="shared" si="2"/>
        <v>3.9795637613611046E-3</v>
      </c>
      <c r="I22" s="180">
        <f t="shared" si="3"/>
        <v>3.9795637613611046E-3</v>
      </c>
      <c r="J22" s="173">
        <f t="shared" si="4"/>
        <v>1.3907306032515819E-3</v>
      </c>
      <c r="K22" s="179">
        <f t="shared" si="5"/>
        <v>4.31840531515622E-2</v>
      </c>
      <c r="M22" s="178" t="s">
        <v>165</v>
      </c>
      <c r="N22" s="177">
        <f t="shared" si="6"/>
        <v>2148404.4752230784</v>
      </c>
      <c r="O22" s="176">
        <f t="shared" si="7"/>
        <v>114995.59097255234</v>
      </c>
      <c r="P22" s="175">
        <f t="shared" si="8"/>
        <v>2380511.7018557792</v>
      </c>
      <c r="Q22" s="174">
        <f t="shared" si="9"/>
        <v>4643911.7680514101</v>
      </c>
      <c r="R22" s="173">
        <f t="shared" si="10"/>
        <v>1.6848724790250746E-2</v>
      </c>
      <c r="T22" s="159"/>
      <c r="U22" s="159"/>
      <c r="V22" s="159"/>
      <c r="W22" s="159"/>
      <c r="X22" s="159"/>
      <c r="Y22" s="159"/>
      <c r="Z22" s="159"/>
    </row>
    <row r="23" spans="1:26">
      <c r="A23" s="158" t="s">
        <v>217</v>
      </c>
      <c r="B23" s="240" t="s">
        <v>11</v>
      </c>
      <c r="C23" s="177">
        <v>5541859</v>
      </c>
      <c r="D23" s="176">
        <v>877317</v>
      </c>
      <c r="E23" s="182">
        <f t="shared" si="0"/>
        <v>0.15830734776904284</v>
      </c>
      <c r="F23" s="181">
        <f t="shared" si="1"/>
        <v>1.1664516375507198E-2</v>
      </c>
      <c r="G23" s="176">
        <v>1101010</v>
      </c>
      <c r="H23" s="222">
        <f t="shared" si="2"/>
        <v>-0.20317072506153444</v>
      </c>
      <c r="I23" s="180">
        <f t="shared" si="3"/>
        <v>0</v>
      </c>
      <c r="J23" s="173">
        <f t="shared" si="4"/>
        <v>0</v>
      </c>
      <c r="K23" s="179">
        <f t="shared" si="5"/>
        <v>4.2090289120330139E-4</v>
      </c>
      <c r="M23" s="178" t="s">
        <v>11</v>
      </c>
      <c r="N23" s="177">
        <f t="shared" si="6"/>
        <v>1607509.9314397462</v>
      </c>
      <c r="O23" s="176">
        <f t="shared" si="7"/>
        <v>0</v>
      </c>
      <c r="P23" s="175">
        <f t="shared" si="8"/>
        <v>23202.181933636824</v>
      </c>
      <c r="Q23" s="174">
        <f t="shared" si="9"/>
        <v>1630712.1133733829</v>
      </c>
      <c r="R23" s="173">
        <f t="shared" si="10"/>
        <v>5.9164387659942589E-3</v>
      </c>
      <c r="T23" s="159"/>
      <c r="U23" s="159"/>
      <c r="V23" s="159"/>
      <c r="W23" s="159"/>
      <c r="X23" s="159"/>
      <c r="Y23" s="159"/>
      <c r="Z23" s="159"/>
    </row>
    <row r="24" spans="1:26">
      <c r="A24" s="158" t="s">
        <v>218</v>
      </c>
      <c r="B24" s="240" t="s">
        <v>12</v>
      </c>
      <c r="C24" s="177">
        <v>449264751.14000052</v>
      </c>
      <c r="D24" s="176">
        <v>130662277.23999999</v>
      </c>
      <c r="E24" s="182">
        <f t="shared" si="0"/>
        <v>0.29083580874850967</v>
      </c>
      <c r="F24" s="181">
        <f t="shared" si="1"/>
        <v>2.1429574189318013E-2</v>
      </c>
      <c r="G24" s="252">
        <v>149244141.31999999</v>
      </c>
      <c r="H24" s="222">
        <f t="shared" si="2"/>
        <v>-0.12450648927087815</v>
      </c>
      <c r="I24" s="180">
        <f t="shared" si="3"/>
        <v>0</v>
      </c>
      <c r="J24" s="173">
        <f t="shared" si="4"/>
        <v>0</v>
      </c>
      <c r="K24" s="179">
        <f t="shared" si="5"/>
        <v>6.2686725848836083E-2</v>
      </c>
      <c r="M24" s="178" t="s">
        <v>12</v>
      </c>
      <c r="N24" s="177">
        <f t="shared" si="6"/>
        <v>2953251.7445975696</v>
      </c>
      <c r="O24" s="176">
        <f t="shared" si="7"/>
        <v>0</v>
      </c>
      <c r="P24" s="175">
        <f t="shared" si="8"/>
        <v>3455592.3667109767</v>
      </c>
      <c r="Q24" s="174">
        <f t="shared" si="9"/>
        <v>6408844.1113085467</v>
      </c>
      <c r="R24" s="173">
        <f t="shared" si="10"/>
        <v>2.3252132264426222E-2</v>
      </c>
      <c r="T24" s="159"/>
      <c r="U24" s="159"/>
      <c r="V24" s="159"/>
      <c r="W24" s="159"/>
      <c r="X24" s="159"/>
      <c r="Y24" s="159"/>
      <c r="Z24" s="159"/>
    </row>
    <row r="25" spans="1:26">
      <c r="A25" s="158" t="s">
        <v>219</v>
      </c>
      <c r="B25" s="240" t="s">
        <v>166</v>
      </c>
      <c r="C25" s="177">
        <v>12500507</v>
      </c>
      <c r="D25" s="176">
        <v>3648762.03</v>
      </c>
      <c r="E25" s="182">
        <f t="shared" si="0"/>
        <v>0.29188912337715578</v>
      </c>
      <c r="F25" s="181">
        <f t="shared" si="1"/>
        <v>2.1507185278806597E-2</v>
      </c>
      <c r="G25" s="176">
        <v>4417747</v>
      </c>
      <c r="H25" s="222">
        <f t="shared" si="2"/>
        <v>-0.17406722702771349</v>
      </c>
      <c r="I25" s="180">
        <f t="shared" si="3"/>
        <v>0</v>
      </c>
      <c r="J25" s="173">
        <f t="shared" si="4"/>
        <v>0</v>
      </c>
      <c r="K25" s="179">
        <f t="shared" si="5"/>
        <v>1.7505354253249705E-3</v>
      </c>
      <c r="M25" s="178" t="s">
        <v>166</v>
      </c>
      <c r="N25" s="177">
        <f t="shared" si="6"/>
        <v>2963947.4814053751</v>
      </c>
      <c r="O25" s="176">
        <f t="shared" si="7"/>
        <v>0</v>
      </c>
      <c r="P25" s="175">
        <f t="shared" si="8"/>
        <v>96497.891244106766</v>
      </c>
      <c r="Q25" s="174">
        <f t="shared" si="9"/>
        <v>3060445.372649482</v>
      </c>
      <c r="R25" s="173">
        <f t="shared" si="10"/>
        <v>1.1103699724468294E-2</v>
      </c>
      <c r="T25" s="159"/>
      <c r="U25" s="159"/>
      <c r="V25" s="159"/>
      <c r="W25" s="159"/>
      <c r="X25" s="159"/>
      <c r="Y25" s="159"/>
      <c r="Z25" s="159"/>
    </row>
    <row r="26" spans="1:26">
      <c r="A26" s="158" t="s">
        <v>220</v>
      </c>
      <c r="B26" s="240" t="s">
        <v>13</v>
      </c>
      <c r="C26" s="177">
        <v>796636</v>
      </c>
      <c r="D26" s="176">
        <v>218938</v>
      </c>
      <c r="E26" s="182">
        <f t="shared" si="0"/>
        <v>0.27482815238076108</v>
      </c>
      <c r="F26" s="181">
        <f t="shared" si="1"/>
        <v>2.0250086487284706E-2</v>
      </c>
      <c r="G26" s="252">
        <v>320606.25</v>
      </c>
      <c r="H26" s="222">
        <f t="shared" si="2"/>
        <v>-0.31711250170575278</v>
      </c>
      <c r="I26" s="180">
        <f t="shared" si="3"/>
        <v>0</v>
      </c>
      <c r="J26" s="173">
        <f t="shared" si="4"/>
        <v>0</v>
      </c>
      <c r="K26" s="179">
        <f t="shared" si="5"/>
        <v>1.0503801612674598E-4</v>
      </c>
      <c r="M26" s="178" t="s">
        <v>13</v>
      </c>
      <c r="N26" s="177">
        <f t="shared" si="6"/>
        <v>2790704.2257813737</v>
      </c>
      <c r="O26" s="176">
        <f t="shared" si="7"/>
        <v>0</v>
      </c>
      <c r="P26" s="175">
        <f t="shared" si="8"/>
        <v>5790.1981931121582</v>
      </c>
      <c r="Q26" s="174">
        <f t="shared" si="9"/>
        <v>2796494.4239744861</v>
      </c>
      <c r="R26" s="173">
        <f t="shared" si="10"/>
        <v>1.0146050846867703E-2</v>
      </c>
      <c r="T26" s="159"/>
      <c r="U26" s="159"/>
      <c r="V26" s="159"/>
      <c r="W26" s="159"/>
      <c r="X26" s="159"/>
      <c r="Y26" s="159"/>
      <c r="Z26" s="159"/>
    </row>
    <row r="27" spans="1:26">
      <c r="A27" s="158" t="s">
        <v>221</v>
      </c>
      <c r="B27" s="178" t="s">
        <v>14</v>
      </c>
      <c r="C27" s="177">
        <v>1746864</v>
      </c>
      <c r="D27" s="176">
        <v>140414</v>
      </c>
      <c r="E27" s="182">
        <f t="shared" si="0"/>
        <v>8.0380613487941815E-2</v>
      </c>
      <c r="F27" s="181">
        <f t="shared" si="1"/>
        <v>5.92266243807769E-3</v>
      </c>
      <c r="G27" s="176">
        <v>194672</v>
      </c>
      <c r="H27" s="222">
        <f t="shared" si="2"/>
        <v>-0.2787149667132407</v>
      </c>
      <c r="I27" s="180">
        <f t="shared" si="3"/>
        <v>0</v>
      </c>
      <c r="J27" s="173">
        <f t="shared" si="4"/>
        <v>0</v>
      </c>
      <c r="K27" s="179">
        <f t="shared" si="5"/>
        <v>6.7365226668832768E-5</v>
      </c>
      <c r="M27" s="178" t="s">
        <v>14</v>
      </c>
      <c r="N27" s="177">
        <f t="shared" si="6"/>
        <v>816213.75317080354</v>
      </c>
      <c r="O27" s="176">
        <f t="shared" si="7"/>
        <v>0</v>
      </c>
      <c r="P27" s="175">
        <f t="shared" si="8"/>
        <v>3713.4937246510449</v>
      </c>
      <c r="Q27" s="174">
        <f t="shared" si="9"/>
        <v>819927.24689545459</v>
      </c>
      <c r="R27" s="173">
        <f t="shared" si="10"/>
        <v>2.9748042643726116E-3</v>
      </c>
      <c r="T27" s="159"/>
      <c r="U27" s="159"/>
      <c r="V27" s="159"/>
      <c r="W27" s="159"/>
      <c r="X27" s="159"/>
      <c r="Y27" s="159"/>
      <c r="Z27" s="159"/>
    </row>
    <row r="28" spans="1:26">
      <c r="A28" s="158" t="s">
        <v>222</v>
      </c>
      <c r="B28" s="178" t="s">
        <v>15</v>
      </c>
      <c r="C28" s="177">
        <v>63133792</v>
      </c>
      <c r="D28" s="176">
        <v>9156806</v>
      </c>
      <c r="E28" s="182">
        <f t="shared" si="0"/>
        <v>0.14503811207791859</v>
      </c>
      <c r="F28" s="181">
        <f t="shared" si="1"/>
        <v>1.0686802964280113E-2</v>
      </c>
      <c r="G28" s="176">
        <v>7133102</v>
      </c>
      <c r="H28" s="222">
        <f t="shared" si="2"/>
        <v>0.28370602298971748</v>
      </c>
      <c r="I28" s="180">
        <f t="shared" si="3"/>
        <v>0.28370602298971748</v>
      </c>
      <c r="J28" s="173">
        <f t="shared" si="4"/>
        <v>9.9146206006170037E-2</v>
      </c>
      <c r="K28" s="179">
        <f t="shared" si="5"/>
        <v>4.3930826823003971E-3</v>
      </c>
      <c r="M28" s="178" t="s">
        <v>15</v>
      </c>
      <c r="N28" s="177">
        <f t="shared" si="6"/>
        <v>1472769.3242809661</v>
      </c>
      <c r="O28" s="176">
        <f t="shared" si="7"/>
        <v>8198120.1288798004</v>
      </c>
      <c r="P28" s="175">
        <f t="shared" si="8"/>
        <v>242167.74409138007</v>
      </c>
      <c r="Q28" s="174">
        <f t="shared" si="9"/>
        <v>9913057.1972521469</v>
      </c>
      <c r="R28" s="173">
        <f t="shared" si="10"/>
        <v>3.5965879820451151E-2</v>
      </c>
      <c r="T28" s="159"/>
      <c r="U28" s="159"/>
      <c r="V28" s="159"/>
      <c r="W28" s="159"/>
      <c r="X28" s="159"/>
      <c r="Y28" s="159"/>
      <c r="Z28" s="159"/>
    </row>
    <row r="29" spans="1:26">
      <c r="A29" s="158" t="s">
        <v>223</v>
      </c>
      <c r="B29" s="178" t="s">
        <v>16</v>
      </c>
      <c r="C29" s="177">
        <v>516795710.3599999</v>
      </c>
      <c r="D29" s="176">
        <v>215375991.11000001</v>
      </c>
      <c r="E29" s="182">
        <f t="shared" si="0"/>
        <v>0.41675266801260619</v>
      </c>
      <c r="F29" s="181">
        <f t="shared" si="1"/>
        <v>3.0707471188649249E-2</v>
      </c>
      <c r="G29" s="176">
        <v>259353547.03</v>
      </c>
      <c r="H29" s="222">
        <f t="shared" si="2"/>
        <v>-0.16956604767357586</v>
      </c>
      <c r="I29" s="180">
        <f t="shared" si="3"/>
        <v>0</v>
      </c>
      <c r="J29" s="173">
        <f t="shared" si="4"/>
        <v>0</v>
      </c>
      <c r="K29" s="179">
        <f t="shared" si="5"/>
        <v>0.10332910151515991</v>
      </c>
      <c r="M29" s="178" t="s">
        <v>16</v>
      </c>
      <c r="N29" s="177">
        <f t="shared" si="6"/>
        <v>4231856.9682669034</v>
      </c>
      <c r="O29" s="176">
        <f t="shared" si="7"/>
        <v>0</v>
      </c>
      <c r="P29" s="175">
        <f t="shared" si="8"/>
        <v>5695994.6403313372</v>
      </c>
      <c r="Q29" s="174">
        <f t="shared" si="9"/>
        <v>9927851.6085982397</v>
      </c>
      <c r="R29" s="173">
        <f t="shared" si="10"/>
        <v>3.6019555897356607E-2</v>
      </c>
      <c r="T29" s="159"/>
      <c r="U29" s="159"/>
      <c r="V29" s="159"/>
      <c r="W29" s="159"/>
      <c r="X29" s="159"/>
      <c r="Y29" s="159"/>
      <c r="Z29" s="159"/>
    </row>
    <row r="30" spans="1:26">
      <c r="A30" s="158" t="s">
        <v>224</v>
      </c>
      <c r="B30" s="178" t="s">
        <v>167</v>
      </c>
      <c r="C30" s="177">
        <v>997290</v>
      </c>
      <c r="D30" s="176">
        <v>288216.5</v>
      </c>
      <c r="E30" s="182">
        <f t="shared" si="0"/>
        <v>0.28899968915761715</v>
      </c>
      <c r="F30" s="181">
        <f t="shared" si="1"/>
        <v>2.1294283899023957E-2</v>
      </c>
      <c r="G30" s="176">
        <v>294751</v>
      </c>
      <c r="H30" s="222">
        <f t="shared" si="2"/>
        <v>-2.2169560069346672E-2</v>
      </c>
      <c r="I30" s="180">
        <f t="shared" si="3"/>
        <v>0</v>
      </c>
      <c r="J30" s="173">
        <f t="shared" si="4"/>
        <v>0</v>
      </c>
      <c r="K30" s="179">
        <f t="shared" si="5"/>
        <v>1.3827517093877847E-4</v>
      </c>
      <c r="M30" s="178" t="s">
        <v>167</v>
      </c>
      <c r="N30" s="177">
        <f t="shared" si="6"/>
        <v>2934607.1237428449</v>
      </c>
      <c r="O30" s="176">
        <f t="shared" si="7"/>
        <v>0</v>
      </c>
      <c r="P30" s="175">
        <f t="shared" si="8"/>
        <v>7622.3892495825767</v>
      </c>
      <c r="Q30" s="174">
        <f t="shared" si="9"/>
        <v>2942229.5129924277</v>
      </c>
      <c r="R30" s="173">
        <f t="shared" si="10"/>
        <v>1.0674796983699735E-2</v>
      </c>
      <c r="T30" s="159"/>
      <c r="U30" s="159"/>
      <c r="V30" s="159"/>
      <c r="W30" s="159"/>
      <c r="X30" s="159"/>
      <c r="Y30" s="159"/>
      <c r="Z30" s="159"/>
    </row>
    <row r="31" spans="1:26">
      <c r="A31" s="158" t="s">
        <v>225</v>
      </c>
      <c r="B31" s="178" t="s">
        <v>17</v>
      </c>
      <c r="C31" s="177">
        <v>2347113</v>
      </c>
      <c r="D31" s="176">
        <v>518824</v>
      </c>
      <c r="E31" s="182">
        <f t="shared" si="0"/>
        <v>0.22104772970027434</v>
      </c>
      <c r="F31" s="181">
        <f t="shared" si="1"/>
        <v>1.6287398526941593E-2</v>
      </c>
      <c r="G31" s="176">
        <v>501704</v>
      </c>
      <c r="H31" s="222">
        <f t="shared" si="2"/>
        <v>3.4123706408559551E-2</v>
      </c>
      <c r="I31" s="180">
        <f t="shared" si="3"/>
        <v>3.4123706408559551E-2</v>
      </c>
      <c r="J31" s="173">
        <f t="shared" si="4"/>
        <v>1.1925146987097028E-2</v>
      </c>
      <c r="K31" s="179">
        <f t="shared" si="5"/>
        <v>2.4891176350812948E-4</v>
      </c>
      <c r="M31" s="178" t="s">
        <v>17</v>
      </c>
      <c r="N31" s="177">
        <f t="shared" si="6"/>
        <v>2244598.4082419574</v>
      </c>
      <c r="O31" s="176">
        <f t="shared" si="7"/>
        <v>986056.76901732828</v>
      </c>
      <c r="P31" s="175">
        <f t="shared" si="8"/>
        <v>13721.207772717491</v>
      </c>
      <c r="Q31" s="174">
        <f t="shared" si="9"/>
        <v>3244376.3850320033</v>
      </c>
      <c r="R31" s="173">
        <f t="shared" si="10"/>
        <v>1.1771025712301531E-2</v>
      </c>
      <c r="T31" s="159"/>
      <c r="U31" s="159"/>
      <c r="V31" s="159"/>
      <c r="W31" s="159"/>
      <c r="X31" s="159"/>
      <c r="Y31" s="159"/>
      <c r="Z31" s="159"/>
    </row>
    <row r="32" spans="1:26">
      <c r="A32" s="158" t="s">
        <v>226</v>
      </c>
      <c r="B32" s="178" t="s">
        <v>18</v>
      </c>
      <c r="C32" s="177">
        <v>702996</v>
      </c>
      <c r="D32" s="176">
        <v>336929</v>
      </c>
      <c r="E32" s="182">
        <f t="shared" si="0"/>
        <v>0.47927584225230302</v>
      </c>
      <c r="F32" s="181">
        <f t="shared" si="1"/>
        <v>3.531434888602325E-2</v>
      </c>
      <c r="G32" s="176">
        <v>314751</v>
      </c>
      <c r="H32" s="222">
        <f t="shared" si="2"/>
        <v>7.0462047777449577E-2</v>
      </c>
      <c r="I32" s="180">
        <f t="shared" si="3"/>
        <v>7.0462047777449577E-2</v>
      </c>
      <c r="J32" s="173">
        <f t="shared" si="4"/>
        <v>2.4624238255290091E-2</v>
      </c>
      <c r="K32" s="179">
        <f t="shared" si="5"/>
        <v>1.6164555141441137E-4</v>
      </c>
      <c r="M32" s="178" t="s">
        <v>18</v>
      </c>
      <c r="N32" s="177">
        <f t="shared" si="6"/>
        <v>4866739.8397940109</v>
      </c>
      <c r="O32" s="176">
        <f t="shared" si="7"/>
        <v>2036108.8076982275</v>
      </c>
      <c r="P32" s="175">
        <f t="shared" si="8"/>
        <v>8910.6764792182548</v>
      </c>
      <c r="Q32" s="174">
        <f t="shared" si="9"/>
        <v>6911759.3239714568</v>
      </c>
      <c r="R32" s="173">
        <f t="shared" si="10"/>
        <v>2.5076775029881537E-2</v>
      </c>
      <c r="T32" s="159"/>
      <c r="U32" s="159"/>
      <c r="V32" s="159"/>
      <c r="W32" s="159"/>
      <c r="X32" s="159"/>
      <c r="Y32" s="159"/>
      <c r="Z32" s="159"/>
    </row>
    <row r="33" spans="1:26">
      <c r="A33" s="158" t="s">
        <v>227</v>
      </c>
      <c r="B33" s="178" t="s">
        <v>19</v>
      </c>
      <c r="C33" s="177">
        <v>1978005</v>
      </c>
      <c r="D33" s="176">
        <v>629171</v>
      </c>
      <c r="E33" s="182">
        <f t="shared" si="0"/>
        <v>0.31808362466222279</v>
      </c>
      <c r="F33" s="181">
        <f t="shared" si="1"/>
        <v>2.3437267448041563E-2</v>
      </c>
      <c r="G33" s="176">
        <v>586273</v>
      </c>
      <c r="H33" s="222">
        <f t="shared" si="2"/>
        <v>7.3170690105121672E-2</v>
      </c>
      <c r="I33" s="180">
        <f t="shared" si="3"/>
        <v>7.3170690105121672E-2</v>
      </c>
      <c r="J33" s="173">
        <f t="shared" si="4"/>
        <v>2.5570822354515022E-2</v>
      </c>
      <c r="K33" s="179">
        <f t="shared" si="5"/>
        <v>3.0185200213978794E-4</v>
      </c>
      <c r="M33" s="178" t="s">
        <v>19</v>
      </c>
      <c r="N33" s="177">
        <f t="shared" si="6"/>
        <v>3229935.8992410926</v>
      </c>
      <c r="O33" s="176">
        <f t="shared" si="7"/>
        <v>2114379.176985485</v>
      </c>
      <c r="P33" s="175">
        <f t="shared" si="8"/>
        <v>16639.527114336339</v>
      </c>
      <c r="Q33" s="174">
        <f t="shared" si="9"/>
        <v>5360954.6033409135</v>
      </c>
      <c r="R33" s="173">
        <f t="shared" si="10"/>
        <v>1.9450250830803244E-2</v>
      </c>
      <c r="T33" s="159"/>
      <c r="U33" s="159"/>
      <c r="V33" s="159"/>
      <c r="W33" s="159"/>
      <c r="X33" s="159"/>
      <c r="Y33" s="159"/>
      <c r="Z33" s="159"/>
    </row>
    <row r="34" spans="1:26">
      <c r="A34" s="158" t="s">
        <v>228</v>
      </c>
      <c r="B34" s="178" t="s">
        <v>20</v>
      </c>
      <c r="C34" s="177">
        <v>579083</v>
      </c>
      <c r="D34" s="176">
        <v>112915</v>
      </c>
      <c r="E34" s="182">
        <f t="shared" si="0"/>
        <v>0.19498931932037375</v>
      </c>
      <c r="F34" s="181">
        <f t="shared" si="1"/>
        <v>1.4367343906106889E-2</v>
      </c>
      <c r="G34" s="176">
        <v>107675</v>
      </c>
      <c r="H34" s="222">
        <f t="shared" si="2"/>
        <v>4.866496401207332E-2</v>
      </c>
      <c r="I34" s="180">
        <f t="shared" si="3"/>
        <v>4.866496401207332E-2</v>
      </c>
      <c r="J34" s="173">
        <f t="shared" si="4"/>
        <v>1.7006852714574711E-2</v>
      </c>
      <c r="K34" s="179">
        <f t="shared" si="5"/>
        <v>5.4172266079673339E-5</v>
      </c>
      <c r="M34" s="178" t="s">
        <v>20</v>
      </c>
      <c r="N34" s="177">
        <f t="shared" si="6"/>
        <v>1979991.9065631123</v>
      </c>
      <c r="O34" s="176">
        <f t="shared" si="7"/>
        <v>1406248.6824717468</v>
      </c>
      <c r="P34" s="175">
        <f t="shared" si="8"/>
        <v>2986.234591415192</v>
      </c>
      <c r="Q34" s="174">
        <f t="shared" si="9"/>
        <v>3389226.8236262742</v>
      </c>
      <c r="R34" s="173">
        <f t="shared" si="10"/>
        <v>1.2296562220641792E-2</v>
      </c>
      <c r="T34" s="159"/>
      <c r="U34" s="159"/>
      <c r="V34" s="159"/>
      <c r="W34" s="159"/>
      <c r="X34" s="159"/>
      <c r="Y34" s="159"/>
      <c r="Z34" s="159"/>
    </row>
    <row r="35" spans="1:26">
      <c r="A35" s="158" t="s">
        <v>229</v>
      </c>
      <c r="B35" s="178" t="s">
        <v>168</v>
      </c>
      <c r="C35" s="177"/>
      <c r="D35" s="176"/>
      <c r="E35" s="182">
        <f t="shared" si="0"/>
        <v>0</v>
      </c>
      <c r="F35" s="181">
        <f t="shared" si="1"/>
        <v>0</v>
      </c>
      <c r="G35" s="176"/>
      <c r="H35" s="222">
        <f t="shared" si="2"/>
        <v>0</v>
      </c>
      <c r="I35" s="180">
        <f t="shared" si="3"/>
        <v>0</v>
      </c>
      <c r="J35" s="173">
        <f t="shared" si="4"/>
        <v>0</v>
      </c>
      <c r="K35" s="179">
        <f t="shared" si="5"/>
        <v>0</v>
      </c>
      <c r="M35" s="178" t="s">
        <v>168</v>
      </c>
      <c r="N35" s="177">
        <f t="shared" si="6"/>
        <v>0</v>
      </c>
      <c r="O35" s="176">
        <f t="shared" si="7"/>
        <v>0</v>
      </c>
      <c r="P35" s="175">
        <f t="shared" si="8"/>
        <v>0</v>
      </c>
      <c r="Q35" s="174">
        <f t="shared" si="9"/>
        <v>0</v>
      </c>
      <c r="R35" s="173">
        <f t="shared" si="10"/>
        <v>0</v>
      </c>
      <c r="T35" s="159"/>
      <c r="U35" s="159"/>
      <c r="V35" s="159"/>
      <c r="W35" s="159"/>
      <c r="X35" s="159"/>
      <c r="Y35" s="159"/>
      <c r="Z35" s="159"/>
    </row>
    <row r="36" spans="1:26">
      <c r="A36" s="158" t="s">
        <v>230</v>
      </c>
      <c r="B36" s="178" t="s">
        <v>21</v>
      </c>
      <c r="C36" s="177">
        <v>3788861</v>
      </c>
      <c r="D36" s="176">
        <v>1194083</v>
      </c>
      <c r="E36" s="182">
        <f t="shared" si="0"/>
        <v>0.3151561907391166</v>
      </c>
      <c r="F36" s="181">
        <f t="shared" si="1"/>
        <v>2.3221566146645844E-2</v>
      </c>
      <c r="G36" s="176">
        <v>1383880</v>
      </c>
      <c r="H36" s="222">
        <f t="shared" si="2"/>
        <v>-0.13714845217793448</v>
      </c>
      <c r="I36" s="180">
        <f t="shared" si="3"/>
        <v>0</v>
      </c>
      <c r="J36" s="173">
        <f t="shared" si="4"/>
        <v>0</v>
      </c>
      <c r="K36" s="179">
        <f t="shared" si="5"/>
        <v>5.7287501215263321E-4</v>
      </c>
      <c r="M36" s="178" t="s">
        <v>21</v>
      </c>
      <c r="N36" s="177">
        <f t="shared" si="6"/>
        <v>3200209.6788770682</v>
      </c>
      <c r="O36" s="176">
        <f t="shared" si="7"/>
        <v>0</v>
      </c>
      <c r="P36" s="175">
        <f t="shared" si="8"/>
        <v>31579.612625610651</v>
      </c>
      <c r="Q36" s="174">
        <f t="shared" si="9"/>
        <v>3231789.2915026788</v>
      </c>
      <c r="R36" s="173">
        <f t="shared" si="10"/>
        <v>1.1725358075753449E-2</v>
      </c>
      <c r="T36" s="159"/>
      <c r="U36" s="159"/>
      <c r="V36" s="159"/>
      <c r="W36" s="159"/>
      <c r="X36" s="159"/>
      <c r="Y36" s="159"/>
      <c r="Z36" s="159"/>
    </row>
    <row r="37" spans="1:26">
      <c r="A37" s="158" t="s">
        <v>231</v>
      </c>
      <c r="B37" s="178" t="s">
        <v>22</v>
      </c>
      <c r="C37" s="177">
        <v>39384069</v>
      </c>
      <c r="D37" s="176">
        <v>10280239</v>
      </c>
      <c r="E37" s="182">
        <f t="shared" ref="E37:E55" si="11">IFERROR(D37/C37,0)</f>
        <v>0.26102531457579969</v>
      </c>
      <c r="F37" s="181">
        <f t="shared" ref="F37:F55" si="12">IFERROR(E37/$E$56,0)</f>
        <v>1.9233055819577908E-2</v>
      </c>
      <c r="G37" s="176">
        <v>10865396</v>
      </c>
      <c r="H37" s="222">
        <f t="shared" ref="H37:H55" si="13">IFERROR((D37/G37)-1,0)</f>
        <v>-5.385510109341618E-2</v>
      </c>
      <c r="I37" s="180">
        <f t="shared" ref="I37:I55" si="14">IF(H37&lt;0,0,H37)</f>
        <v>0</v>
      </c>
      <c r="J37" s="173">
        <f t="shared" ref="J37:J55" si="15">IFERROR(I37/$I$56,0)</f>
        <v>0</v>
      </c>
      <c r="K37" s="179">
        <f t="shared" ref="K37:K55" si="16">IFERROR(D37/$D$56,0)</f>
        <v>4.9320625467886023E-3</v>
      </c>
      <c r="M37" s="178" t="s">
        <v>22</v>
      </c>
      <c r="N37" s="177">
        <f t="shared" ref="N37:N55" si="17">IFERROR($N$3*F37,0)</f>
        <v>2650545.230218526</v>
      </c>
      <c r="O37" s="176">
        <f t="shared" ref="O37:O55" si="18">IFERROR($O$3*J37,0)</f>
        <v>0</v>
      </c>
      <c r="P37" s="175">
        <f t="shared" ref="P37:P55" si="19">IFERROR($P$3*K37,0)</f>
        <v>271878.89394514036</v>
      </c>
      <c r="Q37" s="174">
        <f t="shared" ref="Q37:Q55" si="20">IFERROR(SUM(N37:P37),0)</f>
        <v>2922424.1241636663</v>
      </c>
      <c r="R37" s="173">
        <f t="shared" ref="R37:R55" si="21">IFERROR(Q37/$Q$56,0)</f>
        <v>1.0602940419146674E-2</v>
      </c>
      <c r="T37" s="159"/>
      <c r="U37" s="159"/>
      <c r="V37" s="159"/>
      <c r="W37" s="159"/>
      <c r="X37" s="159"/>
      <c r="Y37" s="159"/>
      <c r="Z37" s="159"/>
    </row>
    <row r="38" spans="1:26">
      <c r="A38" s="158" t="s">
        <v>232</v>
      </c>
      <c r="B38" s="178" t="s">
        <v>169</v>
      </c>
      <c r="C38" s="177">
        <v>2191945</v>
      </c>
      <c r="D38" s="176">
        <v>940947</v>
      </c>
      <c r="E38" s="182">
        <f t="shared" si="11"/>
        <v>0.42927491337601992</v>
      </c>
      <c r="F38" s="181">
        <f t="shared" si="12"/>
        <v>3.1630144318848842E-2</v>
      </c>
      <c r="G38" s="176">
        <v>1126052</v>
      </c>
      <c r="H38" s="222">
        <f t="shared" si="13"/>
        <v>-0.16438406041639286</v>
      </c>
      <c r="I38" s="180">
        <f t="shared" si="14"/>
        <v>0</v>
      </c>
      <c r="J38" s="173">
        <f t="shared" si="15"/>
        <v>0</v>
      </c>
      <c r="K38" s="179">
        <f t="shared" si="16"/>
        <v>4.5143011336731516E-4</v>
      </c>
      <c r="M38" s="178" t="s">
        <v>169</v>
      </c>
      <c r="N38" s="177">
        <f t="shared" si="17"/>
        <v>4359012.3661008701</v>
      </c>
      <c r="O38" s="176">
        <f t="shared" si="18"/>
        <v>0</v>
      </c>
      <c r="P38" s="175">
        <f t="shared" si="19"/>
        <v>24884.988531978484</v>
      </c>
      <c r="Q38" s="174">
        <f t="shared" si="20"/>
        <v>4383897.3546328489</v>
      </c>
      <c r="R38" s="173">
        <f t="shared" si="21"/>
        <v>1.5905358182097883E-2</v>
      </c>
      <c r="T38" s="159"/>
      <c r="U38" s="159"/>
      <c r="V38" s="159"/>
      <c r="W38" s="159"/>
      <c r="X38" s="159"/>
      <c r="Y38" s="159"/>
      <c r="Z38" s="159"/>
    </row>
    <row r="39" spans="1:26">
      <c r="A39" s="158" t="s">
        <v>233</v>
      </c>
      <c r="B39" s="178" t="s">
        <v>23</v>
      </c>
      <c r="C39" s="177">
        <v>739738</v>
      </c>
      <c r="D39" s="176">
        <v>301669</v>
      </c>
      <c r="E39" s="182">
        <f t="shared" si="11"/>
        <v>0.40780519589368125</v>
      </c>
      <c r="F39" s="181">
        <f t="shared" si="12"/>
        <v>3.0048197083426677E-2</v>
      </c>
      <c r="G39" s="176">
        <v>319251</v>
      </c>
      <c r="H39" s="222">
        <f t="shared" si="13"/>
        <v>-5.5072654431779333E-2</v>
      </c>
      <c r="I39" s="180">
        <f t="shared" si="14"/>
        <v>0</v>
      </c>
      <c r="J39" s="173">
        <f t="shared" si="15"/>
        <v>0</v>
      </c>
      <c r="K39" s="179">
        <f t="shared" si="16"/>
        <v>1.4472916207757143E-4</v>
      </c>
      <c r="M39" s="178" t="s">
        <v>23</v>
      </c>
      <c r="N39" s="177">
        <f t="shared" si="17"/>
        <v>4141001.1078463504</v>
      </c>
      <c r="O39" s="176">
        <f t="shared" si="18"/>
        <v>0</v>
      </c>
      <c r="P39" s="175">
        <f t="shared" si="19"/>
        <v>7978.1641319366745</v>
      </c>
      <c r="Q39" s="174">
        <f t="shared" si="20"/>
        <v>4148979.271978287</v>
      </c>
      <c r="R39" s="173">
        <f t="shared" si="21"/>
        <v>1.5053044374128853E-2</v>
      </c>
      <c r="T39" s="159"/>
      <c r="U39" s="159"/>
      <c r="V39" s="159"/>
      <c r="W39" s="159"/>
      <c r="X39" s="159"/>
      <c r="Y39" s="159"/>
      <c r="Z39" s="159"/>
    </row>
    <row r="40" spans="1:26">
      <c r="A40" s="158" t="s">
        <v>234</v>
      </c>
      <c r="B40" s="178" t="s">
        <v>24</v>
      </c>
      <c r="C40" s="177">
        <v>841795</v>
      </c>
      <c r="D40" s="176">
        <v>64774</v>
      </c>
      <c r="E40" s="182">
        <f t="shared" si="11"/>
        <v>7.6947475335443896E-2</v>
      </c>
      <c r="F40" s="181">
        <f t="shared" si="12"/>
        <v>5.6696994722802083E-3</v>
      </c>
      <c r="G40" s="176">
        <v>69817</v>
      </c>
      <c r="H40" s="222">
        <f t="shared" si="13"/>
        <v>-7.2231691421860034E-2</v>
      </c>
      <c r="I40" s="180">
        <f t="shared" si="14"/>
        <v>0</v>
      </c>
      <c r="J40" s="173">
        <f t="shared" si="15"/>
        <v>0</v>
      </c>
      <c r="K40" s="179">
        <f t="shared" si="16"/>
        <v>3.1076069282599838E-5</v>
      </c>
      <c r="M40" s="178" t="s">
        <v>24</v>
      </c>
      <c r="N40" s="177">
        <f t="shared" si="17"/>
        <v>781352.42958779098</v>
      </c>
      <c r="O40" s="176">
        <f t="shared" si="18"/>
        <v>0</v>
      </c>
      <c r="P40" s="175">
        <f t="shared" si="19"/>
        <v>1713.0616784690044</v>
      </c>
      <c r="Q40" s="174">
        <f t="shared" si="20"/>
        <v>783065.49126625992</v>
      </c>
      <c r="R40" s="173">
        <f t="shared" si="21"/>
        <v>2.8410649499966238E-3</v>
      </c>
      <c r="T40" s="159"/>
      <c r="U40" s="159"/>
      <c r="V40" s="159"/>
      <c r="W40" s="159"/>
      <c r="X40" s="159"/>
      <c r="Y40" s="159"/>
      <c r="Z40" s="159"/>
    </row>
    <row r="41" spans="1:26">
      <c r="A41" s="158" t="s">
        <v>235</v>
      </c>
      <c r="B41" s="178" t="s">
        <v>25</v>
      </c>
      <c r="C41" s="177">
        <v>4742394</v>
      </c>
      <c r="D41" s="176">
        <v>1105076</v>
      </c>
      <c r="E41" s="182">
        <f t="shared" si="11"/>
        <v>0.23302070641958469</v>
      </c>
      <c r="F41" s="181">
        <f t="shared" si="12"/>
        <v>1.7169600048059317E-2</v>
      </c>
      <c r="G41" s="252">
        <v>875732</v>
      </c>
      <c r="H41" s="222">
        <f t="shared" si="13"/>
        <v>0.26188834026848395</v>
      </c>
      <c r="I41" s="180">
        <f t="shared" si="14"/>
        <v>0.26188834026848395</v>
      </c>
      <c r="J41" s="173">
        <f t="shared" si="15"/>
        <v>9.1521621787402585E-2</v>
      </c>
      <c r="K41" s="179">
        <f t="shared" si="16"/>
        <v>5.301728832330611E-4</v>
      </c>
      <c r="M41" s="178" t="s">
        <v>25</v>
      </c>
      <c r="N41" s="177">
        <f t="shared" si="17"/>
        <v>2366176.3340705652</v>
      </c>
      <c r="O41" s="176">
        <f t="shared" si="18"/>
        <v>7567664.7652693484</v>
      </c>
      <c r="P41" s="175">
        <f t="shared" si="19"/>
        <v>29225.666894059552</v>
      </c>
      <c r="Q41" s="174">
        <f t="shared" si="20"/>
        <v>9963066.7662339732</v>
      </c>
      <c r="R41" s="173">
        <f t="shared" si="21"/>
        <v>3.6147321136897045E-2</v>
      </c>
      <c r="T41" s="159"/>
      <c r="U41" s="159"/>
      <c r="V41" s="159"/>
      <c r="W41" s="159"/>
      <c r="X41" s="159"/>
      <c r="Y41" s="159"/>
      <c r="Z41" s="159"/>
    </row>
    <row r="42" spans="1:26">
      <c r="A42" s="158" t="s">
        <v>236</v>
      </c>
      <c r="B42" s="178" t="s">
        <v>26</v>
      </c>
      <c r="C42" s="177">
        <v>59084249</v>
      </c>
      <c r="D42" s="176">
        <v>16891683.199999999</v>
      </c>
      <c r="E42" s="182">
        <f t="shared" si="11"/>
        <v>0.2858914767622755</v>
      </c>
      <c r="F42" s="181">
        <f t="shared" si="12"/>
        <v>2.1065262347624389E-2</v>
      </c>
      <c r="G42" s="176">
        <v>15135193.17</v>
      </c>
      <c r="H42" s="222">
        <f t="shared" si="13"/>
        <v>0.1160533605531775</v>
      </c>
      <c r="I42" s="180">
        <f t="shared" si="14"/>
        <v>0.1160533605531775</v>
      </c>
      <c r="J42" s="173">
        <f t="shared" si="15"/>
        <v>4.0556947899307347E-2</v>
      </c>
      <c r="K42" s="179">
        <f t="shared" si="16"/>
        <v>8.1039787171230393E-3</v>
      </c>
      <c r="M42" s="178" t="s">
        <v>26</v>
      </c>
      <c r="N42" s="177">
        <f t="shared" si="17"/>
        <v>2903045.2135412712</v>
      </c>
      <c r="O42" s="176">
        <f t="shared" si="18"/>
        <v>3353539.6293283217</v>
      </c>
      <c r="P42" s="175">
        <f t="shared" si="19"/>
        <v>446730.09501896874</v>
      </c>
      <c r="Q42" s="174">
        <f t="shared" si="20"/>
        <v>6703314.9378885617</v>
      </c>
      <c r="R42" s="173">
        <f t="shared" si="21"/>
        <v>2.4320511287029008E-2</v>
      </c>
      <c r="T42" s="159"/>
      <c r="U42" s="159"/>
      <c r="V42" s="159"/>
      <c r="W42" s="159"/>
      <c r="X42" s="159"/>
      <c r="Y42" s="159"/>
      <c r="Z42" s="159"/>
    </row>
    <row r="43" spans="1:26">
      <c r="A43" s="158" t="s">
        <v>237</v>
      </c>
      <c r="B43" s="178" t="s">
        <v>27</v>
      </c>
      <c r="C43" s="177"/>
      <c r="D43" s="176"/>
      <c r="E43" s="182">
        <f t="shared" si="11"/>
        <v>0</v>
      </c>
      <c r="F43" s="181">
        <f t="shared" si="12"/>
        <v>0</v>
      </c>
      <c r="G43" s="176"/>
      <c r="H43" s="222">
        <f t="shared" si="13"/>
        <v>0</v>
      </c>
      <c r="I43" s="180">
        <f t="shared" si="14"/>
        <v>0</v>
      </c>
      <c r="J43" s="173">
        <f t="shared" si="15"/>
        <v>0</v>
      </c>
      <c r="K43" s="179">
        <f t="shared" si="16"/>
        <v>0</v>
      </c>
      <c r="M43" s="178" t="s">
        <v>27</v>
      </c>
      <c r="N43" s="177">
        <f t="shared" si="17"/>
        <v>0</v>
      </c>
      <c r="O43" s="176">
        <f t="shared" si="18"/>
        <v>0</v>
      </c>
      <c r="P43" s="175">
        <f t="shared" si="19"/>
        <v>0</v>
      </c>
      <c r="Q43" s="174">
        <f t="shared" si="20"/>
        <v>0</v>
      </c>
      <c r="R43" s="173">
        <f t="shared" si="21"/>
        <v>0</v>
      </c>
      <c r="T43" s="159"/>
      <c r="U43" s="159"/>
      <c r="V43" s="159"/>
      <c r="W43" s="159"/>
      <c r="X43" s="159"/>
      <c r="Y43" s="159"/>
      <c r="Z43" s="159"/>
    </row>
    <row r="44" spans="1:26">
      <c r="A44" s="158" t="s">
        <v>238</v>
      </c>
      <c r="B44" s="178" t="s">
        <v>170</v>
      </c>
      <c r="C44" s="177">
        <v>1346236</v>
      </c>
      <c r="D44" s="176">
        <v>451420</v>
      </c>
      <c r="E44" s="182">
        <f t="shared" si="11"/>
        <v>0.33532010732145034</v>
      </c>
      <c r="F44" s="181">
        <f t="shared" si="12"/>
        <v>2.4707298416711626E-2</v>
      </c>
      <c r="G44" s="176">
        <v>468889</v>
      </c>
      <c r="H44" s="222">
        <f t="shared" si="13"/>
        <v>-3.7256152308968615E-2</v>
      </c>
      <c r="I44" s="180">
        <f t="shared" si="14"/>
        <v>0</v>
      </c>
      <c r="J44" s="173">
        <f t="shared" si="15"/>
        <v>0</v>
      </c>
      <c r="K44" s="179">
        <f t="shared" si="16"/>
        <v>2.1657392156654244E-4</v>
      </c>
      <c r="M44" s="178" t="s">
        <v>170</v>
      </c>
      <c r="N44" s="177">
        <f t="shared" si="17"/>
        <v>3404961.3636195413</v>
      </c>
      <c r="O44" s="176">
        <f t="shared" si="18"/>
        <v>0</v>
      </c>
      <c r="P44" s="175">
        <f t="shared" si="19"/>
        <v>11938.591146053634</v>
      </c>
      <c r="Q44" s="174">
        <f t="shared" si="20"/>
        <v>3416899.954765595</v>
      </c>
      <c r="R44" s="173">
        <f t="shared" si="21"/>
        <v>1.2396963992669123E-2</v>
      </c>
      <c r="T44" s="159"/>
      <c r="U44" s="159"/>
      <c r="V44" s="159"/>
      <c r="W44" s="159"/>
      <c r="X44" s="159"/>
      <c r="Y44" s="159"/>
      <c r="Z44" s="159"/>
    </row>
    <row r="45" spans="1:26">
      <c r="A45" s="158" t="s">
        <v>239</v>
      </c>
      <c r="B45" s="178" t="s">
        <v>171</v>
      </c>
      <c r="C45" s="177">
        <v>105243330.84</v>
      </c>
      <c r="D45" s="176">
        <v>17252658</v>
      </c>
      <c r="E45" s="182">
        <f t="shared" si="11"/>
        <v>0.16393112857886435</v>
      </c>
      <c r="F45" s="181">
        <f t="shared" si="12"/>
        <v>1.2078891856322714E-2</v>
      </c>
      <c r="G45" s="176">
        <v>15857010</v>
      </c>
      <c r="H45" s="222">
        <f t="shared" si="13"/>
        <v>8.8014575257252092E-2</v>
      </c>
      <c r="I45" s="180">
        <f t="shared" si="14"/>
        <v>8.8014575257252092E-2</v>
      </c>
      <c r="J45" s="173">
        <f t="shared" si="15"/>
        <v>3.0758286757688415E-2</v>
      </c>
      <c r="K45" s="179">
        <f t="shared" si="16"/>
        <v>8.277160516827746E-3</v>
      </c>
      <c r="M45" s="178" t="s">
        <v>171</v>
      </c>
      <c r="N45" s="177">
        <f t="shared" si="17"/>
        <v>1664615.8310169242</v>
      </c>
      <c r="O45" s="176">
        <f t="shared" si="18"/>
        <v>2543315.977036681</v>
      </c>
      <c r="P45" s="175">
        <f t="shared" si="19"/>
        <v>456276.70471997559</v>
      </c>
      <c r="Q45" s="174">
        <f t="shared" si="20"/>
        <v>4664208.5127735808</v>
      </c>
      <c r="R45" s="173">
        <f t="shared" si="21"/>
        <v>1.692236405883343E-2</v>
      </c>
      <c r="T45" s="159"/>
      <c r="U45" s="159"/>
      <c r="V45" s="159"/>
      <c r="W45" s="159"/>
      <c r="X45" s="159"/>
      <c r="Y45" s="159"/>
      <c r="Z45" s="159"/>
    </row>
    <row r="46" spans="1:26">
      <c r="A46" s="158" t="s">
        <v>240</v>
      </c>
      <c r="B46" s="178" t="s">
        <v>172</v>
      </c>
      <c r="C46" s="177">
        <v>7778604</v>
      </c>
      <c r="D46" s="176">
        <v>1075933</v>
      </c>
      <c r="E46" s="182">
        <f t="shared" si="11"/>
        <v>0.13831954936901275</v>
      </c>
      <c r="F46" s="181">
        <f t="shared" si="12"/>
        <v>1.0191760972595446E-2</v>
      </c>
      <c r="G46" s="176">
        <v>1139783</v>
      </c>
      <c r="H46" s="222">
        <f t="shared" si="13"/>
        <v>-5.6019435278469643E-2</v>
      </c>
      <c r="I46" s="180">
        <f t="shared" si="14"/>
        <v>0</v>
      </c>
      <c r="J46" s="173">
        <f t="shared" si="15"/>
        <v>0</v>
      </c>
      <c r="K46" s="179">
        <f t="shared" si="16"/>
        <v>5.1619119479166787E-4</v>
      </c>
      <c r="M46" s="178" t="s">
        <v>172</v>
      </c>
      <c r="N46" s="177">
        <f t="shared" si="17"/>
        <v>1404546.6142692782</v>
      </c>
      <c r="O46" s="176">
        <f t="shared" si="18"/>
        <v>0</v>
      </c>
      <c r="P46" s="175">
        <f t="shared" si="19"/>
        <v>28454.929306514827</v>
      </c>
      <c r="Q46" s="174">
        <f t="shared" si="20"/>
        <v>1433001.543575793</v>
      </c>
      <c r="R46" s="173">
        <f t="shared" si="21"/>
        <v>5.1991187252560566E-3</v>
      </c>
      <c r="T46" s="159"/>
      <c r="U46" s="159"/>
      <c r="V46" s="159"/>
      <c r="W46" s="159"/>
      <c r="X46" s="159"/>
      <c r="Y46" s="159"/>
      <c r="Z46" s="159"/>
    </row>
    <row r="47" spans="1:26">
      <c r="A47" s="158" t="s">
        <v>241</v>
      </c>
      <c r="B47" s="178" t="s">
        <v>28</v>
      </c>
      <c r="C47" s="177">
        <v>938475</v>
      </c>
      <c r="D47" s="176">
        <v>222448</v>
      </c>
      <c r="E47" s="182">
        <f t="shared" si="11"/>
        <v>0.23703135405844589</v>
      </c>
      <c r="F47" s="181">
        <f t="shared" si="12"/>
        <v>1.7465115485082096E-2</v>
      </c>
      <c r="G47" s="176">
        <v>622808</v>
      </c>
      <c r="H47" s="222">
        <f t="shared" si="13"/>
        <v>-0.64283053525324019</v>
      </c>
      <c r="I47" s="180">
        <f t="shared" si="14"/>
        <v>0</v>
      </c>
      <c r="J47" s="173">
        <f t="shared" si="15"/>
        <v>0</v>
      </c>
      <c r="K47" s="179">
        <f t="shared" si="16"/>
        <v>1.0672197887695325E-4</v>
      </c>
      <c r="M47" s="178" t="s">
        <v>28</v>
      </c>
      <c r="N47" s="177">
        <f t="shared" si="17"/>
        <v>2406901.897361415</v>
      </c>
      <c r="O47" s="176">
        <f t="shared" si="18"/>
        <v>0</v>
      </c>
      <c r="P47" s="175">
        <f t="shared" si="19"/>
        <v>5883.0262798665071</v>
      </c>
      <c r="Q47" s="174">
        <f t="shared" si="20"/>
        <v>2412784.9236412817</v>
      </c>
      <c r="R47" s="173">
        <f t="shared" si="21"/>
        <v>8.7539021383164391E-3</v>
      </c>
      <c r="T47" s="159"/>
      <c r="U47" s="159"/>
      <c r="V47" s="159"/>
      <c r="W47" s="159"/>
      <c r="X47" s="159"/>
      <c r="Y47" s="159"/>
      <c r="Z47" s="159"/>
    </row>
    <row r="48" spans="1:26">
      <c r="A48" s="158" t="s">
        <v>242</v>
      </c>
      <c r="B48" s="178" t="s">
        <v>29</v>
      </c>
      <c r="C48" s="177">
        <v>19310735</v>
      </c>
      <c r="D48" s="176">
        <v>7881801</v>
      </c>
      <c r="E48" s="182">
        <f t="shared" si="11"/>
        <v>0.4081564476960613</v>
      </c>
      <c r="F48" s="181">
        <f t="shared" si="12"/>
        <v>3.0074078272509359E-2</v>
      </c>
      <c r="G48" s="176">
        <v>9313018</v>
      </c>
      <c r="H48" s="222">
        <f t="shared" si="13"/>
        <v>-0.15367918326798036</v>
      </c>
      <c r="I48" s="180">
        <f t="shared" si="14"/>
        <v>0</v>
      </c>
      <c r="J48" s="173">
        <f t="shared" si="15"/>
        <v>0</v>
      </c>
      <c r="K48" s="179">
        <f t="shared" si="16"/>
        <v>3.7813844126912757E-3</v>
      </c>
      <c r="M48" s="178" t="s">
        <v>29</v>
      </c>
      <c r="N48" s="177">
        <f t="shared" si="17"/>
        <v>4144567.8453902435</v>
      </c>
      <c r="O48" s="176">
        <f t="shared" si="18"/>
        <v>0</v>
      </c>
      <c r="P48" s="175">
        <f t="shared" si="19"/>
        <v>208448.00769473365</v>
      </c>
      <c r="Q48" s="174">
        <f t="shared" si="20"/>
        <v>4353015.8530849768</v>
      </c>
      <c r="R48" s="173">
        <f t="shared" si="21"/>
        <v>1.5793316018792934E-2</v>
      </c>
      <c r="T48" s="159"/>
      <c r="U48" s="159"/>
      <c r="V48" s="159"/>
      <c r="W48" s="159"/>
      <c r="X48" s="159"/>
      <c r="Y48" s="159"/>
      <c r="Z48" s="159"/>
    </row>
    <row r="49" spans="1:26">
      <c r="A49" s="158" t="s">
        <v>243</v>
      </c>
      <c r="B49" s="178" t="s">
        <v>30</v>
      </c>
      <c r="C49" s="177">
        <v>125378961.84</v>
      </c>
      <c r="D49" s="176">
        <v>19038713.890000001</v>
      </c>
      <c r="E49" s="182">
        <f t="shared" si="11"/>
        <v>0.15184935024662188</v>
      </c>
      <c r="F49" s="181">
        <f t="shared" si="12"/>
        <v>1.1188673536151671E-2</v>
      </c>
      <c r="G49" s="176">
        <v>20380807.239999998</v>
      </c>
      <c r="H49" s="222">
        <f t="shared" si="13"/>
        <v>-6.585084359985327E-2</v>
      </c>
      <c r="I49" s="180">
        <f t="shared" si="14"/>
        <v>0</v>
      </c>
      <c r="J49" s="173">
        <f t="shared" si="15"/>
        <v>0</v>
      </c>
      <c r="K49" s="179">
        <f t="shared" si="16"/>
        <v>9.1340413112859474E-3</v>
      </c>
      <c r="M49" s="178" t="s">
        <v>30</v>
      </c>
      <c r="N49" s="177">
        <f t="shared" si="17"/>
        <v>1541933.094351613</v>
      </c>
      <c r="O49" s="176">
        <f t="shared" si="18"/>
        <v>0</v>
      </c>
      <c r="P49" s="175">
        <f t="shared" si="19"/>
        <v>503512.07540517108</v>
      </c>
      <c r="Q49" s="174">
        <f t="shared" si="20"/>
        <v>2045445.1697567841</v>
      </c>
      <c r="R49" s="173">
        <f t="shared" si="21"/>
        <v>7.4211450303330248E-3</v>
      </c>
      <c r="T49" s="159"/>
      <c r="U49" s="159"/>
      <c r="V49" s="159"/>
      <c r="W49" s="159"/>
      <c r="X49" s="159"/>
      <c r="Y49" s="159"/>
      <c r="Z49" s="159"/>
    </row>
    <row r="50" spans="1:26">
      <c r="A50" s="158" t="s">
        <v>244</v>
      </c>
      <c r="B50" s="178" t="s">
        <v>173</v>
      </c>
      <c r="C50" s="177">
        <v>658439418</v>
      </c>
      <c r="D50" s="176">
        <v>306694612.58999997</v>
      </c>
      <c r="E50" s="182">
        <f t="shared" si="11"/>
        <v>0.46579017629530794</v>
      </c>
      <c r="F50" s="181">
        <f t="shared" si="12"/>
        <v>3.4320688303575229E-2</v>
      </c>
      <c r="G50" s="176">
        <v>291911120</v>
      </c>
      <c r="H50" s="222">
        <f t="shared" si="13"/>
        <v>5.0643814425431977E-2</v>
      </c>
      <c r="I50" s="180">
        <f t="shared" si="14"/>
        <v>5.0643814425431977E-2</v>
      </c>
      <c r="J50" s="173">
        <f t="shared" si="15"/>
        <v>1.7698397817039326E-2</v>
      </c>
      <c r="K50" s="179">
        <f t="shared" si="16"/>
        <v>0.14714025734780864</v>
      </c>
      <c r="M50" s="178" t="s">
        <v>173</v>
      </c>
      <c r="N50" s="177">
        <f t="shared" si="17"/>
        <v>4729801.521620837</v>
      </c>
      <c r="O50" s="176">
        <f t="shared" si="18"/>
        <v>1463430.5964644072</v>
      </c>
      <c r="P50" s="175">
        <f t="shared" si="19"/>
        <v>8111075.2434746418</v>
      </c>
      <c r="Q50" s="174">
        <f t="shared" si="20"/>
        <v>14304307.361559886</v>
      </c>
      <c r="R50" s="173">
        <f t="shared" si="21"/>
        <v>5.1897914966461144E-2</v>
      </c>
      <c r="T50" s="159"/>
      <c r="U50" s="159"/>
      <c r="V50" s="159"/>
      <c r="W50" s="159"/>
      <c r="X50" s="159"/>
      <c r="Y50" s="159"/>
      <c r="Z50" s="159"/>
    </row>
    <row r="51" spans="1:26">
      <c r="A51" s="158" t="s">
        <v>245</v>
      </c>
      <c r="B51" s="178" t="s">
        <v>174</v>
      </c>
      <c r="C51" s="177">
        <v>1139151243</v>
      </c>
      <c r="D51" s="176">
        <v>671271036.40999997</v>
      </c>
      <c r="E51" s="182">
        <f t="shared" si="11"/>
        <v>0.58927297014765223</v>
      </c>
      <c r="F51" s="181">
        <f t="shared" si="12"/>
        <v>4.3419236736623477E-2</v>
      </c>
      <c r="G51" s="176">
        <v>707374780.13</v>
      </c>
      <c r="H51" s="222">
        <f t="shared" si="13"/>
        <v>-5.1039059822524324E-2</v>
      </c>
      <c r="I51" s="180">
        <f t="shared" si="14"/>
        <v>0</v>
      </c>
      <c r="J51" s="173">
        <f t="shared" si="15"/>
        <v>0</v>
      </c>
      <c r="K51" s="179">
        <f t="shared" si="16"/>
        <v>0.32204997738104424</v>
      </c>
      <c r="M51" s="178" t="s">
        <v>174</v>
      </c>
      <c r="N51" s="177">
        <f t="shared" si="17"/>
        <v>5983690.3668130692</v>
      </c>
      <c r="O51" s="176">
        <f t="shared" si="18"/>
        <v>0</v>
      </c>
      <c r="P51" s="175">
        <f t="shared" si="19"/>
        <v>17752936.183347374</v>
      </c>
      <c r="Q51" s="174">
        <f t="shared" si="20"/>
        <v>23736626.550160445</v>
      </c>
      <c r="R51" s="173">
        <f t="shared" si="21"/>
        <v>8.611961384452059E-2</v>
      </c>
      <c r="T51" s="159"/>
      <c r="U51" s="159"/>
      <c r="V51" s="159"/>
      <c r="W51" s="159"/>
      <c r="X51" s="159"/>
      <c r="Y51" s="159"/>
      <c r="Z51" s="159"/>
    </row>
    <row r="52" spans="1:26">
      <c r="A52" s="158" t="s">
        <v>246</v>
      </c>
      <c r="B52" s="178" t="s">
        <v>31</v>
      </c>
      <c r="C52" s="177">
        <v>289861941.84000015</v>
      </c>
      <c r="D52" s="176">
        <v>112141719.38</v>
      </c>
      <c r="E52" s="182">
        <f t="shared" si="11"/>
        <v>0.38687976306286082</v>
      </c>
      <c r="F52" s="181">
        <f t="shared" si="12"/>
        <v>2.8506354222943786E-2</v>
      </c>
      <c r="G52" s="176">
        <v>114179634.2</v>
      </c>
      <c r="H52" s="222">
        <f t="shared" si="13"/>
        <v>-1.7848321500402942E-2</v>
      </c>
      <c r="I52" s="180">
        <f t="shared" si="14"/>
        <v>0</v>
      </c>
      <c r="J52" s="173">
        <f t="shared" si="15"/>
        <v>0</v>
      </c>
      <c r="K52" s="179">
        <f t="shared" si="16"/>
        <v>5.3801275834790954E-2</v>
      </c>
      <c r="M52" s="178" t="s">
        <v>31</v>
      </c>
      <c r="N52" s="177">
        <f t="shared" si="17"/>
        <v>3928516.7123381016</v>
      </c>
      <c r="O52" s="176">
        <f t="shared" si="18"/>
        <v>0</v>
      </c>
      <c r="P52" s="175">
        <f t="shared" si="19"/>
        <v>2965783.8334440188</v>
      </c>
      <c r="Q52" s="174">
        <f t="shared" si="20"/>
        <v>6894300.5457821209</v>
      </c>
      <c r="R52" s="173">
        <f t="shared" si="21"/>
        <v>2.5013432278430083E-2</v>
      </c>
      <c r="T52" s="159"/>
      <c r="U52" s="159"/>
      <c r="V52" s="159"/>
      <c r="W52" s="159"/>
      <c r="X52" s="159"/>
      <c r="Y52" s="159"/>
      <c r="Z52" s="159"/>
    </row>
    <row r="53" spans="1:26">
      <c r="A53" s="158" t="s">
        <v>247</v>
      </c>
      <c r="B53" s="178" t="s">
        <v>32</v>
      </c>
      <c r="C53" s="177">
        <v>198838484.40000001</v>
      </c>
      <c r="D53" s="176">
        <v>85362095.170000002</v>
      </c>
      <c r="E53" s="182">
        <f t="shared" si="11"/>
        <v>0.4293036905183733</v>
      </c>
      <c r="F53" s="181">
        <f t="shared" si="12"/>
        <v>3.1632264697043236E-2</v>
      </c>
      <c r="G53" s="176">
        <v>77757928.799999997</v>
      </c>
      <c r="H53" s="222">
        <f t="shared" si="13"/>
        <v>9.7792810165489019E-2</v>
      </c>
      <c r="I53" s="180">
        <f t="shared" si="14"/>
        <v>9.7792810165489019E-2</v>
      </c>
      <c r="J53" s="173">
        <f t="shared" si="15"/>
        <v>3.4175467973555369E-2</v>
      </c>
      <c r="K53" s="179">
        <f t="shared" si="16"/>
        <v>4.0953444030178796E-2</v>
      </c>
      <c r="M53" s="178" t="s">
        <v>32</v>
      </c>
      <c r="N53" s="177">
        <f t="shared" si="17"/>
        <v>4359304.5795880109</v>
      </c>
      <c r="O53" s="176">
        <f t="shared" si="18"/>
        <v>2825873.0534828077</v>
      </c>
      <c r="P53" s="175">
        <f t="shared" si="19"/>
        <v>2257549.8507047752</v>
      </c>
      <c r="Q53" s="174">
        <f t="shared" si="20"/>
        <v>9442727.4837755933</v>
      </c>
      <c r="R53" s="173">
        <f t="shared" si="21"/>
        <v>3.4259461546623987E-2</v>
      </c>
      <c r="T53" s="159"/>
      <c r="U53" s="159"/>
      <c r="V53" s="159"/>
      <c r="W53" s="159"/>
      <c r="X53" s="159"/>
      <c r="Y53" s="159"/>
      <c r="Z53" s="159"/>
    </row>
    <row r="54" spans="1:26">
      <c r="A54" s="158" t="s">
        <v>248</v>
      </c>
      <c r="B54" s="178" t="s">
        <v>33</v>
      </c>
      <c r="C54" s="177">
        <v>4541705</v>
      </c>
      <c r="D54" s="176">
        <v>1456869</v>
      </c>
      <c r="E54" s="182">
        <f t="shared" si="11"/>
        <v>0.32077578794747785</v>
      </c>
      <c r="F54" s="181">
        <f t="shared" si="12"/>
        <v>2.3635633368315909E-2</v>
      </c>
      <c r="G54" s="252">
        <v>1324391</v>
      </c>
      <c r="H54" s="222">
        <f t="shared" si="13"/>
        <v>0.10002937199059803</v>
      </c>
      <c r="I54" s="180">
        <f t="shared" si="14"/>
        <v>0.10002937199059803</v>
      </c>
      <c r="J54" s="173">
        <f t="shared" si="15"/>
        <v>3.4957074994516751E-2</v>
      </c>
      <c r="K54" s="179">
        <f t="shared" si="16"/>
        <v>6.989496090973531E-4</v>
      </c>
      <c r="M54" s="178" t="s">
        <v>33</v>
      </c>
      <c r="N54" s="177">
        <f t="shared" si="17"/>
        <v>3257273.0966554456</v>
      </c>
      <c r="O54" s="176">
        <f t="shared" si="18"/>
        <v>2890501.9334927853</v>
      </c>
      <c r="P54" s="175">
        <f t="shared" si="19"/>
        <v>38529.44784094637</v>
      </c>
      <c r="Q54" s="174">
        <f t="shared" si="20"/>
        <v>6186304.4779891772</v>
      </c>
      <c r="R54" s="173">
        <f t="shared" si="21"/>
        <v>2.2444729104332449E-2</v>
      </c>
      <c r="T54" s="159"/>
      <c r="U54" s="159"/>
      <c r="V54" s="159"/>
      <c r="W54" s="159"/>
      <c r="X54" s="159"/>
      <c r="Y54" s="159"/>
      <c r="Z54" s="159"/>
    </row>
    <row r="55" spans="1:26">
      <c r="A55" s="158" t="s">
        <v>249</v>
      </c>
      <c r="B55" s="178" t="s">
        <v>34</v>
      </c>
      <c r="C55" s="177">
        <v>3020813</v>
      </c>
      <c r="D55" s="176">
        <v>668168</v>
      </c>
      <c r="E55" s="182">
        <f t="shared" si="11"/>
        <v>0.22118813710084007</v>
      </c>
      <c r="F55" s="181">
        <f t="shared" si="12"/>
        <v>1.6297744126474539E-2</v>
      </c>
      <c r="G55" s="176">
        <v>606247</v>
      </c>
      <c r="H55" s="222">
        <f t="shared" si="13"/>
        <v>0.10213823738509231</v>
      </c>
      <c r="I55" s="180">
        <f t="shared" si="14"/>
        <v>0.10213823738509231</v>
      </c>
      <c r="J55" s="173">
        <f t="shared" si="15"/>
        <v>3.5694056185957272E-2</v>
      </c>
      <c r="K55" s="179">
        <f t="shared" si="16"/>
        <v>3.2056126007991124E-4</v>
      </c>
      <c r="M55" s="178" t="s">
        <v>34</v>
      </c>
      <c r="N55" s="177">
        <f t="shared" si="17"/>
        <v>2246024.1556506394</v>
      </c>
      <c r="O55" s="176">
        <f t="shared" si="18"/>
        <v>2951440.8295285888</v>
      </c>
      <c r="P55" s="175">
        <f t="shared" si="19"/>
        <v>17670.870960250686</v>
      </c>
      <c r="Q55" s="174">
        <f t="shared" si="20"/>
        <v>5215135.8561394792</v>
      </c>
      <c r="R55" s="173">
        <f t="shared" si="21"/>
        <v>1.8921201171040434E-2</v>
      </c>
      <c r="T55" s="159"/>
      <c r="U55" s="159"/>
      <c r="V55" s="159"/>
      <c r="W55" s="159"/>
      <c r="X55" s="159"/>
      <c r="Y55" s="159"/>
      <c r="Z55" s="159"/>
    </row>
    <row r="56" spans="1:26" ht="13.5" thickBot="1">
      <c r="B56" s="165" t="s">
        <v>35</v>
      </c>
      <c r="C56" s="172">
        <f>SUM(C5:C55)</f>
        <v>5122664860.750001</v>
      </c>
      <c r="D56" s="171">
        <f>SUM(D5:D55)</f>
        <v>2084369146.27</v>
      </c>
      <c r="E56" s="170">
        <f>SUM(E5:E55)</f>
        <v>13.571702646965447</v>
      </c>
      <c r="F56" s="169">
        <f>SUM(F5:F55)</f>
        <v>1</v>
      </c>
      <c r="G56" s="163">
        <f>SUM(G5:G55)</f>
        <v>2153395868.1199999</v>
      </c>
      <c r="H56" s="168"/>
      <c r="I56" s="167">
        <f>SUM(I5:I55)</f>
        <v>2.8614914722209539</v>
      </c>
      <c r="J56" s="160">
        <f>SUM(J5:J55)</f>
        <v>0.99999999999999989</v>
      </c>
      <c r="K56" s="166">
        <f>SUM(K5:K55)</f>
        <v>1</v>
      </c>
      <c r="M56" s="165" t="s">
        <v>35</v>
      </c>
      <c r="N56" s="164">
        <f>SUM(N5:N55)</f>
        <v>137811965.76783481</v>
      </c>
      <c r="O56" s="163">
        <f>SUM(O5:O55)</f>
        <v>82687179.460700855</v>
      </c>
      <c r="P56" s="162">
        <f>SUM(P5:P55)</f>
        <v>55124786.307133906</v>
      </c>
      <c r="Q56" s="161">
        <f>SUM(Q5:Q55)</f>
        <v>275623931.53566957</v>
      </c>
      <c r="R56" s="160">
        <f>SUM(R5:R55)</f>
        <v>0.99999999999999989</v>
      </c>
      <c r="T56" s="159"/>
      <c r="U56" s="159"/>
      <c r="V56" s="159"/>
      <c r="W56" s="159"/>
      <c r="X56" s="159"/>
      <c r="Y56" s="159"/>
      <c r="Z56" s="159"/>
    </row>
    <row r="57" spans="1:26" ht="13.5" thickTop="1"/>
    <row r="59" spans="1:26">
      <c r="M59" s="287" t="s">
        <v>130</v>
      </c>
      <c r="N59" s="287"/>
      <c r="O59" s="287"/>
      <c r="P59" s="287"/>
      <c r="Q59" s="287"/>
      <c r="R59" s="287"/>
    </row>
    <row r="60" spans="1:26">
      <c r="M60" s="287"/>
      <c r="N60" s="287"/>
      <c r="O60" s="287"/>
      <c r="P60" s="287"/>
      <c r="Q60" s="287"/>
      <c r="R60" s="287"/>
    </row>
    <row r="61" spans="1:26">
      <c r="M61" s="287"/>
      <c r="N61" s="287"/>
      <c r="O61" s="287"/>
      <c r="P61" s="287"/>
      <c r="Q61" s="287"/>
      <c r="R61" s="287"/>
    </row>
    <row r="62" spans="1:26">
      <c r="M62" s="287"/>
      <c r="N62" s="287"/>
      <c r="O62" s="287"/>
      <c r="P62" s="287"/>
      <c r="Q62" s="287"/>
      <c r="R62" s="287"/>
    </row>
    <row r="63" spans="1:26">
      <c r="M63" s="287"/>
      <c r="N63" s="287"/>
      <c r="O63" s="287"/>
      <c r="P63" s="287"/>
      <c r="Q63" s="287"/>
      <c r="R63" s="287"/>
    </row>
  </sheetData>
  <mergeCells count="4">
    <mergeCell ref="C1:F1"/>
    <mergeCell ref="G1:J1"/>
    <mergeCell ref="M1:R1"/>
    <mergeCell ref="M59:R6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70" orientation="landscape" r:id="rId1"/>
  <headerFooter>
    <oddHeader>&amp;LANEXO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12</vt:i4>
      </vt:variant>
    </vt:vector>
  </HeadingPairs>
  <TitlesOfParts>
    <vt:vector size="20" baseType="lpstr">
      <vt:lpstr>PART PEF2021</vt:lpstr>
      <vt:lpstr>Ajuste</vt:lpstr>
      <vt:lpstr>DIST 1 sem Cof 3</vt:lpstr>
      <vt:lpstr>DIST 1er Sem</vt:lpstr>
      <vt:lpstr>COEF Art 14 F I</vt:lpstr>
      <vt:lpstr>CALCULO GARANTIA</vt:lpstr>
      <vt:lpstr>COEF Art 14 F II</vt:lpstr>
      <vt:lpstr>Art.14 Frac.III</vt:lpstr>
      <vt:lpstr>Ajuste!Área_de_impresión</vt:lpstr>
      <vt:lpstr>'Art.14 Frac.III'!Área_de_impresión</vt:lpstr>
      <vt:lpstr>'CALCULO GARANTIA'!Área_de_impresión</vt:lpstr>
      <vt:lpstr>'COEF Art 14 F I'!Área_de_impresión</vt:lpstr>
      <vt:lpstr>'COEF Art 14 F II'!Área_de_impresión</vt:lpstr>
      <vt:lpstr>'DIST 1 sem Cof 3'!Área_de_impresión</vt:lpstr>
      <vt:lpstr>'DIST 1er Sem'!Área_de_impresión</vt:lpstr>
      <vt:lpstr>'PART PEF2021'!Área_de_impresión</vt:lpstr>
      <vt:lpstr>Ajuste!Títulos_a_imprimir</vt:lpstr>
      <vt:lpstr>'COEF Art 14 F I'!Títulos_a_imprimir</vt:lpstr>
      <vt:lpstr>'DIST 1 sem Cof 3'!Títulos_a_imprimir</vt:lpstr>
      <vt:lpstr>'DIST 1er Sem'!Títulos_a_imprimir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2021-08-03T18:25:17Z</cp:lastPrinted>
  <dcterms:created xsi:type="dcterms:W3CDTF">2009-12-17T23:31:03Z</dcterms:created>
  <dcterms:modified xsi:type="dcterms:W3CDTF">2021-08-05T16:03:10Z</dcterms:modified>
</cp:coreProperties>
</file>