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90" windowWidth="10530" windowHeight="6855" activeTab="4"/>
  </bookViews>
  <sheets>
    <sheet name="PART anual" sheetId="41" r:id="rId1"/>
    <sheet name="SALDOS" sheetId="47" r:id="rId2"/>
    <sheet name="AJUSTE ANUAL 2019" sheetId="46" r:id="rId3"/>
    <sheet name="COEF DEFINITIVO 2019 ANUAL" sheetId="42" r:id="rId4"/>
    <sheet name="COEF PROVISIONAL 2019 ANUAL" sheetId="45" r:id="rId5"/>
    <sheet name="COEF Art 14 F I" sheetId="1" r:id="rId6"/>
    <sheet name="PART PEF2019" sheetId="43" r:id="rId7"/>
    <sheet name="CALCULO GARANTIA" sheetId="28" r:id="rId8"/>
    <sheet name="COEF Art 14 F II" sheetId="36" r:id="rId9"/>
    <sheet name="Art.14 Frac.III" sheetId="44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2" hidden="1">'AJUSTE ANUAL 2019'!#REF!</definedName>
    <definedName name="_xlnm._FilterDatabase" localSheetId="3" hidden="1">'COEF DEFINITIVO 2019 ANUAL'!#REF!</definedName>
    <definedName name="_xlnm._FilterDatabase" localSheetId="4" hidden="1">'COEF PROVISIONAL 2019 ANUAL'!#REF!</definedName>
    <definedName name="_xlnm._FilterDatabase" localSheetId="1" hidden="1">SALDOS!#REF!</definedName>
    <definedName name="A_impresión_IM" localSheetId="2">#REF!</definedName>
    <definedName name="A_impresión_IM" localSheetId="7">#REF!</definedName>
    <definedName name="A_impresión_IM" localSheetId="8">#REF!</definedName>
    <definedName name="A_impresión_IM" localSheetId="3">#REF!</definedName>
    <definedName name="A_impresión_IM" localSheetId="4">#REF!</definedName>
    <definedName name="A_impresión_IM" localSheetId="0">#REF!</definedName>
    <definedName name="A_impresión_IM" localSheetId="6">#REF!</definedName>
    <definedName name="A_impresión_IM" localSheetId="1">#REF!</definedName>
    <definedName name="A_impresión_IM">#REF!</definedName>
    <definedName name="AJUSTES" localSheetId="2" hidden="1">{"'beneficiarios'!$A$1:$C$7"}</definedName>
    <definedName name="AJUSTES" localSheetId="7" hidden="1">{"'beneficiarios'!$A$1:$C$7"}</definedName>
    <definedName name="AJUSTES" localSheetId="3" hidden="1">{"'beneficiarios'!$A$1:$C$7"}</definedName>
    <definedName name="AJUSTES" localSheetId="4" hidden="1">{"'beneficiarios'!$A$1:$C$7"}</definedName>
    <definedName name="AJUSTES" localSheetId="0" hidden="1">{"'beneficiarios'!$A$1:$C$7"}</definedName>
    <definedName name="AJUSTES" localSheetId="6" hidden="1">{"'beneficiarios'!$A$1:$C$7"}</definedName>
    <definedName name="AJUSTES" localSheetId="1" hidden="1">{"'beneficiarios'!$A$1:$C$7"}</definedName>
    <definedName name="AJUSTES" hidden="1">{"'beneficiarios'!$A$1:$C$7"}</definedName>
    <definedName name="_xlnm.Print_Area" localSheetId="2">'AJUSTE ANUAL 2019'!$A$1:$K$57</definedName>
    <definedName name="_xlnm.Print_Area" localSheetId="9">'Art.14 Frac.III'!$A$1:$R$56</definedName>
    <definedName name="_xlnm.Print_Area" localSheetId="7">'CALCULO GARANTIA'!$A$1:$U$61</definedName>
    <definedName name="_xlnm.Print_Area" localSheetId="5">'COEF Art 14 F I'!$A$4:$AQ$61</definedName>
    <definedName name="_xlnm.Print_Area" localSheetId="8">'COEF Art 14 F II'!$A$3:$N$63</definedName>
    <definedName name="_xlnm.Print_Area" localSheetId="3">'COEF DEFINITIVO 2019 ANUAL'!$A$1:$V$60</definedName>
    <definedName name="_xlnm.Print_Area" localSheetId="4">'COEF PROVISIONAL 2019 ANUAL'!#REF!</definedName>
    <definedName name="_xlnm.Print_Area" localSheetId="0">'PART anual'!$A$1:$D$15</definedName>
    <definedName name="_xlnm.Print_Area" localSheetId="6">'PART PEF2019'!$A$1:$AC$15</definedName>
    <definedName name="_xlnm.Print_Area" localSheetId="1">SALDOS!$A$1:$D$56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 localSheetId="6">#REF!</definedName>
    <definedName name="_xlnm.Database" localSheetId="1">#REF!</definedName>
    <definedName name="_xlnm.Database">#REF!</definedName>
    <definedName name="cierre_2001" localSheetId="2">'[1]deuda c sadm'!#REF!</definedName>
    <definedName name="cierre_2001" localSheetId="8">'[1]deuda c sadm'!#REF!</definedName>
    <definedName name="cierre_2001" localSheetId="3">'[1]deuda c sadm'!#REF!</definedName>
    <definedName name="cierre_2001" localSheetId="4">'[1]deuda c sadm'!#REF!</definedName>
    <definedName name="cierre_2001" localSheetId="0">'[1]deuda c sadm'!#REF!</definedName>
    <definedName name="cierre_2001" localSheetId="6">'[1]deuda c sadm'!#REF!</definedName>
    <definedName name="cierre_2001" localSheetId="1">'[1]deuda c sadm'!#REF!</definedName>
    <definedName name="cierre_2001">'[1]deuda c sadm'!#REF!</definedName>
    <definedName name="deuda" localSheetId="2">'[1]deuda c sadm'!#REF!</definedName>
    <definedName name="deuda" localSheetId="8">'[1]deuda c sadm'!#REF!</definedName>
    <definedName name="deuda" localSheetId="3">'[1]deuda c sadm'!#REF!</definedName>
    <definedName name="deuda" localSheetId="4">'[1]deuda c sadm'!#REF!</definedName>
    <definedName name="deuda" localSheetId="0">'[1]deuda c sadm'!#REF!</definedName>
    <definedName name="deuda" localSheetId="6">'[1]deuda c sadm'!#REF!</definedName>
    <definedName name="deuda" localSheetId="1">'[1]deuda c sadm'!#REF!</definedName>
    <definedName name="deuda">'[1]deuda c sadm'!#REF!</definedName>
    <definedName name="Deuda_ingTot" localSheetId="2">'[1]deuda c sadm'!#REF!</definedName>
    <definedName name="Deuda_ingTot" localSheetId="8">'[1]deuda c sadm'!#REF!</definedName>
    <definedName name="Deuda_ingTot" localSheetId="3">'[1]deuda c sadm'!#REF!</definedName>
    <definedName name="Deuda_ingTot" localSheetId="4">'[1]deuda c sadm'!#REF!</definedName>
    <definedName name="Deuda_ingTot" localSheetId="0">'[1]deuda c sadm'!#REF!</definedName>
    <definedName name="Deuda_ingTot" localSheetId="6">'[1]deuda c sadm'!#REF!</definedName>
    <definedName name="Deuda_ingTot" localSheetId="1">'[1]deuda c sadm'!#REF!</definedName>
    <definedName name="Deuda_ingTot">'[1]deuda c sadm'!#REF!</definedName>
    <definedName name="ENERO" localSheetId="2">#REF!</definedName>
    <definedName name="ENERO" localSheetId="7">#REF!</definedName>
    <definedName name="ENERO" localSheetId="8">#REF!</definedName>
    <definedName name="ENERO" localSheetId="3">#REF!</definedName>
    <definedName name="ENERO" localSheetId="4">#REF!</definedName>
    <definedName name="ENERO" localSheetId="0">#REF!</definedName>
    <definedName name="ENERO" localSheetId="6">#REF!</definedName>
    <definedName name="ENERO" localSheetId="1">#REF!</definedName>
    <definedName name="ENERO">#REF!</definedName>
    <definedName name="ENEROAJUSTE" localSheetId="2">#REF!</definedName>
    <definedName name="ENEROAJUSTE" localSheetId="6">#REF!</definedName>
    <definedName name="ENEROAJUSTE" localSheetId="1">#REF!</definedName>
    <definedName name="ENEROAJUSTE">#REF!</definedName>
    <definedName name="Estado">'[2]Compendio de nombres'!$C$2:$C$33</definedName>
    <definedName name="Estado1" localSheetId="2">#REF!</definedName>
    <definedName name="Estado1" localSheetId="1">#REF!</definedName>
    <definedName name="Estado1">#REF!</definedName>
    <definedName name="Fto_1" localSheetId="2">#REF!</definedName>
    <definedName name="Fto_1" localSheetId="7">#REF!</definedName>
    <definedName name="Fto_1" localSheetId="8">#REF!</definedName>
    <definedName name="Fto_1" localSheetId="3">#REF!</definedName>
    <definedName name="Fto_1" localSheetId="4">#REF!</definedName>
    <definedName name="Fto_1" localSheetId="0">#REF!</definedName>
    <definedName name="Fto_1" localSheetId="6">#REF!</definedName>
    <definedName name="Fto_1" localSheetId="1">#REF!</definedName>
    <definedName name="Fto_1">#REF!</definedName>
    <definedName name="HTML_CodePage" hidden="1">1252</definedName>
    <definedName name="HTML_Control" localSheetId="2" hidden="1">{"'beneficiarios'!$A$1:$C$7"}</definedName>
    <definedName name="HTML_Control" localSheetId="7" hidden="1">{"'beneficiarios'!$A$1:$C$7"}</definedName>
    <definedName name="HTML_Control" localSheetId="3" hidden="1">{"'beneficiarios'!$A$1:$C$7"}</definedName>
    <definedName name="HTML_Control" localSheetId="4" hidden="1">{"'beneficiarios'!$A$1:$C$7"}</definedName>
    <definedName name="HTML_Control" localSheetId="0" hidden="1">{"'beneficiarios'!$A$1:$C$7"}</definedName>
    <definedName name="HTML_Control" localSheetId="6" hidden="1">{"'beneficiarios'!$A$1:$C$7"}</definedName>
    <definedName name="HTML_Control" localSheetId="1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2" hidden="1">{"'beneficiarios'!$A$1:$C$7"}</definedName>
    <definedName name="INDICADORES" localSheetId="7" hidden="1">{"'beneficiarios'!$A$1:$C$7"}</definedName>
    <definedName name="INDICADORES" localSheetId="3" hidden="1">{"'beneficiarios'!$A$1:$C$7"}</definedName>
    <definedName name="INDICADORES" localSheetId="4" hidden="1">{"'beneficiarios'!$A$1:$C$7"}</definedName>
    <definedName name="INDICADORES" localSheetId="0" hidden="1">{"'beneficiarios'!$A$1:$C$7"}</definedName>
    <definedName name="INDICADORES" localSheetId="6" hidden="1">{"'beneficiarios'!$A$1:$C$7"}</definedName>
    <definedName name="INDICADORES" localSheetId="1" hidden="1">{"'beneficiarios'!$A$1:$C$7"}</definedName>
    <definedName name="INDICADORES" hidden="1">{"'beneficiarios'!$A$1:$C$7"}</definedName>
    <definedName name="ingresofederales" localSheetId="2" hidden="1">{"'beneficiarios'!$A$1:$C$7"}</definedName>
    <definedName name="ingresofederales" localSheetId="7" hidden="1">{"'beneficiarios'!$A$1:$C$7"}</definedName>
    <definedName name="ingresofederales" localSheetId="3" hidden="1">{"'beneficiarios'!$A$1:$C$7"}</definedName>
    <definedName name="ingresofederales" localSheetId="4" hidden="1">{"'beneficiarios'!$A$1:$C$7"}</definedName>
    <definedName name="ingresofederales" localSheetId="0" hidden="1">{"'beneficiarios'!$A$1:$C$7"}</definedName>
    <definedName name="ingresofederales" localSheetId="6" hidden="1">{"'beneficiarios'!$A$1:$C$7"}</definedName>
    <definedName name="ingresofederales" localSheetId="1" hidden="1">{"'beneficiarios'!$A$1:$C$7"}</definedName>
    <definedName name="ingresofederales" hidden="1">{"'beneficiarios'!$A$1:$C$7"}</definedName>
    <definedName name="MUNICIPIOS" localSheetId="9">[3]IMPORTE!$A$3:$A$53</definedName>
    <definedName name="MUNICIPIOS" hidden="1">{"'beneficiarios'!$A$1:$C$7"}</definedName>
    <definedName name="Notas_Fto_1" localSheetId="2">#REF!</definedName>
    <definedName name="Notas_Fto_1" localSheetId="8">#REF!</definedName>
    <definedName name="Notas_Fto_1" localSheetId="3">#REF!</definedName>
    <definedName name="Notas_Fto_1" localSheetId="4">#REF!</definedName>
    <definedName name="Notas_Fto_1" localSheetId="0">#REF!</definedName>
    <definedName name="Notas_Fto_1" localSheetId="6">#REF!</definedName>
    <definedName name="Notas_Fto_1" localSheetId="1">#REF!</definedName>
    <definedName name="Notas_Fto_1">#REF!</definedName>
    <definedName name="Partidas">[4]TECHO!$B$1:$Q$2798</definedName>
    <definedName name="SINAJUSTE" localSheetId="2" hidden="1">{"'beneficiarios'!$A$1:$C$7"}</definedName>
    <definedName name="SINAJUSTE" localSheetId="7" hidden="1">{"'beneficiarios'!$A$1:$C$7"}</definedName>
    <definedName name="SINAJUSTE" localSheetId="3" hidden="1">{"'beneficiarios'!$A$1:$C$7"}</definedName>
    <definedName name="SINAJUSTE" localSheetId="4" hidden="1">{"'beneficiarios'!$A$1:$C$7"}</definedName>
    <definedName name="SINAJUSTE" localSheetId="0" hidden="1">{"'beneficiarios'!$A$1:$C$7"}</definedName>
    <definedName name="SINAJUSTE" localSheetId="6" hidden="1">{"'beneficiarios'!$A$1:$C$7"}</definedName>
    <definedName name="SINAJUSTE" localSheetId="1" hidden="1">{"'beneficiarios'!$A$1:$C$7"}</definedName>
    <definedName name="SINAJUSTE" hidden="1">{"'beneficiarios'!$A$1:$C$7"}</definedName>
    <definedName name="t" localSheetId="2">#REF!</definedName>
    <definedName name="t" localSheetId="3">#REF!</definedName>
    <definedName name="t" localSheetId="4">#REF!</definedName>
    <definedName name="t" localSheetId="0">#REF!</definedName>
    <definedName name="t" localSheetId="6">#REF!</definedName>
    <definedName name="t" localSheetId="1">#REF!</definedName>
    <definedName name="t">#REF!</definedName>
    <definedName name="_xlnm.Print_Titles" localSheetId="5">'COEF Art 14 F I'!$A:$A,'COEF Art 14 F I'!$3:$3</definedName>
    <definedName name="_xlnm.Print_Titles" localSheetId="3">'COEF DEFINITIVO 2019 ANUAL'!$1:$3</definedName>
    <definedName name="TOT" localSheetId="2">#REF!</definedName>
    <definedName name="TOT" localSheetId="8">#REF!</definedName>
    <definedName name="TOT" localSheetId="3">#REF!</definedName>
    <definedName name="TOT" localSheetId="4">#REF!</definedName>
    <definedName name="TOT" localSheetId="0">#REF!</definedName>
    <definedName name="TOT" localSheetId="6">#REF!</definedName>
    <definedName name="TOT" localSheetId="1">#REF!</definedName>
    <definedName name="TOT">#REF!</definedName>
    <definedName name="TOTAL" localSheetId="2">#REF!</definedName>
    <definedName name="TOTAL" localSheetId="8">#REF!</definedName>
    <definedName name="TOTAL" localSheetId="3">#REF!</definedName>
    <definedName name="TOTAL" localSheetId="4">#REF!</definedName>
    <definedName name="TOTAL" localSheetId="0">#REF!</definedName>
    <definedName name="TOTAL" localSheetId="6">#REF!</definedName>
    <definedName name="TOTAL" localSheetId="1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U58" i="42" l="1"/>
  <c r="U8" i="42"/>
  <c r="U9" i="42"/>
  <c r="U10" i="42"/>
  <c r="U11" i="42"/>
  <c r="U12" i="42"/>
  <c r="U13" i="42"/>
  <c r="U14" i="42"/>
  <c r="U15" i="42"/>
  <c r="U16" i="42"/>
  <c r="U17" i="42"/>
  <c r="U18" i="42"/>
  <c r="U19" i="42"/>
  <c r="U20" i="42"/>
  <c r="U21" i="42"/>
  <c r="U22" i="42"/>
  <c r="U23" i="42"/>
  <c r="U24" i="42"/>
  <c r="U25" i="42"/>
  <c r="U26" i="42"/>
  <c r="U27" i="42"/>
  <c r="U28" i="42"/>
  <c r="U29" i="42"/>
  <c r="U30" i="42"/>
  <c r="U31" i="42"/>
  <c r="U32" i="42"/>
  <c r="U33" i="42"/>
  <c r="U34" i="42"/>
  <c r="U35" i="42"/>
  <c r="U36" i="42"/>
  <c r="U37" i="42"/>
  <c r="U38" i="42"/>
  <c r="U39" i="42"/>
  <c r="U40" i="42"/>
  <c r="U41" i="42"/>
  <c r="U42" i="42"/>
  <c r="U43" i="42"/>
  <c r="U44" i="42"/>
  <c r="U45" i="42"/>
  <c r="U46" i="42"/>
  <c r="U47" i="42"/>
  <c r="U48" i="42"/>
  <c r="U49" i="42"/>
  <c r="U50" i="42"/>
  <c r="U51" i="42"/>
  <c r="U52" i="42"/>
  <c r="U53" i="42"/>
  <c r="U54" i="42"/>
  <c r="U55" i="42"/>
  <c r="U56" i="42"/>
  <c r="U57" i="42"/>
  <c r="U7" i="42"/>
  <c r="U7" i="45"/>
  <c r="C6" i="47" l="1"/>
  <c r="D6" i="47" s="1"/>
  <c r="C7" i="47"/>
  <c r="D7" i="47" s="1"/>
  <c r="C8" i="47"/>
  <c r="D8" i="47" s="1"/>
  <c r="C9" i="47"/>
  <c r="D9" i="47" s="1"/>
  <c r="C10" i="47"/>
  <c r="D10" i="47" s="1"/>
  <c r="C11" i="47"/>
  <c r="D11" i="47" s="1"/>
  <c r="C12" i="47"/>
  <c r="D12" i="47" s="1"/>
  <c r="C13" i="47"/>
  <c r="D13" i="47" s="1"/>
  <c r="C14" i="47"/>
  <c r="D14" i="47" s="1"/>
  <c r="C15" i="47"/>
  <c r="D15" i="47" s="1"/>
  <c r="C16" i="47"/>
  <c r="D16" i="47" s="1"/>
  <c r="C17" i="47"/>
  <c r="D17" i="47" s="1"/>
  <c r="C18" i="47"/>
  <c r="D18" i="47" s="1"/>
  <c r="C19" i="47"/>
  <c r="D19" i="47" s="1"/>
  <c r="C20" i="47"/>
  <c r="D20" i="47" s="1"/>
  <c r="C21" i="47"/>
  <c r="D21" i="47" s="1"/>
  <c r="C22" i="47"/>
  <c r="D22" i="47" s="1"/>
  <c r="C23" i="47"/>
  <c r="D23" i="47" s="1"/>
  <c r="C24" i="47"/>
  <c r="D24" i="47" s="1"/>
  <c r="C25" i="47"/>
  <c r="D25" i="47" s="1"/>
  <c r="C26" i="47"/>
  <c r="D26" i="47" s="1"/>
  <c r="C27" i="47"/>
  <c r="D27" i="47" s="1"/>
  <c r="C28" i="47"/>
  <c r="D28" i="47" s="1"/>
  <c r="C29" i="47"/>
  <c r="D29" i="47" s="1"/>
  <c r="C30" i="47"/>
  <c r="D30" i="47" s="1"/>
  <c r="C31" i="47"/>
  <c r="D31" i="47" s="1"/>
  <c r="C32" i="47"/>
  <c r="D32" i="47" s="1"/>
  <c r="C33" i="47"/>
  <c r="D33" i="47" s="1"/>
  <c r="C34" i="47"/>
  <c r="D34" i="47" s="1"/>
  <c r="C35" i="47"/>
  <c r="D35" i="47" s="1"/>
  <c r="C36" i="47"/>
  <c r="D36" i="47" s="1"/>
  <c r="C37" i="47"/>
  <c r="D37" i="47" s="1"/>
  <c r="C38" i="47"/>
  <c r="D38" i="47" s="1"/>
  <c r="C39" i="47"/>
  <c r="D39" i="47" s="1"/>
  <c r="C40" i="47"/>
  <c r="D40" i="47" s="1"/>
  <c r="C41" i="47"/>
  <c r="D41" i="47" s="1"/>
  <c r="C42" i="47"/>
  <c r="D42" i="47" s="1"/>
  <c r="C43" i="47"/>
  <c r="D43" i="47" s="1"/>
  <c r="C44" i="47"/>
  <c r="D44" i="47" s="1"/>
  <c r="C45" i="47"/>
  <c r="D45" i="47" s="1"/>
  <c r="C46" i="47"/>
  <c r="D46" i="47" s="1"/>
  <c r="C47" i="47"/>
  <c r="D47" i="47" s="1"/>
  <c r="C48" i="47"/>
  <c r="D48" i="47" s="1"/>
  <c r="C49" i="47"/>
  <c r="D49" i="47" s="1"/>
  <c r="C50" i="47"/>
  <c r="D50" i="47" s="1"/>
  <c r="C51" i="47"/>
  <c r="D51" i="47" s="1"/>
  <c r="C52" i="47"/>
  <c r="D52" i="47" s="1"/>
  <c r="C53" i="47"/>
  <c r="D53" i="47" s="1"/>
  <c r="C54" i="47"/>
  <c r="D54" i="47" s="1"/>
  <c r="C55" i="47"/>
  <c r="D55" i="47" s="1"/>
  <c r="B6" i="47"/>
  <c r="B7" i="47"/>
  <c r="B8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C5" i="47"/>
  <c r="D5" i="47" s="1"/>
  <c r="B5" i="47"/>
  <c r="B56" i="47" l="1"/>
  <c r="R57" i="42"/>
  <c r="R56" i="42"/>
  <c r="R55" i="42"/>
  <c r="R54" i="42"/>
  <c r="R53" i="42"/>
  <c r="R52" i="42"/>
  <c r="R51" i="42"/>
  <c r="R50" i="42"/>
  <c r="R49" i="42"/>
  <c r="R48" i="42"/>
  <c r="R47" i="42"/>
  <c r="R46" i="42"/>
  <c r="R45" i="42"/>
  <c r="R44" i="42"/>
  <c r="R43" i="42"/>
  <c r="R42" i="42"/>
  <c r="R41" i="42"/>
  <c r="R40" i="42"/>
  <c r="R39" i="42"/>
  <c r="R38" i="42"/>
  <c r="R37" i="42"/>
  <c r="R36" i="42"/>
  <c r="R35" i="42"/>
  <c r="R34" i="42"/>
  <c r="R33" i="42"/>
  <c r="R32" i="42"/>
  <c r="R31" i="42"/>
  <c r="R30" i="42"/>
  <c r="R29" i="42"/>
  <c r="R28" i="42"/>
  <c r="R27" i="42"/>
  <c r="R26" i="42"/>
  <c r="R25" i="42"/>
  <c r="R24" i="42"/>
  <c r="R23" i="42"/>
  <c r="R22" i="42"/>
  <c r="R21" i="42"/>
  <c r="R20" i="42"/>
  <c r="R19" i="42"/>
  <c r="R18" i="42"/>
  <c r="R17" i="42"/>
  <c r="R16" i="42"/>
  <c r="R15" i="42"/>
  <c r="R14" i="42"/>
  <c r="R13" i="42"/>
  <c r="R12" i="42"/>
  <c r="R11" i="42"/>
  <c r="R10" i="42"/>
  <c r="R9" i="42"/>
  <c r="R8" i="42"/>
  <c r="P57" i="42"/>
  <c r="P56" i="42"/>
  <c r="P55" i="42"/>
  <c r="P54" i="42"/>
  <c r="P53" i="42"/>
  <c r="P52" i="42"/>
  <c r="P51" i="42"/>
  <c r="P50" i="42"/>
  <c r="P49" i="42"/>
  <c r="P48" i="42"/>
  <c r="P47" i="42"/>
  <c r="P46" i="42"/>
  <c r="P45" i="42"/>
  <c r="P44" i="42"/>
  <c r="P43" i="42"/>
  <c r="P42" i="42"/>
  <c r="P41" i="42"/>
  <c r="P40" i="42"/>
  <c r="P39" i="42"/>
  <c r="P38" i="42"/>
  <c r="P37" i="42"/>
  <c r="P36" i="42"/>
  <c r="P35" i="42"/>
  <c r="P34" i="42"/>
  <c r="P33" i="42"/>
  <c r="P32" i="42"/>
  <c r="P31" i="42"/>
  <c r="P30" i="42"/>
  <c r="P29" i="42"/>
  <c r="P28" i="42"/>
  <c r="P27" i="42"/>
  <c r="P26" i="42"/>
  <c r="P25" i="42"/>
  <c r="P24" i="42"/>
  <c r="P23" i="42"/>
  <c r="P22" i="42"/>
  <c r="P21" i="42"/>
  <c r="P20" i="42"/>
  <c r="P19" i="42"/>
  <c r="P18" i="42"/>
  <c r="P17" i="42"/>
  <c r="P16" i="42"/>
  <c r="P15" i="42"/>
  <c r="P14" i="42"/>
  <c r="P13" i="42"/>
  <c r="P12" i="42"/>
  <c r="P11" i="42"/>
  <c r="P10" i="42"/>
  <c r="P9" i="42"/>
  <c r="P8" i="42"/>
  <c r="N57" i="42"/>
  <c r="N56" i="42"/>
  <c r="N55" i="42"/>
  <c r="N54" i="42"/>
  <c r="N53" i="42"/>
  <c r="N52" i="42"/>
  <c r="N51" i="42"/>
  <c r="N50" i="42"/>
  <c r="N49" i="42"/>
  <c r="N48" i="42"/>
  <c r="N47" i="42"/>
  <c r="N46" i="42"/>
  <c r="N45" i="42"/>
  <c r="N44" i="42"/>
  <c r="N43" i="42"/>
  <c r="N42" i="42"/>
  <c r="N41" i="42"/>
  <c r="N40" i="42"/>
  <c r="N39" i="42"/>
  <c r="N38" i="42"/>
  <c r="N37" i="42"/>
  <c r="N36" i="42"/>
  <c r="N35" i="42"/>
  <c r="N34" i="42"/>
  <c r="N33" i="42"/>
  <c r="N32" i="42"/>
  <c r="N31" i="42"/>
  <c r="N30" i="42"/>
  <c r="N29" i="42"/>
  <c r="N28" i="42"/>
  <c r="N27" i="42"/>
  <c r="N26" i="42"/>
  <c r="N25" i="42"/>
  <c r="N24" i="42"/>
  <c r="N23" i="42"/>
  <c r="N22" i="42"/>
  <c r="N21" i="42"/>
  <c r="N20" i="42"/>
  <c r="N19" i="42"/>
  <c r="N18" i="42"/>
  <c r="N17" i="42"/>
  <c r="N16" i="42"/>
  <c r="N15" i="42"/>
  <c r="N14" i="42"/>
  <c r="N13" i="42"/>
  <c r="N12" i="42"/>
  <c r="N11" i="42"/>
  <c r="N10" i="42"/>
  <c r="N9" i="42"/>
  <c r="N8" i="42"/>
  <c r="L57" i="42"/>
  <c r="L56" i="42"/>
  <c r="L55" i="42"/>
  <c r="L54" i="42"/>
  <c r="L53" i="42"/>
  <c r="L52" i="42"/>
  <c r="L51" i="42"/>
  <c r="L50" i="42"/>
  <c r="L49" i="42"/>
  <c r="L48" i="42"/>
  <c r="L47" i="42"/>
  <c r="L46" i="42"/>
  <c r="L45" i="42"/>
  <c r="L44" i="42"/>
  <c r="L43" i="42"/>
  <c r="L42" i="42"/>
  <c r="L41" i="42"/>
  <c r="L40" i="42"/>
  <c r="L39" i="42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" i="42"/>
  <c r="L8" i="42"/>
  <c r="J57" i="42"/>
  <c r="J56" i="42"/>
  <c r="J55" i="42"/>
  <c r="J54" i="42"/>
  <c r="J53" i="42"/>
  <c r="J52" i="42"/>
  <c r="J51" i="42"/>
  <c r="J50" i="42"/>
  <c r="J49" i="42"/>
  <c r="J48" i="42"/>
  <c r="J47" i="42"/>
  <c r="J46" i="42"/>
  <c r="J45" i="42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9" i="42"/>
  <c r="J8" i="42"/>
  <c r="J58" i="42" s="1"/>
  <c r="H57" i="42"/>
  <c r="H56" i="42"/>
  <c r="H55" i="42"/>
  <c r="H54" i="42"/>
  <c r="H53" i="42"/>
  <c r="H52" i="42"/>
  <c r="H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R7" i="42"/>
  <c r="P7" i="42"/>
  <c r="N7" i="42"/>
  <c r="L7" i="42"/>
  <c r="J7" i="42"/>
  <c r="H7" i="42"/>
  <c r="H58" i="42" s="1"/>
  <c r="F7" i="42"/>
  <c r="D7" i="42"/>
  <c r="B58" i="42"/>
  <c r="B57" i="42"/>
  <c r="B56" i="42"/>
  <c r="B55" i="42"/>
  <c r="B54" i="42"/>
  <c r="B53" i="42"/>
  <c r="B52" i="42"/>
  <c r="B51" i="42"/>
  <c r="B50" i="42"/>
  <c r="B49" i="42"/>
  <c r="B48" i="42"/>
  <c r="B47" i="42"/>
  <c r="B46" i="42"/>
  <c r="B45" i="42"/>
  <c r="B44" i="42"/>
  <c r="B43" i="42"/>
  <c r="B42" i="42"/>
  <c r="B41" i="42"/>
  <c r="B40" i="42"/>
  <c r="B39" i="42"/>
  <c r="B38" i="42"/>
  <c r="B37" i="42"/>
  <c r="B36" i="42"/>
  <c r="B35" i="42"/>
  <c r="B34" i="42"/>
  <c r="B33" i="42"/>
  <c r="B32" i="42"/>
  <c r="B31" i="42"/>
  <c r="B30" i="42"/>
  <c r="B29" i="42"/>
  <c r="B28" i="42"/>
  <c r="B27" i="42"/>
  <c r="B26" i="42"/>
  <c r="B25" i="42"/>
  <c r="B24" i="42"/>
  <c r="B23" i="42"/>
  <c r="B22" i="42"/>
  <c r="B21" i="42"/>
  <c r="B20" i="42"/>
  <c r="B19" i="42"/>
  <c r="B18" i="42"/>
  <c r="B17" i="42"/>
  <c r="B16" i="42"/>
  <c r="B15" i="42"/>
  <c r="B14" i="42"/>
  <c r="B13" i="42"/>
  <c r="B12" i="42"/>
  <c r="B11" i="42"/>
  <c r="B10" i="42"/>
  <c r="B9" i="42"/>
  <c r="B8" i="42"/>
  <c r="B7" i="42"/>
  <c r="R58" i="42" l="1"/>
  <c r="P58" i="42"/>
  <c r="N58" i="42"/>
  <c r="L58" i="42"/>
  <c r="F58" i="42"/>
  <c r="D58" i="42"/>
  <c r="S57" i="45" l="1"/>
  <c r="Q57" i="45"/>
  <c r="O57" i="45"/>
  <c r="M57" i="45"/>
  <c r="K57" i="45"/>
  <c r="I57" i="45"/>
  <c r="G57" i="45"/>
  <c r="E57" i="45"/>
  <c r="C57" i="45"/>
  <c r="S56" i="45"/>
  <c r="Q56" i="45"/>
  <c r="O56" i="45"/>
  <c r="M56" i="45"/>
  <c r="K56" i="45"/>
  <c r="I56" i="45"/>
  <c r="G56" i="45"/>
  <c r="E56" i="45"/>
  <c r="C56" i="45"/>
  <c r="S55" i="45"/>
  <c r="Q55" i="45"/>
  <c r="O55" i="45"/>
  <c r="M55" i="45"/>
  <c r="K55" i="45"/>
  <c r="I55" i="45"/>
  <c r="G55" i="45"/>
  <c r="E55" i="45"/>
  <c r="C55" i="45"/>
  <c r="S54" i="45"/>
  <c r="Q54" i="45"/>
  <c r="O54" i="45"/>
  <c r="M54" i="45"/>
  <c r="K54" i="45"/>
  <c r="I54" i="45"/>
  <c r="G54" i="45"/>
  <c r="E54" i="45"/>
  <c r="C54" i="45"/>
  <c r="S53" i="45"/>
  <c r="Q53" i="45"/>
  <c r="O53" i="45"/>
  <c r="M53" i="45"/>
  <c r="K53" i="45"/>
  <c r="I53" i="45"/>
  <c r="G53" i="45"/>
  <c r="E53" i="45"/>
  <c r="C53" i="45"/>
  <c r="S52" i="45"/>
  <c r="Q52" i="45"/>
  <c r="O52" i="45"/>
  <c r="M52" i="45"/>
  <c r="K52" i="45"/>
  <c r="I52" i="45"/>
  <c r="G52" i="45"/>
  <c r="E52" i="45"/>
  <c r="C52" i="45"/>
  <c r="S51" i="45"/>
  <c r="Q51" i="45"/>
  <c r="O51" i="45"/>
  <c r="M51" i="45"/>
  <c r="K51" i="45"/>
  <c r="I51" i="45"/>
  <c r="G51" i="45"/>
  <c r="E51" i="45"/>
  <c r="C51" i="45"/>
  <c r="S50" i="45"/>
  <c r="Q50" i="45"/>
  <c r="O50" i="45"/>
  <c r="M50" i="45"/>
  <c r="K50" i="45"/>
  <c r="I50" i="45"/>
  <c r="G50" i="45"/>
  <c r="E50" i="45"/>
  <c r="C50" i="45"/>
  <c r="S49" i="45"/>
  <c r="Q49" i="45"/>
  <c r="O49" i="45"/>
  <c r="M49" i="45"/>
  <c r="K49" i="45"/>
  <c r="I49" i="45"/>
  <c r="G49" i="45"/>
  <c r="E49" i="45"/>
  <c r="C49" i="45"/>
  <c r="S48" i="45"/>
  <c r="Q48" i="45"/>
  <c r="O48" i="45"/>
  <c r="M48" i="45"/>
  <c r="K48" i="45"/>
  <c r="I48" i="45"/>
  <c r="G48" i="45"/>
  <c r="E48" i="45"/>
  <c r="C48" i="45"/>
  <c r="S47" i="45"/>
  <c r="Q47" i="45"/>
  <c r="O47" i="45"/>
  <c r="M47" i="45"/>
  <c r="K47" i="45"/>
  <c r="I47" i="45"/>
  <c r="G47" i="45"/>
  <c r="E47" i="45"/>
  <c r="C47" i="45"/>
  <c r="S46" i="45"/>
  <c r="Q46" i="45"/>
  <c r="O46" i="45"/>
  <c r="M46" i="45"/>
  <c r="K46" i="45"/>
  <c r="I46" i="45"/>
  <c r="G46" i="45"/>
  <c r="E46" i="45"/>
  <c r="C46" i="45"/>
  <c r="S45" i="45"/>
  <c r="Q45" i="45"/>
  <c r="O45" i="45"/>
  <c r="M45" i="45"/>
  <c r="K45" i="45"/>
  <c r="I45" i="45"/>
  <c r="G45" i="45"/>
  <c r="E45" i="45"/>
  <c r="C45" i="45"/>
  <c r="S44" i="45"/>
  <c r="Q44" i="45"/>
  <c r="O44" i="45"/>
  <c r="M44" i="45"/>
  <c r="K44" i="45"/>
  <c r="I44" i="45"/>
  <c r="G44" i="45"/>
  <c r="E44" i="45"/>
  <c r="C44" i="45"/>
  <c r="S43" i="45"/>
  <c r="Q43" i="45"/>
  <c r="O43" i="45"/>
  <c r="M43" i="45"/>
  <c r="K43" i="45"/>
  <c r="I43" i="45"/>
  <c r="G43" i="45"/>
  <c r="E43" i="45"/>
  <c r="C43" i="45"/>
  <c r="S42" i="45"/>
  <c r="Q42" i="45"/>
  <c r="O42" i="45"/>
  <c r="M42" i="45"/>
  <c r="K42" i="45"/>
  <c r="I42" i="45"/>
  <c r="G42" i="45"/>
  <c r="E42" i="45"/>
  <c r="C42" i="45"/>
  <c r="S41" i="45"/>
  <c r="Q41" i="45"/>
  <c r="O41" i="45"/>
  <c r="M41" i="45"/>
  <c r="K41" i="45"/>
  <c r="I41" i="45"/>
  <c r="G41" i="45"/>
  <c r="E41" i="45"/>
  <c r="C41" i="45"/>
  <c r="S40" i="45"/>
  <c r="Q40" i="45"/>
  <c r="O40" i="45"/>
  <c r="M40" i="45"/>
  <c r="K40" i="45"/>
  <c r="I40" i="45"/>
  <c r="G40" i="45"/>
  <c r="E40" i="45"/>
  <c r="C40" i="45"/>
  <c r="S39" i="45"/>
  <c r="Q39" i="45"/>
  <c r="O39" i="45"/>
  <c r="M39" i="45"/>
  <c r="K39" i="45"/>
  <c r="I39" i="45"/>
  <c r="G39" i="45"/>
  <c r="E39" i="45"/>
  <c r="C39" i="45"/>
  <c r="S38" i="45"/>
  <c r="Q38" i="45"/>
  <c r="O38" i="45"/>
  <c r="M38" i="45"/>
  <c r="K38" i="45"/>
  <c r="I38" i="45"/>
  <c r="G38" i="45"/>
  <c r="E38" i="45"/>
  <c r="C38" i="45"/>
  <c r="S37" i="45"/>
  <c r="Q37" i="45"/>
  <c r="O37" i="45"/>
  <c r="M37" i="45"/>
  <c r="K37" i="45"/>
  <c r="I37" i="45"/>
  <c r="G37" i="45"/>
  <c r="E37" i="45"/>
  <c r="C37" i="45"/>
  <c r="S36" i="45"/>
  <c r="Q36" i="45"/>
  <c r="O36" i="45"/>
  <c r="M36" i="45"/>
  <c r="K36" i="45"/>
  <c r="I36" i="45"/>
  <c r="G36" i="45"/>
  <c r="E36" i="45"/>
  <c r="C36" i="45"/>
  <c r="S35" i="45"/>
  <c r="Q35" i="45"/>
  <c r="O35" i="45"/>
  <c r="M35" i="45"/>
  <c r="K35" i="45"/>
  <c r="I35" i="45"/>
  <c r="G35" i="45"/>
  <c r="E35" i="45"/>
  <c r="C35" i="45"/>
  <c r="S34" i="45"/>
  <c r="Q34" i="45"/>
  <c r="O34" i="45"/>
  <c r="M34" i="45"/>
  <c r="K34" i="45"/>
  <c r="I34" i="45"/>
  <c r="G34" i="45"/>
  <c r="E34" i="45"/>
  <c r="C34" i="45"/>
  <c r="S33" i="45"/>
  <c r="Q33" i="45"/>
  <c r="O33" i="45"/>
  <c r="M33" i="45"/>
  <c r="K33" i="45"/>
  <c r="I33" i="45"/>
  <c r="G33" i="45"/>
  <c r="E33" i="45"/>
  <c r="C33" i="45"/>
  <c r="S32" i="45"/>
  <c r="Q32" i="45"/>
  <c r="O32" i="45"/>
  <c r="M32" i="45"/>
  <c r="K32" i="45"/>
  <c r="I32" i="45"/>
  <c r="G32" i="45"/>
  <c r="E32" i="45"/>
  <c r="C32" i="45"/>
  <c r="S31" i="45"/>
  <c r="Q31" i="45"/>
  <c r="O31" i="45"/>
  <c r="M31" i="45"/>
  <c r="K31" i="45"/>
  <c r="I31" i="45"/>
  <c r="G31" i="45"/>
  <c r="E31" i="45"/>
  <c r="C31" i="45"/>
  <c r="S30" i="45"/>
  <c r="Q30" i="45"/>
  <c r="O30" i="45"/>
  <c r="M30" i="45"/>
  <c r="K30" i="45"/>
  <c r="I30" i="45"/>
  <c r="G30" i="45"/>
  <c r="E30" i="45"/>
  <c r="C30" i="45"/>
  <c r="S29" i="45"/>
  <c r="Q29" i="45"/>
  <c r="O29" i="45"/>
  <c r="M29" i="45"/>
  <c r="K29" i="45"/>
  <c r="I29" i="45"/>
  <c r="G29" i="45"/>
  <c r="E29" i="45"/>
  <c r="C29" i="45"/>
  <c r="S28" i="45"/>
  <c r="Q28" i="45"/>
  <c r="O28" i="45"/>
  <c r="M28" i="45"/>
  <c r="K28" i="45"/>
  <c r="I28" i="45"/>
  <c r="G28" i="45"/>
  <c r="E28" i="45"/>
  <c r="C28" i="45"/>
  <c r="S27" i="45"/>
  <c r="Q27" i="45"/>
  <c r="O27" i="45"/>
  <c r="M27" i="45"/>
  <c r="K27" i="45"/>
  <c r="I27" i="45"/>
  <c r="G27" i="45"/>
  <c r="E27" i="45"/>
  <c r="C27" i="45"/>
  <c r="S26" i="45"/>
  <c r="Q26" i="45"/>
  <c r="O26" i="45"/>
  <c r="M26" i="45"/>
  <c r="K26" i="45"/>
  <c r="I26" i="45"/>
  <c r="G26" i="45"/>
  <c r="E26" i="45"/>
  <c r="C26" i="45"/>
  <c r="S25" i="45"/>
  <c r="Q25" i="45"/>
  <c r="O25" i="45"/>
  <c r="M25" i="45"/>
  <c r="K25" i="45"/>
  <c r="I25" i="45"/>
  <c r="G25" i="45"/>
  <c r="E25" i="45"/>
  <c r="C25" i="45"/>
  <c r="S24" i="45"/>
  <c r="Q24" i="45"/>
  <c r="O24" i="45"/>
  <c r="M24" i="45"/>
  <c r="K24" i="45"/>
  <c r="I24" i="45"/>
  <c r="G24" i="45"/>
  <c r="E24" i="45"/>
  <c r="C24" i="45"/>
  <c r="S23" i="45"/>
  <c r="Q23" i="45"/>
  <c r="O23" i="45"/>
  <c r="M23" i="45"/>
  <c r="K23" i="45"/>
  <c r="I23" i="45"/>
  <c r="G23" i="45"/>
  <c r="E23" i="45"/>
  <c r="C23" i="45"/>
  <c r="S22" i="45"/>
  <c r="Q22" i="45"/>
  <c r="O22" i="45"/>
  <c r="M22" i="45"/>
  <c r="K22" i="45"/>
  <c r="I22" i="45"/>
  <c r="G22" i="45"/>
  <c r="E22" i="45"/>
  <c r="C22" i="45"/>
  <c r="S21" i="45"/>
  <c r="Q21" i="45"/>
  <c r="O21" i="45"/>
  <c r="M21" i="45"/>
  <c r="K21" i="45"/>
  <c r="I21" i="45"/>
  <c r="G21" i="45"/>
  <c r="E21" i="45"/>
  <c r="C21" i="45"/>
  <c r="S20" i="45"/>
  <c r="Q20" i="45"/>
  <c r="O20" i="45"/>
  <c r="M20" i="45"/>
  <c r="K20" i="45"/>
  <c r="I20" i="45"/>
  <c r="G20" i="45"/>
  <c r="E20" i="45"/>
  <c r="C20" i="45"/>
  <c r="S19" i="45"/>
  <c r="Q19" i="45"/>
  <c r="O19" i="45"/>
  <c r="M19" i="45"/>
  <c r="K19" i="45"/>
  <c r="I19" i="45"/>
  <c r="G19" i="45"/>
  <c r="E19" i="45"/>
  <c r="C19" i="45"/>
  <c r="S18" i="45"/>
  <c r="Q18" i="45"/>
  <c r="O18" i="45"/>
  <c r="M18" i="45"/>
  <c r="K18" i="45"/>
  <c r="I18" i="45"/>
  <c r="G18" i="45"/>
  <c r="E18" i="45"/>
  <c r="C18" i="45"/>
  <c r="S17" i="45"/>
  <c r="Q17" i="45"/>
  <c r="O17" i="45"/>
  <c r="M17" i="45"/>
  <c r="K17" i="45"/>
  <c r="I17" i="45"/>
  <c r="G17" i="45"/>
  <c r="E17" i="45"/>
  <c r="C17" i="45"/>
  <c r="S16" i="45"/>
  <c r="Q16" i="45"/>
  <c r="O16" i="45"/>
  <c r="M16" i="45"/>
  <c r="K16" i="45"/>
  <c r="I16" i="45"/>
  <c r="G16" i="45"/>
  <c r="E16" i="45"/>
  <c r="C16" i="45"/>
  <c r="S15" i="45"/>
  <c r="Q15" i="45"/>
  <c r="O15" i="45"/>
  <c r="M15" i="45"/>
  <c r="K15" i="45"/>
  <c r="I15" i="45"/>
  <c r="G15" i="45"/>
  <c r="E15" i="45"/>
  <c r="C15" i="45"/>
  <c r="S14" i="45"/>
  <c r="Q14" i="45"/>
  <c r="O14" i="45"/>
  <c r="M14" i="45"/>
  <c r="K14" i="45"/>
  <c r="I14" i="45"/>
  <c r="G14" i="45"/>
  <c r="E14" i="45"/>
  <c r="C14" i="45"/>
  <c r="S13" i="45"/>
  <c r="Q13" i="45"/>
  <c r="O13" i="45"/>
  <c r="M13" i="45"/>
  <c r="K13" i="45"/>
  <c r="I13" i="45"/>
  <c r="G13" i="45"/>
  <c r="E13" i="45"/>
  <c r="C13" i="45"/>
  <c r="S12" i="45"/>
  <c r="Q12" i="45"/>
  <c r="O12" i="45"/>
  <c r="M12" i="45"/>
  <c r="K12" i="45"/>
  <c r="I12" i="45"/>
  <c r="G12" i="45"/>
  <c r="E12" i="45"/>
  <c r="C12" i="45"/>
  <c r="S11" i="45"/>
  <c r="Q11" i="45"/>
  <c r="O11" i="45"/>
  <c r="M11" i="45"/>
  <c r="K11" i="45"/>
  <c r="I11" i="45"/>
  <c r="G11" i="45"/>
  <c r="E11" i="45"/>
  <c r="C11" i="45"/>
  <c r="S10" i="45"/>
  <c r="Q10" i="45"/>
  <c r="O10" i="45"/>
  <c r="M10" i="45"/>
  <c r="K10" i="45"/>
  <c r="I10" i="45"/>
  <c r="G10" i="45"/>
  <c r="E10" i="45"/>
  <c r="C10" i="45"/>
  <c r="S9" i="45"/>
  <c r="Q9" i="45"/>
  <c r="O9" i="45"/>
  <c r="M9" i="45"/>
  <c r="K9" i="45"/>
  <c r="I9" i="45"/>
  <c r="G9" i="45"/>
  <c r="E9" i="45"/>
  <c r="C9" i="45"/>
  <c r="S8" i="45"/>
  <c r="Q8" i="45"/>
  <c r="O8" i="45"/>
  <c r="M8" i="45"/>
  <c r="K8" i="45"/>
  <c r="I8" i="45"/>
  <c r="G8" i="45"/>
  <c r="E8" i="45"/>
  <c r="C8" i="45"/>
  <c r="S7" i="45"/>
  <c r="Q7" i="45"/>
  <c r="O7" i="45"/>
  <c r="M7" i="45"/>
  <c r="K7" i="45"/>
  <c r="I7" i="45"/>
  <c r="G7" i="45"/>
  <c r="E7" i="45"/>
  <c r="C7" i="45"/>
  <c r="U18" i="45" l="1"/>
  <c r="U10" i="45"/>
  <c r="U22" i="45"/>
  <c r="U30" i="45"/>
  <c r="U50" i="45"/>
  <c r="U21" i="45"/>
  <c r="U55" i="45"/>
  <c r="U49" i="45"/>
  <c r="U39" i="45"/>
  <c r="U33" i="45"/>
  <c r="U57" i="45"/>
  <c r="E58" i="45"/>
  <c r="D24" i="45" s="1"/>
  <c r="U27" i="45"/>
  <c r="U44" i="45"/>
  <c r="U47" i="45"/>
  <c r="U32" i="45"/>
  <c r="U14" i="45"/>
  <c r="U11" i="45"/>
  <c r="U45" i="45"/>
  <c r="U8" i="45"/>
  <c r="U28" i="45"/>
  <c r="K58" i="45"/>
  <c r="J8" i="45" s="1"/>
  <c r="U12" i="45"/>
  <c r="U19" i="45"/>
  <c r="U13" i="45"/>
  <c r="U20" i="45"/>
  <c r="U23" i="45"/>
  <c r="U9" i="45"/>
  <c r="U16" i="45"/>
  <c r="M58" i="45"/>
  <c r="L27" i="45" s="1"/>
  <c r="U15" i="45"/>
  <c r="U17" i="45"/>
  <c r="U29" i="45"/>
  <c r="C58" i="45"/>
  <c r="B11" i="45" s="1"/>
  <c r="O58" i="45"/>
  <c r="N24" i="45" s="1"/>
  <c r="U34" i="45"/>
  <c r="U38" i="45"/>
  <c r="U37" i="45"/>
  <c r="Q58" i="45"/>
  <c r="P34" i="45" s="1"/>
  <c r="U25" i="45"/>
  <c r="U31" i="45"/>
  <c r="L24" i="45"/>
  <c r="G58" i="45"/>
  <c r="F17" i="45" s="1"/>
  <c r="S58" i="45"/>
  <c r="R19" i="45" s="1"/>
  <c r="I58" i="45"/>
  <c r="H48" i="45" s="1"/>
  <c r="U24" i="45"/>
  <c r="U26" i="45"/>
  <c r="U35" i="45"/>
  <c r="U56" i="45"/>
  <c r="P43" i="45"/>
  <c r="U46" i="45"/>
  <c r="U40" i="45"/>
  <c r="U54" i="45"/>
  <c r="U42" i="45"/>
  <c r="N49" i="45"/>
  <c r="P51" i="45"/>
  <c r="P57" i="45"/>
  <c r="U43" i="45"/>
  <c r="P44" i="45"/>
  <c r="L55" i="45"/>
  <c r="L38" i="45"/>
  <c r="N45" i="45"/>
  <c r="U48" i="45"/>
  <c r="P45" i="45"/>
  <c r="N46" i="45"/>
  <c r="U36" i="45"/>
  <c r="U41" i="45"/>
  <c r="U53" i="45"/>
  <c r="U51" i="45"/>
  <c r="H52" i="45"/>
  <c r="U52" i="45"/>
  <c r="E11" i="41"/>
  <c r="J7" i="45" l="1"/>
  <c r="D44" i="45"/>
  <c r="F50" i="45"/>
  <c r="J42" i="45"/>
  <c r="B32" i="45"/>
  <c r="B49" i="45"/>
  <c r="B55" i="45"/>
  <c r="L50" i="45"/>
  <c r="B43" i="45"/>
  <c r="L41" i="45"/>
  <c r="H11" i="45"/>
  <c r="J23" i="45"/>
  <c r="B46" i="45"/>
  <c r="J39" i="45"/>
  <c r="L32" i="45"/>
  <c r="N52" i="45"/>
  <c r="N55" i="45"/>
  <c r="P30" i="45"/>
  <c r="B52" i="45"/>
  <c r="J41" i="45"/>
  <c r="J34" i="45"/>
  <c r="J57" i="45"/>
  <c r="F53" i="45"/>
  <c r="F46" i="45"/>
  <c r="J11" i="45"/>
  <c r="F33" i="45"/>
  <c r="J50" i="45"/>
  <c r="J37" i="45"/>
  <c r="J51" i="45"/>
  <c r="J24" i="45"/>
  <c r="J54" i="45"/>
  <c r="J49" i="45"/>
  <c r="J53" i="45"/>
  <c r="H34" i="45"/>
  <c r="J48" i="45"/>
  <c r="J36" i="45"/>
  <c r="J13" i="45"/>
  <c r="D45" i="45"/>
  <c r="D51" i="45"/>
  <c r="H37" i="45"/>
  <c r="D26" i="45"/>
  <c r="D11" i="45"/>
  <c r="D37" i="45"/>
  <c r="D55" i="45"/>
  <c r="D25" i="45"/>
  <c r="D42" i="45"/>
  <c r="D56" i="45"/>
  <c r="D18" i="45"/>
  <c r="D23" i="45"/>
  <c r="H14" i="45"/>
  <c r="D52" i="45"/>
  <c r="D10" i="45"/>
  <c r="D15" i="45"/>
  <c r="D47" i="45"/>
  <c r="H46" i="45"/>
  <c r="P47" i="45"/>
  <c r="P31" i="45"/>
  <c r="P7" i="45"/>
  <c r="B45" i="45"/>
  <c r="C56" i="47"/>
  <c r="D31" i="45"/>
  <c r="D40" i="45"/>
  <c r="L51" i="45"/>
  <c r="D27" i="45"/>
  <c r="D9" i="45"/>
  <c r="F8" i="45"/>
  <c r="D43" i="45"/>
  <c r="L47" i="45"/>
  <c r="P54" i="45"/>
  <c r="P33" i="45"/>
  <c r="D28" i="45"/>
  <c r="P55" i="45"/>
  <c r="D36" i="45"/>
  <c r="F38" i="45"/>
  <c r="F28" i="45"/>
  <c r="D13" i="45"/>
  <c r="D38" i="45"/>
  <c r="L12" i="45"/>
  <c r="H55" i="45"/>
  <c r="D57" i="45"/>
  <c r="P48" i="45"/>
  <c r="P36" i="45"/>
  <c r="L9" i="45"/>
  <c r="D8" i="45"/>
  <c r="J45" i="45"/>
  <c r="F49" i="45"/>
  <c r="L52" i="45"/>
  <c r="F57" i="45"/>
  <c r="F29" i="45"/>
  <c r="B19" i="45"/>
  <c r="J18" i="45"/>
  <c r="L10" i="45"/>
  <c r="D19" i="45"/>
  <c r="D35" i="45"/>
  <c r="F21" i="45"/>
  <c r="B12" i="45"/>
  <c r="H8" i="45"/>
  <c r="N28" i="45"/>
  <c r="L13" i="45"/>
  <c r="D20" i="45"/>
  <c r="D50" i="45"/>
  <c r="B28" i="45"/>
  <c r="N37" i="45"/>
  <c r="D14" i="45"/>
  <c r="D49" i="45"/>
  <c r="D53" i="45"/>
  <c r="D54" i="45"/>
  <c r="L53" i="45"/>
  <c r="L15" i="45"/>
  <c r="F19" i="45"/>
  <c r="L17" i="45"/>
  <c r="D34" i="45"/>
  <c r="D46" i="45"/>
  <c r="B57" i="45"/>
  <c r="N41" i="45"/>
  <c r="H49" i="45"/>
  <c r="L40" i="45"/>
  <c r="L39" i="45"/>
  <c r="D30" i="45"/>
  <c r="L44" i="45"/>
  <c r="H47" i="45"/>
  <c r="F47" i="45"/>
  <c r="H33" i="45"/>
  <c r="P56" i="45"/>
  <c r="J38" i="45"/>
  <c r="B53" i="45"/>
  <c r="L56" i="45"/>
  <c r="L31" i="45"/>
  <c r="F32" i="45"/>
  <c r="L26" i="45"/>
  <c r="P42" i="45"/>
  <c r="L22" i="45"/>
  <c r="D21" i="45"/>
  <c r="N29" i="45"/>
  <c r="D22" i="45"/>
  <c r="D39" i="45"/>
  <c r="N43" i="45"/>
  <c r="D16" i="45"/>
  <c r="D17" i="45"/>
  <c r="D41" i="45"/>
  <c r="J16" i="45"/>
  <c r="N19" i="45"/>
  <c r="B54" i="45"/>
  <c r="B40" i="45"/>
  <c r="B24" i="45"/>
  <c r="P22" i="45"/>
  <c r="D29" i="45"/>
  <c r="D33" i="45"/>
  <c r="N40" i="45"/>
  <c r="D7" i="45"/>
  <c r="D48" i="45"/>
  <c r="D12" i="45"/>
  <c r="D32" i="45"/>
  <c r="R57" i="45"/>
  <c r="U58" i="45"/>
  <c r="T16" i="45" s="1"/>
  <c r="N57" i="45"/>
  <c r="F45" i="45"/>
  <c r="F56" i="45"/>
  <c r="B34" i="45"/>
  <c r="N53" i="45"/>
  <c r="R35" i="45"/>
  <c r="N15" i="45"/>
  <c r="R7" i="45"/>
  <c r="R37" i="45"/>
  <c r="R15" i="45"/>
  <c r="N54" i="45"/>
  <c r="H40" i="45"/>
  <c r="F41" i="45"/>
  <c r="F48" i="45"/>
  <c r="F55" i="45"/>
  <c r="F52" i="45"/>
  <c r="F54" i="45"/>
  <c r="F36" i="45"/>
  <c r="F43" i="45"/>
  <c r="F42" i="45"/>
  <c r="F27" i="45"/>
  <c r="F40" i="45"/>
  <c r="F37" i="45"/>
  <c r="F39" i="45"/>
  <c r="F51" i="45"/>
  <c r="F10" i="45"/>
  <c r="F25" i="45"/>
  <c r="F31" i="45"/>
  <c r="F14" i="45"/>
  <c r="F23" i="45"/>
  <c r="F30" i="45"/>
  <c r="F11" i="45"/>
  <c r="F13" i="45"/>
  <c r="F26" i="45"/>
  <c r="F22" i="45"/>
  <c r="P46" i="45"/>
  <c r="P53" i="45"/>
  <c r="P50" i="45"/>
  <c r="P52" i="45"/>
  <c r="P41" i="45"/>
  <c r="P38" i="45"/>
  <c r="P35" i="45"/>
  <c r="P49" i="45"/>
  <c r="P25" i="45"/>
  <c r="P37" i="45"/>
  <c r="P8" i="45"/>
  <c r="P40" i="45"/>
  <c r="P39" i="45"/>
  <c r="P24" i="45"/>
  <c r="P21" i="45"/>
  <c r="P12" i="45"/>
  <c r="P19" i="45"/>
  <c r="P17" i="45"/>
  <c r="P9" i="45"/>
  <c r="P29" i="45"/>
  <c r="P28" i="45"/>
  <c r="P23" i="45"/>
  <c r="P16" i="45"/>
  <c r="P15" i="45"/>
  <c r="P20" i="45"/>
  <c r="P11" i="45"/>
  <c r="F9" i="45"/>
  <c r="L54" i="45"/>
  <c r="L42" i="45"/>
  <c r="L49" i="45"/>
  <c r="L46" i="45"/>
  <c r="L48" i="45"/>
  <c r="L37" i="45"/>
  <c r="L29" i="45"/>
  <c r="L34" i="45"/>
  <c r="L45" i="45"/>
  <c r="L21" i="45"/>
  <c r="L35" i="45"/>
  <c r="L30" i="45"/>
  <c r="L57" i="45"/>
  <c r="L36" i="45"/>
  <c r="L33" i="45"/>
  <c r="L28" i="45"/>
  <c r="L23" i="45"/>
  <c r="L16" i="45"/>
  <c r="L8" i="45"/>
  <c r="L25" i="45"/>
  <c r="L18" i="45"/>
  <c r="L11" i="45"/>
  <c r="L7" i="45"/>
  <c r="L14" i="45"/>
  <c r="R17" i="45"/>
  <c r="P14" i="45"/>
  <c r="F12" i="45"/>
  <c r="F15" i="45"/>
  <c r="L20" i="45"/>
  <c r="J52" i="45"/>
  <c r="J47" i="45"/>
  <c r="J56" i="45"/>
  <c r="J44" i="45"/>
  <c r="J46" i="45"/>
  <c r="J33" i="45"/>
  <c r="J27" i="45"/>
  <c r="J40" i="45"/>
  <c r="J31" i="45"/>
  <c r="J55" i="45"/>
  <c r="J35" i="45"/>
  <c r="J32" i="45"/>
  <c r="J28" i="45"/>
  <c r="J43" i="45"/>
  <c r="J14" i="45"/>
  <c r="J29" i="45"/>
  <c r="J30" i="45"/>
  <c r="J26" i="45"/>
  <c r="J21" i="45"/>
  <c r="J20" i="45"/>
  <c r="J15" i="45"/>
  <c r="J19" i="45"/>
  <c r="J12" i="45"/>
  <c r="J25" i="45"/>
  <c r="J17" i="45"/>
  <c r="J9" i="45"/>
  <c r="R9" i="45"/>
  <c r="R50" i="45"/>
  <c r="R53" i="45"/>
  <c r="H36" i="45"/>
  <c r="P32" i="45"/>
  <c r="P27" i="45"/>
  <c r="N25" i="45"/>
  <c r="F35" i="45"/>
  <c r="F18" i="45"/>
  <c r="N34" i="45"/>
  <c r="H22" i="45"/>
  <c r="F24" i="45"/>
  <c r="B14" i="45"/>
  <c r="B8" i="45"/>
  <c r="R33" i="45"/>
  <c r="R44" i="45"/>
  <c r="R32" i="45"/>
  <c r="R49" i="45"/>
  <c r="B42" i="45"/>
  <c r="H35" i="45"/>
  <c r="R20" i="45"/>
  <c r="P26" i="45"/>
  <c r="H28" i="45"/>
  <c r="F44" i="45"/>
  <c r="P18" i="45"/>
  <c r="J22" i="45"/>
  <c r="P13" i="45"/>
  <c r="F7" i="45"/>
  <c r="R26" i="45"/>
  <c r="R56" i="45"/>
  <c r="R45" i="45"/>
  <c r="R29" i="45"/>
  <c r="N11" i="45"/>
  <c r="R46" i="45"/>
  <c r="N42" i="45"/>
  <c r="H51" i="45"/>
  <c r="R47" i="45"/>
  <c r="R36" i="45"/>
  <c r="H38" i="45"/>
  <c r="L43" i="45"/>
  <c r="B15" i="45"/>
  <c r="F34" i="45"/>
  <c r="B38" i="45"/>
  <c r="B21" i="45"/>
  <c r="R25" i="45"/>
  <c r="B20" i="45"/>
  <c r="J10" i="45"/>
  <c r="B22" i="45"/>
  <c r="R41" i="45"/>
  <c r="R48" i="45"/>
  <c r="R55" i="45"/>
  <c r="R52" i="45"/>
  <c r="R54" i="45"/>
  <c r="R51" i="45"/>
  <c r="R27" i="45"/>
  <c r="R43" i="45"/>
  <c r="R42" i="45"/>
  <c r="R40" i="45"/>
  <c r="R39" i="45"/>
  <c r="R34" i="45"/>
  <c r="R30" i="45"/>
  <c r="R21" i="45"/>
  <c r="R10" i="45"/>
  <c r="R22" i="45"/>
  <c r="R14" i="45"/>
  <c r="R18" i="45"/>
  <c r="R11" i="45"/>
  <c r="R23" i="45"/>
  <c r="R16" i="45"/>
  <c r="R31" i="45"/>
  <c r="R13" i="45"/>
  <c r="R8" i="45"/>
  <c r="R28" i="45"/>
  <c r="R38" i="45"/>
  <c r="F16" i="45"/>
  <c r="N12" i="45"/>
  <c r="N20" i="45"/>
  <c r="N56" i="45"/>
  <c r="N44" i="45"/>
  <c r="N51" i="45"/>
  <c r="N48" i="45"/>
  <c r="N50" i="45"/>
  <c r="N39" i="45"/>
  <c r="N31" i="45"/>
  <c r="N38" i="45"/>
  <c r="N35" i="45"/>
  <c r="N32" i="45"/>
  <c r="N23" i="45"/>
  <c r="N47" i="45"/>
  <c r="N30" i="45"/>
  <c r="N36" i="45"/>
  <c r="N33" i="45"/>
  <c r="N27" i="45"/>
  <c r="N26" i="45"/>
  <c r="N21" i="45"/>
  <c r="N10" i="45"/>
  <c r="N7" i="45"/>
  <c r="N22" i="45"/>
  <c r="N18" i="45"/>
  <c r="N17" i="45"/>
  <c r="N13" i="45"/>
  <c r="N9" i="45"/>
  <c r="N14" i="45"/>
  <c r="H43" i="45"/>
  <c r="H50" i="45"/>
  <c r="H57" i="45"/>
  <c r="H54" i="45"/>
  <c r="H42" i="45"/>
  <c r="H56" i="45"/>
  <c r="H53" i="45"/>
  <c r="H39" i="45"/>
  <c r="H29" i="45"/>
  <c r="H41" i="45"/>
  <c r="H45" i="45"/>
  <c r="H31" i="45"/>
  <c r="H25" i="45"/>
  <c r="H19" i="45"/>
  <c r="H12" i="45"/>
  <c r="H32" i="45"/>
  <c r="H17" i="45"/>
  <c r="H44" i="45"/>
  <c r="H27" i="45"/>
  <c r="H23" i="45"/>
  <c r="H16" i="45"/>
  <c r="H24" i="45"/>
  <c r="H13" i="45"/>
  <c r="H26" i="45"/>
  <c r="H20" i="45"/>
  <c r="H15" i="45"/>
  <c r="H7" i="45"/>
  <c r="H21" i="45"/>
  <c r="H18" i="45"/>
  <c r="H10" i="45"/>
  <c r="H9" i="45"/>
  <c r="H30" i="45"/>
  <c r="B56" i="45"/>
  <c r="B44" i="45"/>
  <c r="B51" i="45"/>
  <c r="B48" i="45"/>
  <c r="B50" i="45"/>
  <c r="B47" i="45"/>
  <c r="B31" i="45"/>
  <c r="B35" i="45"/>
  <c r="B36" i="45"/>
  <c r="B23" i="45"/>
  <c r="B30" i="45"/>
  <c r="B33" i="45"/>
  <c r="B26" i="45"/>
  <c r="B10" i="45"/>
  <c r="B37" i="45"/>
  <c r="B7" i="45"/>
  <c r="B39" i="45"/>
  <c r="B29" i="45"/>
  <c r="B27" i="45"/>
  <c r="B17" i="45"/>
  <c r="B16" i="45"/>
  <c r="B13" i="45"/>
  <c r="B9" i="45"/>
  <c r="B41" i="45"/>
  <c r="F20" i="45"/>
  <c r="R12" i="45"/>
  <c r="P10" i="45"/>
  <c r="B25" i="45"/>
  <c r="N16" i="45"/>
  <c r="B18" i="45"/>
  <c r="L19" i="45"/>
  <c r="N8" i="45"/>
  <c r="R24" i="45"/>
  <c r="M6" i="36"/>
  <c r="AP6" i="1"/>
  <c r="AC13" i="43"/>
  <c r="B5" i="41"/>
  <c r="B6" i="41"/>
  <c r="B7" i="41"/>
  <c r="B8" i="41"/>
  <c r="B9" i="41"/>
  <c r="B10" i="41"/>
  <c r="B11" i="41"/>
  <c r="B12" i="41"/>
  <c r="B4" i="41"/>
  <c r="D12" i="41"/>
  <c r="AC12" i="43"/>
  <c r="M12" i="43"/>
  <c r="M11" i="43"/>
  <c r="M10" i="43"/>
  <c r="M9" i="43"/>
  <c r="M8" i="43"/>
  <c r="M7" i="43"/>
  <c r="M6" i="43"/>
  <c r="M5" i="43"/>
  <c r="M13" i="43" s="1"/>
  <c r="M4" i="43"/>
  <c r="Z5" i="43"/>
  <c r="AA5" i="43" s="1"/>
  <c r="AC5" i="43" s="1"/>
  <c r="Z6" i="43"/>
  <c r="AA6" i="43" s="1"/>
  <c r="AC6" i="43" s="1"/>
  <c r="Z7" i="43"/>
  <c r="Z8" i="43"/>
  <c r="Z9" i="43"/>
  <c r="Z10" i="43"/>
  <c r="Z11" i="43"/>
  <c r="Z12" i="43"/>
  <c r="Z4" i="43"/>
  <c r="AA4" i="43" s="1"/>
  <c r="AC4" i="43" s="1"/>
  <c r="AA9" i="43"/>
  <c r="AC9" i="43" s="1"/>
  <c r="Y13" i="43"/>
  <c r="X13" i="43"/>
  <c r="W13" i="43"/>
  <c r="V13" i="43"/>
  <c r="U13" i="43"/>
  <c r="T13" i="43"/>
  <c r="S13" i="43"/>
  <c r="R13" i="43"/>
  <c r="Q13" i="43"/>
  <c r="P13" i="43"/>
  <c r="O13" i="43"/>
  <c r="N13" i="43"/>
  <c r="L13" i="43"/>
  <c r="K13" i="43"/>
  <c r="J13" i="43"/>
  <c r="I13" i="43"/>
  <c r="H13" i="43"/>
  <c r="G13" i="43"/>
  <c r="F13" i="43"/>
  <c r="E13" i="43"/>
  <c r="D13" i="43"/>
  <c r="C13" i="43"/>
  <c r="B13" i="43"/>
  <c r="T31" i="45" l="1"/>
  <c r="T9" i="45"/>
  <c r="T48" i="45"/>
  <c r="T56" i="45"/>
  <c r="T28" i="45"/>
  <c r="T38" i="45"/>
  <c r="T11" i="45"/>
  <c r="T20" i="45"/>
  <c r="T29" i="45"/>
  <c r="J58" i="45"/>
  <c r="D58" i="45"/>
  <c r="T45" i="45"/>
  <c r="T24" i="45"/>
  <c r="T19" i="45"/>
  <c r="T26" i="45"/>
  <c r="T34" i="45"/>
  <c r="T42" i="45"/>
  <c r="T7" i="45"/>
  <c r="T52" i="45"/>
  <c r="T54" i="45"/>
  <c r="T23" i="45"/>
  <c r="T43" i="45"/>
  <c r="P58" i="45"/>
  <c r="T40" i="45"/>
  <c r="T14" i="45"/>
  <c r="T36" i="45"/>
  <c r="T17" i="45"/>
  <c r="F58" i="45"/>
  <c r="T12" i="45"/>
  <c r="T46" i="45"/>
  <c r="L58" i="45"/>
  <c r="T44" i="45"/>
  <c r="T21" i="45"/>
  <c r="T10" i="45"/>
  <c r="T32" i="45"/>
  <c r="T57" i="45"/>
  <c r="T18" i="45"/>
  <c r="T33" i="45"/>
  <c r="T55" i="45"/>
  <c r="T49" i="45"/>
  <c r="T47" i="45"/>
  <c r="T50" i="45"/>
  <c r="T27" i="45"/>
  <c r="T39" i="45"/>
  <c r="T22" i="45"/>
  <c r="T30" i="45"/>
  <c r="T53" i="45"/>
  <c r="T15" i="45"/>
  <c r="T13" i="45"/>
  <c r="T8" i="45"/>
  <c r="T35" i="45"/>
  <c r="B58" i="45"/>
  <c r="T37" i="45"/>
  <c r="T25" i="45"/>
  <c r="T41" i="45"/>
  <c r="T51" i="45"/>
  <c r="R58" i="45"/>
  <c r="N58" i="45"/>
  <c r="H58" i="45"/>
  <c r="AA7" i="43"/>
  <c r="AC7" i="43" s="1"/>
  <c r="AA11" i="43"/>
  <c r="AC11" i="43" s="1"/>
  <c r="Z13" i="43"/>
  <c r="AA12" i="43"/>
  <c r="AA10" i="43"/>
  <c r="AC10" i="43" s="1"/>
  <c r="AA8" i="43"/>
  <c r="AC8" i="43" s="1"/>
  <c r="T58" i="45" l="1"/>
  <c r="AA13" i="43"/>
  <c r="B13" i="41" l="1"/>
  <c r="D5" i="44" l="1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E44" i="44"/>
  <c r="E42" i="44"/>
  <c r="E40" i="44"/>
  <c r="E38" i="44"/>
  <c r="E36" i="44"/>
  <c r="E34" i="44"/>
  <c r="E32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I26" i="44"/>
  <c r="E27" i="44"/>
  <c r="E18" i="44"/>
  <c r="E16" i="44"/>
  <c r="E14" i="44"/>
  <c r="E12" i="44"/>
  <c r="I18" i="44" l="1"/>
  <c r="I30" i="44"/>
  <c r="I16" i="44"/>
  <c r="I20" i="44"/>
  <c r="E46" i="44"/>
  <c r="I14" i="44"/>
  <c r="I11" i="44"/>
  <c r="E6" i="44"/>
  <c r="E21" i="44"/>
  <c r="I40" i="44"/>
  <c r="E50" i="44"/>
  <c r="E8" i="44"/>
  <c r="E52" i="44"/>
  <c r="I28" i="44"/>
  <c r="I5" i="44"/>
  <c r="I32" i="44"/>
  <c r="I7" i="44"/>
  <c r="I34" i="44"/>
  <c r="I9" i="44"/>
  <c r="I36" i="44"/>
  <c r="I22" i="44"/>
  <c r="I38" i="44"/>
  <c r="E48" i="44"/>
  <c r="E23" i="44"/>
  <c r="E10" i="44"/>
  <c r="E25" i="44"/>
  <c r="E30" i="44"/>
  <c r="I24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D6" i="41" l="1"/>
  <c r="P3" i="44" s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O5" i="44"/>
  <c r="N9" i="44"/>
  <c r="N20" i="44"/>
  <c r="N28" i="44"/>
  <c r="N36" i="44"/>
  <c r="N7" i="44"/>
  <c r="N18" i="44"/>
  <c r="N26" i="44"/>
  <c r="N34" i="44"/>
  <c r="N54" i="44"/>
  <c r="N16" i="44"/>
  <c r="N24" i="44"/>
  <c r="N32" i="44"/>
  <c r="N40" i="44"/>
  <c r="N11" i="44"/>
  <c r="N14" i="44"/>
  <c r="N22" i="44"/>
  <c r="N30" i="44"/>
  <c r="N38" i="44"/>
  <c r="N5" i="44"/>
  <c r="N47" i="44"/>
  <c r="N52" i="44"/>
  <c r="N35" i="44"/>
  <c r="N27" i="44"/>
  <c r="N19" i="44"/>
  <c r="N10" i="44"/>
  <c r="N51" i="44"/>
  <c r="N48" i="44"/>
  <c r="N53" i="44"/>
  <c r="N49" i="44"/>
  <c r="N41" i="44"/>
  <c r="N33" i="44"/>
  <c r="N25" i="44"/>
  <c r="N17" i="44"/>
  <c r="N12" i="44"/>
  <c r="N44" i="44"/>
  <c r="N50" i="44"/>
  <c r="N46" i="44"/>
  <c r="N39" i="44"/>
  <c r="N31" i="44"/>
  <c r="N23" i="44"/>
  <c r="N15" i="44"/>
  <c r="N6" i="44"/>
  <c r="N55" i="44"/>
  <c r="N42" i="44"/>
  <c r="N45" i="44"/>
  <c r="N43" i="44"/>
  <c r="N37" i="44"/>
  <c r="N29" i="44"/>
  <c r="N21" i="44"/>
  <c r="N13" i="44"/>
  <c r="N8" i="44"/>
  <c r="M10" i="44"/>
  <c r="M18" i="44"/>
  <c r="M25" i="44"/>
  <c r="M30" i="44"/>
  <c r="M38" i="44"/>
  <c r="M46" i="44"/>
  <c r="P46" i="44" s="1"/>
  <c r="G48" i="42" s="1"/>
  <c r="D47" i="46" s="1"/>
  <c r="M8" i="44"/>
  <c r="M16" i="44"/>
  <c r="M23" i="44"/>
  <c r="M32" i="44"/>
  <c r="M40" i="44"/>
  <c r="M48" i="44"/>
  <c r="M5" i="44"/>
  <c r="M6" i="44"/>
  <c r="M14" i="44"/>
  <c r="M21" i="44"/>
  <c r="M34" i="44"/>
  <c r="P34" i="44" s="1"/>
  <c r="G36" i="42" s="1"/>
  <c r="D35" i="46" s="1"/>
  <c r="M42" i="44"/>
  <c r="M50" i="44"/>
  <c r="M54" i="44"/>
  <c r="M12" i="44"/>
  <c r="M27" i="44"/>
  <c r="M36" i="44"/>
  <c r="M44" i="44"/>
  <c r="M52" i="44"/>
  <c r="M55" i="44"/>
  <c r="M53" i="44"/>
  <c r="M45" i="44"/>
  <c r="M37" i="44"/>
  <c r="M29" i="44"/>
  <c r="M22" i="44"/>
  <c r="M15" i="44"/>
  <c r="M7" i="44"/>
  <c r="M51" i="44"/>
  <c r="M43" i="44"/>
  <c r="M35" i="44"/>
  <c r="M28" i="44"/>
  <c r="M20" i="44"/>
  <c r="M13" i="44"/>
  <c r="M49" i="44"/>
  <c r="M41" i="44"/>
  <c r="M33" i="44"/>
  <c r="P33" i="44" s="1"/>
  <c r="G35" i="42" s="1"/>
  <c r="D34" i="46" s="1"/>
  <c r="M26" i="44"/>
  <c r="M19" i="44"/>
  <c r="M11" i="44"/>
  <c r="M47" i="44"/>
  <c r="M39" i="44"/>
  <c r="M31" i="44"/>
  <c r="M24" i="44"/>
  <c r="M17" i="44"/>
  <c r="M9" i="44"/>
  <c r="P30" i="44" l="1"/>
  <c r="G32" i="42" s="1"/>
  <c r="D31" i="46" s="1"/>
  <c r="P13" i="44"/>
  <c r="G15" i="42" s="1"/>
  <c r="D14" i="46" s="1"/>
  <c r="P17" i="44"/>
  <c r="G19" i="42" s="1"/>
  <c r="D18" i="46" s="1"/>
  <c r="P31" i="44"/>
  <c r="G33" i="42" s="1"/>
  <c r="D32" i="46" s="1"/>
  <c r="P11" i="44"/>
  <c r="G13" i="42" s="1"/>
  <c r="D12" i="46" s="1"/>
  <c r="P15" i="44"/>
  <c r="G17" i="42" s="1"/>
  <c r="D16" i="46" s="1"/>
  <c r="P54" i="44"/>
  <c r="G56" i="42" s="1"/>
  <c r="D55" i="46" s="1"/>
  <c r="P47" i="44"/>
  <c r="G49" i="42" s="1"/>
  <c r="D48" i="46" s="1"/>
  <c r="P19" i="44"/>
  <c r="G21" i="42" s="1"/>
  <c r="D20" i="46" s="1"/>
  <c r="P20" i="44"/>
  <c r="G22" i="42" s="1"/>
  <c r="D21" i="46" s="1"/>
  <c r="P35" i="44"/>
  <c r="G37" i="42" s="1"/>
  <c r="D36" i="46" s="1"/>
  <c r="P51" i="44"/>
  <c r="G53" i="42" s="1"/>
  <c r="D52" i="46" s="1"/>
  <c r="P29" i="44"/>
  <c r="G31" i="42" s="1"/>
  <c r="D30" i="46" s="1"/>
  <c r="P55" i="44"/>
  <c r="G57" i="42" s="1"/>
  <c r="D56" i="46" s="1"/>
  <c r="P21" i="44"/>
  <c r="G23" i="42" s="1"/>
  <c r="D22" i="46" s="1"/>
  <c r="P32" i="44"/>
  <c r="G34" i="42" s="1"/>
  <c r="D33" i="46" s="1"/>
  <c r="P16" i="44"/>
  <c r="G18" i="42" s="1"/>
  <c r="D17" i="46" s="1"/>
  <c r="P18" i="44"/>
  <c r="G20" i="42" s="1"/>
  <c r="D19" i="46" s="1"/>
  <c r="P9" i="44"/>
  <c r="G11" i="42" s="1"/>
  <c r="D10" i="46" s="1"/>
  <c r="P24" i="44"/>
  <c r="G26" i="42" s="1"/>
  <c r="D25" i="46" s="1"/>
  <c r="P39" i="44"/>
  <c r="G41" i="42" s="1"/>
  <c r="D40" i="46" s="1"/>
  <c r="P26" i="44"/>
  <c r="G28" i="42" s="1"/>
  <c r="D27" i="46" s="1"/>
  <c r="P41" i="44"/>
  <c r="G43" i="42" s="1"/>
  <c r="D42" i="46" s="1"/>
  <c r="P28" i="44"/>
  <c r="G30" i="42" s="1"/>
  <c r="D29" i="46" s="1"/>
  <c r="P43" i="44"/>
  <c r="G45" i="42" s="1"/>
  <c r="D44" i="46" s="1"/>
  <c r="P7" i="44"/>
  <c r="G9" i="42" s="1"/>
  <c r="D8" i="46" s="1"/>
  <c r="P22" i="44"/>
  <c r="G24" i="42" s="1"/>
  <c r="D23" i="46" s="1"/>
  <c r="P37" i="44"/>
  <c r="G39" i="42" s="1"/>
  <c r="D38" i="46" s="1"/>
  <c r="P36" i="44"/>
  <c r="G38" i="42" s="1"/>
  <c r="D37" i="46" s="1"/>
  <c r="P12" i="44"/>
  <c r="G14" i="42" s="1"/>
  <c r="D13" i="46" s="1"/>
  <c r="P14" i="44"/>
  <c r="G16" i="42" s="1"/>
  <c r="D15" i="46" s="1"/>
  <c r="P40" i="44"/>
  <c r="G42" i="42" s="1"/>
  <c r="D41" i="46" s="1"/>
  <c r="P8" i="44"/>
  <c r="G10" i="42" s="1"/>
  <c r="D9" i="46" s="1"/>
  <c r="P38" i="44"/>
  <c r="G40" i="42" s="1"/>
  <c r="D39" i="46" s="1"/>
  <c r="O56" i="44"/>
  <c r="P45" i="44"/>
  <c r="G47" i="42" s="1"/>
  <c r="D46" i="46" s="1"/>
  <c r="P44" i="44"/>
  <c r="G46" i="42" s="1"/>
  <c r="D45" i="46" s="1"/>
  <c r="P49" i="44"/>
  <c r="G51" i="42" s="1"/>
  <c r="D50" i="46" s="1"/>
  <c r="P48" i="44"/>
  <c r="G50" i="42" s="1"/>
  <c r="D49" i="46" s="1"/>
  <c r="P10" i="44"/>
  <c r="G12" i="42" s="1"/>
  <c r="D11" i="46" s="1"/>
  <c r="P27" i="44"/>
  <c r="G29" i="42" s="1"/>
  <c r="D28" i="46" s="1"/>
  <c r="P52" i="44"/>
  <c r="G54" i="42" s="1"/>
  <c r="D53" i="46" s="1"/>
  <c r="N56" i="44"/>
  <c r="M56" i="44"/>
  <c r="P5" i="44"/>
  <c r="G7" i="42" s="1"/>
  <c r="D6" i="46" s="1"/>
  <c r="P42" i="44"/>
  <c r="G44" i="42" s="1"/>
  <c r="D43" i="46" s="1"/>
  <c r="P6" i="44"/>
  <c r="G8" i="42" s="1"/>
  <c r="D7" i="46" s="1"/>
  <c r="P23" i="44"/>
  <c r="G25" i="42" s="1"/>
  <c r="D24" i="46" s="1"/>
  <c r="P50" i="44"/>
  <c r="G52" i="42" s="1"/>
  <c r="D51" i="46" s="1"/>
  <c r="P25" i="44"/>
  <c r="G27" i="42" s="1"/>
  <c r="D26" i="46" s="1"/>
  <c r="P53" i="44"/>
  <c r="G55" i="42" s="1"/>
  <c r="D54" i="46" s="1"/>
  <c r="I9" i="28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D58" i="28"/>
  <c r="F58" i="28"/>
  <c r="H58" i="28"/>
  <c r="C58" i="28"/>
  <c r="E58" i="28"/>
  <c r="G58" i="28"/>
  <c r="I7" i="28"/>
  <c r="I8" i="28"/>
  <c r="I10" i="28"/>
  <c r="I12" i="28"/>
  <c r="I14" i="28"/>
  <c r="I16" i="28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D11" i="41"/>
  <c r="D10" i="41"/>
  <c r="D9" i="41"/>
  <c r="D8" i="41"/>
  <c r="D7" i="41"/>
  <c r="D5" i="41"/>
  <c r="D4" i="41"/>
  <c r="D57" i="46" l="1"/>
  <c r="D13" i="41"/>
  <c r="P56" i="44"/>
  <c r="Q23" i="44" s="1"/>
  <c r="I58" i="28"/>
  <c r="B58" i="28"/>
  <c r="Q49" i="44" l="1"/>
  <c r="Q52" i="44"/>
  <c r="Q45" i="44"/>
  <c r="Q10" i="44"/>
  <c r="Q42" i="44"/>
  <c r="Q44" i="44"/>
  <c r="Q27" i="44"/>
  <c r="Q25" i="44"/>
  <c r="Q48" i="44"/>
  <c r="G58" i="42"/>
  <c r="Q5" i="44"/>
  <c r="Q9" i="44"/>
  <c r="Q17" i="44"/>
  <c r="Q31" i="44"/>
  <c r="Q47" i="44"/>
  <c r="Q19" i="44"/>
  <c r="Q33" i="44"/>
  <c r="Q20" i="44"/>
  <c r="Q35" i="44"/>
  <c r="Q51" i="44"/>
  <c r="Q15" i="44"/>
  <c r="Q29" i="44"/>
  <c r="Q55" i="44"/>
  <c r="Q54" i="44"/>
  <c r="Q21" i="44"/>
  <c r="Q32" i="44"/>
  <c r="Q16" i="44"/>
  <c r="Q46" i="44"/>
  <c r="Q30" i="44"/>
  <c r="Q18" i="44"/>
  <c r="Q24" i="44"/>
  <c r="Q39" i="44"/>
  <c r="Q11" i="44"/>
  <c r="Q26" i="44"/>
  <c r="Q41" i="44"/>
  <c r="Q13" i="44"/>
  <c r="Q28" i="44"/>
  <c r="Q43" i="44"/>
  <c r="Q7" i="44"/>
  <c r="Q22" i="44"/>
  <c r="Q37" i="44"/>
  <c r="Q36" i="44"/>
  <c r="Q12" i="44"/>
  <c r="Q34" i="44"/>
  <c r="Q14" i="44"/>
  <c r="Q40" i="44"/>
  <c r="Q8" i="44"/>
  <c r="Q38" i="44"/>
  <c r="Q6" i="44"/>
  <c r="Q50" i="44"/>
  <c r="Q53" i="44"/>
  <c r="C59" i="1"/>
  <c r="B59" i="1"/>
  <c r="J6" i="36"/>
  <c r="AD58" i="1"/>
  <c r="AC58" i="1"/>
  <c r="AB58" i="1"/>
  <c r="AA58" i="1"/>
  <c r="AE58" i="1"/>
  <c r="AD57" i="1"/>
  <c r="AC57" i="1"/>
  <c r="AB57" i="1"/>
  <c r="AA57" i="1"/>
  <c r="AE57" i="1"/>
  <c r="AD56" i="1"/>
  <c r="AC56" i="1"/>
  <c r="AB56" i="1"/>
  <c r="AA56" i="1"/>
  <c r="AE56" i="1"/>
  <c r="AD55" i="1"/>
  <c r="AC55" i="1"/>
  <c r="AB55" i="1"/>
  <c r="AA55" i="1"/>
  <c r="AE55" i="1"/>
  <c r="AD54" i="1"/>
  <c r="AC54" i="1"/>
  <c r="AB54" i="1"/>
  <c r="AA54" i="1"/>
  <c r="AE54" i="1"/>
  <c r="AD53" i="1"/>
  <c r="AC53" i="1"/>
  <c r="AB53" i="1"/>
  <c r="AA53" i="1"/>
  <c r="AE53" i="1"/>
  <c r="AD52" i="1"/>
  <c r="AC52" i="1"/>
  <c r="AB52" i="1"/>
  <c r="AA52" i="1"/>
  <c r="AE52" i="1"/>
  <c r="AD51" i="1"/>
  <c r="AC51" i="1"/>
  <c r="AB51" i="1"/>
  <c r="AA51" i="1"/>
  <c r="AE51" i="1"/>
  <c r="AD50" i="1"/>
  <c r="AC50" i="1"/>
  <c r="AB50" i="1"/>
  <c r="AA50" i="1"/>
  <c r="AE50" i="1"/>
  <c r="AD49" i="1"/>
  <c r="AC49" i="1"/>
  <c r="AB49" i="1"/>
  <c r="AA49" i="1"/>
  <c r="AE49" i="1"/>
  <c r="AD48" i="1"/>
  <c r="AC48" i="1"/>
  <c r="AB48" i="1"/>
  <c r="AA48" i="1"/>
  <c r="AE48" i="1"/>
  <c r="AD47" i="1"/>
  <c r="AC47" i="1"/>
  <c r="AB47" i="1"/>
  <c r="AA47" i="1"/>
  <c r="AE47" i="1"/>
  <c r="AD46" i="1"/>
  <c r="AC46" i="1"/>
  <c r="AB46" i="1"/>
  <c r="AA46" i="1"/>
  <c r="AE46" i="1"/>
  <c r="AD45" i="1"/>
  <c r="AC45" i="1"/>
  <c r="AB45" i="1"/>
  <c r="AA45" i="1"/>
  <c r="AE45" i="1"/>
  <c r="AD44" i="1"/>
  <c r="AC44" i="1"/>
  <c r="AB44" i="1"/>
  <c r="AA44" i="1"/>
  <c r="AE44" i="1"/>
  <c r="AD43" i="1"/>
  <c r="AC43" i="1"/>
  <c r="AB43" i="1"/>
  <c r="AA43" i="1"/>
  <c r="AE43" i="1"/>
  <c r="AD42" i="1"/>
  <c r="AC42" i="1"/>
  <c r="AB42" i="1"/>
  <c r="AA42" i="1"/>
  <c r="AE42" i="1"/>
  <c r="AD41" i="1"/>
  <c r="AC41" i="1"/>
  <c r="AB41" i="1"/>
  <c r="AA41" i="1"/>
  <c r="AE41" i="1"/>
  <c r="AD40" i="1"/>
  <c r="AC40" i="1"/>
  <c r="AB40" i="1"/>
  <c r="AA40" i="1"/>
  <c r="AE40" i="1"/>
  <c r="AD39" i="1"/>
  <c r="AC39" i="1"/>
  <c r="AB39" i="1"/>
  <c r="AA39" i="1"/>
  <c r="AE39" i="1"/>
  <c r="AD38" i="1"/>
  <c r="AC38" i="1"/>
  <c r="AB38" i="1"/>
  <c r="AA38" i="1"/>
  <c r="AE38" i="1"/>
  <c r="AD37" i="1"/>
  <c r="AC37" i="1"/>
  <c r="AB37" i="1"/>
  <c r="AA37" i="1"/>
  <c r="AE37" i="1"/>
  <c r="AD36" i="1"/>
  <c r="AC36" i="1"/>
  <c r="AB36" i="1"/>
  <c r="AA36" i="1"/>
  <c r="AE36" i="1"/>
  <c r="AD35" i="1"/>
  <c r="AC35" i="1"/>
  <c r="AB35" i="1"/>
  <c r="AA35" i="1"/>
  <c r="AE35" i="1"/>
  <c r="AD34" i="1"/>
  <c r="AC34" i="1"/>
  <c r="AB34" i="1"/>
  <c r="AA34" i="1"/>
  <c r="AE34" i="1"/>
  <c r="AD33" i="1"/>
  <c r="AC33" i="1"/>
  <c r="AB33" i="1"/>
  <c r="AA33" i="1"/>
  <c r="AE33" i="1"/>
  <c r="AD32" i="1"/>
  <c r="AC32" i="1"/>
  <c r="AB32" i="1"/>
  <c r="AA32" i="1"/>
  <c r="AE32" i="1"/>
  <c r="AD31" i="1"/>
  <c r="AC31" i="1"/>
  <c r="AB31" i="1"/>
  <c r="AA31" i="1"/>
  <c r="AE31" i="1"/>
  <c r="AD30" i="1"/>
  <c r="AC30" i="1"/>
  <c r="AB30" i="1"/>
  <c r="AA30" i="1"/>
  <c r="AE30" i="1"/>
  <c r="AD29" i="1"/>
  <c r="AC29" i="1"/>
  <c r="AB29" i="1"/>
  <c r="AA29" i="1"/>
  <c r="AE29" i="1"/>
  <c r="AD28" i="1"/>
  <c r="AC28" i="1"/>
  <c r="AB28" i="1"/>
  <c r="AA28" i="1"/>
  <c r="AE28" i="1"/>
  <c r="AD27" i="1"/>
  <c r="AC27" i="1"/>
  <c r="AB27" i="1"/>
  <c r="AA27" i="1"/>
  <c r="AE27" i="1"/>
  <c r="AD26" i="1"/>
  <c r="AC26" i="1"/>
  <c r="AB26" i="1"/>
  <c r="AA26" i="1"/>
  <c r="AE26" i="1"/>
  <c r="AD25" i="1"/>
  <c r="AC25" i="1"/>
  <c r="AB25" i="1"/>
  <c r="AA25" i="1"/>
  <c r="AE25" i="1"/>
  <c r="AD24" i="1"/>
  <c r="AC24" i="1"/>
  <c r="AB24" i="1"/>
  <c r="AA24" i="1"/>
  <c r="AD23" i="1"/>
  <c r="AC23" i="1"/>
  <c r="AB23" i="1"/>
  <c r="AA23" i="1"/>
  <c r="AE23" i="1"/>
  <c r="AD22" i="1"/>
  <c r="AC22" i="1"/>
  <c r="AB22" i="1"/>
  <c r="AA22" i="1"/>
  <c r="AE22" i="1"/>
  <c r="AD21" i="1"/>
  <c r="AC21" i="1"/>
  <c r="AB21" i="1"/>
  <c r="AA21" i="1"/>
  <c r="AE21" i="1"/>
  <c r="AD20" i="1"/>
  <c r="AC20" i="1"/>
  <c r="AB20" i="1"/>
  <c r="AA20" i="1"/>
  <c r="AE20" i="1"/>
  <c r="AD19" i="1"/>
  <c r="AC19" i="1"/>
  <c r="AB19" i="1"/>
  <c r="AA19" i="1"/>
  <c r="AE19" i="1"/>
  <c r="AD18" i="1"/>
  <c r="AC18" i="1"/>
  <c r="AB18" i="1"/>
  <c r="AA18" i="1"/>
  <c r="AE18" i="1"/>
  <c r="AD17" i="1"/>
  <c r="AC17" i="1"/>
  <c r="AB17" i="1"/>
  <c r="AA17" i="1"/>
  <c r="AE17" i="1"/>
  <c r="AD16" i="1"/>
  <c r="AC16" i="1"/>
  <c r="AB16" i="1"/>
  <c r="AA16" i="1"/>
  <c r="AE16" i="1"/>
  <c r="AD15" i="1"/>
  <c r="AC15" i="1"/>
  <c r="AB15" i="1"/>
  <c r="AA15" i="1"/>
  <c r="AE15" i="1"/>
  <c r="AD14" i="1"/>
  <c r="AC14" i="1"/>
  <c r="AB14" i="1"/>
  <c r="AA14" i="1"/>
  <c r="AE14" i="1"/>
  <c r="AD13" i="1"/>
  <c r="AC13" i="1"/>
  <c r="AB13" i="1"/>
  <c r="AA13" i="1"/>
  <c r="AE13" i="1"/>
  <c r="AD12" i="1"/>
  <c r="AC12" i="1"/>
  <c r="AB12" i="1"/>
  <c r="AA12" i="1"/>
  <c r="AE12" i="1"/>
  <c r="AD11" i="1"/>
  <c r="AC11" i="1"/>
  <c r="AB11" i="1"/>
  <c r="AA11" i="1"/>
  <c r="AE11" i="1"/>
  <c r="AD10" i="1"/>
  <c r="AC10" i="1"/>
  <c r="AB10" i="1"/>
  <c r="AA10" i="1"/>
  <c r="AE10" i="1"/>
  <c r="AD9" i="1"/>
  <c r="AC9" i="1"/>
  <c r="AB9" i="1"/>
  <c r="AA9" i="1"/>
  <c r="AE9" i="1"/>
  <c r="AD8" i="1"/>
  <c r="AD59" i="1"/>
  <c r="AC8" i="1"/>
  <c r="AC59" i="1"/>
  <c r="AB8" i="1"/>
  <c r="AB59" i="1"/>
  <c r="AA8" i="1"/>
  <c r="U58" i="1"/>
  <c r="T58" i="1"/>
  <c r="S58" i="1"/>
  <c r="R58" i="1"/>
  <c r="V58" i="1"/>
  <c r="U57" i="1"/>
  <c r="T57" i="1"/>
  <c r="S57" i="1"/>
  <c r="R57" i="1"/>
  <c r="V57" i="1"/>
  <c r="U56" i="1"/>
  <c r="T56" i="1"/>
  <c r="S56" i="1"/>
  <c r="R56" i="1"/>
  <c r="V56" i="1"/>
  <c r="U55" i="1"/>
  <c r="T55" i="1"/>
  <c r="S55" i="1"/>
  <c r="R55" i="1"/>
  <c r="V55" i="1"/>
  <c r="U54" i="1"/>
  <c r="T54" i="1"/>
  <c r="S54" i="1"/>
  <c r="R54" i="1"/>
  <c r="U53" i="1"/>
  <c r="T53" i="1"/>
  <c r="S53" i="1"/>
  <c r="R53" i="1"/>
  <c r="V53" i="1"/>
  <c r="U52" i="1"/>
  <c r="T52" i="1"/>
  <c r="S52" i="1"/>
  <c r="R52" i="1"/>
  <c r="V52" i="1"/>
  <c r="U51" i="1"/>
  <c r="T51" i="1"/>
  <c r="S51" i="1"/>
  <c r="R51" i="1"/>
  <c r="V51" i="1"/>
  <c r="U50" i="1"/>
  <c r="T50" i="1"/>
  <c r="S50" i="1"/>
  <c r="R50" i="1"/>
  <c r="V50" i="1"/>
  <c r="U49" i="1"/>
  <c r="T49" i="1"/>
  <c r="S49" i="1"/>
  <c r="R49" i="1"/>
  <c r="V49" i="1"/>
  <c r="U48" i="1"/>
  <c r="T48" i="1"/>
  <c r="S48" i="1"/>
  <c r="R48" i="1"/>
  <c r="V48" i="1"/>
  <c r="U47" i="1"/>
  <c r="T47" i="1"/>
  <c r="S47" i="1"/>
  <c r="R47" i="1"/>
  <c r="V47" i="1"/>
  <c r="U46" i="1"/>
  <c r="T46" i="1"/>
  <c r="S46" i="1"/>
  <c r="R46" i="1"/>
  <c r="V46" i="1"/>
  <c r="U45" i="1"/>
  <c r="T45" i="1"/>
  <c r="S45" i="1"/>
  <c r="R45" i="1"/>
  <c r="V45" i="1"/>
  <c r="U44" i="1"/>
  <c r="T44" i="1"/>
  <c r="S44" i="1"/>
  <c r="R44" i="1"/>
  <c r="V44" i="1"/>
  <c r="U43" i="1"/>
  <c r="T43" i="1"/>
  <c r="S43" i="1"/>
  <c r="R43" i="1"/>
  <c r="V43" i="1"/>
  <c r="U42" i="1"/>
  <c r="T42" i="1"/>
  <c r="S42" i="1"/>
  <c r="R42" i="1"/>
  <c r="V42" i="1"/>
  <c r="U41" i="1"/>
  <c r="T41" i="1"/>
  <c r="S41" i="1"/>
  <c r="R41" i="1"/>
  <c r="V41" i="1"/>
  <c r="U40" i="1"/>
  <c r="T40" i="1"/>
  <c r="S40" i="1"/>
  <c r="R40" i="1"/>
  <c r="V40" i="1"/>
  <c r="U39" i="1"/>
  <c r="T39" i="1"/>
  <c r="S39" i="1"/>
  <c r="R39" i="1"/>
  <c r="V39" i="1"/>
  <c r="U38" i="1"/>
  <c r="T38" i="1"/>
  <c r="S38" i="1"/>
  <c r="R38" i="1"/>
  <c r="V38" i="1"/>
  <c r="U37" i="1"/>
  <c r="T37" i="1"/>
  <c r="S37" i="1"/>
  <c r="R37" i="1"/>
  <c r="V37" i="1"/>
  <c r="U36" i="1"/>
  <c r="T36" i="1"/>
  <c r="S36" i="1"/>
  <c r="R36" i="1"/>
  <c r="V36" i="1"/>
  <c r="U35" i="1"/>
  <c r="T35" i="1"/>
  <c r="S35" i="1"/>
  <c r="R35" i="1"/>
  <c r="V35" i="1"/>
  <c r="U34" i="1"/>
  <c r="T34" i="1"/>
  <c r="S34" i="1"/>
  <c r="R34" i="1"/>
  <c r="V34" i="1"/>
  <c r="U33" i="1"/>
  <c r="T33" i="1"/>
  <c r="S33" i="1"/>
  <c r="R33" i="1"/>
  <c r="V33" i="1"/>
  <c r="U32" i="1"/>
  <c r="T32" i="1"/>
  <c r="S32" i="1"/>
  <c r="R32" i="1"/>
  <c r="V32" i="1"/>
  <c r="U31" i="1"/>
  <c r="T31" i="1"/>
  <c r="S31" i="1"/>
  <c r="R31" i="1"/>
  <c r="V31" i="1"/>
  <c r="U30" i="1"/>
  <c r="T30" i="1"/>
  <c r="S30" i="1"/>
  <c r="R30" i="1"/>
  <c r="V30" i="1"/>
  <c r="U29" i="1"/>
  <c r="T29" i="1"/>
  <c r="S29" i="1"/>
  <c r="R29" i="1"/>
  <c r="V29" i="1"/>
  <c r="U28" i="1"/>
  <c r="T28" i="1"/>
  <c r="S28" i="1"/>
  <c r="R28" i="1"/>
  <c r="V28" i="1"/>
  <c r="U27" i="1"/>
  <c r="T27" i="1"/>
  <c r="S27" i="1"/>
  <c r="R27" i="1"/>
  <c r="V27" i="1"/>
  <c r="U26" i="1"/>
  <c r="T26" i="1"/>
  <c r="S26" i="1"/>
  <c r="R26" i="1"/>
  <c r="V26" i="1"/>
  <c r="U25" i="1"/>
  <c r="T25" i="1"/>
  <c r="S25" i="1"/>
  <c r="R25" i="1"/>
  <c r="V25" i="1"/>
  <c r="U24" i="1"/>
  <c r="T24" i="1"/>
  <c r="S24" i="1"/>
  <c r="R24" i="1"/>
  <c r="V24" i="1"/>
  <c r="U23" i="1"/>
  <c r="T23" i="1"/>
  <c r="S23" i="1"/>
  <c r="R23" i="1"/>
  <c r="V23" i="1"/>
  <c r="U22" i="1"/>
  <c r="T22" i="1"/>
  <c r="S22" i="1"/>
  <c r="R22" i="1"/>
  <c r="V22" i="1"/>
  <c r="U21" i="1"/>
  <c r="T21" i="1"/>
  <c r="S21" i="1"/>
  <c r="R21" i="1"/>
  <c r="V21" i="1"/>
  <c r="U20" i="1"/>
  <c r="T20" i="1"/>
  <c r="S20" i="1"/>
  <c r="R20" i="1"/>
  <c r="U19" i="1"/>
  <c r="T19" i="1"/>
  <c r="S19" i="1"/>
  <c r="R19" i="1"/>
  <c r="V19" i="1"/>
  <c r="U18" i="1"/>
  <c r="T18" i="1"/>
  <c r="S18" i="1"/>
  <c r="R18" i="1"/>
  <c r="V18" i="1"/>
  <c r="U17" i="1"/>
  <c r="T17" i="1"/>
  <c r="S17" i="1"/>
  <c r="R17" i="1"/>
  <c r="V17" i="1"/>
  <c r="U16" i="1"/>
  <c r="T16" i="1"/>
  <c r="S16" i="1"/>
  <c r="R16" i="1"/>
  <c r="V16" i="1"/>
  <c r="U15" i="1"/>
  <c r="T15" i="1"/>
  <c r="S15" i="1"/>
  <c r="R15" i="1"/>
  <c r="V15" i="1"/>
  <c r="U14" i="1"/>
  <c r="T14" i="1"/>
  <c r="S14" i="1"/>
  <c r="R14" i="1"/>
  <c r="V14" i="1"/>
  <c r="U13" i="1"/>
  <c r="T13" i="1"/>
  <c r="S13" i="1"/>
  <c r="R13" i="1"/>
  <c r="V13" i="1"/>
  <c r="U12" i="1"/>
  <c r="T12" i="1"/>
  <c r="S12" i="1"/>
  <c r="R12" i="1"/>
  <c r="V12" i="1"/>
  <c r="U11" i="1"/>
  <c r="T11" i="1"/>
  <c r="S11" i="1"/>
  <c r="R11" i="1"/>
  <c r="V11" i="1"/>
  <c r="U10" i="1"/>
  <c r="T10" i="1"/>
  <c r="S10" i="1"/>
  <c r="R10" i="1"/>
  <c r="V10" i="1"/>
  <c r="U9" i="1"/>
  <c r="T9" i="1"/>
  <c r="S9" i="1"/>
  <c r="R9" i="1"/>
  <c r="V9" i="1"/>
  <c r="U8" i="1"/>
  <c r="U59" i="1"/>
  <c r="T8" i="1"/>
  <c r="T59" i="1"/>
  <c r="S8" i="1"/>
  <c r="S59" i="1"/>
  <c r="R8" i="1"/>
  <c r="R59" i="1"/>
  <c r="AE24" i="1"/>
  <c r="V54" i="1"/>
  <c r="AG54" i="1"/>
  <c r="AH54" i="1"/>
  <c r="AA59" i="1"/>
  <c r="V20" i="1"/>
  <c r="AE8" i="1"/>
  <c r="AF8" i="1"/>
  <c r="V8" i="1"/>
  <c r="E59" i="36"/>
  <c r="F59" i="36" s="1"/>
  <c r="B59" i="36"/>
  <c r="C58" i="36"/>
  <c r="D58" i="1"/>
  <c r="E58" i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AE59" i="1"/>
  <c r="AG58" i="1"/>
  <c r="AH58" i="1"/>
  <c r="AF58" i="1"/>
  <c r="AG57" i="1"/>
  <c r="AH57" i="1"/>
  <c r="AF57" i="1"/>
  <c r="AG56" i="1"/>
  <c r="AH56" i="1"/>
  <c r="AF56" i="1"/>
  <c r="AG55" i="1"/>
  <c r="AH55" i="1"/>
  <c r="AF55" i="1"/>
  <c r="AF54" i="1"/>
  <c r="AG53" i="1"/>
  <c r="AH53" i="1"/>
  <c r="AF53" i="1"/>
  <c r="AG52" i="1"/>
  <c r="AH52" i="1"/>
  <c r="AF52" i="1"/>
  <c r="AG51" i="1"/>
  <c r="AH51" i="1"/>
  <c r="AF51" i="1"/>
  <c r="AG50" i="1"/>
  <c r="AH50" i="1"/>
  <c r="AF50" i="1"/>
  <c r="AG49" i="1"/>
  <c r="AH49" i="1"/>
  <c r="AF49" i="1"/>
  <c r="AG48" i="1"/>
  <c r="AH48" i="1"/>
  <c r="AF48" i="1"/>
  <c r="AG47" i="1"/>
  <c r="AH47" i="1"/>
  <c r="AF47" i="1"/>
  <c r="AG46" i="1"/>
  <c r="AH46" i="1"/>
  <c r="AF46" i="1"/>
  <c r="AG45" i="1"/>
  <c r="AH45" i="1"/>
  <c r="AF45" i="1"/>
  <c r="AG44" i="1"/>
  <c r="AH44" i="1"/>
  <c r="AF44" i="1"/>
  <c r="AG43" i="1"/>
  <c r="AH43" i="1"/>
  <c r="AF43" i="1"/>
  <c r="AG42" i="1"/>
  <c r="AH42" i="1"/>
  <c r="AF42" i="1"/>
  <c r="AG41" i="1"/>
  <c r="AH41" i="1"/>
  <c r="AF41" i="1"/>
  <c r="AG40" i="1"/>
  <c r="AH40" i="1"/>
  <c r="AF40" i="1"/>
  <c r="AG39" i="1"/>
  <c r="AH39" i="1"/>
  <c r="AF39" i="1"/>
  <c r="AG38" i="1"/>
  <c r="AH38" i="1"/>
  <c r="AF38" i="1"/>
  <c r="AG37" i="1"/>
  <c r="AH37" i="1"/>
  <c r="AF37" i="1"/>
  <c r="AG36" i="1"/>
  <c r="AH36" i="1"/>
  <c r="AF36" i="1"/>
  <c r="AG35" i="1"/>
  <c r="AH35" i="1"/>
  <c r="AF35" i="1"/>
  <c r="AG34" i="1"/>
  <c r="AH34" i="1"/>
  <c r="AF34" i="1"/>
  <c r="AG33" i="1"/>
  <c r="AH33" i="1"/>
  <c r="AF33" i="1"/>
  <c r="AG32" i="1"/>
  <c r="AH32" i="1"/>
  <c r="AF32" i="1"/>
  <c r="AG31" i="1"/>
  <c r="AH31" i="1"/>
  <c r="AF31" i="1"/>
  <c r="AG30" i="1"/>
  <c r="AH30" i="1"/>
  <c r="AF30" i="1"/>
  <c r="AG29" i="1"/>
  <c r="AH29" i="1"/>
  <c r="AF29" i="1"/>
  <c r="AG28" i="1"/>
  <c r="AH28" i="1"/>
  <c r="AF28" i="1"/>
  <c r="AG27" i="1"/>
  <c r="AH27" i="1"/>
  <c r="AF27" i="1"/>
  <c r="AG26" i="1"/>
  <c r="AH26" i="1"/>
  <c r="AF26" i="1"/>
  <c r="AG25" i="1"/>
  <c r="AH25" i="1"/>
  <c r="AF25" i="1"/>
  <c r="AG24" i="1"/>
  <c r="AH24" i="1"/>
  <c r="AF24" i="1"/>
  <c r="AG23" i="1"/>
  <c r="AH23" i="1"/>
  <c r="AF23" i="1"/>
  <c r="AG22" i="1"/>
  <c r="AH22" i="1"/>
  <c r="AF22" i="1"/>
  <c r="AG21" i="1"/>
  <c r="AH21" i="1"/>
  <c r="AF21" i="1"/>
  <c r="AG20" i="1"/>
  <c r="AH20" i="1"/>
  <c r="AF20" i="1"/>
  <c r="AG19" i="1"/>
  <c r="AH19" i="1"/>
  <c r="AF19" i="1"/>
  <c r="AG18" i="1"/>
  <c r="AH18" i="1"/>
  <c r="AF18" i="1"/>
  <c r="AG17" i="1"/>
  <c r="AH17" i="1"/>
  <c r="AF17" i="1"/>
  <c r="AG16" i="1"/>
  <c r="AH16" i="1"/>
  <c r="AF16" i="1"/>
  <c r="AG15" i="1"/>
  <c r="AH15" i="1"/>
  <c r="AF15" i="1"/>
  <c r="AG14" i="1"/>
  <c r="AH14" i="1"/>
  <c r="AF14" i="1"/>
  <c r="AG13" i="1"/>
  <c r="AH13" i="1"/>
  <c r="AF13" i="1"/>
  <c r="AG12" i="1"/>
  <c r="AH12" i="1"/>
  <c r="AF12" i="1"/>
  <c r="AG11" i="1"/>
  <c r="AH11" i="1"/>
  <c r="AF11" i="1"/>
  <c r="AG10" i="1"/>
  <c r="AH10" i="1"/>
  <c r="AF10" i="1"/>
  <c r="AG9" i="1"/>
  <c r="AH9" i="1"/>
  <c r="AF9" i="1"/>
  <c r="AG8" i="1"/>
  <c r="AH8" i="1"/>
  <c r="V59" i="1"/>
  <c r="F17" i="36"/>
  <c r="C12" i="36"/>
  <c r="F8" i="36"/>
  <c r="C23" i="36"/>
  <c r="C8" i="36"/>
  <c r="C16" i="36"/>
  <c r="C31" i="36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/>
  <c r="AJ9" i="1"/>
  <c r="AK9" i="1"/>
  <c r="C33" i="36"/>
  <c r="C35" i="36"/>
  <c r="C37" i="36"/>
  <c r="C39" i="36"/>
  <c r="C43" i="36"/>
  <c r="C47" i="36"/>
  <c r="C55" i="36"/>
  <c r="C40" i="36"/>
  <c r="C42" i="36"/>
  <c r="C44" i="36"/>
  <c r="C46" i="36"/>
  <c r="C49" i="36"/>
  <c r="C53" i="36"/>
  <c r="C57" i="36"/>
  <c r="AI11" i="1"/>
  <c r="AJ11" i="1"/>
  <c r="AK11" i="1"/>
  <c r="AF59" i="1"/>
  <c r="D8" i="1"/>
  <c r="E8" i="1" s="1"/>
  <c r="C48" i="36"/>
  <c r="C50" i="36"/>
  <c r="C52" i="36"/>
  <c r="C54" i="36"/>
  <c r="C56" i="36"/>
  <c r="AI30" i="1"/>
  <c r="AJ30" i="1"/>
  <c r="AK30" i="1"/>
  <c r="AI8" i="1"/>
  <c r="AJ8" i="1"/>
  <c r="AI18" i="1"/>
  <c r="AJ18" i="1"/>
  <c r="AK18" i="1"/>
  <c r="AI39" i="1"/>
  <c r="AJ39" i="1"/>
  <c r="AK39" i="1"/>
  <c r="AI50" i="1"/>
  <c r="AJ50" i="1"/>
  <c r="AK50" i="1"/>
  <c r="AI55" i="1"/>
  <c r="AJ55" i="1"/>
  <c r="AK55" i="1"/>
  <c r="AI46" i="1"/>
  <c r="AJ46" i="1"/>
  <c r="AK46" i="1"/>
  <c r="AI14" i="1"/>
  <c r="AJ14" i="1"/>
  <c r="AK14" i="1"/>
  <c r="AI43" i="1"/>
  <c r="AJ43" i="1"/>
  <c r="AK43" i="1"/>
  <c r="AI34" i="1"/>
  <c r="AJ34" i="1"/>
  <c r="AK34" i="1"/>
  <c r="AI51" i="1"/>
  <c r="AJ51" i="1"/>
  <c r="AK51" i="1"/>
  <c r="AI58" i="1"/>
  <c r="AJ58" i="1"/>
  <c r="AK58" i="1"/>
  <c r="AI42" i="1"/>
  <c r="AJ42" i="1"/>
  <c r="AK42" i="1"/>
  <c r="AI26" i="1"/>
  <c r="AJ26" i="1"/>
  <c r="AK26" i="1"/>
  <c r="AI10" i="1"/>
  <c r="AJ10" i="1"/>
  <c r="AK10" i="1"/>
  <c r="AI47" i="1"/>
  <c r="AJ47" i="1"/>
  <c r="AK47" i="1"/>
  <c r="AI54" i="1"/>
  <c r="AJ54" i="1"/>
  <c r="AK54" i="1"/>
  <c r="AI38" i="1"/>
  <c r="AJ38" i="1"/>
  <c r="AK38" i="1"/>
  <c r="AI22" i="1"/>
  <c r="AJ22" i="1"/>
  <c r="AK22" i="1"/>
  <c r="C59" i="36"/>
  <c r="AI27" i="1"/>
  <c r="AJ27" i="1"/>
  <c r="AK27" i="1"/>
  <c r="AI29" i="1"/>
  <c r="AJ29" i="1"/>
  <c r="AK29" i="1"/>
  <c r="AI19" i="1"/>
  <c r="AJ19" i="1"/>
  <c r="AK19" i="1"/>
  <c r="AI33" i="1"/>
  <c r="AJ33" i="1"/>
  <c r="AK33" i="1"/>
  <c r="AI23" i="1"/>
  <c r="AJ23" i="1"/>
  <c r="AK23" i="1"/>
  <c r="AI13" i="1"/>
  <c r="AJ13" i="1"/>
  <c r="AK13" i="1"/>
  <c r="AI57" i="1"/>
  <c r="AJ57" i="1"/>
  <c r="AK57" i="1"/>
  <c r="AI53" i="1"/>
  <c r="AJ53" i="1"/>
  <c r="AK53" i="1"/>
  <c r="AI49" i="1"/>
  <c r="AJ49" i="1"/>
  <c r="AK49" i="1"/>
  <c r="AI45" i="1"/>
  <c r="AJ45" i="1"/>
  <c r="AK45" i="1"/>
  <c r="AI41" i="1"/>
  <c r="AJ41" i="1"/>
  <c r="AK41" i="1"/>
  <c r="AI37" i="1"/>
  <c r="AJ37" i="1"/>
  <c r="AK37" i="1"/>
  <c r="AI56" i="1"/>
  <c r="AJ56" i="1"/>
  <c r="AK56" i="1"/>
  <c r="AI52" i="1"/>
  <c r="AJ52" i="1"/>
  <c r="AK52" i="1"/>
  <c r="AI48" i="1"/>
  <c r="AJ48" i="1"/>
  <c r="AK48" i="1"/>
  <c r="AI44" i="1"/>
  <c r="AJ44" i="1"/>
  <c r="AK44" i="1"/>
  <c r="AI40" i="1"/>
  <c r="AJ40" i="1"/>
  <c r="AK40" i="1"/>
  <c r="AI36" i="1"/>
  <c r="AJ36" i="1"/>
  <c r="AK36" i="1"/>
  <c r="AI32" i="1"/>
  <c r="AJ32" i="1"/>
  <c r="AK32" i="1"/>
  <c r="AI28" i="1"/>
  <c r="AJ28" i="1"/>
  <c r="AK28" i="1"/>
  <c r="AI24" i="1"/>
  <c r="AJ24" i="1"/>
  <c r="AK24" i="1"/>
  <c r="AI20" i="1"/>
  <c r="AJ20" i="1"/>
  <c r="AK20" i="1"/>
  <c r="AI16" i="1"/>
  <c r="AJ16" i="1"/>
  <c r="AK16" i="1"/>
  <c r="AI12" i="1"/>
  <c r="AJ12" i="1"/>
  <c r="AK12" i="1"/>
  <c r="AI21" i="1"/>
  <c r="AJ21" i="1"/>
  <c r="AK21" i="1"/>
  <c r="AI15" i="1"/>
  <c r="AJ15" i="1"/>
  <c r="AK15" i="1"/>
  <c r="AI35" i="1"/>
  <c r="AJ35" i="1"/>
  <c r="AK35" i="1"/>
  <c r="AI31" i="1"/>
  <c r="AJ31" i="1"/>
  <c r="AK31" i="1"/>
  <c r="AI25" i="1"/>
  <c r="AJ25" i="1"/>
  <c r="AK25" i="1"/>
  <c r="AI17" i="1"/>
  <c r="AJ17" i="1"/>
  <c r="AK17" i="1"/>
  <c r="AI59" i="1"/>
  <c r="AJ59" i="1"/>
  <c r="AK8" i="1"/>
  <c r="AK59" i="1"/>
  <c r="J59" i="1"/>
  <c r="K19" i="1"/>
  <c r="L19" i="1"/>
  <c r="G59" i="1"/>
  <c r="H11" i="1" s="1"/>
  <c r="I11" i="1" s="1"/>
  <c r="M11" i="1" s="1"/>
  <c r="H47" i="1"/>
  <c r="I47" i="1" s="1"/>
  <c r="M47" i="1" s="1"/>
  <c r="H25" i="1"/>
  <c r="I25" i="1" s="1"/>
  <c r="M25" i="1" s="1"/>
  <c r="H55" i="1"/>
  <c r="I55" i="1" s="1"/>
  <c r="M55" i="1" s="1"/>
  <c r="H39" i="1"/>
  <c r="I39" i="1" s="1"/>
  <c r="M39" i="1" s="1"/>
  <c r="H10" i="1"/>
  <c r="K59" i="1"/>
  <c r="K27" i="1"/>
  <c r="L27" i="1"/>
  <c r="K43" i="1"/>
  <c r="L43" i="1"/>
  <c r="K11" i="1"/>
  <c r="L11" i="1"/>
  <c r="H34" i="1"/>
  <c r="I34" i="1" s="1"/>
  <c r="M34" i="1" s="1"/>
  <c r="H48" i="1"/>
  <c r="I48" i="1" s="1"/>
  <c r="M48" i="1" s="1"/>
  <c r="H17" i="1"/>
  <c r="I17" i="1" s="1"/>
  <c r="M17" i="1" s="1"/>
  <c r="H57" i="1"/>
  <c r="I57" i="1" s="1"/>
  <c r="M57" i="1" s="1"/>
  <c r="H49" i="1"/>
  <c r="I49" i="1" s="1"/>
  <c r="M49" i="1" s="1"/>
  <c r="H45" i="1"/>
  <c r="I45" i="1" s="1"/>
  <c r="M45" i="1" s="1"/>
  <c r="H41" i="1"/>
  <c r="I41" i="1" s="1"/>
  <c r="M41" i="1" s="1"/>
  <c r="H37" i="1"/>
  <c r="I37" i="1" s="1"/>
  <c r="M37" i="1" s="1"/>
  <c r="H29" i="1"/>
  <c r="I29" i="1" s="1"/>
  <c r="M29" i="1" s="1"/>
  <c r="H21" i="1"/>
  <c r="I21" i="1" s="1"/>
  <c r="M21" i="1" s="1"/>
  <c r="H14" i="1"/>
  <c r="I14" i="1" s="1"/>
  <c r="M14" i="1" s="1"/>
  <c r="H51" i="1"/>
  <c r="I51" i="1" s="1"/>
  <c r="M51" i="1" s="1"/>
  <c r="H52" i="1"/>
  <c r="I52" i="1" s="1"/>
  <c r="M52" i="1" s="1"/>
  <c r="H42" i="1"/>
  <c r="I42" i="1" s="1"/>
  <c r="M42" i="1" s="1"/>
  <c r="H26" i="1"/>
  <c r="I26" i="1" s="1"/>
  <c r="M26" i="1" s="1"/>
  <c r="H9" i="1"/>
  <c r="I9" i="1" s="1"/>
  <c r="M9" i="1" s="1"/>
  <c r="K51" i="1"/>
  <c r="L51" i="1"/>
  <c r="K35" i="1"/>
  <c r="L35" i="1"/>
  <c r="H35" i="1"/>
  <c r="I35" i="1" s="1"/>
  <c r="M35" i="1" s="1"/>
  <c r="H31" i="1"/>
  <c r="I31" i="1" s="1"/>
  <c r="M31" i="1" s="1"/>
  <c r="H27" i="1"/>
  <c r="I27" i="1" s="1"/>
  <c r="M27" i="1" s="1"/>
  <c r="H23" i="1"/>
  <c r="I23" i="1" s="1"/>
  <c r="M23" i="1" s="1"/>
  <c r="H19" i="1"/>
  <c r="K8" i="1"/>
  <c r="L8" i="1"/>
  <c r="K55" i="1"/>
  <c r="L55" i="1"/>
  <c r="K47" i="1"/>
  <c r="L47" i="1"/>
  <c r="K39" i="1"/>
  <c r="L39" i="1"/>
  <c r="K31" i="1"/>
  <c r="L31" i="1"/>
  <c r="K23" i="1"/>
  <c r="L23" i="1"/>
  <c r="K15" i="1"/>
  <c r="L15" i="1"/>
  <c r="K57" i="1"/>
  <c r="L57" i="1"/>
  <c r="K53" i="1"/>
  <c r="L53" i="1"/>
  <c r="K49" i="1"/>
  <c r="L49" i="1"/>
  <c r="K45" i="1"/>
  <c r="L45" i="1"/>
  <c r="K41" i="1"/>
  <c r="L41" i="1"/>
  <c r="K37" i="1"/>
  <c r="L37" i="1"/>
  <c r="K33" i="1"/>
  <c r="L33" i="1"/>
  <c r="K29" i="1"/>
  <c r="L29" i="1"/>
  <c r="K25" i="1"/>
  <c r="L25" i="1"/>
  <c r="K21" i="1"/>
  <c r="L21" i="1"/>
  <c r="K17" i="1"/>
  <c r="L17" i="1"/>
  <c r="K13" i="1"/>
  <c r="L13" i="1"/>
  <c r="K9" i="1"/>
  <c r="L9" i="1"/>
  <c r="I10" i="1"/>
  <c r="I19" i="1"/>
  <c r="M19" i="1" s="1"/>
  <c r="K58" i="1"/>
  <c r="L58" i="1"/>
  <c r="K56" i="1"/>
  <c r="L56" i="1"/>
  <c r="K54" i="1"/>
  <c r="L54" i="1"/>
  <c r="K52" i="1"/>
  <c r="L52" i="1"/>
  <c r="K50" i="1"/>
  <c r="L50" i="1"/>
  <c r="K48" i="1"/>
  <c r="L48" i="1"/>
  <c r="K46" i="1"/>
  <c r="L46" i="1"/>
  <c r="K44" i="1"/>
  <c r="L44" i="1"/>
  <c r="K42" i="1"/>
  <c r="L42" i="1"/>
  <c r="K40" i="1"/>
  <c r="L40" i="1"/>
  <c r="K38" i="1"/>
  <c r="L38" i="1"/>
  <c r="K36" i="1"/>
  <c r="L36" i="1"/>
  <c r="K34" i="1"/>
  <c r="L34" i="1"/>
  <c r="K32" i="1"/>
  <c r="L32" i="1"/>
  <c r="K30" i="1"/>
  <c r="L30" i="1"/>
  <c r="K28" i="1"/>
  <c r="L28" i="1"/>
  <c r="K26" i="1"/>
  <c r="L26" i="1"/>
  <c r="K24" i="1"/>
  <c r="L24" i="1"/>
  <c r="K22" i="1"/>
  <c r="L22" i="1"/>
  <c r="K20" i="1"/>
  <c r="L20" i="1"/>
  <c r="K18" i="1"/>
  <c r="L18" i="1"/>
  <c r="K16" i="1"/>
  <c r="L16" i="1"/>
  <c r="K14" i="1"/>
  <c r="L14" i="1"/>
  <c r="K12" i="1"/>
  <c r="L12" i="1"/>
  <c r="K10" i="1"/>
  <c r="L10" i="1"/>
  <c r="L59" i="1"/>
  <c r="M10" i="1"/>
  <c r="Q56" i="44" l="1"/>
  <c r="F28" i="36"/>
  <c r="F23" i="36"/>
  <c r="F44" i="36"/>
  <c r="F55" i="36"/>
  <c r="F29" i="36"/>
  <c r="F52" i="36"/>
  <c r="F36" i="36"/>
  <c r="F20" i="36"/>
  <c r="F39" i="36"/>
  <c r="F11" i="36"/>
  <c r="F41" i="36"/>
  <c r="F56" i="36"/>
  <c r="F48" i="36"/>
  <c r="F40" i="36"/>
  <c r="F32" i="36"/>
  <c r="F24" i="36"/>
  <c r="F16" i="36"/>
  <c r="F49" i="36"/>
  <c r="F51" i="36"/>
  <c r="F47" i="36"/>
  <c r="F31" i="36"/>
  <c r="F15" i="36"/>
  <c r="F45" i="36"/>
  <c r="F14" i="36"/>
  <c r="F12" i="36"/>
  <c r="F58" i="36"/>
  <c r="F54" i="36"/>
  <c r="F50" i="36"/>
  <c r="F46" i="36"/>
  <c r="F42" i="36"/>
  <c r="F38" i="36"/>
  <c r="F34" i="36"/>
  <c r="F30" i="36"/>
  <c r="F26" i="36"/>
  <c r="F22" i="36"/>
  <c r="F18" i="36"/>
  <c r="F57" i="36"/>
  <c r="F53" i="36"/>
  <c r="F43" i="36"/>
  <c r="F35" i="36"/>
  <c r="F27" i="36"/>
  <c r="F19" i="36"/>
  <c r="F13" i="36"/>
  <c r="F9" i="36"/>
  <c r="F37" i="36"/>
  <c r="F21" i="36"/>
  <c r="F10" i="36"/>
  <c r="F25" i="36"/>
  <c r="F33" i="36"/>
  <c r="H15" i="1"/>
  <c r="I15" i="1" s="1"/>
  <c r="M15" i="1" s="1"/>
  <c r="H20" i="1"/>
  <c r="I20" i="1" s="1"/>
  <c r="M20" i="1" s="1"/>
  <c r="H24" i="1"/>
  <c r="I24" i="1" s="1"/>
  <c r="M24" i="1" s="1"/>
  <c r="H28" i="1"/>
  <c r="I28" i="1" s="1"/>
  <c r="M28" i="1" s="1"/>
  <c r="H32" i="1"/>
  <c r="I32" i="1" s="1"/>
  <c r="M32" i="1" s="1"/>
  <c r="H36" i="1"/>
  <c r="I36" i="1" s="1"/>
  <c r="M36" i="1" s="1"/>
  <c r="H40" i="1"/>
  <c r="I40" i="1" s="1"/>
  <c r="M40" i="1" s="1"/>
  <c r="H44" i="1"/>
  <c r="I44" i="1" s="1"/>
  <c r="M44" i="1" s="1"/>
  <c r="H13" i="1"/>
  <c r="I13" i="1" s="1"/>
  <c r="M13" i="1" s="1"/>
  <c r="H22" i="1"/>
  <c r="I22" i="1" s="1"/>
  <c r="M22" i="1" s="1"/>
  <c r="H30" i="1"/>
  <c r="I30" i="1" s="1"/>
  <c r="M30" i="1" s="1"/>
  <c r="H38" i="1"/>
  <c r="I38" i="1" s="1"/>
  <c r="M38" i="1" s="1"/>
  <c r="H46" i="1"/>
  <c r="I46" i="1" s="1"/>
  <c r="M46" i="1" s="1"/>
  <c r="H50" i="1"/>
  <c r="I50" i="1" s="1"/>
  <c r="M50" i="1" s="1"/>
  <c r="H54" i="1"/>
  <c r="I54" i="1" s="1"/>
  <c r="M54" i="1" s="1"/>
  <c r="H58" i="1"/>
  <c r="I58" i="1" s="1"/>
  <c r="M58" i="1" s="1"/>
  <c r="H8" i="1"/>
  <c r="H12" i="1"/>
  <c r="I12" i="1" s="1"/>
  <c r="M12" i="1" s="1"/>
  <c r="H16" i="1"/>
  <c r="I16" i="1" s="1"/>
  <c r="M16" i="1" s="1"/>
  <c r="H56" i="1"/>
  <c r="I56" i="1" s="1"/>
  <c r="M56" i="1" s="1"/>
  <c r="H18" i="1"/>
  <c r="I18" i="1" s="1"/>
  <c r="M18" i="1" s="1"/>
  <c r="H33" i="1"/>
  <c r="I33" i="1" s="1"/>
  <c r="M33" i="1" s="1"/>
  <c r="H43" i="1"/>
  <c r="I43" i="1" s="1"/>
  <c r="M43" i="1" s="1"/>
  <c r="H53" i="1"/>
  <c r="I53" i="1" s="1"/>
  <c r="M53" i="1" s="1"/>
  <c r="J56" i="36"/>
  <c r="J32" i="36"/>
  <c r="J19" i="36"/>
  <c r="J51" i="36"/>
  <c r="J35" i="36"/>
  <c r="J16" i="36"/>
  <c r="J48" i="36"/>
  <c r="J11" i="36"/>
  <c r="J27" i="36"/>
  <c r="J43" i="36"/>
  <c r="J8" i="36"/>
  <c r="J24" i="36"/>
  <c r="J40" i="36"/>
  <c r="AM6" i="1"/>
  <c r="J58" i="36"/>
  <c r="J54" i="36"/>
  <c r="J50" i="36"/>
  <c r="J46" i="36"/>
  <c r="J42" i="36"/>
  <c r="J38" i="36"/>
  <c r="J34" i="36"/>
  <c r="J30" i="36"/>
  <c r="J26" i="36"/>
  <c r="J22" i="36"/>
  <c r="J18" i="36"/>
  <c r="J14" i="36"/>
  <c r="J10" i="36"/>
  <c r="J57" i="36"/>
  <c r="J53" i="36"/>
  <c r="J49" i="36"/>
  <c r="J45" i="36"/>
  <c r="J41" i="36"/>
  <c r="J37" i="36"/>
  <c r="J33" i="36"/>
  <c r="J29" i="36"/>
  <c r="J25" i="36"/>
  <c r="J21" i="36"/>
  <c r="J17" i="36"/>
  <c r="J13" i="36"/>
  <c r="J9" i="36"/>
  <c r="K6" i="36"/>
  <c r="L6" i="36"/>
  <c r="J15" i="36"/>
  <c r="J23" i="36"/>
  <c r="J31" i="36"/>
  <c r="J39" i="36"/>
  <c r="J47" i="36"/>
  <c r="J55" i="36"/>
  <c r="J12" i="36"/>
  <c r="J20" i="36"/>
  <c r="J28" i="36"/>
  <c r="J36" i="36"/>
  <c r="J44" i="36"/>
  <c r="J52" i="36"/>
  <c r="D59" i="1"/>
  <c r="E59" i="1"/>
  <c r="F8" i="1"/>
  <c r="F9" i="1"/>
  <c r="F10" i="1"/>
  <c r="F11" i="1"/>
  <c r="F14" i="1"/>
  <c r="F16" i="1"/>
  <c r="F17" i="1"/>
  <c r="F18" i="1"/>
  <c r="F19" i="1"/>
  <c r="F26" i="1"/>
  <c r="F27" i="1"/>
  <c r="F28" i="1"/>
  <c r="F29" i="1"/>
  <c r="F32" i="1"/>
  <c r="F33" i="1"/>
  <c r="F34" i="1"/>
  <c r="F35" i="1"/>
  <c r="F40" i="1"/>
  <c r="F41" i="1"/>
  <c r="F44" i="1"/>
  <c r="F46" i="1"/>
  <c r="F49" i="1"/>
  <c r="F50" i="1"/>
  <c r="F51" i="1"/>
  <c r="F52" i="1"/>
  <c r="I8" i="1" l="1"/>
  <c r="H59" i="1"/>
  <c r="AO6" i="1"/>
  <c r="AO56" i="1" s="1"/>
  <c r="AN6" i="1"/>
  <c r="AN37" i="1" s="1"/>
  <c r="AM49" i="1"/>
  <c r="AM40" i="1"/>
  <c r="AM32" i="1"/>
  <c r="AM18" i="1"/>
  <c r="AM51" i="1"/>
  <c r="AM44" i="1"/>
  <c r="AM34" i="1"/>
  <c r="AM28" i="1"/>
  <c r="AM26" i="1"/>
  <c r="AM16" i="1"/>
  <c r="AM11" i="1"/>
  <c r="AM9" i="1"/>
  <c r="J59" i="36"/>
  <c r="AM52" i="1"/>
  <c r="AM50" i="1"/>
  <c r="AM46" i="1"/>
  <c r="AM41" i="1"/>
  <c r="AM35" i="1"/>
  <c r="AM33" i="1"/>
  <c r="AM29" i="1"/>
  <c r="AM27" i="1"/>
  <c r="AM19" i="1"/>
  <c r="AM17" i="1"/>
  <c r="AM14" i="1"/>
  <c r="AM10" i="1"/>
  <c r="K14" i="36"/>
  <c r="K51" i="36"/>
  <c r="K10" i="36"/>
  <c r="K9" i="36"/>
  <c r="K13" i="36"/>
  <c r="K21" i="36"/>
  <c r="K55" i="36"/>
  <c r="K57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58" i="36"/>
  <c r="K29" i="36"/>
  <c r="K37" i="36"/>
  <c r="K45" i="36"/>
  <c r="K19" i="36"/>
  <c r="K23" i="36"/>
  <c r="K27" i="36"/>
  <c r="K31" i="36"/>
  <c r="K35" i="36"/>
  <c r="K39" i="36"/>
  <c r="K43" i="36"/>
  <c r="K47" i="36"/>
  <c r="K49" i="36"/>
  <c r="K53" i="36"/>
  <c r="K8" i="36"/>
  <c r="K11" i="36"/>
  <c r="K33" i="36"/>
  <c r="K17" i="36"/>
  <c r="K25" i="36"/>
  <c r="K41" i="36"/>
  <c r="K12" i="36"/>
  <c r="K15" i="36"/>
  <c r="AM8" i="1"/>
  <c r="F58" i="1"/>
  <c r="AM58" i="1" s="1"/>
  <c r="F38" i="1"/>
  <c r="AM38" i="1" s="1"/>
  <c r="F54" i="1"/>
  <c r="AM54" i="1" s="1"/>
  <c r="F22" i="1"/>
  <c r="AM22" i="1" s="1"/>
  <c r="F39" i="1"/>
  <c r="AM39" i="1" s="1"/>
  <c r="F55" i="1"/>
  <c r="AM55" i="1" s="1"/>
  <c r="F43" i="1"/>
  <c r="AM43" i="1" s="1"/>
  <c r="F24" i="1"/>
  <c r="AM24" i="1" s="1"/>
  <c r="F56" i="1"/>
  <c r="AM56" i="1" s="1"/>
  <c r="F47" i="1"/>
  <c r="AM47" i="1" s="1"/>
  <c r="F37" i="1"/>
  <c r="AM37" i="1" s="1"/>
  <c r="F30" i="1"/>
  <c r="AM30" i="1" s="1"/>
  <c r="F15" i="1"/>
  <c r="AM15" i="1" s="1"/>
  <c r="F45" i="1"/>
  <c r="AM45" i="1" s="1"/>
  <c r="F31" i="1"/>
  <c r="AM31" i="1" s="1"/>
  <c r="F21" i="1"/>
  <c r="AM21" i="1" s="1"/>
  <c r="F42" i="1"/>
  <c r="AM42" i="1" s="1"/>
  <c r="F20" i="1"/>
  <c r="AM20" i="1" s="1"/>
  <c r="F23" i="1"/>
  <c r="AM23" i="1" s="1"/>
  <c r="F13" i="1"/>
  <c r="AM13" i="1" s="1"/>
  <c r="F57" i="1"/>
  <c r="AM57" i="1" s="1"/>
  <c r="F53" i="1"/>
  <c r="AM53" i="1" s="1"/>
  <c r="F48" i="1"/>
  <c r="AM48" i="1" s="1"/>
  <c r="F12" i="1"/>
  <c r="AM12" i="1" s="1"/>
  <c r="F25" i="1"/>
  <c r="AM25" i="1" s="1"/>
  <c r="F36" i="1"/>
  <c r="AM36" i="1" s="1"/>
  <c r="M8" i="1" l="1"/>
  <c r="M59" i="1" s="1"/>
  <c r="I59" i="1"/>
  <c r="AO15" i="1"/>
  <c r="AO46" i="1"/>
  <c r="AO36" i="1"/>
  <c r="AN55" i="1"/>
  <c r="AO21" i="1"/>
  <c r="AO32" i="1"/>
  <c r="AO11" i="1"/>
  <c r="AN17" i="1"/>
  <c r="AN54" i="1"/>
  <c r="AN25" i="1"/>
  <c r="AN13" i="1"/>
  <c r="AN36" i="1"/>
  <c r="AN49" i="1"/>
  <c r="AN10" i="1"/>
  <c r="AN27" i="1"/>
  <c r="AN16" i="1"/>
  <c r="AN47" i="1"/>
  <c r="AN48" i="1"/>
  <c r="AO51" i="1"/>
  <c r="AO29" i="1"/>
  <c r="AO47" i="1"/>
  <c r="AP47" i="1" s="1"/>
  <c r="K46" i="28" s="1"/>
  <c r="AO43" i="1"/>
  <c r="AO22" i="1"/>
  <c r="AO49" i="1"/>
  <c r="AN22" i="1"/>
  <c r="AN12" i="1"/>
  <c r="AN39" i="1"/>
  <c r="AN35" i="1"/>
  <c r="AN11" i="1"/>
  <c r="AN41" i="1"/>
  <c r="AN23" i="1"/>
  <c r="AN51" i="1"/>
  <c r="AN44" i="1"/>
  <c r="AN9" i="1"/>
  <c r="AN26" i="1"/>
  <c r="AN18" i="1"/>
  <c r="AN52" i="1"/>
  <c r="AO53" i="1"/>
  <c r="AO18" i="1"/>
  <c r="AO28" i="1"/>
  <c r="AO41" i="1"/>
  <c r="AO44" i="1"/>
  <c r="AO17" i="1"/>
  <c r="AO57" i="1"/>
  <c r="AO14" i="1"/>
  <c r="AO52" i="1"/>
  <c r="AO16" i="1"/>
  <c r="AO35" i="1"/>
  <c r="AO23" i="1"/>
  <c r="AO24" i="1"/>
  <c r="AN40" i="1"/>
  <c r="AN28" i="1"/>
  <c r="AN31" i="1"/>
  <c r="AN46" i="1"/>
  <c r="AP46" i="1" s="1"/>
  <c r="K45" i="28" s="1"/>
  <c r="AN43" i="1"/>
  <c r="AN20" i="1"/>
  <c r="AN33" i="1"/>
  <c r="AN42" i="1"/>
  <c r="AN21" i="1"/>
  <c r="AN53" i="1"/>
  <c r="AN38" i="1"/>
  <c r="AN45" i="1"/>
  <c r="AN57" i="1"/>
  <c r="AN30" i="1"/>
  <c r="AN56" i="1"/>
  <c r="AP56" i="1" s="1"/>
  <c r="K55" i="28" s="1"/>
  <c r="AN19" i="1"/>
  <c r="AN15" i="1"/>
  <c r="AN50" i="1"/>
  <c r="AN58" i="1"/>
  <c r="AN8" i="1"/>
  <c r="AN29" i="1"/>
  <c r="AN24" i="1"/>
  <c r="AN32" i="1"/>
  <c r="AN14" i="1"/>
  <c r="AN34" i="1"/>
  <c r="AO50" i="1"/>
  <c r="AO12" i="1"/>
  <c r="AO10" i="1"/>
  <c r="AO48" i="1"/>
  <c r="AO31" i="1"/>
  <c r="AO55" i="1"/>
  <c r="AO40" i="1"/>
  <c r="AO19" i="1"/>
  <c r="AO26" i="1"/>
  <c r="AO37" i="1"/>
  <c r="AP37" i="1" s="1"/>
  <c r="K36" i="28" s="1"/>
  <c r="AO20" i="1"/>
  <c r="AO9" i="1"/>
  <c r="AO13" i="1"/>
  <c r="AO38" i="1"/>
  <c r="AP38" i="1" s="1"/>
  <c r="K37" i="28" s="1"/>
  <c r="AO8" i="1"/>
  <c r="AO39" i="1"/>
  <c r="AO25" i="1"/>
  <c r="AO33" i="1"/>
  <c r="AP33" i="1" s="1"/>
  <c r="K32" i="28" s="1"/>
  <c r="AO54" i="1"/>
  <c r="AO42" i="1"/>
  <c r="AO58" i="1"/>
  <c r="AO34" i="1"/>
  <c r="AO27" i="1"/>
  <c r="AO30" i="1"/>
  <c r="AO45" i="1"/>
  <c r="K59" i="36"/>
  <c r="F59" i="1"/>
  <c r="AM59" i="1"/>
  <c r="AP9" i="1" l="1"/>
  <c r="K8" i="28" s="1"/>
  <c r="AP48" i="1"/>
  <c r="K47" i="28" s="1"/>
  <c r="AP55" i="1"/>
  <c r="K54" i="28" s="1"/>
  <c r="AP36" i="1"/>
  <c r="K35" i="28" s="1"/>
  <c r="AP34" i="1"/>
  <c r="K33" i="28" s="1"/>
  <c r="AP12" i="1"/>
  <c r="K11" i="28" s="1"/>
  <c r="AP32" i="1"/>
  <c r="K31" i="28" s="1"/>
  <c r="AP11" i="1"/>
  <c r="K10" i="28" s="1"/>
  <c r="AP22" i="1"/>
  <c r="K21" i="28" s="1"/>
  <c r="AP29" i="1"/>
  <c r="K28" i="28" s="1"/>
  <c r="AP15" i="1"/>
  <c r="K14" i="28" s="1"/>
  <c r="AP57" i="1"/>
  <c r="K56" i="28" s="1"/>
  <c r="AP20" i="1"/>
  <c r="K19" i="28" s="1"/>
  <c r="AP45" i="1"/>
  <c r="K44" i="28" s="1"/>
  <c r="AP21" i="1"/>
  <c r="K20" i="28" s="1"/>
  <c r="AP43" i="1"/>
  <c r="K42" i="28" s="1"/>
  <c r="AP54" i="1"/>
  <c r="K53" i="28" s="1"/>
  <c r="AP28" i="1"/>
  <c r="K27" i="28" s="1"/>
  <c r="AP25" i="1"/>
  <c r="K24" i="28" s="1"/>
  <c r="AP8" i="1"/>
  <c r="K7" i="28" s="1"/>
  <c r="AP17" i="1"/>
  <c r="K16" i="28" s="1"/>
  <c r="AP42" i="1"/>
  <c r="K41" i="28" s="1"/>
  <c r="AP39" i="1"/>
  <c r="K38" i="28" s="1"/>
  <c r="AP27" i="1"/>
  <c r="K26" i="28" s="1"/>
  <c r="AP13" i="1"/>
  <c r="K12" i="28" s="1"/>
  <c r="AP51" i="1"/>
  <c r="K50" i="28" s="1"/>
  <c r="AP41" i="1"/>
  <c r="K40" i="28" s="1"/>
  <c r="AP35" i="1"/>
  <c r="K34" i="28" s="1"/>
  <c r="AP49" i="1"/>
  <c r="K48" i="28" s="1"/>
  <c r="AP10" i="1"/>
  <c r="K9" i="28" s="1"/>
  <c r="AP24" i="1"/>
  <c r="K23" i="28" s="1"/>
  <c r="AP53" i="1"/>
  <c r="K52" i="28" s="1"/>
  <c r="AP16" i="1"/>
  <c r="K15" i="28" s="1"/>
  <c r="AP18" i="1"/>
  <c r="K17" i="28" s="1"/>
  <c r="AP52" i="1"/>
  <c r="K51" i="28" s="1"/>
  <c r="AP26" i="1"/>
  <c r="K25" i="28" s="1"/>
  <c r="AP23" i="1"/>
  <c r="K22" i="28" s="1"/>
  <c r="AP40" i="1"/>
  <c r="K39" i="28" s="1"/>
  <c r="AP14" i="1"/>
  <c r="K13" i="28" s="1"/>
  <c r="AP50" i="1"/>
  <c r="K49" i="28" s="1"/>
  <c r="AP44" i="1"/>
  <c r="K43" i="28" s="1"/>
  <c r="AP30" i="1"/>
  <c r="K29" i="28" s="1"/>
  <c r="AP19" i="1"/>
  <c r="K18" i="28" s="1"/>
  <c r="AP58" i="1"/>
  <c r="K57" i="28" s="1"/>
  <c r="AN59" i="1"/>
  <c r="AP31" i="1"/>
  <c r="K30" i="28" s="1"/>
  <c r="AO59" i="1"/>
  <c r="AP59" i="1" l="1"/>
  <c r="AQ8" i="1" s="1"/>
  <c r="H8" i="36" s="1"/>
  <c r="AQ11" i="1" l="1"/>
  <c r="H11" i="36" s="1"/>
  <c r="L11" i="36" s="1"/>
  <c r="M11" i="36" s="1"/>
  <c r="AQ35" i="1"/>
  <c r="H35" i="36" s="1"/>
  <c r="L35" i="36" s="1"/>
  <c r="M35" i="36" s="1"/>
  <c r="AQ43" i="1"/>
  <c r="H43" i="36" s="1"/>
  <c r="L43" i="36" s="1"/>
  <c r="M43" i="36" s="1"/>
  <c r="AQ45" i="1"/>
  <c r="H45" i="36" s="1"/>
  <c r="L45" i="36" s="1"/>
  <c r="M45" i="36" s="1"/>
  <c r="AQ36" i="1"/>
  <c r="H36" i="36" s="1"/>
  <c r="L36" i="36" s="1"/>
  <c r="M36" i="36" s="1"/>
  <c r="AQ48" i="1"/>
  <c r="H48" i="36" s="1"/>
  <c r="L48" i="36" s="1"/>
  <c r="M48" i="36" s="1"/>
  <c r="AQ17" i="1"/>
  <c r="H17" i="36" s="1"/>
  <c r="L17" i="36" s="1"/>
  <c r="M17" i="36" s="1"/>
  <c r="AQ22" i="1"/>
  <c r="H22" i="36" s="1"/>
  <c r="L22" i="36" s="1"/>
  <c r="M22" i="36" s="1"/>
  <c r="AQ34" i="1"/>
  <c r="H34" i="36" s="1"/>
  <c r="L34" i="36" s="1"/>
  <c r="M34" i="36" s="1"/>
  <c r="AQ37" i="1"/>
  <c r="H37" i="36" s="1"/>
  <c r="L37" i="36" s="1"/>
  <c r="M37" i="36" s="1"/>
  <c r="AQ25" i="1"/>
  <c r="H25" i="36" s="1"/>
  <c r="L25" i="36" s="1"/>
  <c r="M25" i="36" s="1"/>
  <c r="AQ55" i="1"/>
  <c r="H55" i="36" s="1"/>
  <c r="L55" i="36" s="1"/>
  <c r="M55" i="36" s="1"/>
  <c r="AQ20" i="1"/>
  <c r="H20" i="36" s="1"/>
  <c r="L20" i="36" s="1"/>
  <c r="M20" i="36" s="1"/>
  <c r="AQ32" i="1"/>
  <c r="H32" i="36" s="1"/>
  <c r="L32" i="36" s="1"/>
  <c r="M32" i="36" s="1"/>
  <c r="AQ16" i="1"/>
  <c r="H16" i="36" s="1"/>
  <c r="L16" i="36" s="1"/>
  <c r="M16" i="36" s="1"/>
  <c r="AQ49" i="1"/>
  <c r="H49" i="36" s="1"/>
  <c r="L49" i="36" s="1"/>
  <c r="M49" i="36" s="1"/>
  <c r="AQ19" i="1"/>
  <c r="H19" i="36" s="1"/>
  <c r="L19" i="36" s="1"/>
  <c r="M19" i="36" s="1"/>
  <c r="AQ46" i="1"/>
  <c r="H46" i="36" s="1"/>
  <c r="L46" i="36" s="1"/>
  <c r="M46" i="36" s="1"/>
  <c r="AQ54" i="1"/>
  <c r="H54" i="36" s="1"/>
  <c r="L54" i="36" s="1"/>
  <c r="M54" i="36" s="1"/>
  <c r="AQ15" i="1"/>
  <c r="H15" i="36" s="1"/>
  <c r="L15" i="36" s="1"/>
  <c r="M15" i="36" s="1"/>
  <c r="AQ38" i="1"/>
  <c r="H38" i="36" s="1"/>
  <c r="L38" i="36" s="1"/>
  <c r="M38" i="36" s="1"/>
  <c r="AQ47" i="1"/>
  <c r="H47" i="36" s="1"/>
  <c r="L47" i="36" s="1"/>
  <c r="M47" i="36" s="1"/>
  <c r="AQ13" i="1"/>
  <c r="H13" i="36" s="1"/>
  <c r="L13" i="36" s="1"/>
  <c r="M13" i="36" s="1"/>
  <c r="AQ40" i="1"/>
  <c r="H40" i="36" s="1"/>
  <c r="L40" i="36" s="1"/>
  <c r="M40" i="36" s="1"/>
  <c r="AQ26" i="1"/>
  <c r="H26" i="36" s="1"/>
  <c r="L26" i="36" s="1"/>
  <c r="M26" i="36" s="1"/>
  <c r="AQ51" i="1"/>
  <c r="H51" i="36" s="1"/>
  <c r="L51" i="36" s="1"/>
  <c r="M51" i="36" s="1"/>
  <c r="AQ27" i="1"/>
  <c r="H27" i="36" s="1"/>
  <c r="L27" i="36" s="1"/>
  <c r="M27" i="36" s="1"/>
  <c r="AQ52" i="1"/>
  <c r="H52" i="36" s="1"/>
  <c r="L52" i="36" s="1"/>
  <c r="M52" i="36" s="1"/>
  <c r="AQ39" i="1"/>
  <c r="H39" i="36" s="1"/>
  <c r="L39" i="36" s="1"/>
  <c r="M39" i="36" s="1"/>
  <c r="AQ23" i="1"/>
  <c r="H23" i="36" s="1"/>
  <c r="L23" i="36" s="1"/>
  <c r="M23" i="36" s="1"/>
  <c r="AQ42" i="1"/>
  <c r="H42" i="36" s="1"/>
  <c r="L42" i="36" s="1"/>
  <c r="M42" i="36" s="1"/>
  <c r="AQ30" i="1"/>
  <c r="H30" i="36" s="1"/>
  <c r="L30" i="36" s="1"/>
  <c r="M30" i="36" s="1"/>
  <c r="AQ53" i="1"/>
  <c r="H53" i="36" s="1"/>
  <c r="L53" i="36" s="1"/>
  <c r="M53" i="36" s="1"/>
  <c r="AQ9" i="1"/>
  <c r="H9" i="36" s="1"/>
  <c r="L9" i="36" s="1"/>
  <c r="M9" i="36" s="1"/>
  <c r="AQ28" i="1"/>
  <c r="H28" i="36" s="1"/>
  <c r="L28" i="36" s="1"/>
  <c r="M28" i="36" s="1"/>
  <c r="AQ10" i="1"/>
  <c r="H10" i="36" s="1"/>
  <c r="L10" i="36" s="1"/>
  <c r="M10" i="36" s="1"/>
  <c r="AQ33" i="1"/>
  <c r="H33" i="36" s="1"/>
  <c r="L33" i="36" s="1"/>
  <c r="M33" i="36" s="1"/>
  <c r="AQ58" i="1"/>
  <c r="H58" i="36" s="1"/>
  <c r="L58" i="36" s="1"/>
  <c r="M58" i="36" s="1"/>
  <c r="AQ56" i="1"/>
  <c r="H56" i="36" s="1"/>
  <c r="L56" i="36" s="1"/>
  <c r="M56" i="36" s="1"/>
  <c r="AQ57" i="1"/>
  <c r="H57" i="36" s="1"/>
  <c r="L57" i="36" s="1"/>
  <c r="M57" i="36" s="1"/>
  <c r="AQ31" i="1"/>
  <c r="H31" i="36" s="1"/>
  <c r="L31" i="36" s="1"/>
  <c r="M31" i="36" s="1"/>
  <c r="AQ24" i="1"/>
  <c r="H24" i="36" s="1"/>
  <c r="L24" i="36" s="1"/>
  <c r="M24" i="36" s="1"/>
  <c r="AQ21" i="1"/>
  <c r="H21" i="36" s="1"/>
  <c r="L21" i="36" s="1"/>
  <c r="M21" i="36" s="1"/>
  <c r="AQ12" i="1"/>
  <c r="H12" i="36" s="1"/>
  <c r="L12" i="36" s="1"/>
  <c r="M12" i="36" s="1"/>
  <c r="AQ41" i="1"/>
  <c r="H41" i="36" s="1"/>
  <c r="L41" i="36" s="1"/>
  <c r="M41" i="36" s="1"/>
  <c r="AQ18" i="1"/>
  <c r="H18" i="36" s="1"/>
  <c r="L18" i="36" s="1"/>
  <c r="M18" i="36" s="1"/>
  <c r="AQ44" i="1"/>
  <c r="H44" i="36" s="1"/>
  <c r="L44" i="36" s="1"/>
  <c r="M44" i="36" s="1"/>
  <c r="AQ14" i="1"/>
  <c r="H14" i="36" s="1"/>
  <c r="L14" i="36" s="1"/>
  <c r="M14" i="36" s="1"/>
  <c r="AQ29" i="1"/>
  <c r="H29" i="36" s="1"/>
  <c r="L29" i="36" s="1"/>
  <c r="M29" i="36" s="1"/>
  <c r="AQ50" i="1"/>
  <c r="H50" i="36" s="1"/>
  <c r="L50" i="36" s="1"/>
  <c r="M50" i="36" s="1"/>
  <c r="L8" i="36"/>
  <c r="H59" i="36" l="1"/>
  <c r="AQ59" i="1"/>
  <c r="L59" i="36"/>
  <c r="M8" i="36"/>
  <c r="M59" i="36" l="1"/>
  <c r="N8" i="36" s="1"/>
  <c r="S7" i="42" s="1"/>
  <c r="J6" i="46" s="1"/>
  <c r="K58" i="28" l="1"/>
  <c r="N58" i="36"/>
  <c r="S57" i="42" s="1"/>
  <c r="J56" i="46" s="1"/>
  <c r="N39" i="36"/>
  <c r="S38" i="42" s="1"/>
  <c r="J37" i="46" s="1"/>
  <c r="N56" i="36"/>
  <c r="S55" i="42" s="1"/>
  <c r="J54" i="46" s="1"/>
  <c r="N15" i="36"/>
  <c r="S14" i="42" s="1"/>
  <c r="J13" i="46" s="1"/>
  <c r="N57" i="36"/>
  <c r="S56" i="42" s="1"/>
  <c r="J55" i="46" s="1"/>
  <c r="N25" i="36"/>
  <c r="S24" i="42" s="1"/>
  <c r="J23" i="46" s="1"/>
  <c r="N31" i="36"/>
  <c r="S30" i="42" s="1"/>
  <c r="J29" i="46" s="1"/>
  <c r="N22" i="36"/>
  <c r="S21" i="42" s="1"/>
  <c r="J20" i="46" s="1"/>
  <c r="N24" i="36"/>
  <c r="S23" i="42" s="1"/>
  <c r="J22" i="46" s="1"/>
  <c r="N30" i="36"/>
  <c r="S29" i="42" s="1"/>
  <c r="J28" i="46" s="1"/>
  <c r="N21" i="36"/>
  <c r="S20" i="42" s="1"/>
  <c r="J19" i="46" s="1"/>
  <c r="N13" i="36"/>
  <c r="S12" i="42" s="1"/>
  <c r="J11" i="46" s="1"/>
  <c r="N12" i="36"/>
  <c r="S11" i="42" s="1"/>
  <c r="J10" i="46" s="1"/>
  <c r="N32" i="36"/>
  <c r="S31" i="42" s="1"/>
  <c r="J30" i="46" s="1"/>
  <c r="N41" i="36"/>
  <c r="S40" i="42" s="1"/>
  <c r="J39" i="46" s="1"/>
  <c r="N11" i="36"/>
  <c r="S10" i="42" s="1"/>
  <c r="J9" i="46" s="1"/>
  <c r="N18" i="36"/>
  <c r="S17" i="42" s="1"/>
  <c r="J16" i="46" s="1"/>
  <c r="N28" i="36"/>
  <c r="S27" i="42" s="1"/>
  <c r="J26" i="46" s="1"/>
  <c r="N44" i="36"/>
  <c r="S43" i="42" s="1"/>
  <c r="J42" i="46" s="1"/>
  <c r="N51" i="36"/>
  <c r="S50" i="42" s="1"/>
  <c r="J49" i="46" s="1"/>
  <c r="N14" i="36"/>
  <c r="S13" i="42" s="1"/>
  <c r="J12" i="46" s="1"/>
  <c r="N19" i="36"/>
  <c r="S18" i="42" s="1"/>
  <c r="J17" i="46" s="1"/>
  <c r="N29" i="36"/>
  <c r="S28" i="42" s="1"/>
  <c r="J27" i="46" s="1"/>
  <c r="N35" i="36"/>
  <c r="S34" i="42" s="1"/>
  <c r="J33" i="46" s="1"/>
  <c r="N50" i="36"/>
  <c r="S49" i="42" s="1"/>
  <c r="J48" i="46" s="1"/>
  <c r="N54" i="36"/>
  <c r="S53" i="42" s="1"/>
  <c r="J52" i="46" s="1"/>
  <c r="N43" i="36"/>
  <c r="S42" i="42" s="1"/>
  <c r="J41" i="46" s="1"/>
  <c r="N37" i="36"/>
  <c r="S36" i="42" s="1"/>
  <c r="J35" i="46" s="1"/>
  <c r="N23" i="36"/>
  <c r="S22" i="42" s="1"/>
  <c r="J21" i="46" s="1"/>
  <c r="N48" i="36"/>
  <c r="S47" i="42" s="1"/>
  <c r="J46" i="46" s="1"/>
  <c r="N38" i="36"/>
  <c r="S37" i="42" s="1"/>
  <c r="J36" i="46" s="1"/>
  <c r="N42" i="36"/>
  <c r="S41" i="42" s="1"/>
  <c r="J40" i="46" s="1"/>
  <c r="N55" i="36"/>
  <c r="S54" i="42" s="1"/>
  <c r="J53" i="46" s="1"/>
  <c r="N47" i="36"/>
  <c r="S46" i="42" s="1"/>
  <c r="J45" i="46" s="1"/>
  <c r="N45" i="36"/>
  <c r="S44" i="42" s="1"/>
  <c r="J43" i="46" s="1"/>
  <c r="N20" i="36"/>
  <c r="S19" i="42" s="1"/>
  <c r="J18" i="46" s="1"/>
  <c r="N53" i="36"/>
  <c r="S52" i="42" s="1"/>
  <c r="J51" i="46" s="1"/>
  <c r="N36" i="36"/>
  <c r="S35" i="42" s="1"/>
  <c r="J34" i="46" s="1"/>
  <c r="N40" i="36"/>
  <c r="S39" i="42" s="1"/>
  <c r="J38" i="46" s="1"/>
  <c r="N9" i="36"/>
  <c r="S8" i="42" s="1"/>
  <c r="J7" i="46" s="1"/>
  <c r="N16" i="36"/>
  <c r="S15" i="42" s="1"/>
  <c r="J14" i="46" s="1"/>
  <c r="N26" i="36"/>
  <c r="S25" i="42" s="1"/>
  <c r="J24" i="46" s="1"/>
  <c r="N34" i="36"/>
  <c r="S33" i="42" s="1"/>
  <c r="J32" i="46" s="1"/>
  <c r="N49" i="36"/>
  <c r="S48" i="42" s="1"/>
  <c r="J47" i="46" s="1"/>
  <c r="N10" i="36"/>
  <c r="S9" i="42" s="1"/>
  <c r="J8" i="46" s="1"/>
  <c r="N17" i="36"/>
  <c r="S16" i="42" s="1"/>
  <c r="J15" i="46" s="1"/>
  <c r="N27" i="36"/>
  <c r="S26" i="42" s="1"/>
  <c r="J25" i="46" s="1"/>
  <c r="N33" i="36"/>
  <c r="S32" i="42" s="1"/>
  <c r="J31" i="46" s="1"/>
  <c r="N46" i="36"/>
  <c r="S45" i="42" s="1"/>
  <c r="J44" i="46" s="1"/>
  <c r="N52" i="36"/>
  <c r="S51" i="42" s="1"/>
  <c r="J50" i="46" s="1"/>
  <c r="J57" i="46" l="1"/>
  <c r="S58" i="42"/>
  <c r="N59" i="36"/>
  <c r="K59" i="28"/>
  <c r="J44" i="28" l="1"/>
  <c r="J26" i="28"/>
  <c r="J14" i="28"/>
  <c r="J55" i="28"/>
  <c r="J32" i="28"/>
  <c r="J15" i="28"/>
  <c r="J8" i="28"/>
  <c r="J22" i="28"/>
  <c r="J33" i="28"/>
  <c r="J11" i="28"/>
  <c r="J17" i="28"/>
  <c r="J18" i="28"/>
  <c r="J34" i="28"/>
  <c r="J46" i="28"/>
  <c r="J54" i="28"/>
  <c r="J19" i="28"/>
  <c r="J27" i="28"/>
  <c r="J37" i="28"/>
  <c r="J45" i="28"/>
  <c r="J53" i="28"/>
  <c r="J20" i="28"/>
  <c r="J30" i="28"/>
  <c r="J42" i="28"/>
  <c r="J52" i="28"/>
  <c r="J13" i="28"/>
  <c r="J25" i="28"/>
  <c r="J35" i="28"/>
  <c r="J43" i="28"/>
  <c r="J51" i="28"/>
  <c r="J57" i="28"/>
  <c r="J38" i="28"/>
  <c r="J28" i="28"/>
  <c r="J50" i="28"/>
  <c r="J23" i="28"/>
  <c r="J41" i="28"/>
  <c r="J10" i="28"/>
  <c r="J36" i="28"/>
  <c r="J56" i="28"/>
  <c r="J29" i="28"/>
  <c r="J47" i="28"/>
  <c r="J16" i="28"/>
  <c r="J12" i="28"/>
  <c r="J40" i="28"/>
  <c r="J9" i="28"/>
  <c r="J31" i="28"/>
  <c r="J49" i="28"/>
  <c r="J24" i="28"/>
  <c r="J48" i="28"/>
  <c r="J21" i="28"/>
  <c r="J39" i="28"/>
  <c r="J7" i="28"/>
  <c r="J58" i="28" l="1"/>
  <c r="M58" i="28" s="1"/>
  <c r="P7" i="28"/>
  <c r="M7" i="28"/>
  <c r="L7" i="28"/>
  <c r="P21" i="28"/>
  <c r="Q21" i="28" s="1"/>
  <c r="M21" i="28"/>
  <c r="L21" i="28"/>
  <c r="L24" i="28"/>
  <c r="M24" i="28"/>
  <c r="P24" i="28"/>
  <c r="Q24" i="28" s="1"/>
  <c r="L31" i="28"/>
  <c r="M31" i="28"/>
  <c r="P31" i="28"/>
  <c r="Q31" i="28" s="1"/>
  <c r="P40" i="28"/>
  <c r="Q40" i="28" s="1"/>
  <c r="L40" i="28"/>
  <c r="M40" i="28"/>
  <c r="L16" i="28"/>
  <c r="P16" i="28"/>
  <c r="Q16" i="28" s="1"/>
  <c r="M16" i="28"/>
  <c r="M29" i="28"/>
  <c r="L29" i="28"/>
  <c r="P29" i="28"/>
  <c r="Q29" i="28" s="1"/>
  <c r="M36" i="28"/>
  <c r="L36" i="28"/>
  <c r="P36" i="28"/>
  <c r="Q36" i="28" s="1"/>
  <c r="P41" i="28"/>
  <c r="Q41" i="28" s="1"/>
  <c r="L41" i="28"/>
  <c r="M41" i="28"/>
  <c r="P50" i="28"/>
  <c r="Q50" i="28" s="1"/>
  <c r="M50" i="28"/>
  <c r="L50" i="28"/>
  <c r="L38" i="28"/>
  <c r="M38" i="28"/>
  <c r="P38" i="28"/>
  <c r="Q38" i="28" s="1"/>
  <c r="P51" i="28"/>
  <c r="Q51" i="28" s="1"/>
  <c r="M51" i="28"/>
  <c r="L51" i="28"/>
  <c r="L35" i="28"/>
  <c r="P35" i="28"/>
  <c r="Q35" i="28" s="1"/>
  <c r="M35" i="28"/>
  <c r="P13" i="28"/>
  <c r="Q13" i="28" s="1"/>
  <c r="M13" i="28"/>
  <c r="L13" i="28"/>
  <c r="P42" i="28"/>
  <c r="Q42" i="28" s="1"/>
  <c r="M42" i="28"/>
  <c r="L42" i="28"/>
  <c r="P20" i="28"/>
  <c r="Q20" i="28" s="1"/>
  <c r="M20" i="28"/>
  <c r="L20" i="28"/>
  <c r="P45" i="28"/>
  <c r="Q45" i="28" s="1"/>
  <c r="M45" i="28"/>
  <c r="L45" i="28"/>
  <c r="M27" i="28"/>
  <c r="P27" i="28"/>
  <c r="Q27" i="28" s="1"/>
  <c r="L27" i="28"/>
  <c r="L54" i="28"/>
  <c r="M54" i="28"/>
  <c r="P54" i="28"/>
  <c r="Q54" i="28" s="1"/>
  <c r="P34" i="28"/>
  <c r="Q34" i="28" s="1"/>
  <c r="L34" i="28"/>
  <c r="M34" i="28"/>
  <c r="M17" i="28"/>
  <c r="L17" i="28"/>
  <c r="P17" i="28"/>
  <c r="Q17" i="28" s="1"/>
  <c r="M33" i="28"/>
  <c r="P33" i="28"/>
  <c r="Q33" i="28" s="1"/>
  <c r="L33" i="28"/>
  <c r="P8" i="28"/>
  <c r="Q8" i="28" s="1"/>
  <c r="L8" i="28"/>
  <c r="M8" i="28"/>
  <c r="L32" i="28"/>
  <c r="P32" i="28"/>
  <c r="Q32" i="28" s="1"/>
  <c r="M32" i="28"/>
  <c r="L14" i="28"/>
  <c r="P14" i="28"/>
  <c r="Q14" i="28" s="1"/>
  <c r="M14" i="28"/>
  <c r="P44" i="28"/>
  <c r="Q44" i="28" s="1"/>
  <c r="M44" i="28"/>
  <c r="L44" i="28"/>
  <c r="M39" i="28"/>
  <c r="P39" i="28"/>
  <c r="Q39" i="28" s="1"/>
  <c r="L39" i="28"/>
  <c r="P48" i="28"/>
  <c r="Q48" i="28" s="1"/>
  <c r="M48" i="28"/>
  <c r="L48" i="28"/>
  <c r="M49" i="28"/>
  <c r="P49" i="28"/>
  <c r="Q49" i="28" s="1"/>
  <c r="L49" i="28"/>
  <c r="M9" i="28"/>
  <c r="P9" i="28"/>
  <c r="Q9" i="28" s="1"/>
  <c r="L9" i="28"/>
  <c r="L12" i="28"/>
  <c r="P12" i="28"/>
  <c r="Q12" i="28" s="1"/>
  <c r="M12" i="28"/>
  <c r="M47" i="28"/>
  <c r="P47" i="28"/>
  <c r="Q47" i="28" s="1"/>
  <c r="L47" i="28"/>
  <c r="P56" i="28"/>
  <c r="Q56" i="28" s="1"/>
  <c r="L56" i="28"/>
  <c r="M56" i="28"/>
  <c r="M10" i="28"/>
  <c r="P10" i="28"/>
  <c r="Q10" i="28" s="1"/>
  <c r="L10" i="28"/>
  <c r="M23" i="28"/>
  <c r="P23" i="28"/>
  <c r="Q23" i="28" s="1"/>
  <c r="L23" i="28"/>
  <c r="M28" i="28"/>
  <c r="L28" i="28"/>
  <c r="P28" i="28"/>
  <c r="Q28" i="28" s="1"/>
  <c r="M57" i="28"/>
  <c r="L57" i="28"/>
  <c r="P57" i="28"/>
  <c r="Q57" i="28" s="1"/>
  <c r="P43" i="28"/>
  <c r="Q43" i="28" s="1"/>
  <c r="M43" i="28"/>
  <c r="L43" i="28"/>
  <c r="P25" i="28"/>
  <c r="Q25" i="28" s="1"/>
  <c r="L25" i="28"/>
  <c r="M25" i="28"/>
  <c r="L52" i="28"/>
  <c r="M52" i="28"/>
  <c r="P52" i="28"/>
  <c r="Q52" i="28" s="1"/>
  <c r="L30" i="28"/>
  <c r="M30" i="28"/>
  <c r="P30" i="28"/>
  <c r="Q30" i="28" s="1"/>
  <c r="P53" i="28"/>
  <c r="Q53" i="28" s="1"/>
  <c r="L53" i="28"/>
  <c r="M53" i="28"/>
  <c r="P37" i="28"/>
  <c r="Q37" i="28" s="1"/>
  <c r="M37" i="28"/>
  <c r="L37" i="28"/>
  <c r="P19" i="28"/>
  <c r="Q19" i="28" s="1"/>
  <c r="L19" i="28"/>
  <c r="M19" i="28"/>
  <c r="P46" i="28"/>
  <c r="Q46" i="28" s="1"/>
  <c r="L46" i="28"/>
  <c r="M46" i="28"/>
  <c r="L18" i="28"/>
  <c r="M18" i="28"/>
  <c r="P18" i="28"/>
  <c r="Q18" i="28" s="1"/>
  <c r="M11" i="28"/>
  <c r="L11" i="28"/>
  <c r="P11" i="28"/>
  <c r="Q11" i="28" s="1"/>
  <c r="M22" i="28"/>
  <c r="L22" i="28"/>
  <c r="P22" i="28"/>
  <c r="Q22" i="28" s="1"/>
  <c r="P15" i="28"/>
  <c r="Q15" i="28" s="1"/>
  <c r="M15" i="28"/>
  <c r="L15" i="28"/>
  <c r="L55" i="28"/>
  <c r="M55" i="28"/>
  <c r="P55" i="28"/>
  <c r="Q55" i="28" s="1"/>
  <c r="M26" i="28"/>
  <c r="L26" i="28"/>
  <c r="P26" i="28"/>
  <c r="Q26" i="28" s="1"/>
  <c r="N15" i="28" l="1"/>
  <c r="O15" i="28" s="1"/>
  <c r="N22" i="28"/>
  <c r="O22" i="28" s="1"/>
  <c r="N19" i="28"/>
  <c r="O19" i="28" s="1"/>
  <c r="N37" i="28"/>
  <c r="O37" i="28" s="1"/>
  <c r="N53" i="28"/>
  <c r="O53" i="28" s="1"/>
  <c r="N30" i="28"/>
  <c r="O30" i="28" s="1"/>
  <c r="N28" i="28"/>
  <c r="O28" i="28" s="1"/>
  <c r="N10" i="28"/>
  <c r="O10" i="28" s="1"/>
  <c r="N47" i="28"/>
  <c r="O47" i="28" s="1"/>
  <c r="N9" i="28"/>
  <c r="O9" i="28" s="1"/>
  <c r="N32" i="28"/>
  <c r="O32" i="28" s="1"/>
  <c r="N33" i="28"/>
  <c r="O33" i="28" s="1"/>
  <c r="N34" i="28"/>
  <c r="O34" i="28" s="1"/>
  <c r="N54" i="28"/>
  <c r="O54" i="28" s="1"/>
  <c r="N27" i="28"/>
  <c r="O27" i="28" s="1"/>
  <c r="N45" i="28"/>
  <c r="O45" i="28" s="1"/>
  <c r="N42" i="28"/>
  <c r="O42" i="28" s="1"/>
  <c r="N38" i="28"/>
  <c r="O38" i="28" s="1"/>
  <c r="N36" i="28"/>
  <c r="O36" i="28" s="1"/>
  <c r="N16" i="28"/>
  <c r="O16" i="28" s="1"/>
  <c r="N24" i="28"/>
  <c r="O24" i="28" s="1"/>
  <c r="N7" i="28"/>
  <c r="O7" i="28" s="1"/>
  <c r="N26" i="28"/>
  <c r="O26" i="28" s="1"/>
  <c r="N55" i="28"/>
  <c r="O55" i="28" s="1"/>
  <c r="N11" i="28"/>
  <c r="O11" i="28" s="1"/>
  <c r="N18" i="28"/>
  <c r="O18" i="28" s="1"/>
  <c r="N46" i="28"/>
  <c r="O46" i="28" s="1"/>
  <c r="N52" i="28"/>
  <c r="O52" i="28" s="1"/>
  <c r="N25" i="28"/>
  <c r="O25" i="28" s="1"/>
  <c r="N43" i="28"/>
  <c r="O43" i="28" s="1"/>
  <c r="N57" i="28"/>
  <c r="O57" i="28" s="1"/>
  <c r="N23" i="28"/>
  <c r="O23" i="28" s="1"/>
  <c r="N56" i="28"/>
  <c r="O56" i="28" s="1"/>
  <c r="N12" i="28"/>
  <c r="O12" i="28" s="1"/>
  <c r="N49" i="28"/>
  <c r="O49" i="28" s="1"/>
  <c r="N48" i="28"/>
  <c r="O48" i="28" s="1"/>
  <c r="N39" i="28"/>
  <c r="O39" i="28" s="1"/>
  <c r="N44" i="28"/>
  <c r="O44" i="28" s="1"/>
  <c r="N14" i="28"/>
  <c r="O14" i="28" s="1"/>
  <c r="N8" i="28"/>
  <c r="O8" i="28" s="1"/>
  <c r="N17" i="28"/>
  <c r="O17" i="28" s="1"/>
  <c r="N20" i="28"/>
  <c r="O20" i="28" s="1"/>
  <c r="N13" i="28"/>
  <c r="O13" i="28" s="1"/>
  <c r="N35" i="28"/>
  <c r="O35" i="28" s="1"/>
  <c r="N51" i="28"/>
  <c r="O51" i="28" s="1"/>
  <c r="N50" i="28"/>
  <c r="O50" i="28" s="1"/>
  <c r="N41" i="28"/>
  <c r="O41" i="28" s="1"/>
  <c r="N29" i="28"/>
  <c r="O29" i="28" s="1"/>
  <c r="N40" i="28"/>
  <c r="O40" i="28" s="1"/>
  <c r="N31" i="28"/>
  <c r="O31" i="28" s="1"/>
  <c r="O21" i="28"/>
  <c r="N21" i="28"/>
  <c r="L58" i="28"/>
  <c r="Q7" i="28"/>
  <c r="P58" i="28"/>
  <c r="O58" i="28" l="1"/>
  <c r="Q58" i="28"/>
  <c r="N58" i="28"/>
  <c r="R4" i="28" l="1"/>
  <c r="R22" i="28" l="1"/>
  <c r="S22" i="28" s="1"/>
  <c r="T22" i="28" s="1"/>
  <c r="R19" i="28"/>
  <c r="S19" i="28" s="1"/>
  <c r="T19" i="28" s="1"/>
  <c r="R52" i="28"/>
  <c r="S52" i="28" s="1"/>
  <c r="R28" i="28"/>
  <c r="S28" i="28" s="1"/>
  <c r="T28" i="28" s="1"/>
  <c r="R12" i="28"/>
  <c r="S12" i="28" s="1"/>
  <c r="T12" i="28" s="1"/>
  <c r="R48" i="28"/>
  <c r="S48" i="28" s="1"/>
  <c r="T48" i="28" s="1"/>
  <c r="R44" i="28"/>
  <c r="S44" i="28" s="1"/>
  <c r="R34" i="28"/>
  <c r="S34" i="28" s="1"/>
  <c r="R13" i="28"/>
  <c r="S13" i="28" s="1"/>
  <c r="T13" i="28" s="1"/>
  <c r="R51" i="28"/>
  <c r="S51" i="28" s="1"/>
  <c r="R36" i="28"/>
  <c r="S36" i="28" s="1"/>
  <c r="R21" i="28"/>
  <c r="S21" i="28" s="1"/>
  <c r="R15" i="28"/>
  <c r="S15" i="28" s="1"/>
  <c r="T15" i="28" s="1"/>
  <c r="R46" i="28"/>
  <c r="S46" i="28" s="1"/>
  <c r="R30" i="28"/>
  <c r="S30" i="28" s="1"/>
  <c r="R57" i="28"/>
  <c r="S57" i="28" s="1"/>
  <c r="T57" i="28" s="1"/>
  <c r="R56" i="28"/>
  <c r="S56" i="28" s="1"/>
  <c r="T56" i="28" s="1"/>
  <c r="R9" i="28"/>
  <c r="S9" i="28" s="1"/>
  <c r="R8" i="28"/>
  <c r="S8" i="28" s="1"/>
  <c r="T8" i="28" s="1"/>
  <c r="R17" i="28"/>
  <c r="S17" i="28" s="1"/>
  <c r="T17" i="28" s="1"/>
  <c r="R27" i="28"/>
  <c r="S27" i="28" s="1"/>
  <c r="T27" i="28" s="1"/>
  <c r="R42" i="28"/>
  <c r="S42" i="28" s="1"/>
  <c r="T42" i="28" s="1"/>
  <c r="R41" i="28"/>
  <c r="S41" i="28" s="1"/>
  <c r="R16" i="28"/>
  <c r="S16" i="28" s="1"/>
  <c r="R24" i="28"/>
  <c r="S24" i="28" s="1"/>
  <c r="T24" i="28" s="1"/>
  <c r="R55" i="28"/>
  <c r="S55" i="28" s="1"/>
  <c r="T55" i="28" s="1"/>
  <c r="R18" i="28"/>
  <c r="S18" i="28" s="1"/>
  <c r="T18" i="28" s="1"/>
  <c r="R53" i="28"/>
  <c r="S53" i="28" s="1"/>
  <c r="T53" i="28" s="1"/>
  <c r="R43" i="28"/>
  <c r="S43" i="28" s="1"/>
  <c r="R23" i="28"/>
  <c r="S23" i="28" s="1"/>
  <c r="R49" i="28"/>
  <c r="S49" i="28" s="1"/>
  <c r="R39" i="28"/>
  <c r="S39" i="28" s="1"/>
  <c r="T39" i="28" s="1"/>
  <c r="R14" i="28"/>
  <c r="S14" i="28" s="1"/>
  <c r="R20" i="28"/>
  <c r="S20" i="28" s="1"/>
  <c r="R35" i="28"/>
  <c r="S35" i="28" s="1"/>
  <c r="T35" i="28" s="1"/>
  <c r="R50" i="28"/>
  <c r="S50" i="28" s="1"/>
  <c r="T50" i="28" s="1"/>
  <c r="R31" i="28"/>
  <c r="S31" i="28" s="1"/>
  <c r="T31" i="28" s="1"/>
  <c r="R26" i="28"/>
  <c r="S26" i="28" s="1"/>
  <c r="T26" i="28" s="1"/>
  <c r="R11" i="28"/>
  <c r="S11" i="28" s="1"/>
  <c r="R37" i="28"/>
  <c r="S37" i="28" s="1"/>
  <c r="T37" i="28" s="1"/>
  <c r="R25" i="28"/>
  <c r="S25" i="28" s="1"/>
  <c r="R10" i="28"/>
  <c r="S10" i="28" s="1"/>
  <c r="T10" i="28" s="1"/>
  <c r="R47" i="28"/>
  <c r="S47" i="28" s="1"/>
  <c r="T47" i="28" s="1"/>
  <c r="R32" i="28"/>
  <c r="S32" i="28" s="1"/>
  <c r="T32" i="28" s="1"/>
  <c r="R33" i="28"/>
  <c r="S33" i="28" s="1"/>
  <c r="T33" i="28" s="1"/>
  <c r="R54" i="28"/>
  <c r="S54" i="28" s="1"/>
  <c r="T54" i="28" s="1"/>
  <c r="R45" i="28"/>
  <c r="S45" i="28" s="1"/>
  <c r="T45" i="28" s="1"/>
  <c r="R38" i="28"/>
  <c r="S38" i="28" s="1"/>
  <c r="T38" i="28" s="1"/>
  <c r="R29" i="28"/>
  <c r="S29" i="28" s="1"/>
  <c r="R40" i="28"/>
  <c r="S40" i="28" s="1"/>
  <c r="R7" i="28"/>
  <c r="S7" i="28" s="1"/>
  <c r="T7" i="28" s="1"/>
  <c r="R58" i="28" l="1"/>
  <c r="T29" i="28"/>
  <c r="T25" i="28"/>
  <c r="T11" i="28"/>
  <c r="T14" i="28"/>
  <c r="T49" i="28"/>
  <c r="T43" i="28"/>
  <c r="T41" i="28"/>
  <c r="T30" i="28"/>
  <c r="T36" i="28"/>
  <c r="T44" i="28"/>
  <c r="T52" i="28"/>
  <c r="T40" i="28"/>
  <c r="T20" i="28"/>
  <c r="T23" i="28"/>
  <c r="T16" i="28"/>
  <c r="T9" i="28"/>
  <c r="S58" i="28"/>
  <c r="U46" i="28" s="1"/>
  <c r="T46" i="28"/>
  <c r="T21" i="28"/>
  <c r="T51" i="28"/>
  <c r="T34" i="28"/>
  <c r="I46" i="42" l="1"/>
  <c r="E45" i="46" s="1"/>
  <c r="M46" i="42"/>
  <c r="G45" i="46" s="1"/>
  <c r="O46" i="42"/>
  <c r="H45" i="46" s="1"/>
  <c r="C46" i="42"/>
  <c r="B45" i="46" s="1"/>
  <c r="E46" i="42"/>
  <c r="C45" i="46" s="1"/>
  <c r="K46" i="42"/>
  <c r="F45" i="46" s="1"/>
  <c r="Q46" i="42"/>
  <c r="I45" i="46" s="1"/>
  <c r="U34" i="28"/>
  <c r="U51" i="28"/>
  <c r="U21" i="28"/>
  <c r="T58" i="28"/>
  <c r="U50" i="28"/>
  <c r="U13" i="28"/>
  <c r="U56" i="28"/>
  <c r="U55" i="28"/>
  <c r="U24" i="28"/>
  <c r="U33" i="28"/>
  <c r="U10" i="28"/>
  <c r="U37" i="28"/>
  <c r="U31" i="28"/>
  <c r="U12" i="28"/>
  <c r="U18" i="28"/>
  <c r="U26" i="28"/>
  <c r="U45" i="28"/>
  <c r="U47" i="28"/>
  <c r="U38" i="28"/>
  <c r="U42" i="28"/>
  <c r="U32" i="28"/>
  <c r="U28" i="28"/>
  <c r="U19" i="28"/>
  <c r="U15" i="28"/>
  <c r="U27" i="28"/>
  <c r="U35" i="28"/>
  <c r="U54" i="28"/>
  <c r="U53" i="28"/>
  <c r="U17" i="28"/>
  <c r="U8" i="28"/>
  <c r="U39" i="28"/>
  <c r="U48" i="28"/>
  <c r="U57" i="28"/>
  <c r="U22" i="28"/>
  <c r="U7" i="28"/>
  <c r="U44" i="28"/>
  <c r="U9" i="28"/>
  <c r="U16" i="28"/>
  <c r="U23" i="28"/>
  <c r="U20" i="28"/>
  <c r="U40" i="28"/>
  <c r="U52" i="28"/>
  <c r="U36" i="28"/>
  <c r="U30" i="28"/>
  <c r="U41" i="28"/>
  <c r="U43" i="28"/>
  <c r="U49" i="28"/>
  <c r="U14" i="28"/>
  <c r="U11" i="28"/>
  <c r="U25" i="28"/>
  <c r="U29" i="28"/>
  <c r="K45" i="46" l="1"/>
  <c r="C25" i="42"/>
  <c r="B24" i="46" s="1"/>
  <c r="M25" i="42"/>
  <c r="G24" i="46" s="1"/>
  <c r="Q25" i="42"/>
  <c r="I24" i="46" s="1"/>
  <c r="K25" i="42"/>
  <c r="F24" i="46" s="1"/>
  <c r="I25" i="42"/>
  <c r="E24" i="46" s="1"/>
  <c r="E25" i="42"/>
  <c r="C24" i="46" s="1"/>
  <c r="O25" i="42"/>
  <c r="H24" i="46" s="1"/>
  <c r="I14" i="42"/>
  <c r="E13" i="46" s="1"/>
  <c r="M14" i="42"/>
  <c r="G13" i="46" s="1"/>
  <c r="O14" i="42"/>
  <c r="H13" i="46" s="1"/>
  <c r="C14" i="42"/>
  <c r="B13" i="46" s="1"/>
  <c r="E14" i="42"/>
  <c r="C13" i="46" s="1"/>
  <c r="K14" i="42"/>
  <c r="F13" i="46" s="1"/>
  <c r="Q14" i="42"/>
  <c r="I13" i="46" s="1"/>
  <c r="C43" i="42"/>
  <c r="B42" i="46" s="1"/>
  <c r="I43" i="42"/>
  <c r="E42" i="46" s="1"/>
  <c r="E43" i="42"/>
  <c r="C42" i="46" s="1"/>
  <c r="K43" i="42"/>
  <c r="F42" i="46" s="1"/>
  <c r="O43" i="42"/>
  <c r="H42" i="46" s="1"/>
  <c r="M43" i="42"/>
  <c r="G42" i="46" s="1"/>
  <c r="Q43" i="42"/>
  <c r="I42" i="46" s="1"/>
  <c r="I30" i="42"/>
  <c r="E29" i="46" s="1"/>
  <c r="M30" i="42"/>
  <c r="G29" i="46" s="1"/>
  <c r="O30" i="42"/>
  <c r="H29" i="46" s="1"/>
  <c r="C30" i="42"/>
  <c r="B29" i="46" s="1"/>
  <c r="E30" i="42"/>
  <c r="C29" i="46" s="1"/>
  <c r="K30" i="42"/>
  <c r="F29" i="46" s="1"/>
  <c r="Q30" i="42"/>
  <c r="I29" i="46" s="1"/>
  <c r="C52" i="42"/>
  <c r="B51" i="46" s="1"/>
  <c r="Q52" i="42"/>
  <c r="I51" i="46" s="1"/>
  <c r="E52" i="42"/>
  <c r="C51" i="46" s="1"/>
  <c r="K52" i="42"/>
  <c r="F51" i="46" s="1"/>
  <c r="I52" i="42"/>
  <c r="E51" i="46" s="1"/>
  <c r="M52" i="42"/>
  <c r="G51" i="46" s="1"/>
  <c r="O52" i="42"/>
  <c r="H51" i="46" s="1"/>
  <c r="C20" i="42"/>
  <c r="B19" i="46" s="1"/>
  <c r="Q20" i="42"/>
  <c r="I19" i="46" s="1"/>
  <c r="E20" i="42"/>
  <c r="C19" i="46" s="1"/>
  <c r="K20" i="42"/>
  <c r="F19" i="46" s="1"/>
  <c r="I20" i="42"/>
  <c r="E19" i="46" s="1"/>
  <c r="M20" i="42"/>
  <c r="G19" i="46" s="1"/>
  <c r="O20" i="42"/>
  <c r="H19" i="46" s="1"/>
  <c r="C16" i="42"/>
  <c r="B15" i="46" s="1"/>
  <c r="I16" i="42"/>
  <c r="E15" i="46" s="1"/>
  <c r="M16" i="42"/>
  <c r="G15" i="46" s="1"/>
  <c r="K16" i="42"/>
  <c r="F15" i="46" s="1"/>
  <c r="O16" i="42"/>
  <c r="H15" i="46" s="1"/>
  <c r="Q16" i="42"/>
  <c r="I15" i="46" s="1"/>
  <c r="E16" i="42"/>
  <c r="C15" i="46" s="1"/>
  <c r="C44" i="42"/>
  <c r="B43" i="46" s="1"/>
  <c r="I44" i="42"/>
  <c r="E43" i="46" s="1"/>
  <c r="M44" i="42"/>
  <c r="G43" i="46" s="1"/>
  <c r="Q44" i="42"/>
  <c r="I43" i="46" s="1"/>
  <c r="E44" i="42"/>
  <c r="C43" i="46" s="1"/>
  <c r="K44" i="42"/>
  <c r="F43" i="46" s="1"/>
  <c r="O44" i="42"/>
  <c r="H43" i="46" s="1"/>
  <c r="I22" i="42"/>
  <c r="E21" i="46" s="1"/>
  <c r="M22" i="42"/>
  <c r="G21" i="46" s="1"/>
  <c r="O22" i="42"/>
  <c r="H21" i="46" s="1"/>
  <c r="C22" i="42"/>
  <c r="B21" i="46" s="1"/>
  <c r="Q22" i="42"/>
  <c r="I21" i="46" s="1"/>
  <c r="K22" i="42"/>
  <c r="F21" i="46" s="1"/>
  <c r="E22" i="42"/>
  <c r="C21" i="46" s="1"/>
  <c r="C48" i="42"/>
  <c r="B47" i="46" s="1"/>
  <c r="I48" i="42"/>
  <c r="E47" i="46" s="1"/>
  <c r="M48" i="42"/>
  <c r="G47" i="46" s="1"/>
  <c r="K48" i="42"/>
  <c r="F47" i="46" s="1"/>
  <c r="O48" i="42"/>
  <c r="H47" i="46" s="1"/>
  <c r="Q48" i="42"/>
  <c r="I47" i="46" s="1"/>
  <c r="E48" i="42"/>
  <c r="C47" i="46" s="1"/>
  <c r="C8" i="42"/>
  <c r="B7" i="46" s="1"/>
  <c r="I8" i="42"/>
  <c r="E7" i="46" s="1"/>
  <c r="M8" i="42"/>
  <c r="G7" i="46" s="1"/>
  <c r="K8" i="42"/>
  <c r="F7" i="46" s="1"/>
  <c r="Q8" i="42"/>
  <c r="I7" i="46" s="1"/>
  <c r="E8" i="42"/>
  <c r="C7" i="46" s="1"/>
  <c r="O8" i="42"/>
  <c r="H7" i="46" s="1"/>
  <c r="M53" i="42"/>
  <c r="G52" i="46" s="1"/>
  <c r="C53" i="42"/>
  <c r="B52" i="46" s="1"/>
  <c r="I53" i="42"/>
  <c r="E52" i="46" s="1"/>
  <c r="Q53" i="42"/>
  <c r="I52" i="46" s="1"/>
  <c r="O53" i="42"/>
  <c r="H52" i="46" s="1"/>
  <c r="E53" i="42"/>
  <c r="C52" i="46" s="1"/>
  <c r="K53" i="42"/>
  <c r="F52" i="46" s="1"/>
  <c r="C35" i="42"/>
  <c r="B34" i="46" s="1"/>
  <c r="I35" i="42"/>
  <c r="E34" i="46" s="1"/>
  <c r="Q35" i="42"/>
  <c r="I34" i="46" s="1"/>
  <c r="E35" i="42"/>
  <c r="C34" i="46" s="1"/>
  <c r="K35" i="42"/>
  <c r="F34" i="46" s="1"/>
  <c r="O35" i="42"/>
  <c r="H34" i="46" s="1"/>
  <c r="M35" i="42"/>
  <c r="G34" i="46" s="1"/>
  <c r="I15" i="42"/>
  <c r="E14" i="46" s="1"/>
  <c r="Q15" i="42"/>
  <c r="I14" i="46" s="1"/>
  <c r="M15" i="42"/>
  <c r="G14" i="46" s="1"/>
  <c r="E15" i="42"/>
  <c r="C14" i="46" s="1"/>
  <c r="C15" i="42"/>
  <c r="B14" i="46" s="1"/>
  <c r="K15" i="42"/>
  <c r="F14" i="46" s="1"/>
  <c r="O15" i="42"/>
  <c r="H14" i="46" s="1"/>
  <c r="C28" i="42"/>
  <c r="B27" i="46" s="1"/>
  <c r="I28" i="42"/>
  <c r="E27" i="46" s="1"/>
  <c r="M28" i="42"/>
  <c r="G27" i="46" s="1"/>
  <c r="Q28" i="42"/>
  <c r="I27" i="46" s="1"/>
  <c r="E28" i="42"/>
  <c r="C27" i="46" s="1"/>
  <c r="K28" i="42"/>
  <c r="F27" i="46" s="1"/>
  <c r="O28" i="42"/>
  <c r="H27" i="46" s="1"/>
  <c r="C42" i="42"/>
  <c r="B41" i="46" s="1"/>
  <c r="I42" i="42"/>
  <c r="E41" i="46" s="1"/>
  <c r="Q42" i="42"/>
  <c r="I41" i="46" s="1"/>
  <c r="E42" i="42"/>
  <c r="C41" i="46" s="1"/>
  <c r="O42" i="42"/>
  <c r="H41" i="46" s="1"/>
  <c r="M42" i="42"/>
  <c r="G41" i="46" s="1"/>
  <c r="K42" i="42"/>
  <c r="F41" i="46" s="1"/>
  <c r="M29" i="42"/>
  <c r="G28" i="46" s="1"/>
  <c r="I29" i="42"/>
  <c r="E28" i="46" s="1"/>
  <c r="O29" i="42"/>
  <c r="H28" i="46" s="1"/>
  <c r="C29" i="42"/>
  <c r="B28" i="46" s="1"/>
  <c r="Q29" i="42"/>
  <c r="I28" i="46" s="1"/>
  <c r="E29" i="42"/>
  <c r="C28" i="46" s="1"/>
  <c r="K29" i="42"/>
  <c r="F28" i="46" s="1"/>
  <c r="C11" i="42"/>
  <c r="B10" i="46" s="1"/>
  <c r="I11" i="42"/>
  <c r="E10" i="46" s="1"/>
  <c r="Q11" i="42"/>
  <c r="I10" i="46" s="1"/>
  <c r="E11" i="42"/>
  <c r="C10" i="46" s="1"/>
  <c r="K11" i="42"/>
  <c r="F10" i="46" s="1"/>
  <c r="O11" i="42"/>
  <c r="H10" i="46" s="1"/>
  <c r="M11" i="42"/>
  <c r="G10" i="46" s="1"/>
  <c r="C49" i="42"/>
  <c r="B48" i="46" s="1"/>
  <c r="M49" i="42"/>
  <c r="G48" i="46" s="1"/>
  <c r="Q49" i="42"/>
  <c r="I48" i="46" s="1"/>
  <c r="K49" i="42"/>
  <c r="F48" i="46" s="1"/>
  <c r="I49" i="42"/>
  <c r="E48" i="46" s="1"/>
  <c r="O49" i="42"/>
  <c r="H48" i="46" s="1"/>
  <c r="E49" i="42"/>
  <c r="C48" i="46" s="1"/>
  <c r="C41" i="42"/>
  <c r="B40" i="46" s="1"/>
  <c r="M41" i="42"/>
  <c r="G40" i="46" s="1"/>
  <c r="Q41" i="42"/>
  <c r="I40" i="46" s="1"/>
  <c r="K41" i="42"/>
  <c r="F40" i="46" s="1"/>
  <c r="I41" i="42"/>
  <c r="E40" i="46" s="1"/>
  <c r="E41" i="42"/>
  <c r="C40" i="46" s="1"/>
  <c r="O41" i="42"/>
  <c r="H40" i="46" s="1"/>
  <c r="C36" i="42"/>
  <c r="B35" i="46" s="1"/>
  <c r="Q36" i="42"/>
  <c r="I35" i="46" s="1"/>
  <c r="E36" i="42"/>
  <c r="C35" i="46" s="1"/>
  <c r="K36" i="42"/>
  <c r="F35" i="46" s="1"/>
  <c r="I36" i="42"/>
  <c r="E35" i="46" s="1"/>
  <c r="M36" i="42"/>
  <c r="G35" i="46" s="1"/>
  <c r="O36" i="42"/>
  <c r="H35" i="46" s="1"/>
  <c r="C40" i="42"/>
  <c r="B39" i="46" s="1"/>
  <c r="I40" i="42"/>
  <c r="E39" i="46" s="1"/>
  <c r="M40" i="42"/>
  <c r="G39" i="46" s="1"/>
  <c r="K40" i="42"/>
  <c r="F39" i="46" s="1"/>
  <c r="Q40" i="42"/>
  <c r="I39" i="46" s="1"/>
  <c r="E40" i="42"/>
  <c r="C39" i="46" s="1"/>
  <c r="O40" i="42"/>
  <c r="H39" i="46" s="1"/>
  <c r="I23" i="42"/>
  <c r="E22" i="46" s="1"/>
  <c r="Q23" i="42"/>
  <c r="I22" i="46" s="1"/>
  <c r="C23" i="42"/>
  <c r="B22" i="46" s="1"/>
  <c r="M23" i="42"/>
  <c r="G22" i="46" s="1"/>
  <c r="E23" i="42"/>
  <c r="C22" i="46" s="1"/>
  <c r="K23" i="42"/>
  <c r="F22" i="46" s="1"/>
  <c r="O23" i="42"/>
  <c r="H22" i="46" s="1"/>
  <c r="C9" i="42"/>
  <c r="B8" i="46" s="1"/>
  <c r="M9" i="42"/>
  <c r="G8" i="46" s="1"/>
  <c r="Q9" i="42"/>
  <c r="I8" i="46" s="1"/>
  <c r="K9" i="42"/>
  <c r="F8" i="46" s="1"/>
  <c r="I9" i="42"/>
  <c r="E8" i="46" s="1"/>
  <c r="E9" i="42"/>
  <c r="C8" i="46" s="1"/>
  <c r="O9" i="42"/>
  <c r="H8" i="46" s="1"/>
  <c r="C7" i="42"/>
  <c r="B6" i="46" s="1"/>
  <c r="I7" i="42"/>
  <c r="E6" i="46" s="1"/>
  <c r="Q7" i="42"/>
  <c r="I6" i="46" s="1"/>
  <c r="E7" i="42"/>
  <c r="C6" i="46" s="1"/>
  <c r="O7" i="42"/>
  <c r="H6" i="46" s="1"/>
  <c r="M7" i="42"/>
  <c r="G6" i="46" s="1"/>
  <c r="K7" i="42"/>
  <c r="F6" i="46" s="1"/>
  <c r="C57" i="42"/>
  <c r="B56" i="46" s="1"/>
  <c r="M57" i="42"/>
  <c r="G56" i="46" s="1"/>
  <c r="Q57" i="42"/>
  <c r="I56" i="46" s="1"/>
  <c r="K57" i="42"/>
  <c r="F56" i="46" s="1"/>
  <c r="I57" i="42"/>
  <c r="E56" i="46" s="1"/>
  <c r="E57" i="42"/>
  <c r="C56" i="46" s="1"/>
  <c r="O57" i="42"/>
  <c r="H56" i="46" s="1"/>
  <c r="I39" i="42"/>
  <c r="E38" i="46" s="1"/>
  <c r="Q39" i="42"/>
  <c r="I38" i="46" s="1"/>
  <c r="C39" i="42"/>
  <c r="B38" i="46" s="1"/>
  <c r="M39" i="42"/>
  <c r="G38" i="46" s="1"/>
  <c r="E39" i="42"/>
  <c r="C38" i="46" s="1"/>
  <c r="K39" i="42"/>
  <c r="F38" i="46" s="1"/>
  <c r="O39" i="42"/>
  <c r="H38" i="46" s="1"/>
  <c r="C17" i="42"/>
  <c r="B16" i="46" s="1"/>
  <c r="M17" i="42"/>
  <c r="G16" i="46" s="1"/>
  <c r="Q17" i="42"/>
  <c r="I16" i="46" s="1"/>
  <c r="K17" i="42"/>
  <c r="F16" i="46" s="1"/>
  <c r="I17" i="42"/>
  <c r="E16" i="46" s="1"/>
  <c r="O17" i="42"/>
  <c r="H16" i="46" s="1"/>
  <c r="E17" i="42"/>
  <c r="C16" i="46" s="1"/>
  <c r="I54" i="42"/>
  <c r="E53" i="46" s="1"/>
  <c r="M54" i="42"/>
  <c r="G53" i="46" s="1"/>
  <c r="O54" i="42"/>
  <c r="H53" i="46" s="1"/>
  <c r="C54" i="42"/>
  <c r="B53" i="46" s="1"/>
  <c r="Q54" i="42"/>
  <c r="I53" i="46" s="1"/>
  <c r="K54" i="42"/>
  <c r="F53" i="46" s="1"/>
  <c r="E54" i="42"/>
  <c r="C53" i="46" s="1"/>
  <c r="C27" i="42"/>
  <c r="B26" i="46" s="1"/>
  <c r="I27" i="42"/>
  <c r="E26" i="46" s="1"/>
  <c r="Q27" i="42"/>
  <c r="I26" i="46" s="1"/>
  <c r="E27" i="42"/>
  <c r="C26" i="46" s="1"/>
  <c r="K27" i="42"/>
  <c r="F26" i="46" s="1"/>
  <c r="O27" i="42"/>
  <c r="H26" i="46" s="1"/>
  <c r="M27" i="42"/>
  <c r="G26" i="46" s="1"/>
  <c r="C19" i="42"/>
  <c r="B18" i="46" s="1"/>
  <c r="I19" i="42"/>
  <c r="E18" i="46" s="1"/>
  <c r="Q19" i="42"/>
  <c r="I18" i="46" s="1"/>
  <c r="E19" i="42"/>
  <c r="C18" i="46" s="1"/>
  <c r="K19" i="42"/>
  <c r="F18" i="46" s="1"/>
  <c r="O19" i="42"/>
  <c r="H18" i="46" s="1"/>
  <c r="M19" i="42"/>
  <c r="G18" i="46" s="1"/>
  <c r="C32" i="42"/>
  <c r="B31" i="46" s="1"/>
  <c r="I32" i="42"/>
  <c r="E31" i="46" s="1"/>
  <c r="M32" i="42"/>
  <c r="G31" i="46" s="1"/>
  <c r="K32" i="42"/>
  <c r="F31" i="46" s="1"/>
  <c r="O32" i="42"/>
  <c r="H31" i="46" s="1"/>
  <c r="Q32" i="42"/>
  <c r="I31" i="46" s="1"/>
  <c r="E32" i="42"/>
  <c r="C31" i="46" s="1"/>
  <c r="I38" i="42"/>
  <c r="E37" i="46" s="1"/>
  <c r="M38" i="42"/>
  <c r="G37" i="46" s="1"/>
  <c r="O38" i="42"/>
  <c r="H37" i="46" s="1"/>
  <c r="C38" i="42"/>
  <c r="B37" i="46" s="1"/>
  <c r="Q38" i="42"/>
  <c r="I37" i="46" s="1"/>
  <c r="K38" i="42"/>
  <c r="F37" i="46" s="1"/>
  <c r="E38" i="42"/>
  <c r="C37" i="46" s="1"/>
  <c r="M45" i="42"/>
  <c r="G44" i="46" s="1"/>
  <c r="I45" i="42"/>
  <c r="E44" i="46" s="1"/>
  <c r="Q45" i="42"/>
  <c r="I44" i="46" s="1"/>
  <c r="O45" i="42"/>
  <c r="H44" i="46" s="1"/>
  <c r="C45" i="42"/>
  <c r="B44" i="46" s="1"/>
  <c r="E45" i="42"/>
  <c r="C44" i="46" s="1"/>
  <c r="K45" i="42"/>
  <c r="F44" i="46" s="1"/>
  <c r="C18" i="42"/>
  <c r="B17" i="46" s="1"/>
  <c r="M18" i="42"/>
  <c r="G17" i="46" s="1"/>
  <c r="Q18" i="42"/>
  <c r="I17" i="46" s="1"/>
  <c r="E18" i="42"/>
  <c r="C17" i="46" s="1"/>
  <c r="O18" i="42"/>
  <c r="H17" i="46" s="1"/>
  <c r="I18" i="42"/>
  <c r="E17" i="46" s="1"/>
  <c r="K18" i="42"/>
  <c r="F17" i="46" s="1"/>
  <c r="I31" i="42"/>
  <c r="E30" i="46" s="1"/>
  <c r="Q31" i="42"/>
  <c r="I30" i="46" s="1"/>
  <c r="M31" i="42"/>
  <c r="G30" i="46" s="1"/>
  <c r="E31" i="42"/>
  <c r="C30" i="46" s="1"/>
  <c r="C31" i="42"/>
  <c r="B30" i="46" s="1"/>
  <c r="K31" i="42"/>
  <c r="F30" i="46" s="1"/>
  <c r="O31" i="42"/>
  <c r="H30" i="46" s="1"/>
  <c r="C10" i="42"/>
  <c r="B9" i="46" s="1"/>
  <c r="I10" i="42"/>
  <c r="E9" i="46" s="1"/>
  <c r="Q10" i="42"/>
  <c r="I9" i="46" s="1"/>
  <c r="E10" i="42"/>
  <c r="C9" i="46" s="1"/>
  <c r="O10" i="42"/>
  <c r="H9" i="46" s="1"/>
  <c r="M10" i="42"/>
  <c r="G9" i="46" s="1"/>
  <c r="K10" i="42"/>
  <c r="F9" i="46" s="1"/>
  <c r="C24" i="42"/>
  <c r="B23" i="46" s="1"/>
  <c r="I24" i="42"/>
  <c r="E23" i="46" s="1"/>
  <c r="M24" i="42"/>
  <c r="G23" i="46" s="1"/>
  <c r="K24" i="42"/>
  <c r="F23" i="46" s="1"/>
  <c r="Q24" i="42"/>
  <c r="I23" i="46" s="1"/>
  <c r="E24" i="42"/>
  <c r="C23" i="46" s="1"/>
  <c r="O24" i="42"/>
  <c r="H23" i="46" s="1"/>
  <c r="C56" i="42"/>
  <c r="B55" i="46" s="1"/>
  <c r="I56" i="42"/>
  <c r="E55" i="46" s="1"/>
  <c r="M56" i="42"/>
  <c r="G55" i="46" s="1"/>
  <c r="K56" i="42"/>
  <c r="F55" i="46" s="1"/>
  <c r="Q56" i="42"/>
  <c r="I55" i="46" s="1"/>
  <c r="E56" i="42"/>
  <c r="C55" i="46" s="1"/>
  <c r="O56" i="42"/>
  <c r="H55" i="46" s="1"/>
  <c r="C50" i="42"/>
  <c r="B49" i="46" s="1"/>
  <c r="M50" i="42"/>
  <c r="G49" i="46" s="1"/>
  <c r="Q50" i="42"/>
  <c r="I49" i="46" s="1"/>
  <c r="E50" i="42"/>
  <c r="C49" i="46" s="1"/>
  <c r="O50" i="42"/>
  <c r="H49" i="46" s="1"/>
  <c r="I50" i="42"/>
  <c r="E49" i="46" s="1"/>
  <c r="K50" i="42"/>
  <c r="F49" i="46" s="1"/>
  <c r="M21" i="42"/>
  <c r="G20" i="46" s="1"/>
  <c r="C21" i="42"/>
  <c r="B20" i="46" s="1"/>
  <c r="I21" i="42"/>
  <c r="E20" i="46" s="1"/>
  <c r="O21" i="42"/>
  <c r="H20" i="46" s="1"/>
  <c r="E21" i="42"/>
  <c r="C20" i="46" s="1"/>
  <c r="Q21" i="42"/>
  <c r="I20" i="46" s="1"/>
  <c r="K21" i="42"/>
  <c r="F20" i="46" s="1"/>
  <c r="C34" i="42"/>
  <c r="B33" i="46" s="1"/>
  <c r="M34" i="42"/>
  <c r="G33" i="46" s="1"/>
  <c r="Q34" i="42"/>
  <c r="I33" i="46" s="1"/>
  <c r="E34" i="42"/>
  <c r="C33" i="46" s="1"/>
  <c r="O34" i="42"/>
  <c r="H33" i="46" s="1"/>
  <c r="I34" i="42"/>
  <c r="E33" i="46" s="1"/>
  <c r="K34" i="42"/>
  <c r="F33" i="46" s="1"/>
  <c r="I47" i="42"/>
  <c r="E46" i="46" s="1"/>
  <c r="M47" i="42"/>
  <c r="G46" i="46" s="1"/>
  <c r="E47" i="42"/>
  <c r="C46" i="46" s="1"/>
  <c r="C47" i="42"/>
  <c r="B46" i="46" s="1"/>
  <c r="K47" i="42"/>
  <c r="F46" i="46" s="1"/>
  <c r="O47" i="42"/>
  <c r="H46" i="46" s="1"/>
  <c r="Q47" i="42"/>
  <c r="I46" i="46" s="1"/>
  <c r="C26" i="42"/>
  <c r="B25" i="46" s="1"/>
  <c r="I26" i="42"/>
  <c r="E25" i="46" s="1"/>
  <c r="Q26" i="42"/>
  <c r="I25" i="46" s="1"/>
  <c r="E26" i="42"/>
  <c r="C25" i="46" s="1"/>
  <c r="O26" i="42"/>
  <c r="H25" i="46" s="1"/>
  <c r="M26" i="42"/>
  <c r="G25" i="46" s="1"/>
  <c r="K26" i="42"/>
  <c r="F25" i="46" s="1"/>
  <c r="C12" i="42"/>
  <c r="B11" i="46" s="1"/>
  <c r="I12" i="42"/>
  <c r="E11" i="46" s="1"/>
  <c r="M12" i="42"/>
  <c r="G11" i="46" s="1"/>
  <c r="Q12" i="42"/>
  <c r="I11" i="46" s="1"/>
  <c r="E12" i="42"/>
  <c r="C11" i="46" s="1"/>
  <c r="K12" i="42"/>
  <c r="F11" i="46" s="1"/>
  <c r="O12" i="42"/>
  <c r="H11" i="46" s="1"/>
  <c r="M37" i="42"/>
  <c r="G36" i="46" s="1"/>
  <c r="C37" i="42"/>
  <c r="B36" i="46" s="1"/>
  <c r="I37" i="42"/>
  <c r="E36" i="46" s="1"/>
  <c r="O37" i="42"/>
  <c r="H36" i="46" s="1"/>
  <c r="E37" i="42"/>
  <c r="C36" i="46" s="1"/>
  <c r="Q37" i="42"/>
  <c r="I36" i="46" s="1"/>
  <c r="K37" i="42"/>
  <c r="F36" i="46" s="1"/>
  <c r="C33" i="42"/>
  <c r="B32" i="46" s="1"/>
  <c r="M33" i="42"/>
  <c r="G32" i="46" s="1"/>
  <c r="Q33" i="42"/>
  <c r="I32" i="46" s="1"/>
  <c r="K33" i="42"/>
  <c r="F32" i="46" s="1"/>
  <c r="I33" i="42"/>
  <c r="E32" i="46" s="1"/>
  <c r="O33" i="42"/>
  <c r="H32" i="46" s="1"/>
  <c r="E33" i="42"/>
  <c r="C32" i="46" s="1"/>
  <c r="I55" i="42"/>
  <c r="E54" i="46" s="1"/>
  <c r="C55" i="42"/>
  <c r="B54" i="46" s="1"/>
  <c r="M55" i="42"/>
  <c r="G54" i="46" s="1"/>
  <c r="E55" i="42"/>
  <c r="C54" i="46" s="1"/>
  <c r="Q55" i="42"/>
  <c r="I54" i="46" s="1"/>
  <c r="K55" i="42"/>
  <c r="F54" i="46" s="1"/>
  <c r="O55" i="42"/>
  <c r="H54" i="46" s="1"/>
  <c r="M13" i="42"/>
  <c r="G12" i="46" s="1"/>
  <c r="I13" i="42"/>
  <c r="E12" i="46" s="1"/>
  <c r="O13" i="42"/>
  <c r="H12" i="46" s="1"/>
  <c r="C13" i="42"/>
  <c r="B12" i="46" s="1"/>
  <c r="Q13" i="42"/>
  <c r="I12" i="46" s="1"/>
  <c r="E13" i="42"/>
  <c r="C12" i="46" s="1"/>
  <c r="K13" i="42"/>
  <c r="F12" i="46" s="1"/>
  <c r="C51" i="42"/>
  <c r="B50" i="46" s="1"/>
  <c r="I51" i="42"/>
  <c r="E50" i="46" s="1"/>
  <c r="E51" i="42"/>
  <c r="C50" i="46" s="1"/>
  <c r="K51" i="42"/>
  <c r="F50" i="46" s="1"/>
  <c r="O51" i="42"/>
  <c r="H50" i="46" s="1"/>
  <c r="M51" i="42"/>
  <c r="G50" i="46" s="1"/>
  <c r="Q51" i="42"/>
  <c r="I50" i="46" s="1"/>
  <c r="U58" i="28"/>
  <c r="K32" i="46" l="1"/>
  <c r="K7" i="46"/>
  <c r="K17" i="46"/>
  <c r="K16" i="46"/>
  <c r="K30" i="46"/>
  <c r="K41" i="46"/>
  <c r="K49" i="46"/>
  <c r="K46" i="46"/>
  <c r="K28" i="46"/>
  <c r="K13" i="46"/>
  <c r="K11" i="46"/>
  <c r="K35" i="46"/>
  <c r="K56" i="46"/>
  <c r="K20" i="46"/>
  <c r="G57" i="46"/>
  <c r="K8" i="46"/>
  <c r="K38" i="46"/>
  <c r="H57" i="46"/>
  <c r="K51" i="46"/>
  <c r="F57" i="46"/>
  <c r="K12" i="46"/>
  <c r="C57" i="46"/>
  <c r="K39" i="46"/>
  <c r="K47" i="46"/>
  <c r="K23" i="46"/>
  <c r="K55" i="46"/>
  <c r="I57" i="46"/>
  <c r="K27" i="46"/>
  <c r="K42" i="46"/>
  <c r="K54" i="46"/>
  <c r="K52" i="46"/>
  <c r="K25" i="46"/>
  <c r="K31" i="46"/>
  <c r="E57" i="46"/>
  <c r="K40" i="46"/>
  <c r="K43" i="46"/>
  <c r="K53" i="46"/>
  <c r="K48" i="46"/>
  <c r="K9" i="46"/>
  <c r="B57" i="46"/>
  <c r="K6" i="46"/>
  <c r="K22" i="46"/>
  <c r="K34" i="46"/>
  <c r="K29" i="46"/>
  <c r="K24" i="46"/>
  <c r="K50" i="46"/>
  <c r="K44" i="46"/>
  <c r="K18" i="46"/>
  <c r="K15" i="46"/>
  <c r="K36" i="46"/>
  <c r="K33" i="46"/>
  <c r="K37" i="46"/>
  <c r="K26" i="46"/>
  <c r="K10" i="46"/>
  <c r="K14" i="46"/>
  <c r="K21" i="46"/>
  <c r="K19" i="46"/>
  <c r="E58" i="42"/>
  <c r="O58" i="42"/>
  <c r="M58" i="42"/>
  <c r="Q58" i="42"/>
  <c r="I58" i="42"/>
  <c r="C58" i="42"/>
  <c r="K58" i="42"/>
  <c r="D56" i="47" l="1"/>
  <c r="K57" i="46"/>
  <c r="T7" i="42" l="1"/>
  <c r="T50" i="42"/>
  <c r="T42" i="42"/>
  <c r="T34" i="42"/>
  <c r="T26" i="42"/>
  <c r="T18" i="42"/>
  <c r="T10" i="42"/>
  <c r="T48" i="42"/>
  <c r="T32" i="42"/>
  <c r="T16" i="42"/>
  <c r="T55" i="42"/>
  <c r="T23" i="42"/>
  <c r="T30" i="42"/>
  <c r="T22" i="42"/>
  <c r="T57" i="42"/>
  <c r="T49" i="42"/>
  <c r="T41" i="42"/>
  <c r="T33" i="42"/>
  <c r="T25" i="42"/>
  <c r="T17" i="42"/>
  <c r="T9" i="42"/>
  <c r="T40" i="42"/>
  <c r="T24" i="42"/>
  <c r="T8" i="42"/>
  <c r="T31" i="42"/>
  <c r="T54" i="42"/>
  <c r="T56" i="42"/>
  <c r="T53" i="42"/>
  <c r="T45" i="42"/>
  <c r="T37" i="42"/>
  <c r="T29" i="42"/>
  <c r="T21" i="42"/>
  <c r="T13" i="42"/>
  <c r="T43" i="42"/>
  <c r="T27" i="42"/>
  <c r="T11" i="42"/>
  <c r="T47" i="42"/>
  <c r="T15" i="42"/>
  <c r="T46" i="42"/>
  <c r="T52" i="42"/>
  <c r="T44" i="42"/>
  <c r="T36" i="42"/>
  <c r="T28" i="42"/>
  <c r="T20" i="42"/>
  <c r="T12" i="42"/>
  <c r="T51" i="42"/>
  <c r="T35" i="42"/>
  <c r="T19" i="42"/>
  <c r="T39" i="42"/>
  <c r="T38" i="42"/>
  <c r="T14" i="42"/>
  <c r="T58" i="42" l="1"/>
</calcChain>
</file>

<file path=xl/comments1.xml><?xml version="1.0" encoding="utf-8"?>
<comments xmlns="http://schemas.openxmlformats.org/spreadsheetml/2006/main">
  <authors>
    <author>cesar.rivera</author>
  </authors>
  <commentList>
    <comment ref="O58" author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<sst xmlns="http://schemas.openxmlformats.org/spreadsheetml/2006/main" count="821" uniqueCount="282">
  <si>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</si>
  <si>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</si>
  <si>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</si>
  <si>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</si>
  <si>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</si>
  <si>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</si>
  <si>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</si>
  <si>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</si>
  <si>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</si>
  <si>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</si>
  <si>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</si>
  <si>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</si>
  <si>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</si>
  <si>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</si>
  <si>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</si>
  <si>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</si>
  <si>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</si>
  <si>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</si>
  <si>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</si>
  <si>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</si>
  <si>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</si>
  <si>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</si>
  <si>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</si>
  <si>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</si>
  <si>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</si>
  <si>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</si>
  <si>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</si>
  <si>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</si>
  <si>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</si>
  <si>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</si>
  <si>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</si>
  <si>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</si>
  <si>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</si>
  <si>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</si>
  <si>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</si>
  <si>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</si>
  <si>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</si>
  <si>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</si>
  <si>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</si>
  <si>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</si>
  <si>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</si>
  <si>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</si>
  <si>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</si>
  <si>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</si>
  <si>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</si>
  <si>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</si>
  <si>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</si>
  <si>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</si>
  <si>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</si>
  <si>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</si>
  <si>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</si>
  <si>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</si>
  <si>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</si>
  <si>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</si>
  <si>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</si>
  <si>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</si>
  <si>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</si>
  <si>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</si>
  <si>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</si>
  <si>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</si>
  <si>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</si>
  <si>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</si>
  <si>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</si>
  <si>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</si>
  <si>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</si>
  <si>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</si>
  <si>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</si>
  <si>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</si>
  <si>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</si>
  <si>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</si>
  <si>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</si>
  <si>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</si>
  <si>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</si>
  <si>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</si>
  <si>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</si>
  <si>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</si>
  <si>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</si>
  <si>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</si>
  <si>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</si>
  <si>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</si>
  <si>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</si>
  <si>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</si>
  <si>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</si>
  <si>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</si>
  <si>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</si>
  <si>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</si>
  <si>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</si>
  <si>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</si>
  <si>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</si>
  <si>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</si>
  <si>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</si>
  <si>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</si>
  <si>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</si>
  <si>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</si>
  <si>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</si>
  <si>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</si>
  <si>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</si>
  <si>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</si>
  <si>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</si>
  <si>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</si>
  <si>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</si>
  <si>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</si>
  <si>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</si>
  <si>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</si>
  <si>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</si>
  <si>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</si>
  <si>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</si>
  <si>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</si>
  <si>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</si>
  <si>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</si>
  <si>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</si>
  <si>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</si>
  <si>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</si>
  <si>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</si>
  <si>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</si>
  <si>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</si>
  <si>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</si>
  <si>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</si>
  <si>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</si>
  <si>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</si>
  <si>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</si>
  <si>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</si>
  <si>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</si>
  <si>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</si>
  <si>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</si>
  <si>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</si>
  <si>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</si>
  <si>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</si>
  <si>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</si>
  <si>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</si>
  <si>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</si>
  <si>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</si>
  <si>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</si>
  <si>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</si>
  <si>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</si>
  <si>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</si>
  <si>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</si>
  <si>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</si>
  <si>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</si>
  <si>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</si>
  <si>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</si>
  <si>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</si>
  <si>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</si>
  <si>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</si>
  <si>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</si>
  <si>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</si>
  <si>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</si>
  <si>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</si>
  <si>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</si>
  <si>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</si>
  <si>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</si>
  <si>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</si>
  <si>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</si>
  <si>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</si>
  <si>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</si>
  <si>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</si>
  <si>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</si>
  <si>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</si>
  <si>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</si>
  <si>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</si>
  <si>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</si>
  <si>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</si>
  <si>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</si>
  <si>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</si>
  <si>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</si>
  <si>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</si>
  <si>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</si>
  <si>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</si>
  <si>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 xml:space="preserve">Impuesto sobre Adquisición de Vehículos Nuevos (ISAN) </t>
  </si>
  <si>
    <t>DETERMINACIÓN  DEL  COEFICIENTE DE PARTICIPACIÓN DE RECURSOS A MUNICIPIOS</t>
  </si>
  <si>
    <t>RECAUDACIÓN 2017</t>
  </si>
  <si>
    <t>ISAN</t>
  </si>
  <si>
    <t>COMP ISAN</t>
  </si>
  <si>
    <t xml:space="preserve">Participaciones PEF 2019 </t>
  </si>
  <si>
    <t>COORDINACIÓN DE PLANEACIÓN HACENDARIA</t>
  </si>
  <si>
    <t>POBLACIÓN 2015</t>
  </si>
  <si>
    <t>PROYECCIÓN DE POBLACIÓN 2018</t>
  </si>
  <si>
    <t>PARTICIPACIONES DISTRIBUIDAS 2018
FGP, FFM,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</si>
  <si>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2018 MÁS INFLACIÓN</t>
    </r>
  </si>
  <si>
    <t>MONTOS 2018 MÁS INFLACIÓN DE MUNICIPIOS CON PARTICIPACIÓN INFERIOR EN 2019</t>
  </si>
  <si>
    <t>MONTO NECESARIO PARA ALCANZAR 2018 MÁS INFLACIÓN
"COMPENSACIÓN"</t>
  </si>
  <si>
    <t>MONTOS 2019 DE MUNICIPIOS CON PARTICIPACIÓN SUPERIOR A 2018 MÁS INFLACIÓN</t>
  </si>
  <si>
    <t>MONTO 2019 POR ENCIMA DE 2018 MÁS INFLACIÓN</t>
  </si>
  <si>
    <t>MONTO A DISMINUIR EN MUNICIPIOS CON CRECIMIENTO SUPERIOR A 2018 MÁS INFLACIÓN</t>
  </si>
  <si>
    <t>MONTO A DISTRIBUIR EN 2019 PARA GARANTIZAR AL MENOS EL PAGO DE 2018 MÁS INFLACIÓN</t>
  </si>
  <si>
    <t>DETERMINACIÓN INCREMENTO 2019 vs PAGO 2018 MÁS INFLACIÓN</t>
  </si>
  <si>
    <t>4.83% INFLACIÓN  2018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</si>
  <si>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</si>
  <si>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</si>
  <si>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</si>
  <si>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</si>
  <si>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</si>
  <si>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</si>
  <si>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</si>
  <si>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</si>
  <si>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</si>
  <si>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</si>
  <si>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</si>
  <si>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</si>
  <si>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</si>
  <si>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</si>
  <si>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</si>
  <si>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</si>
  <si>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</si>
  <si>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</si>
  <si>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</si>
  <si>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</si>
  <si>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</si>
  <si>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</si>
  <si>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</si>
  <si>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</si>
  <si>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FACTURACIÓN  2018
(2014-2017)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</si>
  <si>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</si>
  <si>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</si>
  <si>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</si>
  <si>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</si>
  <si>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IEPSGYD</t>
  </si>
  <si>
    <t>FACTURACIÓN  2017
(2013-2017)</t>
  </si>
  <si>
    <t>BGt-2</t>
  </si>
  <si>
    <t>RPt-1</t>
  </si>
  <si>
    <t xml:space="preserve">Participaciones  2019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</si>
  <si>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</si>
  <si>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</si>
  <si>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</si>
  <si>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</si>
  <si>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</si>
  <si>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</si>
  <si>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</si>
  <si>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</si>
  <si>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</si>
  <si>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</si>
  <si>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</si>
  <si>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</si>
  <si>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FGP 2019</t>
  </si>
  <si>
    <t>FFM 70% 2019</t>
  </si>
  <si>
    <t>FFM 30% 2019</t>
  </si>
  <si>
    <t>IEPS 2019</t>
  </si>
  <si>
    <t>FOFIR 2019</t>
  </si>
  <si>
    <t>FEXHI 2019</t>
  </si>
  <si>
    <t>ISAN 2019</t>
  </si>
  <si>
    <t>COMP ISAN 2019</t>
  </si>
  <si>
    <t>IEPS GYD 2019</t>
  </si>
  <si>
    <t>4to Ajuste Trim FOFIR año ant</t>
  </si>
  <si>
    <t>3er Ajuste Cuatrim año ant</t>
  </si>
  <si>
    <t>1er Ajuste Trim FOFIR</t>
  </si>
  <si>
    <t>AJUSTE DEFINITIVO año ant</t>
  </si>
  <si>
    <t>1er Ajuste Cuatrim</t>
  </si>
  <si>
    <t>Part Pag 1er Sem</t>
  </si>
  <si>
    <t>2do Ajuste Trim FOFIR</t>
  </si>
  <si>
    <t>FEIEF</t>
  </si>
  <si>
    <t>2do Ajuste Cuatrim</t>
  </si>
  <si>
    <t>3er Ajuste Trimestral FOFIR</t>
  </si>
  <si>
    <t>Part Pag 2do Sem</t>
  </si>
  <si>
    <t>COEFICIENTE DEF 2019</t>
  </si>
  <si>
    <t>PARTICIPACIONES OBSERVADAS 2019</t>
  </si>
  <si>
    <t xml:space="preserve"> DIFERENCIA ENTRE PARTICIPACIONES OBSERVADAS 2019 MENOS PARTICIPACIONES 2018 MÁS INFLACIÓN</t>
  </si>
  <si>
    <t>10.99 %DE CRECIMIENTO DE ESTIMACIÓN 2019 RESPECTO 2018</t>
  </si>
  <si>
    <t>FFM 70%</t>
  </si>
  <si>
    <t>FFM 30%</t>
  </si>
  <si>
    <t>COORDINACIÓN Y PLANEACIÓN HACENDARIA</t>
  </si>
  <si>
    <t>AJUSTE ANUAL 2019</t>
  </si>
  <si>
    <t>SALDOS DERIVADOS DEL AJUSTE ANUAL DE PARTICIPACIONES FEDERALES DEL EJERCICIO FISCAL 2019</t>
  </si>
  <si>
    <t>PORCENTAJES</t>
  </si>
  <si>
    <t>MONTOS</t>
  </si>
  <si>
    <t>Fondo de Compensacion Impuesto Sobre Adquisición de Vehículos Nuevos (COMP ISAN)</t>
  </si>
  <si>
    <t>Impuesto sobre la Venta Final de Gasolinas y Diesel (IEPSGyD)</t>
  </si>
  <si>
    <t>Total de participaciones federales provisionales</t>
  </si>
  <si>
    <t>Total de participaciones federales definitivas</t>
  </si>
  <si>
    <t>Saldo Total</t>
  </si>
  <si>
    <t>Las cifras parciales pueden no coincidir con el total debido al redondeo</t>
  </si>
  <si>
    <t>Fondo de Fomento Municipal
70% (FFM)</t>
  </si>
  <si>
    <t>Fondo de Fomento Municipal
30% (FFM)</t>
  </si>
  <si>
    <t>Impuesto Especial Sobre Producción y Servicios (IEPS)</t>
  </si>
  <si>
    <t>Fondo de Extracción de Hidrocarburos (FEXHI)</t>
  </si>
  <si>
    <t>Impuesto Sobre Adquisición de Vehículos Nuevos (ISAN)</t>
  </si>
  <si>
    <t>Fondo Compensación ISAN (COMP ISAN)</t>
  </si>
  <si>
    <t>Impuesto Sobre la Venta Final de Gasolinas y Diesel (IEPSGyD)</t>
  </si>
  <si>
    <t>No Incluye Ajuste de 2018</t>
  </si>
  <si>
    <t>Nombre del Municipio</t>
  </si>
  <si>
    <t>PORCENTAJES Y MONTOS DE PARTICIPACIONES FEDERALES DEFINITIVAS CORRESPONDIENTES A LOS MUNICIPIOS PARA EL EJERCICIO FISCAL 2019</t>
  </si>
  <si>
    <t>CÁLCULO DE DISTRIBUCIÓN DE PARTICIPACIONES</t>
  </si>
  <si>
    <t>PORCENTAJES Y MONTOS DE PARTICIPACIONES FEDERALES PROVISIONALES MINISTRADAS A LOS MUNICIPIOS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</si>
</sst>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_-* #,##0.0000_-;\-* #,##0.0000_-;_-* &quot;-&quot;????_-;_-@_-"/>
    <numFmt numFmtId="190" formatCode="_-* #,##0.0000_-;\-* #,##0.0000_-;_-* &quot;-&quot;_-;_-@_-"/>
    <numFmt numFmtId="191" formatCode="_-* #,##0.0000_-;\-* #,##0.0000_-;_-* &quot;-&quot;??_-;_-@_-"/>
    <numFmt numFmtId="192" formatCode="_-* #,##0.000000_-;\-* #,##0.000000_-;_-* &quot;-&quot;??_-;_-@_-"/>
    <numFmt numFmtId="193" formatCode="_-* #,##0.00000000_-;\-* #,##0.00000000_-;_-* &quot;-&quot;??_-;_-@_-"/>
    <numFmt numFmtId="194" formatCode="#,##0_ ;[Red]\-#,##0\ 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10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9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6" fillId="0" borderId="0"/>
    <xf numFmtId="37" fontId="5" fillId="0" borderId="0"/>
    <xf numFmtId="0" fontId="10" fillId="23" borderId="4" applyNumberFormat="0" applyFont="0" applyAlignment="0" applyProtection="0"/>
    <xf numFmtId="170" fontId="6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171" fontId="7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6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87" fontId="4" fillId="0" borderId="0" applyFont="0" applyFill="0" applyBorder="0" applyAlignment="0" applyProtection="0"/>
    <xf numFmtId="0" fontId="18" fillId="3" borderId="0" applyNumberFormat="0" applyBorder="0" applyAlignment="0" applyProtection="0"/>
    <xf numFmtId="41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48" fillId="0" borderId="0"/>
    <xf numFmtId="0" fontId="2" fillId="0" borderId="0"/>
    <xf numFmtId="43" fontId="49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59">
    <xf numFmtId="0" fontId="0" fillId="0" borderId="0" xfId="0"/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4" fillId="0" borderId="11" xfId="37" applyFont="1" applyFill="1" applyBorder="1" applyAlignment="1" applyProtection="1">
      <alignment horizontal="left"/>
      <protection hidden="1"/>
    </xf>
    <xf numFmtId="37" fontId="4" fillId="0" borderId="20" xfId="37" applyFont="1" applyFill="1" applyBorder="1" applyAlignment="1" applyProtection="1">
      <alignment horizontal="right"/>
      <protection hidden="1"/>
    </xf>
    <xf numFmtId="37" fontId="4" fillId="0" borderId="12" xfId="37" applyFont="1" applyFill="1" applyBorder="1" applyAlignment="1" applyProtection="1">
      <alignment horizontal="left"/>
      <protection hidden="1"/>
    </xf>
    <xf numFmtId="37" fontId="4" fillId="0" borderId="23" xfId="37" applyFont="1" applyFill="1" applyBorder="1" applyAlignment="1" applyProtection="1">
      <alignment horizontal="right"/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Protection="1">
      <protection hidden="1"/>
    </xf>
    <xf numFmtId="37" fontId="31" fillId="0" borderId="0" xfId="37" applyFont="1" applyAlignment="1" applyProtection="1">
      <alignment horizontal="center" vertical="center"/>
      <protection hidden="1"/>
    </xf>
    <xf numFmtId="37" fontId="31" fillId="0" borderId="0" xfId="37" applyFont="1" applyFill="1" applyProtection="1">
      <protection hidden="1"/>
    </xf>
    <xf numFmtId="37" fontId="31" fillId="0" borderId="0" xfId="37" applyFont="1" applyProtection="1"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Protection="1">
      <protection hidden="1"/>
    </xf>
    <xf numFmtId="177" fontId="36" fillId="0" borderId="0" xfId="37" applyNumberFormat="1" applyFont="1" applyFill="1" applyProtection="1">
      <protection hidden="1"/>
    </xf>
    <xf numFmtId="178" fontId="37" fillId="0" borderId="0" xfId="0" applyNumberFormat="1" applyFont="1" applyFill="1" applyAlignment="1" applyProtection="1">
      <alignment horizontal="center" vertical="center" wrapText="1"/>
      <protection hidden="1"/>
    </xf>
    <xf numFmtId="177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37" fontId="31" fillId="0" borderId="0" xfId="37" applyFont="1" applyAlignment="1" applyProtection="1">
      <alignment horizontal="center" vertical="center" wrapText="1"/>
      <protection hidden="1"/>
    </xf>
    <xf numFmtId="37" fontId="36" fillId="0" borderId="0" xfId="37" applyFont="1" applyProtection="1">
      <protection hidden="1"/>
    </xf>
    <xf numFmtId="3" fontId="30" fillId="0" borderId="20" xfId="0" applyNumberFormat="1" applyFont="1" applyBorder="1" applyProtection="1">
      <protection hidden="1"/>
    </xf>
    <xf numFmtId="175" fontId="4" fillId="0" borderId="20" xfId="40" applyNumberFormat="1" applyFont="1" applyFill="1" applyBorder="1" applyProtection="1">
      <protection hidden="1"/>
    </xf>
    <xf numFmtId="177" fontId="4" fillId="0" borderId="20" xfId="40" applyNumberFormat="1" applyFont="1" applyFill="1" applyBorder="1" applyProtection="1">
      <protection hidden="1"/>
    </xf>
    <xf numFmtId="165" fontId="4" fillId="0" borderId="20" xfId="33" applyNumberFormat="1" applyFont="1" applyFill="1" applyBorder="1" applyProtection="1">
      <protection hidden="1"/>
    </xf>
    <xf numFmtId="177" fontId="4" fillId="0" borderId="27" xfId="40" applyNumberFormat="1" applyFont="1" applyFill="1" applyBorder="1" applyProtection="1">
      <protection hidden="1"/>
    </xf>
    <xf numFmtId="37" fontId="4" fillId="0" borderId="11" xfId="37" applyFont="1" applyFill="1" applyBorder="1" applyAlignment="1" applyProtection="1">
      <protection hidden="1"/>
    </xf>
    <xf numFmtId="37" fontId="4" fillId="0" borderId="20" xfId="37" applyFont="1" applyFill="1" applyBorder="1" applyAlignment="1" applyProtection="1">
      <protection hidden="1"/>
    </xf>
    <xf numFmtId="179" fontId="4" fillId="0" borderId="20" xfId="37" applyNumberFormat="1" applyFont="1" applyFill="1" applyBorder="1" applyAlignment="1" applyProtection="1">
      <protection hidden="1"/>
    </xf>
    <xf numFmtId="175" fontId="30" fillId="0" borderId="20" xfId="40" applyNumberFormat="1" applyFont="1" applyBorder="1" applyProtection="1">
      <protection hidden="1"/>
    </xf>
    <xf numFmtId="1" fontId="39" fillId="0" borderId="20" xfId="40" applyNumberFormat="1" applyFont="1" applyBorder="1" applyProtection="1">
      <protection hidden="1"/>
    </xf>
    <xf numFmtId="179" fontId="4" fillId="0" borderId="22" xfId="37" applyNumberFormat="1" applyFont="1" applyFill="1" applyBorder="1" applyAlignment="1" applyProtection="1">
      <protection hidden="1"/>
    </xf>
    <xf numFmtId="177" fontId="30" fillId="0" borderId="20" xfId="40" applyNumberFormat="1" applyFont="1" applyBorder="1" applyProtection="1">
      <protection hidden="1"/>
    </xf>
    <xf numFmtId="174" fontId="4" fillId="0" borderId="20" xfId="33" applyNumberFormat="1" applyFont="1" applyFill="1" applyBorder="1" applyProtection="1">
      <protection hidden="1"/>
    </xf>
    <xf numFmtId="165" fontId="4" fillId="0" borderId="27" xfId="33" applyNumberFormat="1" applyFont="1" applyFill="1" applyBorder="1" applyProtection="1">
      <protection hidden="1"/>
    </xf>
    <xf numFmtId="37" fontId="4" fillId="0" borderId="11" xfId="37" applyFont="1" applyBorder="1" applyProtection="1">
      <protection hidden="1"/>
    </xf>
    <xf numFmtId="37" fontId="4" fillId="0" borderId="20" xfId="37" applyFont="1" applyBorder="1" applyProtection="1">
      <protection hidden="1"/>
    </xf>
    <xf numFmtId="178" fontId="4" fillId="0" borderId="21" xfId="40" applyNumberFormat="1" applyFont="1" applyBorder="1" applyProtection="1">
      <protection hidden="1"/>
    </xf>
    <xf numFmtId="3" fontId="30" fillId="0" borderId="23" xfId="0" applyNumberFormat="1" applyFont="1" applyBorder="1" applyProtection="1">
      <protection hidden="1"/>
    </xf>
    <xf numFmtId="175" fontId="4" fillId="0" borderId="23" xfId="40" applyNumberFormat="1" applyFont="1" applyFill="1" applyBorder="1" applyProtection="1">
      <protection hidden="1"/>
    </xf>
    <xf numFmtId="177" fontId="4" fillId="0" borderId="23" xfId="40" applyNumberFormat="1" applyFont="1" applyFill="1" applyBorder="1" applyProtection="1">
      <protection hidden="1"/>
    </xf>
    <xf numFmtId="165" fontId="4" fillId="0" borderId="23" xfId="33" applyNumberFormat="1" applyFont="1" applyFill="1" applyBorder="1" applyProtection="1">
      <protection hidden="1"/>
    </xf>
    <xf numFmtId="177" fontId="4" fillId="0" borderId="28" xfId="40" applyNumberFormat="1" applyFont="1" applyFill="1" applyBorder="1" applyProtection="1">
      <protection hidden="1"/>
    </xf>
    <xf numFmtId="37" fontId="4" fillId="0" borderId="12" xfId="37" applyFont="1" applyFill="1" applyBorder="1" applyAlignment="1" applyProtection="1">
      <protection hidden="1"/>
    </xf>
    <xf numFmtId="37" fontId="4" fillId="0" borderId="23" xfId="37" applyFont="1" applyFill="1" applyBorder="1" applyAlignment="1" applyProtection="1">
      <protection hidden="1"/>
    </xf>
    <xf numFmtId="179" fontId="4" fillId="0" borderId="23" xfId="37" applyNumberFormat="1" applyFont="1" applyFill="1" applyBorder="1" applyAlignment="1" applyProtection="1">
      <protection hidden="1"/>
    </xf>
    <xf numFmtId="175" fontId="30" fillId="0" borderId="23" xfId="40" applyNumberFormat="1" applyFont="1" applyBorder="1" applyProtection="1">
      <protection hidden="1"/>
    </xf>
    <xf numFmtId="1" fontId="39" fillId="0" borderId="23" xfId="40" applyNumberFormat="1" applyFont="1" applyBorder="1" applyProtection="1">
      <protection hidden="1"/>
    </xf>
    <xf numFmtId="179" fontId="4" fillId="0" borderId="24" xfId="37" applyNumberFormat="1" applyFont="1" applyFill="1" applyBorder="1" applyAlignment="1" applyProtection="1">
      <protection hidden="1"/>
    </xf>
    <xf numFmtId="177" fontId="30" fillId="0" borderId="23" xfId="40" applyNumberFormat="1" applyFont="1" applyBorder="1" applyProtection="1">
      <protection hidden="1"/>
    </xf>
    <xf numFmtId="174" fontId="4" fillId="0" borderId="23" xfId="33" applyNumberFormat="1" applyFont="1" applyFill="1" applyBorder="1" applyProtection="1">
      <protection hidden="1"/>
    </xf>
    <xf numFmtId="165" fontId="4" fillId="0" borderId="28" xfId="33" applyNumberFormat="1" applyFont="1" applyFill="1" applyBorder="1" applyProtection="1">
      <protection hidden="1"/>
    </xf>
    <xf numFmtId="37" fontId="4" fillId="0" borderId="12" xfId="37" applyFont="1" applyBorder="1" applyProtection="1">
      <protection hidden="1"/>
    </xf>
    <xf numFmtId="37" fontId="4" fillId="0" borderId="23" xfId="37" applyFont="1" applyBorder="1" applyProtection="1">
      <protection hidden="1"/>
    </xf>
    <xf numFmtId="178" fontId="4" fillId="0" borderId="19" xfId="40" applyNumberFormat="1" applyFont="1" applyBorder="1" applyProtection="1">
      <protection hidden="1"/>
    </xf>
    <xf numFmtId="3" fontId="32" fillId="0" borderId="14" xfId="0" applyNumberFormat="1" applyFont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7" fontId="8" fillId="0" borderId="26" xfId="40" applyNumberFormat="1" applyFont="1" applyFill="1" applyBorder="1" applyProtection="1">
      <protection hidden="1"/>
    </xf>
    <xf numFmtId="37" fontId="38" fillId="0" borderId="13" xfId="37" applyFont="1" applyFill="1" applyBorder="1" applyAlignment="1" applyProtection="1">
      <protection hidden="1"/>
    </xf>
    <xf numFmtId="37" fontId="38" fillId="0" borderId="14" xfId="37" applyFont="1" applyFill="1" applyBorder="1" applyAlignment="1" applyProtection="1">
      <protection hidden="1"/>
    </xf>
    <xf numFmtId="173" fontId="38" fillId="0" borderId="14" xfId="37" applyNumberFormat="1" applyFont="1" applyFill="1" applyBorder="1" applyAlignment="1" applyProtection="1">
      <protection hidden="1"/>
    </xf>
    <xf numFmtId="175" fontId="32" fillId="0" borderId="14" xfId="40" applyNumberFormat="1" applyFont="1" applyBorder="1" applyProtection="1">
      <protection hidden="1"/>
    </xf>
    <xf numFmtId="1" fontId="40" fillId="0" borderId="14" xfId="40" applyNumberFormat="1" applyFont="1" applyBorder="1" applyProtection="1">
      <protection hidden="1"/>
    </xf>
    <xf numFmtId="173" fontId="38" fillId="0" borderId="25" xfId="37" applyNumberFormat="1" applyFont="1" applyFill="1" applyBorder="1" applyAlignment="1" applyProtection="1">
      <protection hidden="1"/>
    </xf>
    <xf numFmtId="177" fontId="32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7" fontId="8" fillId="0" borderId="14" xfId="33" applyNumberFormat="1" applyFont="1" applyFill="1" applyBorder="1" applyProtection="1">
      <protection hidden="1"/>
    </xf>
    <xf numFmtId="174" fontId="8" fillId="0" borderId="14" xfId="33" applyNumberFormat="1" applyFont="1" applyFill="1" applyBorder="1" applyProtection="1">
      <protection hidden="1"/>
    </xf>
    <xf numFmtId="165" fontId="8" fillId="0" borderId="26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8" fontId="8" fillId="0" borderId="15" xfId="40" applyNumberFormat="1" applyFont="1" applyBorder="1" applyProtection="1">
      <protection hidden="1"/>
    </xf>
    <xf numFmtId="177" fontId="4" fillId="0" borderId="0" xfId="37" applyNumberFormat="1" applyFont="1" applyProtection="1">
      <protection hidden="1"/>
    </xf>
    <xf numFmtId="39" fontId="4" fillId="0" borderId="0" xfId="37" applyNumberFormat="1" applyFont="1" applyProtection="1">
      <protection hidden="1"/>
    </xf>
    <xf numFmtId="178" fontId="4" fillId="0" borderId="0" xfId="37" applyNumberFormat="1" applyFont="1" applyProtection="1">
      <protection hidden="1"/>
    </xf>
    <xf numFmtId="166" fontId="4" fillId="0" borderId="0" xfId="40" applyNumberFormat="1" applyFont="1" applyProtection="1">
      <protection hidden="1"/>
    </xf>
    <xf numFmtId="177" fontId="4" fillId="0" borderId="0" xfId="37" applyNumberFormat="1" applyFont="1" applyFill="1" applyProtection="1">
      <protection hidden="1"/>
    </xf>
    <xf numFmtId="178" fontId="4" fillId="0" borderId="0" xfId="37" applyNumberFormat="1" applyFont="1" applyFill="1" applyProtection="1">
      <protection hidden="1"/>
    </xf>
    <xf numFmtId="166" fontId="4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39" fontId="31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Protection="1">
      <protection hidden="1"/>
    </xf>
    <xf numFmtId="39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4" fillId="0" borderId="11" xfId="37" applyNumberFormat="1" applyFont="1" applyFill="1" applyBorder="1" applyProtection="1">
      <protection hidden="1"/>
    </xf>
    <xf numFmtId="37" fontId="4" fillId="0" borderId="12" xfId="37" applyNumberFormat="1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4" fillId="0" borderId="0" xfId="37" applyFont="1" applyAlignment="1" applyProtection="1">
      <alignment wrapText="1"/>
      <protection hidden="1"/>
    </xf>
    <xf numFmtId="37" fontId="4" fillId="0" borderId="30" xfId="37" applyFont="1" applyBorder="1" applyAlignment="1" applyProtection="1">
      <alignment wrapText="1"/>
      <protection hidden="1"/>
    </xf>
    <xf numFmtId="37" fontId="47" fillId="0" borderId="0" xfId="37" applyFont="1" applyProtection="1"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9" fontId="8" fillId="0" borderId="29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9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177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1" fillId="0" borderId="0" xfId="39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Border="1" applyProtection="1">
      <protection hidden="1"/>
    </xf>
    <xf numFmtId="180" fontId="4" fillId="0" borderId="20" xfId="40" applyNumberFormat="1" applyFont="1" applyFill="1" applyBorder="1" applyProtection="1">
      <protection hidden="1"/>
    </xf>
    <xf numFmtId="180" fontId="4" fillId="0" borderId="23" xfId="40" applyNumberFormat="1" applyFont="1" applyFill="1" applyBorder="1" applyProtection="1">
      <protection hidden="1"/>
    </xf>
    <xf numFmtId="180" fontId="8" fillId="0" borderId="14" xfId="40" applyNumberFormat="1" applyFont="1" applyFill="1" applyBorder="1" applyProtection="1">
      <protection hidden="1"/>
    </xf>
    <xf numFmtId="181" fontId="4" fillId="0" borderId="20" xfId="40" applyNumberFormat="1" applyFont="1" applyFill="1" applyBorder="1" applyProtection="1">
      <protection hidden="1"/>
    </xf>
    <xf numFmtId="181" fontId="4" fillId="0" borderId="23" xfId="40" applyNumberFormat="1" applyFont="1" applyFill="1" applyBorder="1" applyProtection="1">
      <protection hidden="1"/>
    </xf>
    <xf numFmtId="181" fontId="8" fillId="0" borderId="14" xfId="40" applyNumberFormat="1" applyFont="1" applyFill="1" applyBorder="1" applyProtection="1">
      <protection hidden="1"/>
    </xf>
    <xf numFmtId="39" fontId="8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4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4" fillId="0" borderId="0" xfId="40" applyNumberFormat="1" applyFont="1" applyFill="1" applyBorder="1" applyAlignment="1" applyProtection="1">
      <alignment horizontal="center" vertical="center" wrapText="1"/>
      <protection hidden="1"/>
    </xf>
    <xf numFmtId="178" fontId="42" fillId="0" borderId="0" xfId="37" applyNumberFormat="1" applyFont="1" applyAlignment="1" applyProtection="1">
      <alignment horizontal="center" vertical="center"/>
      <protection hidden="1"/>
    </xf>
    <xf numFmtId="49" fontId="44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4" fillId="0" borderId="21" xfId="40" applyNumberFormat="1" applyFont="1" applyFill="1" applyBorder="1" applyProtection="1">
      <protection hidden="1"/>
    </xf>
    <xf numFmtId="178" fontId="4" fillId="0" borderId="19" xfId="40" applyNumberFormat="1" applyFont="1" applyFill="1" applyBorder="1" applyProtection="1">
      <protection hidden="1"/>
    </xf>
    <xf numFmtId="178" fontId="8" fillId="0" borderId="15" xfId="40" applyNumberFormat="1" applyFont="1" applyFill="1" applyBorder="1" applyProtection="1">
      <protection hidden="1"/>
    </xf>
    <xf numFmtId="37" fontId="43" fillId="0" borderId="0" xfId="37" applyFont="1" applyAlignment="1" applyProtection="1"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165" fontId="32" fillId="0" borderId="14" xfId="33" applyNumberFormat="1" applyFont="1" applyFill="1" applyBorder="1" applyProtection="1"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Alignment="1" applyProtection="1">
      <alignment horizontal="center" vertical="center"/>
      <protection hidden="1"/>
    </xf>
    <xf numFmtId="178" fontId="31" fillId="0" borderId="0" xfId="37" applyNumberFormat="1" applyFont="1" applyFill="1" applyProtection="1">
      <protection hidden="1"/>
    </xf>
    <xf numFmtId="37" fontId="31" fillId="0" borderId="0" xfId="37" applyFont="1" applyFill="1" applyAlignment="1" applyProtection="1">
      <alignment horizontal="center" vertical="center" wrapText="1"/>
      <protection hidden="1"/>
    </xf>
    <xf numFmtId="178" fontId="31" fillId="0" borderId="0" xfId="37" applyNumberFormat="1" applyFont="1" applyFill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Protection="1">
      <protection hidden="1"/>
    </xf>
    <xf numFmtId="178" fontId="4" fillId="0" borderId="16" xfId="33" applyNumberFormat="1" applyFont="1" applyFill="1" applyBorder="1" applyProtection="1">
      <protection hidden="1"/>
    </xf>
    <xf numFmtId="37" fontId="4" fillId="0" borderId="11" xfId="37" applyFont="1" applyFill="1" applyBorder="1" applyProtection="1">
      <protection hidden="1"/>
    </xf>
    <xf numFmtId="37" fontId="4" fillId="0" borderId="20" xfId="37" applyFont="1" applyFill="1" applyBorder="1" applyProtection="1">
      <protection hidden="1"/>
    </xf>
    <xf numFmtId="178" fontId="4" fillId="0" borderId="21" xfId="37" applyNumberFormat="1" applyFont="1" applyFill="1" applyBorder="1" applyProtection="1">
      <protection hidden="1"/>
    </xf>
    <xf numFmtId="3" fontId="30" fillId="0" borderId="23" xfId="0" applyNumberFormat="1" applyFont="1" applyFill="1" applyBorder="1" applyProtection="1">
      <protection hidden="1"/>
    </xf>
    <xf numFmtId="178" fontId="4" fillId="0" borderId="17" xfId="33" applyNumberFormat="1" applyFont="1" applyFill="1" applyBorder="1" applyProtection="1">
      <protection hidden="1"/>
    </xf>
    <xf numFmtId="37" fontId="4" fillId="0" borderId="12" xfId="37" applyFont="1" applyFill="1" applyBorder="1" applyProtection="1">
      <protection hidden="1"/>
    </xf>
    <xf numFmtId="37" fontId="4" fillId="0" borderId="23" xfId="37" applyFont="1" applyFill="1" applyBorder="1" applyProtection="1">
      <protection hidden="1"/>
    </xf>
    <xf numFmtId="178" fontId="4" fillId="0" borderId="19" xfId="37" applyNumberFormat="1" applyFont="1" applyFill="1" applyBorder="1" applyProtection="1">
      <protection hidden="1"/>
    </xf>
    <xf numFmtId="3" fontId="32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8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8" fontId="8" fillId="0" borderId="15" xfId="37" applyNumberFormat="1" applyFont="1" applyFill="1" applyBorder="1" applyProtection="1">
      <protection hidden="1"/>
    </xf>
    <xf numFmtId="10" fontId="4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/>
    <xf numFmtId="0" fontId="8" fillId="0" borderId="38" xfId="53" applyFont="1" applyBorder="1" applyAlignment="1">
      <alignment horizontal="center" vertical="center" wrapText="1"/>
    </xf>
    <xf numFmtId="0" fontId="4" fillId="0" borderId="38" xfId="53" applyFont="1" applyBorder="1" applyAlignment="1">
      <alignment vertical="center" wrapText="1"/>
    </xf>
    <xf numFmtId="0" fontId="4" fillId="0" borderId="38" xfId="53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/>
    </xf>
    <xf numFmtId="3" fontId="4" fillId="0" borderId="0" xfId="53" applyNumberFormat="1" applyBorder="1" applyAlignment="1">
      <alignment horizontal="center" vertical="center"/>
    </xf>
    <xf numFmtId="0" fontId="4" fillId="0" borderId="0" xfId="53" applyBorder="1" applyAlignment="1">
      <alignment horizontal="center" vertical="center"/>
    </xf>
    <xf numFmtId="0" fontId="4" fillId="0" borderId="0" xfId="53" applyFont="1"/>
    <xf numFmtId="188" fontId="0" fillId="0" borderId="0" xfId="51" applyNumberFormat="1" applyFont="1"/>
    <xf numFmtId="188" fontId="4" fillId="0" borderId="0" xfId="51" applyNumberFormat="1" applyFont="1"/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2" xfId="51" applyNumberFormat="1" applyFont="1" applyFill="1" applyBorder="1"/>
    <xf numFmtId="188" fontId="8" fillId="0" borderId="39" xfId="51" applyNumberFormat="1" applyFont="1" applyFill="1" applyBorder="1"/>
    <xf numFmtId="188" fontId="8" fillId="0" borderId="0" xfId="51" applyNumberFormat="1" applyFont="1" applyFill="1" applyBorder="1"/>
    <xf numFmtId="0" fontId="8" fillId="0" borderId="38" xfId="53" applyFont="1" applyBorder="1" applyAlignment="1">
      <alignment horizontal="center" vertical="center"/>
    </xf>
    <xf numFmtId="3" fontId="8" fillId="0" borderId="38" xfId="53" applyNumberFormat="1" applyFont="1" applyBorder="1" applyAlignment="1">
      <alignment horizontal="center" vertical="center"/>
    </xf>
    <xf numFmtId="10" fontId="44" fillId="0" borderId="33" xfId="56" applyNumberFormat="1" applyFont="1" applyFill="1" applyBorder="1" applyAlignment="1" applyProtection="1">
      <alignment horizontal="center" vertical="center" wrapText="1"/>
      <protection hidden="1"/>
    </xf>
    <xf numFmtId="182" fontId="4" fillId="0" borderId="20" xfId="40" applyNumberFormat="1" applyFont="1" applyFill="1" applyBorder="1" applyProtection="1">
      <protection hidden="1"/>
    </xf>
    <xf numFmtId="182" fontId="4" fillId="0" borderId="23" xfId="40" applyNumberFormat="1" applyFont="1" applyFill="1" applyBorder="1" applyProtection="1">
      <protection hidden="1"/>
    </xf>
    <xf numFmtId="182" fontId="8" fillId="0" borderId="14" xfId="40" applyNumberFormat="1" applyFont="1" applyFill="1" applyBorder="1" applyProtection="1">
      <protection hidden="1"/>
    </xf>
    <xf numFmtId="176" fontId="4" fillId="0" borderId="21" xfId="33" applyNumberFormat="1" applyFont="1" applyFill="1" applyBorder="1" applyProtection="1">
      <protection hidden="1"/>
    </xf>
    <xf numFmtId="176" fontId="4" fillId="0" borderId="19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50" fillId="0" borderId="0" xfId="40" applyNumberFormat="1" applyFont="1" applyProtection="1">
      <protection hidden="1"/>
    </xf>
    <xf numFmtId="49" fontId="8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1" fillId="0" borderId="0" xfId="37" applyFont="1" applyBorder="1" applyAlignment="1" applyProtection="1">
      <alignment horizontal="center" vertical="center" wrapText="1"/>
      <protection hidden="1"/>
    </xf>
    <xf numFmtId="183" fontId="51" fillId="0" borderId="0" xfId="37" applyNumberFormat="1" applyFont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175" fontId="4" fillId="0" borderId="0" xfId="40" applyNumberFormat="1" applyFont="1" applyProtection="1">
      <protection hidden="1"/>
    </xf>
    <xf numFmtId="37" fontId="4" fillId="0" borderId="0" xfId="37" applyFont="1" applyBorder="1" applyProtection="1">
      <protection hidden="1"/>
    </xf>
    <xf numFmtId="2" fontId="8" fillId="0" borderId="0" xfId="33" applyNumberFormat="1" applyFont="1" applyFill="1" applyBorder="1" applyProtection="1">
      <protection hidden="1"/>
    </xf>
    <xf numFmtId="164" fontId="4" fillId="0" borderId="0" xfId="33" applyFont="1" applyBorder="1" applyProtection="1">
      <protection hidden="1"/>
    </xf>
    <xf numFmtId="167" fontId="50" fillId="0" borderId="0" xfId="40" applyNumberFormat="1" applyFont="1" applyBorder="1" applyProtection="1">
      <protection hidden="1"/>
    </xf>
    <xf numFmtId="185" fontId="4" fillId="0" borderId="0" xfId="40" applyNumberFormat="1" applyFont="1" applyProtection="1">
      <protection hidden="1"/>
    </xf>
    <xf numFmtId="172" fontId="4" fillId="0" borderId="0" xfId="37" applyNumberFormat="1" applyFont="1" applyProtection="1">
      <protection hidden="1"/>
    </xf>
    <xf numFmtId="184" fontId="4" fillId="0" borderId="0" xfId="37" applyNumberFormat="1" applyFont="1" applyProtection="1">
      <protection hidden="1"/>
    </xf>
    <xf numFmtId="37" fontId="4" fillId="0" borderId="0" xfId="37" applyNumberFormat="1" applyFont="1" applyProtection="1">
      <protection hidden="1"/>
    </xf>
    <xf numFmtId="183" fontId="4" fillId="0" borderId="0" xfId="37" applyNumberFormat="1" applyFont="1" applyProtection="1">
      <protection hidden="1"/>
    </xf>
    <xf numFmtId="37" fontId="4" fillId="0" borderId="24" xfId="37" applyFont="1" applyFill="1" applyBorder="1" applyAlignment="1" applyProtection="1">
      <protection hidden="1"/>
    </xf>
    <xf numFmtId="3" fontId="4" fillId="0" borderId="0" xfId="53" applyNumberFormat="1"/>
    <xf numFmtId="165" fontId="4" fillId="0" borderId="38" xfId="33" applyNumberFormat="1" applyFont="1" applyFill="1" applyBorder="1" applyAlignment="1">
      <alignment vertical="center" wrapText="1"/>
    </xf>
    <xf numFmtId="0" fontId="4" fillId="24" borderId="0" xfId="106" applyFill="1"/>
    <xf numFmtId="188" fontId="0" fillId="24" borderId="0" xfId="51" applyNumberFormat="1" applyFont="1" applyFill="1"/>
    <xf numFmtId="189" fontId="8" fillId="24" borderId="46" xfId="106" applyNumberFormat="1" applyFont="1" applyFill="1" applyBorder="1"/>
    <xf numFmtId="188" fontId="8" fillId="24" borderId="47" xfId="51" applyNumberFormat="1" applyFont="1" applyFill="1" applyBorder="1"/>
    <xf numFmtId="188" fontId="8" fillId="24" borderId="48" xfId="106" applyNumberFormat="1" applyFont="1" applyFill="1" applyBorder="1"/>
    <xf numFmtId="188" fontId="8" fillId="24" borderId="49" xfId="106" applyNumberFormat="1" applyFont="1" applyFill="1" applyBorder="1"/>
    <xf numFmtId="188" fontId="8" fillId="24" borderId="50" xfId="106" applyNumberFormat="1" applyFont="1" applyFill="1" applyBorder="1"/>
    <xf numFmtId="0" fontId="8" fillId="24" borderId="51" xfId="106" applyFont="1" applyFill="1" applyBorder="1"/>
    <xf numFmtId="190" fontId="8" fillId="24" borderId="47" xfId="106" applyNumberFormat="1" applyFont="1" applyFill="1" applyBorder="1"/>
    <xf numFmtId="191" fontId="8" fillId="24" borderId="49" xfId="51" applyNumberFormat="1" applyFont="1" applyFill="1" applyBorder="1"/>
    <xf numFmtId="191" fontId="8" fillId="24" borderId="49" xfId="106" applyNumberFormat="1" applyFont="1" applyFill="1" applyBorder="1"/>
    <xf numFmtId="191" fontId="8" fillId="24" borderId="48" xfId="51" applyNumberFormat="1" applyFont="1" applyFill="1" applyBorder="1"/>
    <xf numFmtId="191" fontId="8" fillId="24" borderId="49" xfId="107" applyNumberFormat="1" applyFont="1" applyFill="1" applyBorder="1"/>
    <xf numFmtId="188" fontId="8" fillId="24" borderId="49" xfId="51" applyNumberFormat="1" applyFont="1" applyFill="1" applyBorder="1"/>
    <xf numFmtId="188" fontId="8" fillId="24" borderId="50" xfId="51" applyNumberFormat="1" applyFont="1" applyFill="1" applyBorder="1"/>
    <xf numFmtId="189" fontId="4" fillId="24" borderId="43" xfId="106" applyNumberFormat="1" applyFill="1" applyBorder="1"/>
    <xf numFmtId="41" fontId="4" fillId="24" borderId="52" xfId="106" applyNumberFormat="1" applyFill="1" applyBorder="1"/>
    <xf numFmtId="188" fontId="0" fillId="24" borderId="53" xfId="51" applyNumberFormat="1" applyFont="1" applyFill="1" applyBorder="1"/>
    <xf numFmtId="188" fontId="0" fillId="24" borderId="0" xfId="51" applyNumberFormat="1" applyFont="1" applyFill="1" applyBorder="1"/>
    <xf numFmtId="188" fontId="0" fillId="24" borderId="54" xfId="51" applyNumberFormat="1" applyFont="1" applyFill="1" applyBorder="1"/>
    <xf numFmtId="0" fontId="8" fillId="24" borderId="42" xfId="106" applyFont="1" applyFill="1" applyBorder="1"/>
    <xf numFmtId="190" fontId="4" fillId="24" borderId="52" xfId="106" applyNumberFormat="1" applyFill="1" applyBorder="1"/>
    <xf numFmtId="191" fontId="0" fillId="24" borderId="0" xfId="51" applyNumberFormat="1" applyFont="1" applyFill="1" applyBorder="1"/>
    <xf numFmtId="191" fontId="4" fillId="24" borderId="0" xfId="106" applyNumberFormat="1" applyFill="1" applyBorder="1"/>
    <xf numFmtId="191" fontId="0" fillId="24" borderId="53" xfId="51" applyNumberFormat="1" applyFont="1" applyFill="1" applyBorder="1"/>
    <xf numFmtId="191" fontId="0" fillId="24" borderId="0" xfId="107" applyNumberFormat="1" applyFont="1" applyFill="1" applyBorder="1"/>
    <xf numFmtId="189" fontId="4" fillId="24" borderId="55" xfId="106" applyNumberFormat="1" applyFill="1" applyBorder="1"/>
    <xf numFmtId="41" fontId="0" fillId="24" borderId="56" xfId="51" applyNumberFormat="1" applyFont="1" applyFill="1" applyBorder="1"/>
    <xf numFmtId="188" fontId="0" fillId="24" borderId="57" xfId="51" applyNumberFormat="1" applyFont="1" applyFill="1" applyBorder="1"/>
    <xf numFmtId="188" fontId="0" fillId="24" borderId="58" xfId="51" applyNumberFormat="1" applyFont="1" applyFill="1" applyBorder="1"/>
    <xf numFmtId="188" fontId="0" fillId="24" borderId="59" xfId="51" applyNumberFormat="1" applyFont="1" applyFill="1" applyBorder="1"/>
    <xf numFmtId="0" fontId="8" fillId="24" borderId="60" xfId="106" applyFont="1" applyFill="1" applyBorder="1"/>
    <xf numFmtId="190" fontId="4" fillId="24" borderId="56" xfId="106" applyNumberFormat="1" applyFill="1" applyBorder="1"/>
    <xf numFmtId="191" fontId="0" fillId="24" borderId="58" xfId="51" applyNumberFormat="1" applyFont="1" applyFill="1" applyBorder="1"/>
    <xf numFmtId="191" fontId="4" fillId="24" borderId="58" xfId="106" applyNumberFormat="1" applyFill="1" applyBorder="1"/>
    <xf numFmtId="191" fontId="0" fillId="24" borderId="57" xfId="51" applyNumberFormat="1" applyFont="1" applyFill="1" applyBorder="1"/>
    <xf numFmtId="191" fontId="0" fillId="24" borderId="58" xfId="107" applyNumberFormat="1" applyFont="1" applyFill="1" applyBorder="1"/>
    <xf numFmtId="0" fontId="52" fillId="24" borderId="0" xfId="106" applyFont="1" applyFill="1"/>
    <xf numFmtId="9" fontId="52" fillId="24" borderId="0" xfId="107" applyFont="1" applyFill="1" applyAlignment="1">
      <alignment horizontal="center" vertical="center"/>
    </xf>
    <xf numFmtId="0" fontId="8" fillId="24" borderId="0" xfId="106" applyFont="1" applyFill="1"/>
    <xf numFmtId="0" fontId="8" fillId="0" borderId="0" xfId="106" applyFont="1"/>
    <xf numFmtId="188" fontId="52" fillId="24" borderId="0" xfId="51" applyNumberFormat="1" applyFont="1" applyFill="1" applyAlignment="1">
      <alignment horizontal="center" vertical="center"/>
    </xf>
    <xf numFmtId="0" fontId="31" fillId="24" borderId="0" xfId="106" applyFont="1" applyFill="1" applyAlignment="1">
      <alignment horizontal="center" vertical="center" wrapText="1"/>
    </xf>
    <xf numFmtId="0" fontId="8" fillId="24" borderId="41" xfId="106" applyFont="1" applyFill="1" applyBorder="1" applyAlignment="1">
      <alignment horizontal="center" vertical="center" wrapText="1"/>
    </xf>
    <xf numFmtId="0" fontId="8" fillId="24" borderId="61" xfId="106" applyFont="1" applyFill="1" applyBorder="1" applyAlignment="1">
      <alignment horizontal="center" vertical="center" wrapText="1"/>
    </xf>
    <xf numFmtId="0" fontId="8" fillId="24" borderId="62" xfId="106" applyFont="1" applyFill="1" applyBorder="1" applyAlignment="1">
      <alignment horizontal="center" vertical="center" wrapText="1"/>
    </xf>
    <xf numFmtId="0" fontId="8" fillId="24" borderId="40" xfId="106" applyFont="1" applyFill="1" applyBorder="1" applyAlignment="1">
      <alignment horizontal="center" vertical="center" wrapText="1"/>
    </xf>
    <xf numFmtId="0" fontId="8" fillId="24" borderId="63" xfId="106" applyFont="1" applyFill="1" applyBorder="1" applyAlignment="1">
      <alignment horizontal="center" vertical="center" wrapText="1"/>
    </xf>
    <xf numFmtId="0" fontId="8" fillId="24" borderId="39" xfId="106" applyFont="1" applyFill="1" applyBorder="1" applyAlignment="1">
      <alignment horizontal="center" vertical="center"/>
    </xf>
    <xf numFmtId="0" fontId="8" fillId="24" borderId="0" xfId="106" applyFont="1" applyFill="1" applyAlignment="1"/>
    <xf numFmtId="0" fontId="8" fillId="24" borderId="0" xfId="106" applyFont="1" applyFill="1" applyAlignment="1">
      <alignment horizontal="center" vertical="center" wrapText="1"/>
    </xf>
    <xf numFmtId="0" fontId="4" fillId="0" borderId="65" xfId="53" applyFont="1" applyBorder="1" applyAlignment="1">
      <alignment vertical="center" wrapText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43" fontId="8" fillId="0" borderId="0" xfId="51" applyNumberFormat="1" applyFont="1" applyFill="1" applyBorder="1"/>
    <xf numFmtId="43" fontId="4" fillId="0" borderId="0" xfId="53" applyNumberFormat="1" applyFont="1"/>
    <xf numFmtId="43" fontId="0" fillId="0" borderId="0" xfId="51" applyNumberFormat="1" applyFont="1"/>
    <xf numFmtId="165" fontId="8" fillId="0" borderId="65" xfId="53" applyNumberFormat="1" applyFont="1" applyBorder="1" applyAlignment="1">
      <alignment horizontal="center" vertical="center"/>
    </xf>
    <xf numFmtId="0" fontId="4" fillId="0" borderId="38" xfId="53" applyFont="1" applyBorder="1" applyAlignment="1">
      <alignment vertical="center"/>
    </xf>
    <xf numFmtId="0" fontId="4" fillId="0" borderId="0" xfId="53" applyFont="1" applyAlignment="1"/>
    <xf numFmtId="165" fontId="4" fillId="0" borderId="65" xfId="33" applyNumberFormat="1" applyFont="1" applyBorder="1" applyAlignment="1">
      <alignment vertical="center" wrapText="1"/>
    </xf>
    <xf numFmtId="165" fontId="4" fillId="0" borderId="65" xfId="33" applyNumberFormat="1" applyFont="1" applyBorder="1" applyAlignment="1">
      <alignment vertical="center"/>
    </xf>
    <xf numFmtId="37" fontId="44" fillId="0" borderId="66" xfId="37" applyFont="1" applyFill="1" applyBorder="1" applyAlignment="1">
      <alignment horizontal="center" vertical="center" wrapText="1"/>
    </xf>
    <xf numFmtId="0" fontId="8" fillId="0" borderId="38" xfId="53" applyFont="1" applyBorder="1" applyAlignment="1">
      <alignment vertical="center"/>
    </xf>
    <xf numFmtId="165" fontId="8" fillId="0" borderId="65" xfId="33" applyNumberFormat="1" applyFont="1" applyBorder="1" applyAlignment="1">
      <alignment vertical="center"/>
    </xf>
    <xf numFmtId="37" fontId="44" fillId="25" borderId="66" xfId="37" applyFont="1" applyFill="1" applyBorder="1" applyAlignment="1">
      <alignment horizontal="center" vertical="center" wrapText="1"/>
    </xf>
    <xf numFmtId="165" fontId="8" fillId="25" borderId="65" xfId="33" applyNumberFormat="1" applyFont="1" applyFill="1" applyBorder="1" applyAlignment="1">
      <alignment vertical="center"/>
    </xf>
    <xf numFmtId="165" fontId="8" fillId="26" borderId="65" xfId="33" applyNumberFormat="1" applyFont="1" applyFill="1" applyBorder="1" applyAlignment="1">
      <alignment vertical="center"/>
    </xf>
    <xf numFmtId="165" fontId="8" fillId="25" borderId="65" xfId="33" applyNumberFormat="1" applyFont="1" applyFill="1" applyBorder="1" applyAlignment="1">
      <alignment vertical="center" wrapText="1"/>
    </xf>
    <xf numFmtId="0" fontId="8" fillId="26" borderId="38" xfId="53" applyFont="1" applyFill="1" applyBorder="1" applyAlignment="1">
      <alignment horizontal="center" vertical="center" wrapText="1"/>
    </xf>
    <xf numFmtId="165" fontId="8" fillId="26" borderId="38" xfId="33" applyNumberFormat="1" applyFont="1" applyFill="1" applyBorder="1" applyAlignment="1">
      <alignment vertical="center" wrapText="1"/>
    </xf>
    <xf numFmtId="0" fontId="8" fillId="0" borderId="38" xfId="53" applyFont="1" applyBorder="1" applyAlignment="1">
      <alignment vertical="center" wrapText="1"/>
    </xf>
    <xf numFmtId="3" fontId="8" fillId="0" borderId="38" xfId="53" applyNumberFormat="1" applyFont="1" applyBorder="1" applyAlignment="1">
      <alignment vertical="center" wrapText="1"/>
    </xf>
    <xf numFmtId="165" fontId="0" fillId="0" borderId="0" xfId="33" applyNumberFormat="1" applyFont="1" applyFill="1" applyBorder="1"/>
    <xf numFmtId="165" fontId="8" fillId="0" borderId="40" xfId="33" applyNumberFormat="1" applyFont="1" applyFill="1" applyBorder="1"/>
    <xf numFmtId="165" fontId="8" fillId="0" borderId="41" xfId="33" applyNumberFormat="1" applyFont="1" applyFill="1" applyBorder="1"/>
    <xf numFmtId="3" fontId="53" fillId="0" borderId="0" xfId="53" applyNumberFormat="1" applyFont="1"/>
    <xf numFmtId="188" fontId="8" fillId="0" borderId="40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 wrapText="1"/>
    </xf>
    <xf numFmtId="188" fontId="8" fillId="0" borderId="70" xfId="51" applyNumberFormat="1" applyFont="1" applyFill="1" applyBorder="1"/>
    <xf numFmtId="192" fontId="4" fillId="0" borderId="71" xfId="51" applyNumberFormat="1" applyFont="1" applyFill="1" applyBorder="1"/>
    <xf numFmtId="188" fontId="0" fillId="0" borderId="72" xfId="51" applyNumberFormat="1" applyFont="1" applyFill="1" applyBorder="1"/>
    <xf numFmtId="192" fontId="4" fillId="0" borderId="0" xfId="51" applyNumberFormat="1" applyFont="1" applyFill="1" applyBorder="1"/>
    <xf numFmtId="188" fontId="0" fillId="0" borderId="0" xfId="51" applyNumberFormat="1" applyFont="1" applyFill="1" applyBorder="1"/>
    <xf numFmtId="192" fontId="4" fillId="0" borderId="73" xfId="51" applyNumberFormat="1" applyFont="1" applyFill="1" applyBorder="1"/>
    <xf numFmtId="188" fontId="0" fillId="0" borderId="74" xfId="51" applyNumberFormat="1" applyFont="1" applyFill="1" applyBorder="1"/>
    <xf numFmtId="193" fontId="0" fillId="0" borderId="0" xfId="51" applyNumberFormat="1" applyFont="1" applyFill="1" applyBorder="1"/>
    <xf numFmtId="188" fontId="0" fillId="0" borderId="43" xfId="51" applyNumberFormat="1" applyFont="1" applyFill="1" applyBorder="1"/>
    <xf numFmtId="194" fontId="0" fillId="0" borderId="0" xfId="51" applyNumberFormat="1" applyFont="1" applyFill="1" applyBorder="1"/>
    <xf numFmtId="194" fontId="0" fillId="0" borderId="43" xfId="51" applyNumberFormat="1" applyFont="1" applyFill="1" applyBorder="1"/>
    <xf numFmtId="188" fontId="8" fillId="0" borderId="67" xfId="51" applyNumberFormat="1" applyFont="1" applyFill="1" applyBorder="1"/>
    <xf numFmtId="193" fontId="8" fillId="0" borderId="69" xfId="51" applyNumberFormat="1" applyFont="1" applyFill="1" applyBorder="1"/>
    <xf numFmtId="188" fontId="8" fillId="0" borderId="68" xfId="51" applyNumberFormat="1" applyFont="1" applyFill="1" applyBorder="1"/>
    <xf numFmtId="193" fontId="8" fillId="0" borderId="40" xfId="51" applyNumberFormat="1" applyFont="1" applyFill="1" applyBorder="1"/>
    <xf numFmtId="188" fontId="8" fillId="0" borderId="40" xfId="51" applyNumberFormat="1" applyFont="1" applyFill="1" applyBorder="1"/>
    <xf numFmtId="188" fontId="8" fillId="0" borderId="41" xfId="51" applyNumberFormat="1" applyFont="1" applyFill="1" applyBorder="1"/>
    <xf numFmtId="194" fontId="8" fillId="0" borderId="40" xfId="51" applyNumberFormat="1" applyFont="1" applyFill="1" applyBorder="1"/>
    <xf numFmtId="194" fontId="8" fillId="0" borderId="41" xfId="51" applyNumberFormat="1" applyFont="1" applyFill="1" applyBorder="1"/>
    <xf numFmtId="4" fontId="4" fillId="0" borderId="38" xfId="53" applyNumberFormat="1" applyFont="1" applyBorder="1" applyAlignment="1">
      <alignment horizontal="center" vertical="center" wrapText="1"/>
    </xf>
    <xf numFmtId="188" fontId="8" fillId="0" borderId="66" xfId="51" applyNumberFormat="1" applyFont="1" applyFill="1" applyBorder="1" applyAlignment="1">
      <alignment horizontal="center" vertical="center" wrapText="1"/>
    </xf>
    <xf numFmtId="174" fontId="8" fillId="0" borderId="40" xfId="33" applyNumberFormat="1" applyFont="1" applyFill="1" applyBorder="1"/>
    <xf numFmtId="188" fontId="8" fillId="0" borderId="64" xfId="51" applyNumberFormat="1" applyFont="1" applyBorder="1" applyAlignment="1">
      <alignment horizontal="center"/>
    </xf>
    <xf numFmtId="0" fontId="56" fillId="0" borderId="0" xfId="0" applyFont="1"/>
    <xf numFmtId="194" fontId="57" fillId="0" borderId="0" xfId="53" applyNumberFormat="1" applyFont="1"/>
    <xf numFmtId="188" fontId="57" fillId="0" borderId="0" xfId="51" applyNumberFormat="1" applyFont="1"/>
    <xf numFmtId="0" fontId="32" fillId="0" borderId="0" xfId="0" applyFont="1" applyBorder="1" applyAlignment="1"/>
    <xf numFmtId="188" fontId="8" fillId="0" borderId="75" xfId="51" applyNumberFormat="1" applyFont="1" applyFill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194" fontId="0" fillId="0" borderId="58" xfId="51" applyNumberFormat="1" applyFont="1" applyFill="1" applyBorder="1"/>
    <xf numFmtId="194" fontId="0" fillId="0" borderId="55" xfId="51" applyNumberFormat="1" applyFont="1" applyFill="1" applyBorder="1"/>
    <xf numFmtId="0" fontId="55" fillId="0" borderId="54" xfId="0" applyFont="1" applyBorder="1" applyAlignment="1">
      <alignment horizontal="center" vertical="center" wrapText="1"/>
    </xf>
    <xf numFmtId="188" fontId="0" fillId="0" borderId="42" xfId="51" applyNumberFormat="1" applyFont="1" applyBorder="1"/>
    <xf numFmtId="165" fontId="4" fillId="0" borderId="43" xfId="33" applyNumberFormat="1" applyFont="1" applyFill="1" applyBorder="1"/>
    <xf numFmtId="194" fontId="4" fillId="0" borderId="0" xfId="51" applyNumberFormat="1" applyFont="1" applyFill="1" applyBorder="1"/>
    <xf numFmtId="0" fontId="58" fillId="0" borderId="0" xfId="0" applyFont="1"/>
    <xf numFmtId="194" fontId="59" fillId="0" borderId="0" xfId="53" applyNumberFormat="1" applyFont="1"/>
    <xf numFmtId="0" fontId="8" fillId="0" borderId="0" xfId="53" applyFont="1" applyAlignment="1">
      <alignment horizontal="center" vertical="center"/>
    </xf>
    <xf numFmtId="188" fontId="8" fillId="24" borderId="64" xfId="51" applyNumberFormat="1" applyFont="1" applyFill="1" applyBorder="1" applyAlignment="1">
      <alignment horizontal="center"/>
    </xf>
    <xf numFmtId="188" fontId="8" fillId="24" borderId="0" xfId="51" applyNumberFormat="1" applyFont="1" applyFill="1" applyAlignment="1">
      <alignment horizontal="center"/>
    </xf>
    <xf numFmtId="188" fontId="8" fillId="0" borderId="0" xfId="51" applyNumberFormat="1" applyFont="1" applyAlignment="1">
      <alignment horizontal="center"/>
    </xf>
    <xf numFmtId="188" fontId="8" fillId="0" borderId="0" xfId="51" applyNumberFormat="1" applyFont="1" applyBorder="1" applyAlignment="1">
      <alignment horizontal="center"/>
    </xf>
    <xf numFmtId="43" fontId="8" fillId="0" borderId="66" xfId="51" applyNumberFormat="1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/>
    </xf>
    <xf numFmtId="188" fontId="8" fillId="0" borderId="66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/>
    </xf>
    <xf numFmtId="188" fontId="8" fillId="0" borderId="41" xfId="51" applyNumberFormat="1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43" fontId="8" fillId="0" borderId="39" xfId="51" applyNumberFormat="1" applyFont="1" applyFill="1" applyBorder="1" applyAlignment="1">
      <alignment horizontal="center" vertical="center" wrapText="1"/>
    </xf>
    <xf numFmtId="43" fontId="8" fillId="0" borderId="41" xfId="51" applyNumberFormat="1" applyFont="1" applyFill="1" applyBorder="1" applyAlignment="1">
      <alignment horizontal="center" vertical="center" wrapText="1"/>
    </xf>
    <xf numFmtId="37" fontId="54" fillId="0" borderId="0" xfId="37" applyFont="1" applyAlignment="1" applyProtection="1">
      <alignment horizontal="left" vertical="top" wrapText="1"/>
      <protection hidden="1"/>
    </xf>
    <xf numFmtId="0" fontId="42" fillId="0" borderId="30" xfId="0" applyFont="1" applyBorder="1" applyAlignment="1">
      <alignment horizontal="center"/>
    </xf>
    <xf numFmtId="37" fontId="42" fillId="0" borderId="30" xfId="37" applyFont="1" applyBorder="1" applyAlignment="1" applyProtection="1">
      <alignment horizontal="center"/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37" fontId="8" fillId="0" borderId="35" xfId="37" applyFont="1" applyFill="1" applyBorder="1" applyAlignment="1" applyProtection="1">
      <alignment horizontal="center" vertical="center" wrapText="1"/>
      <protection hidden="1"/>
    </xf>
    <xf numFmtId="37" fontId="8" fillId="0" borderId="45" xfId="37" applyFont="1" applyFill="1" applyBorder="1" applyAlignment="1" applyProtection="1">
      <alignment horizontal="center" vertical="center" wrapText="1"/>
      <protection hidden="1"/>
    </xf>
    <xf numFmtId="37" fontId="46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49" fontId="8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7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4" xfId="37" applyFont="1" applyFill="1" applyBorder="1" applyAlignment="1" applyProtection="1">
      <alignment horizontal="center" vertical="center" wrapText="1"/>
      <protection hidden="1"/>
    </xf>
    <xf numFmtId="37" fontId="8" fillId="0" borderId="44" xfId="37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 wrapText="1"/>
      <protection hidden="1"/>
    </xf>
    <xf numFmtId="37" fontId="45" fillId="0" borderId="0" xfId="37" applyFont="1" applyAlignment="1" applyProtection="1">
      <alignment horizontal="center" wrapText="1"/>
      <protection hidden="1"/>
    </xf>
    <xf numFmtId="37" fontId="42" fillId="0" borderId="30" xfId="37" applyFont="1" applyBorder="1" applyAlignment="1" applyProtection="1">
      <alignment horizontal="center" vertical="center"/>
      <protection hidden="1"/>
    </xf>
    <xf numFmtId="37" fontId="4" fillId="0" borderId="30" xfId="37" applyFont="1" applyBorder="1" applyAlignment="1" applyProtection="1">
      <alignment horizontal="center" vertical="center"/>
      <protection hidden="1"/>
    </xf>
    <xf numFmtId="37" fontId="42" fillId="0" borderId="30" xfId="37" applyFont="1" applyBorder="1" applyAlignment="1" applyProtection="1">
      <alignment horizontal="center" vertical="center" wrapText="1"/>
      <protection hidden="1"/>
    </xf>
    <xf numFmtId="0" fontId="8" fillId="24" borderId="64" xfId="106" applyFont="1" applyFill="1" applyBorder="1" applyAlignment="1">
      <alignment horizontal="center" vertical="center"/>
    </xf>
    <xf numFmtId="0" fontId="8" fillId="24" borderId="64" xfId="106" applyFont="1" applyFill="1" applyBorder="1" applyAlignment="1">
      <alignment horizontal="center"/>
    </xf>
    <xf numFmtId="0" fontId="4" fillId="24" borderId="0" xfId="106" applyFill="1" applyAlignment="1">
      <alignment horizontal="center" vertical="center"/>
    </xf>
  </cellXfs>
  <cellStyles count="108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" xfId="46" builtinId="16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ocuments/Oficina/Participaciones%202020/Ajuste%20Anual%202019/acumulado%20X%20m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p"/>
      <sheetName val="ffm 70%"/>
      <sheetName val="ffm 30%"/>
      <sheetName val="ieps"/>
      <sheetName val="fofir"/>
      <sheetName val="fexhi"/>
      <sheetName val="isan"/>
      <sheetName val="Comp isan"/>
      <sheetName val="gasolinas"/>
      <sheetName val="Part Fed"/>
      <sheetName val="Part Fed (2)"/>
      <sheetName val="Part X Fondo"/>
      <sheetName val="Part X Fondo (2)"/>
    </sheetNames>
    <sheetDataSet>
      <sheetData sheetId="0">
        <row r="7">
          <cell r="N7">
            <v>7790379.7915555127</v>
          </cell>
        </row>
        <row r="8">
          <cell r="N8">
            <v>15431008.012009608</v>
          </cell>
        </row>
        <row r="9">
          <cell r="N9">
            <v>15994377.802322326</v>
          </cell>
        </row>
        <row r="10">
          <cell r="N10">
            <v>44247843.958099835</v>
          </cell>
        </row>
        <row r="11">
          <cell r="N11">
            <v>56077399.122872584</v>
          </cell>
        </row>
        <row r="12">
          <cell r="N12">
            <v>381294687.62363172</v>
          </cell>
        </row>
        <row r="13">
          <cell r="N13">
            <v>63840186.147954784</v>
          </cell>
        </row>
        <row r="14">
          <cell r="N14">
            <v>10178360.669784851</v>
          </cell>
        </row>
        <row r="15">
          <cell r="N15">
            <v>101174896.68816704</v>
          </cell>
        </row>
        <row r="16">
          <cell r="N16">
            <v>16700286.913849022</v>
          </cell>
        </row>
        <row r="17">
          <cell r="N17">
            <v>24267883.531342197</v>
          </cell>
        </row>
        <row r="18">
          <cell r="N18">
            <v>51364226.139445148</v>
          </cell>
        </row>
        <row r="19">
          <cell r="N19">
            <v>26134608.89976202</v>
          </cell>
        </row>
        <row r="20">
          <cell r="N20">
            <v>142665994.97890726</v>
          </cell>
        </row>
        <row r="21">
          <cell r="N21">
            <v>18206839.670929715</v>
          </cell>
        </row>
        <row r="22">
          <cell r="N22">
            <v>12725883.775483426</v>
          </cell>
        </row>
        <row r="23">
          <cell r="N23">
            <v>111607708.09464473</v>
          </cell>
        </row>
        <row r="24">
          <cell r="N24">
            <v>136076708.45127279</v>
          </cell>
        </row>
        <row r="25">
          <cell r="N25">
            <v>21451040.238605715</v>
          </cell>
        </row>
        <row r="26">
          <cell r="N26">
            <v>293223024.10871619</v>
          </cell>
        </row>
        <row r="27">
          <cell r="N27">
            <v>43293271.303238221</v>
          </cell>
        </row>
        <row r="28">
          <cell r="N28">
            <v>6944259.1495620664</v>
          </cell>
        </row>
        <row r="29">
          <cell r="N29">
            <v>32084437.367306456</v>
          </cell>
        </row>
        <row r="30">
          <cell r="N30">
            <v>31250579.481046986</v>
          </cell>
        </row>
        <row r="31">
          <cell r="N31">
            <v>500277219.70805633</v>
          </cell>
        </row>
        <row r="32">
          <cell r="N32">
            <v>12913512.467774406</v>
          </cell>
        </row>
        <row r="33">
          <cell r="N33">
            <v>22228614.852903068</v>
          </cell>
        </row>
        <row r="34">
          <cell r="N34">
            <v>12712828.918071726</v>
          </cell>
        </row>
        <row r="35">
          <cell r="N35">
            <v>17795349.512928728</v>
          </cell>
        </row>
        <row r="36">
          <cell r="N36">
            <v>16704732.621233309</v>
          </cell>
        </row>
        <row r="37">
          <cell r="N37">
            <v>155594321.2705718</v>
          </cell>
        </row>
        <row r="38">
          <cell r="N38">
            <v>30321803.261504717</v>
          </cell>
        </row>
        <row r="39">
          <cell r="N39">
            <v>111172081.79524115</v>
          </cell>
        </row>
        <row r="40">
          <cell r="N40">
            <v>23632823.437300757</v>
          </cell>
        </row>
        <row r="41">
          <cell r="N41">
            <v>22702977.549230568</v>
          </cell>
        </row>
        <row r="42">
          <cell r="N42">
            <v>23939826.925387822</v>
          </cell>
        </row>
        <row r="43">
          <cell r="N43">
            <v>33720284.036270849</v>
          </cell>
        </row>
        <row r="44">
          <cell r="N44">
            <v>79110900.259730369</v>
          </cell>
        </row>
        <row r="45">
          <cell r="N45">
            <v>1629032674.7397087</v>
          </cell>
        </row>
        <row r="46">
          <cell r="N46">
            <v>8455573.3344382308</v>
          </cell>
        </row>
        <row r="47">
          <cell r="N47">
            <v>35128482.776066907</v>
          </cell>
        </row>
        <row r="48">
          <cell r="N48">
            <v>17934014.000497475</v>
          </cell>
        </row>
        <row r="49">
          <cell r="N49">
            <v>20034816.584475718</v>
          </cell>
        </row>
        <row r="50">
          <cell r="N50">
            <v>57820482.012660332</v>
          </cell>
        </row>
        <row r="51">
          <cell r="N51">
            <v>49757556.145792156</v>
          </cell>
        </row>
        <row r="52">
          <cell r="N52">
            <v>450233745.28651261</v>
          </cell>
        </row>
        <row r="53">
          <cell r="N53">
            <v>864899718.92294693</v>
          </cell>
        </row>
        <row r="54">
          <cell r="N54">
            <v>234425324.36003923</v>
          </cell>
        </row>
        <row r="55">
          <cell r="N55">
            <v>74176417.106172994</v>
          </cell>
        </row>
        <row r="56">
          <cell r="N56">
            <v>15013656.440993797</v>
          </cell>
        </row>
        <row r="57">
          <cell r="N57">
            <v>20684480.731569368</v>
          </cell>
        </row>
      </sheetData>
      <sheetData sheetId="1">
        <row r="7">
          <cell r="N7">
            <v>1085950.5004203094</v>
          </cell>
        </row>
        <row r="8">
          <cell r="N8">
            <v>2151026.2280677403</v>
          </cell>
        </row>
        <row r="9">
          <cell r="N9">
            <v>2229557.9000017489</v>
          </cell>
        </row>
        <row r="10">
          <cell r="N10">
            <v>6167988.0129369497</v>
          </cell>
        </row>
        <row r="11">
          <cell r="N11">
            <v>7816984.8418749729</v>
          </cell>
        </row>
        <row r="12">
          <cell r="N12">
            <v>53151088.312864147</v>
          </cell>
        </row>
        <row r="13">
          <cell r="N13">
            <v>8899089.0348201785</v>
          </cell>
        </row>
        <row r="14">
          <cell r="N14">
            <v>1418826.3490307073</v>
          </cell>
        </row>
        <row r="15">
          <cell r="N15">
            <v>14103411.453213474</v>
          </cell>
        </row>
        <row r="16">
          <cell r="N16">
            <v>2327959.0786266965</v>
          </cell>
        </row>
        <row r="17">
          <cell r="N17">
            <v>3382854.4464217755</v>
          </cell>
        </row>
        <row r="18">
          <cell r="N18">
            <v>7159985.7366261212</v>
          </cell>
        </row>
        <row r="19">
          <cell r="N19">
            <v>3643069.1220221412</v>
          </cell>
        </row>
        <row r="20">
          <cell r="N20">
            <v>19887119.175605714</v>
          </cell>
        </row>
        <row r="21">
          <cell r="N21">
            <v>2537967.0432829568</v>
          </cell>
        </row>
        <row r="22">
          <cell r="N22">
            <v>1773941.7543862336</v>
          </cell>
        </row>
        <row r="23">
          <cell r="N23">
            <v>15557707.333588878</v>
          </cell>
        </row>
        <row r="24">
          <cell r="N24">
            <v>18968596.687071282</v>
          </cell>
        </row>
        <row r="25">
          <cell r="N25">
            <v>2990196.7644270463</v>
          </cell>
        </row>
        <row r="26">
          <cell r="N26">
            <v>40874219.751204431</v>
          </cell>
        </row>
        <row r="27">
          <cell r="N27">
            <v>6034924.0865393523</v>
          </cell>
        </row>
        <row r="28">
          <cell r="N28">
            <v>968004.4080602437</v>
          </cell>
        </row>
        <row r="29">
          <cell r="N29">
            <v>4472453.5046646995</v>
          </cell>
        </row>
        <row r="30">
          <cell r="N30">
            <v>4356216.7522089407</v>
          </cell>
        </row>
        <row r="31">
          <cell r="N31">
            <v>69736819.164834321</v>
          </cell>
        </row>
        <row r="32">
          <cell r="N32">
            <v>1800096.5451887883</v>
          </cell>
        </row>
        <row r="33">
          <cell r="N33">
            <v>3098587.7960973848</v>
          </cell>
        </row>
        <row r="34">
          <cell r="N34">
            <v>1772121.9966385616</v>
          </cell>
        </row>
        <row r="35">
          <cell r="N35">
            <v>2480606.7978349272</v>
          </cell>
        </row>
        <row r="36">
          <cell r="N36">
            <v>2328578.7840527492</v>
          </cell>
        </row>
        <row r="37">
          <cell r="N37">
            <v>21689280.712574229</v>
          </cell>
        </row>
        <row r="38">
          <cell r="N38">
            <v>4226748.766008202</v>
          </cell>
        </row>
        <row r="39">
          <cell r="N39">
            <v>15496982.602278924</v>
          </cell>
        </row>
        <row r="40">
          <cell r="N40">
            <v>3294329.3389116204</v>
          </cell>
        </row>
        <row r="41">
          <cell r="N41">
            <v>3164712.2299369955</v>
          </cell>
        </row>
        <row r="42">
          <cell r="N42">
            <v>3337124.5559035116</v>
          </cell>
        </row>
        <row r="43">
          <cell r="N43">
            <v>4700484.6021629926</v>
          </cell>
        </row>
        <row r="44">
          <cell r="N44">
            <v>11027770.86071467</v>
          </cell>
        </row>
        <row r="45">
          <cell r="N45">
            <v>227081211.36318243</v>
          </cell>
        </row>
        <row r="46">
          <cell r="N46">
            <v>1178676.078409377</v>
          </cell>
        </row>
        <row r="47">
          <cell r="N47">
            <v>4896782.309001022</v>
          </cell>
        </row>
        <row r="48">
          <cell r="N48">
            <v>2499936.0997655303</v>
          </cell>
        </row>
        <row r="49">
          <cell r="N49">
            <v>2792780.3137451471</v>
          </cell>
        </row>
        <row r="50">
          <cell r="N50">
            <v>8059964.2211392801</v>
          </cell>
        </row>
        <row r="51">
          <cell r="N51">
            <v>6936021.7760022823</v>
          </cell>
        </row>
        <row r="52">
          <cell r="N52">
            <v>62760941.433390819</v>
          </cell>
        </row>
        <row r="53">
          <cell r="N53">
            <v>120563865.24608637</v>
          </cell>
        </row>
        <row r="54">
          <cell r="N54">
            <v>32678034.912167914</v>
          </cell>
        </row>
        <row r="55">
          <cell r="N55">
            <v>10339921.91171</v>
          </cell>
        </row>
        <row r="56">
          <cell r="N56">
            <v>2092848.9332446263</v>
          </cell>
        </row>
        <row r="57">
          <cell r="N57">
            <v>2883341.1743632378</v>
          </cell>
        </row>
      </sheetData>
      <sheetData sheetId="2">
        <row r="7">
          <cell r="N7">
            <v>3186219.3945787787</v>
          </cell>
        </row>
        <row r="8">
          <cell r="N8">
            <v>3059047.1280281548</v>
          </cell>
        </row>
        <row r="9">
          <cell r="N9">
            <v>0</v>
          </cell>
        </row>
        <row r="10">
          <cell r="N10">
            <v>5814776.7377549512</v>
          </cell>
        </row>
        <row r="11">
          <cell r="N11">
            <v>1951832.6041891398</v>
          </cell>
        </row>
        <row r="12">
          <cell r="N12">
            <v>11297899.937235544</v>
          </cell>
        </row>
        <row r="13">
          <cell r="N13">
            <v>0</v>
          </cell>
        </row>
        <row r="14">
          <cell r="N14">
            <v>2793347.1069782181</v>
          </cell>
        </row>
        <row r="15">
          <cell r="N15">
            <v>4424027.815608466</v>
          </cell>
        </row>
        <row r="16">
          <cell r="N16">
            <v>2844109.0595048829</v>
          </cell>
        </row>
        <row r="17">
          <cell r="N17">
            <v>10847893.923816785</v>
          </cell>
        </row>
        <row r="18">
          <cell r="N18">
            <v>2753941.4267497919</v>
          </cell>
        </row>
        <row r="19">
          <cell r="N19">
            <v>3450763.4340928067</v>
          </cell>
        </row>
        <row r="20">
          <cell r="N20">
            <v>825428.36501422711</v>
          </cell>
        </row>
        <row r="21">
          <cell r="N21">
            <v>8370518.1932481509</v>
          </cell>
        </row>
        <row r="22">
          <cell r="N22">
            <v>5359397.537852441</v>
          </cell>
        </row>
        <row r="23">
          <cell r="N23">
            <v>5652907.3599087419</v>
          </cell>
        </row>
        <row r="24">
          <cell r="N24">
            <v>7492862.2747818483</v>
          </cell>
        </row>
        <row r="25">
          <cell r="N25">
            <v>3859481.0405775495</v>
          </cell>
        </row>
        <row r="26">
          <cell r="N26">
            <v>8133897.0071633011</v>
          </cell>
        </row>
        <row r="27">
          <cell r="N27">
            <v>2510646.0655450784</v>
          </cell>
        </row>
        <row r="28">
          <cell r="N28">
            <v>3226598.6652718233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12157145.905179944</v>
          </cell>
        </row>
        <row r="32">
          <cell r="N32">
            <v>4952366.432154825</v>
          </cell>
        </row>
        <row r="33">
          <cell r="N33">
            <v>2131046.6420519263</v>
          </cell>
        </row>
        <row r="34">
          <cell r="N34">
            <v>3448802.7958410406</v>
          </cell>
        </row>
        <row r="35">
          <cell r="N35">
            <v>4314834.5292569445</v>
          </cell>
        </row>
        <row r="36">
          <cell r="N36">
            <v>15734102.679207265</v>
          </cell>
        </row>
        <row r="37">
          <cell r="N37">
            <v>0</v>
          </cell>
        </row>
        <row r="38">
          <cell r="N38">
            <v>2595422.1787080704</v>
          </cell>
        </row>
        <row r="39">
          <cell r="N39">
            <v>2397908.1793184555</v>
          </cell>
        </row>
        <row r="40">
          <cell r="N40">
            <v>0</v>
          </cell>
        </row>
        <row r="41">
          <cell r="N41">
            <v>6553925.5892411731</v>
          </cell>
        </row>
        <row r="42">
          <cell r="N42">
            <v>3552812.6494198609</v>
          </cell>
        </row>
        <row r="43">
          <cell r="N43">
            <v>1151462.1683286037</v>
          </cell>
        </row>
        <row r="44">
          <cell r="N44">
            <v>3719634.5840084595</v>
          </cell>
        </row>
        <row r="45">
          <cell r="N45">
            <v>0</v>
          </cell>
        </row>
        <row r="46">
          <cell r="N46">
            <v>3079537.4247163632</v>
          </cell>
        </row>
        <row r="47">
          <cell r="N47">
            <v>0</v>
          </cell>
        </row>
        <row r="48">
          <cell r="N48">
            <v>986753.64410451334</v>
          </cell>
        </row>
        <row r="49">
          <cell r="N49">
            <v>9290574.0069213994</v>
          </cell>
        </row>
        <row r="50">
          <cell r="N50">
            <v>2944538.62120027</v>
          </cell>
        </row>
        <row r="51">
          <cell r="N51">
            <v>909407.59212291578</v>
          </cell>
        </row>
        <row r="52">
          <cell r="N52">
            <v>11766473.341057178</v>
          </cell>
        </row>
        <row r="53">
          <cell r="N53">
            <v>22416887.769994825</v>
          </cell>
        </row>
        <row r="54">
          <cell r="N54">
            <v>5851238.4935335228</v>
          </cell>
        </row>
        <row r="55">
          <cell r="N55">
            <v>6294554.8083494734</v>
          </cell>
        </row>
        <row r="56">
          <cell r="N56">
            <v>0</v>
          </cell>
        </row>
        <row r="57">
          <cell r="N57">
            <v>1276956.4177860469</v>
          </cell>
        </row>
      </sheetData>
      <sheetData sheetId="3">
        <row r="7">
          <cell r="N7">
            <v>253972.93166308827</v>
          </cell>
        </row>
        <row r="8">
          <cell r="N8">
            <v>503063.81856161309</v>
          </cell>
        </row>
        <row r="9">
          <cell r="N9">
            <v>521430.14680683718</v>
          </cell>
        </row>
        <row r="10">
          <cell r="N10">
            <v>1442516.8474589009</v>
          </cell>
        </row>
        <row r="11">
          <cell r="N11">
            <v>1828170.2712140845</v>
          </cell>
        </row>
        <row r="12">
          <cell r="N12">
            <v>12430526.655788502</v>
          </cell>
        </row>
        <row r="13">
          <cell r="N13">
            <v>2081243.5981350071</v>
          </cell>
        </row>
        <row r="14">
          <cell r="N14">
            <v>331823.12192059308</v>
          </cell>
        </row>
        <row r="15">
          <cell r="N15">
            <v>3298386.4863456837</v>
          </cell>
        </row>
        <row r="16">
          <cell r="N16">
            <v>544443.325979179</v>
          </cell>
        </row>
        <row r="17">
          <cell r="N17">
            <v>791153.35127193632</v>
          </cell>
        </row>
        <row r="18">
          <cell r="N18">
            <v>1674516.8421455061</v>
          </cell>
        </row>
        <row r="19">
          <cell r="N19">
            <v>852010.17991260404</v>
          </cell>
        </row>
        <row r="20">
          <cell r="N20">
            <v>4651031.107484241</v>
          </cell>
        </row>
        <row r="21">
          <cell r="N21">
            <v>593558.23140828451</v>
          </cell>
        </row>
        <row r="22">
          <cell r="N22">
            <v>414874.50824644876</v>
          </cell>
        </row>
        <row r="23">
          <cell r="N23">
            <v>3638504.8832775112</v>
          </cell>
        </row>
        <row r="24">
          <cell r="N24">
            <v>4436214.8308891747</v>
          </cell>
        </row>
        <row r="25">
          <cell r="N25">
            <v>699321.90334900247</v>
          </cell>
        </row>
        <row r="26">
          <cell r="N26">
            <v>9559316.5385068413</v>
          </cell>
        </row>
        <row r="27">
          <cell r="N27">
            <v>1411396.9524639621</v>
          </cell>
        </row>
        <row r="28">
          <cell r="N28">
            <v>226388.69845572155</v>
          </cell>
        </row>
        <row r="29">
          <cell r="N29">
            <v>1045979.5672143502</v>
          </cell>
        </row>
        <row r="30">
          <cell r="N30">
            <v>1018795.1239411136</v>
          </cell>
        </row>
        <row r="31">
          <cell r="N31">
            <v>16309456.989675794</v>
          </cell>
        </row>
        <row r="32">
          <cell r="N32">
            <v>420991.34175379324</v>
          </cell>
        </row>
        <row r="33">
          <cell r="N33">
            <v>724671.46422272548</v>
          </cell>
        </row>
        <row r="34">
          <cell r="N34">
            <v>414448.90354718239</v>
          </cell>
        </row>
        <row r="35">
          <cell r="N35">
            <v>580143.34503668163</v>
          </cell>
        </row>
        <row r="36">
          <cell r="N36">
            <v>544588.26729419909</v>
          </cell>
        </row>
        <row r="37">
          <cell r="N37">
            <v>5072505.3843987286</v>
          </cell>
        </row>
        <row r="38">
          <cell r="N38">
            <v>988516.2405452244</v>
          </cell>
        </row>
        <row r="39">
          <cell r="N39">
            <v>3624303.1185216578</v>
          </cell>
        </row>
        <row r="40">
          <cell r="N40">
            <v>770449.88515126402</v>
          </cell>
        </row>
        <row r="41">
          <cell r="N41">
            <v>740136.1250765241</v>
          </cell>
        </row>
        <row r="42">
          <cell r="N42">
            <v>780458.43028344936</v>
          </cell>
        </row>
        <row r="43">
          <cell r="N43">
            <v>1099309.5414219592</v>
          </cell>
        </row>
        <row r="44">
          <cell r="N44">
            <v>2579081.7281525061</v>
          </cell>
        </row>
        <row r="45">
          <cell r="N45">
            <v>53107831.629197203</v>
          </cell>
        </row>
        <row r="46">
          <cell r="N46">
            <v>275658.78048506839</v>
          </cell>
        </row>
        <row r="47">
          <cell r="N47">
            <v>1145217.9803545806</v>
          </cell>
        </row>
        <row r="48">
          <cell r="N48">
            <v>584663.89905943116</v>
          </cell>
        </row>
        <row r="49">
          <cell r="N49">
            <v>653151.86349937855</v>
          </cell>
        </row>
        <row r="50">
          <cell r="N50">
            <v>1884996.2139448537</v>
          </cell>
        </row>
        <row r="51">
          <cell r="N51">
            <v>1622138.0573370634</v>
          </cell>
        </row>
        <row r="52">
          <cell r="N52">
            <v>14677997.741673505</v>
          </cell>
        </row>
        <row r="53">
          <cell r="N53">
            <v>28196456.325659629</v>
          </cell>
        </row>
        <row r="54">
          <cell r="N54">
            <v>7642462.2265487844</v>
          </cell>
        </row>
        <row r="55">
          <cell r="N55">
            <v>2418213.4426285243</v>
          </cell>
        </row>
        <row r="56">
          <cell r="N56">
            <v>489457.80180065759</v>
          </cell>
        </row>
        <row r="57">
          <cell r="N57">
            <v>674331.39132857299</v>
          </cell>
        </row>
      </sheetData>
      <sheetData sheetId="4">
        <row r="7">
          <cell r="N7">
            <v>379219.66995039175</v>
          </cell>
        </row>
        <row r="8">
          <cell r="N8">
            <v>751149.72461101529</v>
          </cell>
        </row>
        <row r="9">
          <cell r="N9">
            <v>778573.3780245129</v>
          </cell>
        </row>
        <row r="10">
          <cell r="N10">
            <v>2153894.0296753566</v>
          </cell>
        </row>
        <row r="11">
          <cell r="N11">
            <v>2729732.4088570848</v>
          </cell>
        </row>
        <row r="12">
          <cell r="N12">
            <v>18560640.822581172</v>
          </cell>
        </row>
        <row r="13">
          <cell r="N13">
            <v>3107608.8967156233</v>
          </cell>
        </row>
        <row r="14">
          <cell r="N14">
            <v>495461.6226625113</v>
          </cell>
        </row>
        <row r="15">
          <cell r="N15">
            <v>4924985.776313059</v>
          </cell>
        </row>
        <row r="16">
          <cell r="N16">
            <v>812935.59050023661</v>
          </cell>
        </row>
        <row r="17">
          <cell r="N17">
            <v>1181310.6433151411</v>
          </cell>
        </row>
        <row r="18">
          <cell r="N18">
            <v>2500304.8498943662</v>
          </cell>
        </row>
        <row r="19">
          <cell r="N19">
            <v>1272178.9666472604</v>
          </cell>
        </row>
        <row r="20">
          <cell r="N20">
            <v>6944687.045451574</v>
          </cell>
        </row>
        <row r="21">
          <cell r="N21">
            <v>886271.49869079888</v>
          </cell>
        </row>
        <row r="22">
          <cell r="N22">
            <v>619469.86194987339</v>
          </cell>
        </row>
        <row r="23">
          <cell r="N23">
            <v>5432833.5793137224</v>
          </cell>
        </row>
        <row r="24">
          <cell r="N24">
            <v>6623934.1301230788</v>
          </cell>
        </row>
        <row r="25">
          <cell r="N25">
            <v>1044192.513029926</v>
          </cell>
        </row>
        <row r="26">
          <cell r="N26">
            <v>14273493.420669166</v>
          </cell>
        </row>
        <row r="27">
          <cell r="N27">
            <v>2107427.3490390489</v>
          </cell>
        </row>
        <row r="28">
          <cell r="N28">
            <v>338032.24242409522</v>
          </cell>
        </row>
        <row r="29">
          <cell r="N29">
            <v>1561804.3942929741</v>
          </cell>
        </row>
        <row r="30">
          <cell r="N30">
            <v>1521213.9263438212</v>
          </cell>
        </row>
        <row r="31">
          <cell r="N31">
            <v>24352465.627242487</v>
          </cell>
        </row>
        <row r="32">
          <cell r="N32">
            <v>628603.20294146461</v>
          </cell>
        </row>
        <row r="33">
          <cell r="N33">
            <v>1082043.2437685074</v>
          </cell>
        </row>
        <row r="34">
          <cell r="N34">
            <v>618834.32807555213</v>
          </cell>
        </row>
        <row r="35">
          <cell r="N35">
            <v>866240.99278290605</v>
          </cell>
        </row>
        <row r="36">
          <cell r="N36">
            <v>813151.98912452231</v>
          </cell>
        </row>
        <row r="37">
          <cell r="N37">
            <v>7574011.4059993029</v>
          </cell>
        </row>
        <row r="38">
          <cell r="N38">
            <v>1476002.9833610393</v>
          </cell>
        </row>
        <row r="39">
          <cell r="N39">
            <v>5411628.179911036</v>
          </cell>
        </row>
        <row r="40">
          <cell r="N40">
            <v>1150397.24579946</v>
          </cell>
        </row>
        <row r="41">
          <cell r="N41">
            <v>1105134.2511848144</v>
          </cell>
        </row>
        <row r="42">
          <cell r="N42">
            <v>1165341.5507610023</v>
          </cell>
        </row>
        <row r="43">
          <cell r="N43">
            <v>1641434.0497585977</v>
          </cell>
        </row>
        <row r="44">
          <cell r="N44">
            <v>3850955.8440150735</v>
          </cell>
        </row>
        <row r="45">
          <cell r="N45">
            <v>79297958.557149068</v>
          </cell>
        </row>
        <row r="46">
          <cell r="N46">
            <v>411599.90976062324</v>
          </cell>
        </row>
        <row r="47">
          <cell r="N47">
            <v>1709982.2784457654</v>
          </cell>
        </row>
        <row r="48">
          <cell r="N48">
            <v>872990.88256369194</v>
          </cell>
        </row>
        <row r="49">
          <cell r="N49">
            <v>975253.66039093165</v>
          </cell>
        </row>
        <row r="50">
          <cell r="N50">
            <v>2814582.0821156036</v>
          </cell>
        </row>
        <row r="51">
          <cell r="N51">
            <v>2422095.445156293</v>
          </cell>
        </row>
        <row r="52">
          <cell r="N52">
            <v>21916452.291545056</v>
          </cell>
        </row>
        <row r="53">
          <cell r="N53">
            <v>42101538.62564031</v>
          </cell>
        </row>
        <row r="54">
          <cell r="N54">
            <v>11411342.423455292</v>
          </cell>
        </row>
        <row r="55">
          <cell r="N55">
            <v>3610755.3264103364</v>
          </cell>
        </row>
        <row r="56">
          <cell r="N56">
            <v>730833.86513871665</v>
          </cell>
        </row>
        <row r="57">
          <cell r="N57">
            <v>1006877.9583293592</v>
          </cell>
        </row>
      </sheetData>
      <sheetData sheetId="5">
        <row r="7">
          <cell r="N7">
            <v>28355.610172123994</v>
          </cell>
        </row>
        <row r="8">
          <cell r="N8">
            <v>56166.121228823315</v>
          </cell>
        </row>
        <row r="9">
          <cell r="N9">
            <v>58216.721070956337</v>
          </cell>
        </row>
        <row r="10">
          <cell r="N10">
            <v>161054.32619040384</v>
          </cell>
        </row>
        <row r="11">
          <cell r="N11">
            <v>204111.83811015351</v>
          </cell>
        </row>
        <row r="12">
          <cell r="N12">
            <v>1387845.1978087611</v>
          </cell>
        </row>
        <row r="13">
          <cell r="N13">
            <v>232366.97717871133</v>
          </cell>
        </row>
        <row r="14">
          <cell r="N14">
            <v>37047.447841598339</v>
          </cell>
        </row>
        <row r="15">
          <cell r="N15">
            <v>368258.68254260608</v>
          </cell>
        </row>
        <row r="16">
          <cell r="N16">
            <v>60786.090947132259</v>
          </cell>
        </row>
        <row r="17">
          <cell r="N17">
            <v>88330.818716153502</v>
          </cell>
        </row>
        <row r="18">
          <cell r="N18">
            <v>186956.71663094251</v>
          </cell>
        </row>
        <row r="19">
          <cell r="N19">
            <v>95125.337246229203</v>
          </cell>
        </row>
        <row r="20">
          <cell r="N20">
            <v>519278.96800076874</v>
          </cell>
        </row>
        <row r="21">
          <cell r="N21">
            <v>66269.689303440129</v>
          </cell>
        </row>
        <row r="22">
          <cell r="N22">
            <v>46319.937794298916</v>
          </cell>
        </row>
        <row r="23">
          <cell r="N23">
            <v>406232.30286824639</v>
          </cell>
        </row>
        <row r="24">
          <cell r="N24">
            <v>495295.12176937552</v>
          </cell>
        </row>
        <row r="25">
          <cell r="N25">
            <v>78077.996739849827</v>
          </cell>
        </row>
        <row r="26">
          <cell r="N26">
            <v>1067279.9371619648</v>
          </cell>
        </row>
        <row r="27">
          <cell r="N27">
            <v>157579.84693438397</v>
          </cell>
        </row>
        <row r="28">
          <cell r="N28">
            <v>25275.896257449556</v>
          </cell>
        </row>
        <row r="29">
          <cell r="N29">
            <v>116781.67190146622</v>
          </cell>
        </row>
        <row r="30">
          <cell r="N30">
            <v>113746.57587750997</v>
          </cell>
        </row>
        <row r="31">
          <cell r="N31">
            <v>1820920.57019485</v>
          </cell>
        </row>
        <row r="32">
          <cell r="N32">
            <v>47002.902296179731</v>
          </cell>
        </row>
        <row r="33">
          <cell r="N33">
            <v>80908.238518729777</v>
          </cell>
        </row>
        <row r="34">
          <cell r="N34">
            <v>46272.444471250099</v>
          </cell>
        </row>
        <row r="35">
          <cell r="N35">
            <v>64771.924166602061</v>
          </cell>
        </row>
        <row r="36">
          <cell r="N36">
            <v>60802.256390878552</v>
          </cell>
        </row>
        <row r="37">
          <cell r="N37">
            <v>566335.81237312022</v>
          </cell>
        </row>
        <row r="38">
          <cell r="N38">
            <v>110366.01241698854</v>
          </cell>
        </row>
        <row r="39">
          <cell r="N39">
            <v>404646.69690042734</v>
          </cell>
        </row>
        <row r="40">
          <cell r="N40">
            <v>86019.29615111911</v>
          </cell>
        </row>
        <row r="41">
          <cell r="N41">
            <v>82634.804323397198</v>
          </cell>
        </row>
        <row r="42">
          <cell r="N42">
            <v>87136.751426951174</v>
          </cell>
        </row>
        <row r="43">
          <cell r="N43">
            <v>122735.8545412895</v>
          </cell>
        </row>
        <row r="44">
          <cell r="N44">
            <v>287949.67796623346</v>
          </cell>
        </row>
        <row r="45">
          <cell r="N45">
            <v>5929390.6914864164</v>
          </cell>
        </row>
        <row r="46">
          <cell r="N46">
            <v>30776.780833464156</v>
          </cell>
        </row>
        <row r="47">
          <cell r="N47">
            <v>127861.43278400796</v>
          </cell>
        </row>
        <row r="48">
          <cell r="N48">
            <v>65276.613906506769</v>
          </cell>
        </row>
        <row r="49">
          <cell r="N49">
            <v>72923.163962647523</v>
          </cell>
        </row>
        <row r="50">
          <cell r="N50">
            <v>210456.33642313129</v>
          </cell>
        </row>
        <row r="51">
          <cell r="N51">
            <v>181108.71545498542</v>
          </cell>
        </row>
        <row r="52">
          <cell r="N52">
            <v>1638771.1729887563</v>
          </cell>
        </row>
        <row r="53">
          <cell r="N53">
            <v>3148081.9440514324</v>
          </cell>
        </row>
        <row r="54">
          <cell r="N54">
            <v>853266.71198104299</v>
          </cell>
        </row>
        <row r="55">
          <cell r="N55">
            <v>269989.04262896191</v>
          </cell>
        </row>
        <row r="56">
          <cell r="N56">
            <v>54647.066748879442</v>
          </cell>
        </row>
        <row r="57">
          <cell r="N57">
            <v>75287.847178524971</v>
          </cell>
        </row>
      </sheetData>
      <sheetData sheetId="6">
        <row r="7">
          <cell r="N7">
            <v>229238.23257839374</v>
          </cell>
        </row>
        <row r="8">
          <cell r="N8">
            <v>454069.94082517526</v>
          </cell>
        </row>
        <row r="9">
          <cell r="N9">
            <v>470647.51681013033</v>
          </cell>
        </row>
        <row r="10">
          <cell r="N10">
            <v>1302028.7008172332</v>
          </cell>
        </row>
        <row r="11">
          <cell r="N11">
            <v>1650122.9537205934</v>
          </cell>
        </row>
        <row r="12">
          <cell r="N12">
            <v>11219905.361760765</v>
          </cell>
        </row>
        <row r="13">
          <cell r="N13">
            <v>1878549.2442183895</v>
          </cell>
        </row>
        <row r="14">
          <cell r="N14">
            <v>299506.51032746711</v>
          </cell>
        </row>
        <row r="15">
          <cell r="N15">
            <v>2977153.3570798207</v>
          </cell>
        </row>
        <row r="16">
          <cell r="N16">
            <v>491419.4983891563</v>
          </cell>
        </row>
        <row r="17">
          <cell r="N17">
            <v>714102.17246969568</v>
          </cell>
        </row>
        <row r="18">
          <cell r="N18">
            <v>1511433.9739462233</v>
          </cell>
        </row>
        <row r="19">
          <cell r="N19">
            <v>769032.06135818455</v>
          </cell>
        </row>
        <row r="20">
          <cell r="N20">
            <v>4198062.5756197609</v>
          </cell>
        </row>
        <row r="21">
          <cell r="N21">
            <v>535751.02371154027</v>
          </cell>
        </row>
        <row r="22">
          <cell r="N22">
            <v>374469.46774057677</v>
          </cell>
        </row>
        <row r="23">
          <cell r="N23">
            <v>3284147.331568649</v>
          </cell>
        </row>
        <row r="24">
          <cell r="N24">
            <v>4004167.4832363133</v>
          </cell>
        </row>
        <row r="25">
          <cell r="N25">
            <v>631214.24192357017</v>
          </cell>
        </row>
        <row r="26">
          <cell r="N26">
            <v>8628325.2291164696</v>
          </cell>
        </row>
        <row r="27">
          <cell r="N27">
            <v>1273939.5920713991</v>
          </cell>
        </row>
        <row r="28">
          <cell r="N28">
            <v>204340.45621737771</v>
          </cell>
        </row>
        <row r="29">
          <cell r="N29">
            <v>944110.56850783993</v>
          </cell>
        </row>
        <row r="30">
          <cell r="N30">
            <v>919573.62680280861</v>
          </cell>
        </row>
        <row r="31">
          <cell r="N31">
            <v>14721062.849331066</v>
          </cell>
        </row>
        <row r="32">
          <cell r="N32">
            <v>379990.56448247115</v>
          </cell>
        </row>
        <row r="33">
          <cell r="N33">
            <v>654095.02631965419</v>
          </cell>
        </row>
        <row r="34">
          <cell r="N34">
            <v>374085.30751249933</v>
          </cell>
        </row>
        <row r="35">
          <cell r="N35">
            <v>523642.60790795553</v>
          </cell>
        </row>
        <row r="36">
          <cell r="N36">
            <v>491550.29077790474</v>
          </cell>
        </row>
        <row r="37">
          <cell r="N37">
            <v>4578489.1028466783</v>
          </cell>
        </row>
        <row r="38">
          <cell r="N38">
            <v>892243.64156963048</v>
          </cell>
        </row>
        <row r="39">
          <cell r="N39">
            <v>3271328.6658376488</v>
          </cell>
        </row>
        <row r="40">
          <cell r="N40">
            <v>695415.01240097417</v>
          </cell>
        </row>
        <row r="41">
          <cell r="N41">
            <v>668053.55515728041</v>
          </cell>
        </row>
        <row r="42">
          <cell r="N42">
            <v>704448.80802842136</v>
          </cell>
        </row>
        <row r="43">
          <cell r="N43">
            <v>992246.69281419716</v>
          </cell>
        </row>
        <row r="44">
          <cell r="N44">
            <v>2327902.3967369497</v>
          </cell>
        </row>
        <row r="45">
          <cell r="N45">
            <v>47935607.355539069</v>
          </cell>
        </row>
        <row r="46">
          <cell r="N46">
            <v>248812.10390175096</v>
          </cell>
        </row>
        <row r="47">
          <cell r="N47">
            <v>1033684.1000584085</v>
          </cell>
        </row>
        <row r="48">
          <cell r="N48">
            <v>527722.87257663079</v>
          </cell>
        </row>
        <row r="49">
          <cell r="N49">
            <v>589540.73938797892</v>
          </cell>
        </row>
        <row r="50">
          <cell r="N50">
            <v>1701414.5516991913</v>
          </cell>
        </row>
        <row r="51">
          <cell r="N51">
            <v>1464156.444361798</v>
          </cell>
        </row>
        <row r="52">
          <cell r="N52">
            <v>13248493.028800037</v>
          </cell>
        </row>
        <row r="53">
          <cell r="N53">
            <v>25450375.534258112</v>
          </cell>
        </row>
        <row r="54">
          <cell r="N54">
            <v>6898155.2727237176</v>
          </cell>
        </row>
        <row r="55">
          <cell r="N55">
            <v>2182701.2328973301</v>
          </cell>
        </row>
        <row r="56">
          <cell r="N56">
            <v>441788.98752412619</v>
          </cell>
        </row>
        <row r="57">
          <cell r="N57">
            <v>608657.59373099194</v>
          </cell>
        </row>
      </sheetData>
      <sheetData sheetId="7">
        <row r="7">
          <cell r="N7">
            <v>45857.492002113882</v>
          </cell>
        </row>
        <row r="8">
          <cell r="N8">
            <v>90833.50725360174</v>
          </cell>
        </row>
        <row r="9">
          <cell r="N9">
            <v>94149.737242952237</v>
          </cell>
        </row>
        <row r="10">
          <cell r="N10">
            <v>260461.79654553288</v>
          </cell>
        </row>
        <row r="11">
          <cell r="N11">
            <v>330095.5973421408</v>
          </cell>
        </row>
        <row r="12">
          <cell r="N12">
            <v>2244463.9574536285</v>
          </cell>
        </row>
        <row r="13">
          <cell r="N13">
            <v>375790.67631918285</v>
          </cell>
        </row>
        <row r="14">
          <cell r="N14">
            <v>59914.200011656823</v>
          </cell>
        </row>
        <row r="15">
          <cell r="N15">
            <v>595558.7924008636</v>
          </cell>
        </row>
        <row r="16">
          <cell r="N16">
            <v>98305.080242231415</v>
          </cell>
        </row>
        <row r="17">
          <cell r="N17">
            <v>142851.16833114694</v>
          </cell>
        </row>
        <row r="18">
          <cell r="N18">
            <v>302351.88057624287</v>
          </cell>
        </row>
        <row r="19">
          <cell r="N19">
            <v>153839.50708140919</v>
          </cell>
        </row>
        <row r="20">
          <cell r="N20">
            <v>839793.1973040679</v>
          </cell>
        </row>
        <row r="21">
          <cell r="N21">
            <v>107173.30604925778</v>
          </cell>
        </row>
        <row r="22">
          <cell r="N22">
            <v>74910.031655461877</v>
          </cell>
        </row>
        <row r="23">
          <cell r="N23">
            <v>656970.81497344631</v>
          </cell>
        </row>
        <row r="24">
          <cell r="N24">
            <v>801005.83956626803</v>
          </cell>
        </row>
        <row r="25">
          <cell r="N25">
            <v>126269.9965456886</v>
          </cell>
        </row>
        <row r="26">
          <cell r="N26">
            <v>1726036.4352294374</v>
          </cell>
        </row>
        <row r="27">
          <cell r="N27">
            <v>254842.7800001151</v>
          </cell>
        </row>
        <row r="28">
          <cell r="N28">
            <v>40876.914506756584</v>
          </cell>
        </row>
        <row r="29">
          <cell r="N29">
            <v>188862.7218380183</v>
          </cell>
        </row>
        <row r="30">
          <cell r="N30">
            <v>183954.3380831281</v>
          </cell>
        </row>
        <row r="31">
          <cell r="N31">
            <v>2944846.1790784416</v>
          </cell>
        </row>
        <row r="32">
          <cell r="N32">
            <v>76014.49156807104</v>
          </cell>
        </row>
        <row r="33">
          <cell r="N33">
            <v>130847.13260445828</v>
          </cell>
        </row>
        <row r="34">
          <cell r="N34">
            <v>74833.197719586373</v>
          </cell>
        </row>
        <row r="35">
          <cell r="N35">
            <v>104751.02431604262</v>
          </cell>
        </row>
        <row r="36">
          <cell r="N36">
            <v>98331.246028545385</v>
          </cell>
        </row>
        <row r="37">
          <cell r="N37">
            <v>915894.87126799498</v>
          </cell>
        </row>
        <row r="38">
          <cell r="N38">
            <v>178487.13443708498</v>
          </cell>
        </row>
        <row r="39">
          <cell r="N39">
            <v>654406.53866259335</v>
          </cell>
        </row>
        <row r="40">
          <cell r="N40">
            <v>139112.89226865693</v>
          </cell>
        </row>
        <row r="41">
          <cell r="N41">
            <v>133639.43521399613</v>
          </cell>
        </row>
        <row r="42">
          <cell r="N42">
            <v>140920.07979417604</v>
          </cell>
        </row>
        <row r="43">
          <cell r="N43">
            <v>198492.03985446412</v>
          </cell>
        </row>
        <row r="44">
          <cell r="N44">
            <v>465680.64516924962</v>
          </cell>
        </row>
        <row r="45">
          <cell r="N45">
            <v>9589184.6191527396</v>
          </cell>
        </row>
        <row r="46">
          <cell r="N46">
            <v>49773.129256582259</v>
          </cell>
        </row>
        <row r="47">
          <cell r="N47">
            <v>206781.30465811293</v>
          </cell>
        </row>
        <row r="48">
          <cell r="N48">
            <v>105567.26829387902</v>
          </cell>
        </row>
        <row r="49">
          <cell r="N49">
            <v>117933.512865704</v>
          </cell>
        </row>
        <row r="50">
          <cell r="N50">
            <v>340356.14952768193</v>
          </cell>
        </row>
        <row r="51">
          <cell r="N51">
            <v>292894.31174165918</v>
          </cell>
        </row>
        <row r="52">
          <cell r="N52">
            <v>2650268.8140981146</v>
          </cell>
        </row>
        <row r="53">
          <cell r="N53">
            <v>5091170.4666281948</v>
          </cell>
        </row>
        <row r="54">
          <cell r="N54">
            <v>1379927.9492365869</v>
          </cell>
        </row>
        <row r="55">
          <cell r="N55">
            <v>436634.15885491192</v>
          </cell>
        </row>
        <row r="56">
          <cell r="N56">
            <v>88376.797741262984</v>
          </cell>
        </row>
        <row r="57">
          <cell r="N57">
            <v>121757.74140687216</v>
          </cell>
        </row>
      </sheetData>
      <sheetData sheetId="8">
        <row r="7">
          <cell r="N7">
            <v>110826.76254230631</v>
          </cell>
        </row>
        <row r="8">
          <cell r="N8">
            <v>243912.52272030531</v>
          </cell>
        </row>
        <row r="9">
          <cell r="N9">
            <v>209204.76947855632</v>
          </cell>
        </row>
        <row r="10">
          <cell r="N10">
            <v>1504904.7684991804</v>
          </cell>
        </row>
        <row r="11">
          <cell r="N11">
            <v>1024407.5384948906</v>
          </cell>
        </row>
        <row r="12">
          <cell r="N12">
            <v>22008615.030636918</v>
          </cell>
        </row>
        <row r="13">
          <cell r="N13">
            <v>1148858.810078609</v>
          </cell>
        </row>
        <row r="14">
          <cell r="N14">
            <v>207160.9308370527</v>
          </cell>
        </row>
        <row r="15">
          <cell r="N15">
            <v>3666671.7489824602</v>
          </cell>
        </row>
        <row r="16">
          <cell r="N16">
            <v>1087130.7669105513</v>
          </cell>
        </row>
        <row r="17">
          <cell r="N17">
            <v>504888.98468589771</v>
          </cell>
        </row>
        <row r="18">
          <cell r="N18">
            <v>783750.38969208777</v>
          </cell>
        </row>
        <row r="19">
          <cell r="N19">
            <v>1383631.8899208044</v>
          </cell>
        </row>
        <row r="20">
          <cell r="N20">
            <v>2576720.9398350534</v>
          </cell>
        </row>
        <row r="21">
          <cell r="N21">
            <v>246498.07816099047</v>
          </cell>
        </row>
        <row r="22">
          <cell r="N22">
            <v>167757.58105929603</v>
          </cell>
        </row>
        <row r="23">
          <cell r="N23">
            <v>2351857.6266444181</v>
          </cell>
        </row>
        <row r="24">
          <cell r="N24">
            <v>8107914.585439465</v>
          </cell>
        </row>
        <row r="25">
          <cell r="N25">
            <v>341091.51034555945</v>
          </cell>
        </row>
        <row r="26">
          <cell r="N26">
            <v>15337201.414645974</v>
          </cell>
        </row>
        <row r="27">
          <cell r="N27">
            <v>846710.70638719993</v>
          </cell>
        </row>
        <row r="28">
          <cell r="N28">
            <v>67141.016940051763</v>
          </cell>
        </row>
        <row r="29">
          <cell r="N29">
            <v>517416.05490299576</v>
          </cell>
        </row>
        <row r="30">
          <cell r="N30">
            <v>2506778.7865685094</v>
          </cell>
        </row>
        <row r="31">
          <cell r="N31">
            <v>25669283.296582151</v>
          </cell>
        </row>
        <row r="32">
          <cell r="N32">
            <v>145546.52485923943</v>
          </cell>
        </row>
        <row r="33">
          <cell r="N33">
            <v>676979.4551744659</v>
          </cell>
        </row>
        <row r="34">
          <cell r="N34">
            <v>184454.16960662001</v>
          </cell>
        </row>
        <row r="35">
          <cell r="N35">
            <v>359724.18022375932</v>
          </cell>
        </row>
        <row r="36">
          <cell r="N36">
            <v>282838.07655361074</v>
          </cell>
        </row>
        <row r="37">
          <cell r="N37">
            <v>11721236.657688275</v>
          </cell>
        </row>
        <row r="38">
          <cell r="N38">
            <v>453878.28961158823</v>
          </cell>
        </row>
        <row r="39">
          <cell r="N39">
            <v>3547980.2045324133</v>
          </cell>
        </row>
        <row r="40">
          <cell r="N40">
            <v>422469.54105577018</v>
          </cell>
        </row>
        <row r="41">
          <cell r="N41">
            <v>272867.73627023597</v>
          </cell>
        </row>
        <row r="42">
          <cell r="N42">
            <v>459122.62101472914</v>
          </cell>
        </row>
        <row r="43">
          <cell r="N43">
            <v>477046.21740895417</v>
          </cell>
        </row>
        <row r="44">
          <cell r="N44">
            <v>2622718.9579159953</v>
          </cell>
        </row>
        <row r="45">
          <cell r="N45">
            <v>51743307.741896473</v>
          </cell>
        </row>
        <row r="46">
          <cell r="N46">
            <v>97809.567302451498</v>
          </cell>
        </row>
        <row r="47">
          <cell r="N47">
            <v>2161908.131708927</v>
          </cell>
        </row>
        <row r="48">
          <cell r="N48">
            <v>261472.74321684649</v>
          </cell>
        </row>
        <row r="49">
          <cell r="N49">
            <v>292334.10209700349</v>
          </cell>
        </row>
        <row r="50">
          <cell r="N50">
            <v>1435777.9437656694</v>
          </cell>
        </row>
        <row r="51">
          <cell r="N51">
            <v>1862619.5886362758</v>
          </cell>
        </row>
        <row r="52">
          <cell r="N52">
            <v>17387589.735235646</v>
          </cell>
        </row>
        <row r="53">
          <cell r="N53">
            <v>13429423.049925609</v>
          </cell>
        </row>
        <row r="54">
          <cell r="N54">
            <v>10911932.206638169</v>
          </cell>
        </row>
        <row r="55">
          <cell r="N55">
            <v>2114465.1123568299</v>
          </cell>
        </row>
        <row r="56">
          <cell r="N56">
            <v>168527.70055656557</v>
          </cell>
        </row>
        <row r="57">
          <cell r="N57">
            <v>200916.6723020692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Normal="100" zoomScaleSheetLayoutView="100" workbookViewId="0">
      <selection activeCell="A4" sqref="A4:A13"/>
    </sheetView>
  </sheetViews>
  <sheetFormatPr baseColWidth="10" defaultColWidth="11.42578125" defaultRowHeight="12.75"/>
  <cols>
    <col min="1" max="1" width="50.5703125" style="159" customWidth="1"/>
    <col min="2" max="2" width="18" style="159" bestFit="1" customWidth="1"/>
    <col min="3" max="4" width="17.28515625" style="159" customWidth="1"/>
    <col min="5" max="5" width="13.85546875" style="159" bestFit="1" customWidth="1"/>
    <col min="6" max="16384" width="11.42578125" style="159"/>
  </cols>
  <sheetData>
    <row r="1" spans="1:5" ht="27.75" customHeight="1">
      <c r="A1" s="316" t="s">
        <v>220</v>
      </c>
      <c r="B1" s="316"/>
      <c r="C1" s="316"/>
      <c r="D1" s="316"/>
    </row>
    <row r="3" spans="1:5" ht="25.5">
      <c r="A3" s="160" t="s">
        <v>141</v>
      </c>
      <c r="B3" s="160" t="s">
        <v>142</v>
      </c>
      <c r="C3" s="160" t="s">
        <v>143</v>
      </c>
      <c r="D3" s="160" t="s">
        <v>164</v>
      </c>
    </row>
    <row r="4" spans="1:5" ht="25.5" customHeight="1">
      <c r="A4" s="161" t="s">
        <v>144</v>
      </c>
      <c r="B4" s="200">
        <f>+'PART PEF2019'!AA4</f>
        <v>31022250554.600563</v>
      </c>
      <c r="C4" s="162">
        <v>20</v>
      </c>
      <c r="D4" s="298">
        <f>+C4/100*B4</f>
        <v>6204450110.9201126</v>
      </c>
    </row>
    <row r="5" spans="1:5" ht="25.5" customHeight="1">
      <c r="A5" s="161" t="s">
        <v>189</v>
      </c>
      <c r="B5" s="200">
        <f>+'PART PEF2019'!AA5</f>
        <v>864877708.68887043</v>
      </c>
      <c r="C5" s="162">
        <v>100</v>
      </c>
      <c r="D5" s="298">
        <f t="shared" ref="D5:D12" si="0">+C5/100*B5</f>
        <v>864877708.68887043</v>
      </c>
    </row>
    <row r="6" spans="1:5" ht="25.5" customHeight="1">
      <c r="A6" s="161" t="s">
        <v>188</v>
      </c>
      <c r="B6" s="200">
        <f>+'PART PEF2019'!AA6</f>
        <v>225381981.47266716</v>
      </c>
      <c r="C6" s="162">
        <v>100</v>
      </c>
      <c r="D6" s="298">
        <f t="shared" ref="D6" si="1">+C6/100*B6</f>
        <v>225381981.47266716</v>
      </c>
    </row>
    <row r="7" spans="1:5" ht="25.5" customHeight="1">
      <c r="A7" s="161" t="s">
        <v>145</v>
      </c>
      <c r="B7" s="200">
        <f>+'PART PEF2019'!AA7</f>
        <v>1011351389.8636481</v>
      </c>
      <c r="C7" s="162">
        <v>20</v>
      </c>
      <c r="D7" s="298">
        <f t="shared" si="0"/>
        <v>202270277.97272962</v>
      </c>
    </row>
    <row r="8" spans="1:5" ht="25.5" customHeight="1">
      <c r="A8" s="161" t="s">
        <v>163</v>
      </c>
      <c r="B8" s="200">
        <f>+'PART PEF2019'!AA8</f>
        <v>1510099322.6758032</v>
      </c>
      <c r="C8" s="162">
        <v>20</v>
      </c>
      <c r="D8" s="298">
        <f t="shared" si="0"/>
        <v>302019864.53516066</v>
      </c>
    </row>
    <row r="9" spans="1:5" ht="25.5" customHeight="1">
      <c r="A9" s="161" t="s">
        <v>162</v>
      </c>
      <c r="B9" s="200">
        <f>+'PART PEF2019'!AA9</f>
        <v>112915503.19189976</v>
      </c>
      <c r="C9" s="162">
        <v>20</v>
      </c>
      <c r="D9" s="298">
        <f t="shared" si="0"/>
        <v>22583100.638379954</v>
      </c>
    </row>
    <row r="10" spans="1:5" ht="25.5" customHeight="1">
      <c r="A10" s="161" t="s">
        <v>168</v>
      </c>
      <c r="B10" s="200">
        <f>+'PART PEF2019'!AA10</f>
        <v>912854877</v>
      </c>
      <c r="C10" s="162">
        <v>20</v>
      </c>
      <c r="D10" s="298">
        <f t="shared" si="0"/>
        <v>182570975.40000001</v>
      </c>
    </row>
    <row r="11" spans="1:5" ht="25.5" customHeight="1">
      <c r="A11" s="161" t="s">
        <v>264</v>
      </c>
      <c r="B11" s="200">
        <f>+'PART PEF2019'!AA11</f>
        <v>182610264</v>
      </c>
      <c r="C11" s="162">
        <v>20</v>
      </c>
      <c r="D11" s="298">
        <f t="shared" si="0"/>
        <v>36522052.800000004</v>
      </c>
      <c r="E11" s="276">
        <f>+D4+D5+D7+D8+D9+D10+D11</f>
        <v>7815294090.9552536</v>
      </c>
    </row>
    <row r="12" spans="1:5" ht="25.5" customHeight="1">
      <c r="A12" s="252" t="s">
        <v>265</v>
      </c>
      <c r="B12" s="200">
        <f>+'PART PEF2019'!AA12</f>
        <v>1081576419.4545455</v>
      </c>
      <c r="C12" s="162">
        <v>20</v>
      </c>
      <c r="D12" s="298">
        <f t="shared" si="0"/>
        <v>216315283.89090911</v>
      </c>
    </row>
    <row r="13" spans="1:5" ht="25.5" customHeight="1">
      <c r="A13" s="173" t="s">
        <v>53</v>
      </c>
      <c r="B13" s="257">
        <f>SUM(B4:B12)</f>
        <v>36923918020.947998</v>
      </c>
      <c r="C13" s="173"/>
      <c r="D13" s="174">
        <f>SUM(D4:D12)</f>
        <v>8256991356.3188295</v>
      </c>
    </row>
    <row r="14" spans="1:5">
      <c r="A14" s="163"/>
      <c r="B14" s="164"/>
      <c r="C14" s="165"/>
      <c r="D14" s="164"/>
    </row>
    <row r="15" spans="1:5">
      <c r="A15" s="166" t="s">
        <v>146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zoomScale="85" zoomScaleNormal="85" workbookViewId="0">
      <selection activeCell="H42" sqref="H42"/>
    </sheetView>
  </sheetViews>
  <sheetFormatPr baseColWidth="10" defaultColWidth="11.42578125" defaultRowHeight="12.75"/>
  <cols>
    <col min="1" max="1" width="28.28515625" style="201" bestFit="1" customWidth="1"/>
    <col min="2" max="2" width="15.7109375" style="201" customWidth="1"/>
    <col min="3" max="3" width="14" style="201" customWidth="1"/>
    <col min="4" max="4" width="15.42578125" style="201" bestFit="1" customWidth="1"/>
    <col min="5" max="5" width="16.42578125" style="201" customWidth="1"/>
    <col min="6" max="6" width="19" style="201" customWidth="1"/>
    <col min="7" max="7" width="17.42578125" style="201" customWidth="1"/>
    <col min="8" max="8" width="14.5703125" style="201" customWidth="1"/>
    <col min="9" max="9" width="16.42578125" style="201" customWidth="1"/>
    <col min="10" max="10" width="17.85546875" style="201" customWidth="1"/>
    <col min="11" max="11" width="3" style="201" customWidth="1"/>
    <col min="12" max="12" width="33.28515625" style="201" customWidth="1"/>
    <col min="13" max="13" width="21.42578125" style="201" customWidth="1"/>
    <col min="14" max="14" width="17.7109375" style="201" customWidth="1"/>
    <col min="15" max="15" width="17.7109375" style="201" bestFit="1" customWidth="1"/>
    <col min="16" max="16" width="22.7109375" style="201" customWidth="1"/>
    <col min="17" max="17" width="20.7109375" style="201" customWidth="1"/>
    <col min="18" max="18" width="0.28515625" style="201" customWidth="1"/>
    <col min="19" max="20" width="11.42578125" style="201" customWidth="1"/>
    <col min="21" max="21" width="21.28515625" style="201" customWidth="1"/>
    <col min="22" max="22" width="16.7109375" style="201" bestFit="1" customWidth="1"/>
    <col min="23" max="24" width="15.28515625" style="201" bestFit="1" customWidth="1"/>
    <col min="25" max="25" width="14.28515625" style="201" bestFit="1" customWidth="1"/>
    <col min="26" max="26" width="13.28515625" style="201" bestFit="1" customWidth="1"/>
    <col min="27" max="27" width="12.5703125" style="201" bestFit="1" customWidth="1"/>
    <col min="28" max="28" width="14.28515625" style="201" bestFit="1" customWidth="1"/>
    <col min="29" max="16384" width="11.42578125" style="201"/>
  </cols>
  <sheetData>
    <row r="1" spans="1:29" ht="38.25" customHeight="1" thickBot="1">
      <c r="A1" s="240"/>
      <c r="B1" s="356" t="s">
        <v>215</v>
      </c>
      <c r="C1" s="356"/>
      <c r="D1" s="356"/>
      <c r="E1" s="356"/>
      <c r="F1" s="356" t="s">
        <v>214</v>
      </c>
      <c r="G1" s="356"/>
      <c r="H1" s="356"/>
      <c r="I1" s="356"/>
      <c r="J1" s="251" t="s">
        <v>213</v>
      </c>
      <c r="L1" s="357" t="s">
        <v>212</v>
      </c>
      <c r="M1" s="357"/>
      <c r="N1" s="357"/>
      <c r="O1" s="357"/>
      <c r="P1" s="357"/>
      <c r="Q1" s="357"/>
      <c r="T1" s="250"/>
    </row>
    <row r="2" spans="1:29" ht="68.25" customHeight="1" thickTop="1" thickBot="1">
      <c r="A2" s="249" t="s">
        <v>0</v>
      </c>
      <c r="B2" s="248" t="s">
        <v>211</v>
      </c>
      <c r="C2" s="247" t="s">
        <v>210</v>
      </c>
      <c r="D2" s="247" t="s">
        <v>209</v>
      </c>
      <c r="E2" s="246" t="s">
        <v>208</v>
      </c>
      <c r="F2" s="247" t="s">
        <v>170</v>
      </c>
      <c r="G2" s="247" t="s">
        <v>207</v>
      </c>
      <c r="H2" s="247" t="s">
        <v>206</v>
      </c>
      <c r="I2" s="244" t="s">
        <v>205</v>
      </c>
      <c r="J2" s="245" t="s">
        <v>204</v>
      </c>
      <c r="L2" s="249" t="s">
        <v>0</v>
      </c>
      <c r="M2" s="248" t="s">
        <v>203</v>
      </c>
      <c r="N2" s="247" t="s">
        <v>202</v>
      </c>
      <c r="O2" s="246" t="s">
        <v>201</v>
      </c>
      <c r="P2" s="245" t="s">
        <v>200</v>
      </c>
      <c r="Q2" s="244" t="s">
        <v>114</v>
      </c>
    </row>
    <row r="3" spans="1:29" ht="26.25" customHeight="1" thickTop="1">
      <c r="A3" s="240"/>
      <c r="B3" s="243" t="s">
        <v>199</v>
      </c>
      <c r="C3" s="243" t="s">
        <v>198</v>
      </c>
      <c r="D3" s="243" t="s">
        <v>197</v>
      </c>
      <c r="E3" s="243" t="s">
        <v>196</v>
      </c>
      <c r="F3" s="243" t="s">
        <v>195</v>
      </c>
      <c r="G3" s="243" t="s">
        <v>194</v>
      </c>
      <c r="H3" s="243"/>
      <c r="I3" s="243" t="s">
        <v>193</v>
      </c>
      <c r="J3" s="243" t="s">
        <v>192</v>
      </c>
      <c r="M3" s="242">
        <f>M4*P3</f>
        <v>112690990.73633358</v>
      </c>
      <c r="N3" s="242">
        <f>P3*N4</f>
        <v>67614594.441800147</v>
      </c>
      <c r="O3" s="242">
        <f>P3*O4</f>
        <v>45076396.294533432</v>
      </c>
      <c r="P3" s="242">
        <f>+'PART anual'!D6</f>
        <v>225381981.47266716</v>
      </c>
    </row>
    <row r="4" spans="1:29" ht="13.5" thickBot="1">
      <c r="F4" s="241"/>
      <c r="G4" s="240"/>
      <c r="H4" s="240"/>
      <c r="I4" s="240"/>
      <c r="M4" s="239">
        <v>0.5</v>
      </c>
      <c r="N4" s="239">
        <v>0.3</v>
      </c>
      <c r="O4" s="239">
        <v>0.2</v>
      </c>
      <c r="P4" s="238" t="s">
        <v>191</v>
      </c>
      <c r="Q4" s="238"/>
    </row>
    <row r="5" spans="1:29" ht="13.5" thickTop="1">
      <c r="A5" s="232" t="s">
        <v>1</v>
      </c>
      <c r="B5" s="231">
        <v>501046</v>
      </c>
      <c r="C5" s="230">
        <v>121403</v>
      </c>
      <c r="D5" s="237">
        <f t="shared" ref="D5:D36" si="0">IFERROR(C5/B5,0)</f>
        <v>0.2422991102613333</v>
      </c>
      <c r="E5" s="236">
        <f t="shared" ref="E5:E36" si="1">IFERROR(D5/$D$56,0)</f>
        <v>1.7780268481691834E-2</v>
      </c>
      <c r="F5" s="230">
        <v>115989</v>
      </c>
      <c r="G5" s="235">
        <f t="shared" ref="G5:G36" si="2">IFERROR((C5/F5)-1,0)</f>
        <v>4.6676840045176693E-2</v>
      </c>
      <c r="H5" s="234">
        <f t="shared" ref="H5:H36" si="3">IF(G5&lt;0,0,G5)</f>
        <v>4.6676840045176693E-2</v>
      </c>
      <c r="I5" s="227">
        <f t="shared" ref="I5:I36" si="4">IFERROR(H5/$H$56,0)</f>
        <v>1.7449647979400611E-2</v>
      </c>
      <c r="J5" s="233">
        <f t="shared" ref="J5:J36" si="5">IFERROR(C5/$C$56,0)</f>
        <v>5.9730996016329647E-5</v>
      </c>
      <c r="L5" s="232" t="s">
        <v>1</v>
      </c>
      <c r="M5" s="231">
        <f t="shared" ref="M5:M36" si="6">IFERROR($M$3*E5,0)</f>
        <v>2003676.0707598585</v>
      </c>
      <c r="N5" s="230">
        <f t="shared" ref="N5:N36" si="7">IFERROR($N$3*I5,0)</f>
        <v>1179850.8712793498</v>
      </c>
      <c r="O5" s="229">
        <f t="shared" ref="O5:O36" si="8">IFERROR($O$3*J5,0)</f>
        <v>2692.4580474992727</v>
      </c>
      <c r="P5" s="228">
        <f t="shared" ref="P5:P36" si="9">IFERROR(SUM(M5:O5),0)</f>
        <v>3186219.4000867079</v>
      </c>
      <c r="Q5" s="227">
        <f t="shared" ref="Q5:Q36" si="10">IFERROR(P5/$P$56,0)</f>
        <v>1.4136974833869373E-2</v>
      </c>
      <c r="S5" s="202"/>
      <c r="T5" s="202"/>
      <c r="AC5" s="202"/>
    </row>
    <row r="6" spans="1:29">
      <c r="A6" s="221" t="s">
        <v>2</v>
      </c>
      <c r="B6" s="220">
        <v>2275034</v>
      </c>
      <c r="C6" s="219">
        <v>836482</v>
      </c>
      <c r="D6" s="226">
        <f t="shared" si="0"/>
        <v>0.36767890062302366</v>
      </c>
      <c r="E6" s="225">
        <f t="shared" si="1"/>
        <v>2.6980823664930771E-2</v>
      </c>
      <c r="F6" s="219">
        <v>996699</v>
      </c>
      <c r="G6" s="224">
        <f t="shared" si="2"/>
        <v>-0.16074762791976316</v>
      </c>
      <c r="H6" s="223">
        <f t="shared" si="3"/>
        <v>0</v>
      </c>
      <c r="I6" s="216">
        <f t="shared" si="4"/>
        <v>0</v>
      </c>
      <c r="J6" s="222">
        <f t="shared" si="5"/>
        <v>4.1155410500343039E-4</v>
      </c>
      <c r="L6" s="221" t="s">
        <v>2</v>
      </c>
      <c r="M6" s="220">
        <f t="shared" si="6"/>
        <v>3040495.7496833634</v>
      </c>
      <c r="N6" s="219">
        <f t="shared" si="7"/>
        <v>0</v>
      </c>
      <c r="O6" s="218">
        <f t="shared" si="8"/>
        <v>18551.375933776653</v>
      </c>
      <c r="P6" s="217">
        <f t="shared" si="9"/>
        <v>3059047.12561714</v>
      </c>
      <c r="Q6" s="216">
        <f t="shared" si="10"/>
        <v>1.3572722653466075E-2</v>
      </c>
      <c r="S6" s="202"/>
      <c r="T6" s="202"/>
      <c r="U6" s="202"/>
      <c r="V6" s="202"/>
      <c r="W6" s="202"/>
      <c r="X6" s="202"/>
      <c r="Y6" s="202"/>
      <c r="Z6" s="202"/>
    </row>
    <row r="7" spans="1:29">
      <c r="A7" s="221" t="s">
        <v>3</v>
      </c>
      <c r="B7" s="220">
        <v>0</v>
      </c>
      <c r="C7" s="219">
        <v>0</v>
      </c>
      <c r="D7" s="226">
        <f t="shared" si="0"/>
        <v>0</v>
      </c>
      <c r="E7" s="225">
        <f t="shared" si="1"/>
        <v>0</v>
      </c>
      <c r="F7" s="219">
        <v>0</v>
      </c>
      <c r="G7" s="224">
        <f t="shared" si="2"/>
        <v>0</v>
      </c>
      <c r="H7" s="223">
        <f t="shared" si="3"/>
        <v>0</v>
      </c>
      <c r="I7" s="216">
        <f t="shared" si="4"/>
        <v>0</v>
      </c>
      <c r="J7" s="222">
        <f t="shared" si="5"/>
        <v>0</v>
      </c>
      <c r="L7" s="221" t="s">
        <v>3</v>
      </c>
      <c r="M7" s="220">
        <f t="shared" si="6"/>
        <v>0</v>
      </c>
      <c r="N7" s="219">
        <f t="shared" si="7"/>
        <v>0</v>
      </c>
      <c r="O7" s="218">
        <f t="shared" si="8"/>
        <v>0</v>
      </c>
      <c r="P7" s="217">
        <f t="shared" si="9"/>
        <v>0</v>
      </c>
      <c r="Q7" s="216">
        <f t="shared" si="10"/>
        <v>0</v>
      </c>
      <c r="S7" s="202"/>
      <c r="T7" s="202"/>
      <c r="U7" s="202"/>
      <c r="V7" s="202"/>
      <c r="W7" s="202"/>
      <c r="X7" s="202"/>
      <c r="Y7" s="202"/>
      <c r="Z7" s="202"/>
    </row>
    <row r="8" spans="1:29">
      <c r="A8" s="221" t="s">
        <v>4</v>
      </c>
      <c r="B8" s="220">
        <v>34304269</v>
      </c>
      <c r="C8" s="219">
        <v>15242673</v>
      </c>
      <c r="D8" s="226">
        <f t="shared" si="0"/>
        <v>0.44433749630403141</v>
      </c>
      <c r="E8" s="225">
        <f t="shared" si="1"/>
        <v>3.2606145240266712E-2</v>
      </c>
      <c r="F8" s="219">
        <v>14228172</v>
      </c>
      <c r="G8" s="224">
        <f t="shared" si="2"/>
        <v>7.130227270235423E-2</v>
      </c>
      <c r="H8" s="223">
        <f t="shared" si="3"/>
        <v>7.130227270235423E-2</v>
      </c>
      <c r="I8" s="216">
        <f t="shared" si="4"/>
        <v>2.6655608168485584E-2</v>
      </c>
      <c r="J8" s="222">
        <f t="shared" si="5"/>
        <v>7.4994855171718611E-3</v>
      </c>
      <c r="L8" s="221" t="s">
        <v>4</v>
      </c>
      <c r="M8" s="220">
        <f t="shared" si="6"/>
        <v>3674418.8112184433</v>
      </c>
      <c r="N8" s="219">
        <f t="shared" si="7"/>
        <v>1802308.135911688</v>
      </c>
      <c r="O8" s="218">
        <f t="shared" si="8"/>
        <v>338049.78117715282</v>
      </c>
      <c r="P8" s="217">
        <f t="shared" si="9"/>
        <v>5814776.7283072844</v>
      </c>
      <c r="Q8" s="216">
        <f t="shared" si="10"/>
        <v>2.579965217411341E-2</v>
      </c>
      <c r="S8" s="202"/>
      <c r="T8" s="202"/>
      <c r="U8" s="202"/>
      <c r="V8" s="202"/>
      <c r="W8" s="202"/>
      <c r="X8" s="202"/>
      <c r="Y8" s="202"/>
      <c r="Z8" s="202"/>
    </row>
    <row r="9" spans="1:29">
      <c r="A9" s="221" t="s">
        <v>5</v>
      </c>
      <c r="B9" s="220">
        <v>10108332</v>
      </c>
      <c r="C9" s="219">
        <v>2322895</v>
      </c>
      <c r="D9" s="226">
        <f t="shared" si="0"/>
        <v>0.22980003031162807</v>
      </c>
      <c r="E9" s="225">
        <f t="shared" si="1"/>
        <v>1.6863067436090822E-2</v>
      </c>
      <c r="F9" s="219">
        <v>3579757</v>
      </c>
      <c r="G9" s="224">
        <f t="shared" si="2"/>
        <v>-0.35110260277443417</v>
      </c>
      <c r="H9" s="223">
        <f t="shared" si="3"/>
        <v>0</v>
      </c>
      <c r="I9" s="216">
        <f t="shared" si="4"/>
        <v>0</v>
      </c>
      <c r="J9" s="222">
        <f t="shared" si="5"/>
        <v>1.1428781166145157E-3</v>
      </c>
      <c r="L9" s="221" t="s">
        <v>5</v>
      </c>
      <c r="M9" s="220">
        <f t="shared" si="6"/>
        <v>1900315.7762266793</v>
      </c>
      <c r="N9" s="219">
        <f t="shared" si="7"/>
        <v>0</v>
      </c>
      <c r="O9" s="218">
        <f t="shared" si="8"/>
        <v>51516.826900865904</v>
      </c>
      <c r="P9" s="217">
        <f t="shared" si="9"/>
        <v>1951832.6031275452</v>
      </c>
      <c r="Q9" s="216">
        <f t="shared" si="10"/>
        <v>8.6601093413683165E-3</v>
      </c>
      <c r="S9" s="202"/>
      <c r="T9" s="202"/>
      <c r="U9" s="202"/>
      <c r="V9" s="202"/>
      <c r="W9" s="202"/>
      <c r="X9" s="202"/>
      <c r="Y9" s="202"/>
      <c r="Z9" s="202"/>
    </row>
    <row r="10" spans="1:29">
      <c r="A10" s="221" t="s">
        <v>6</v>
      </c>
      <c r="B10" s="220">
        <v>653982108</v>
      </c>
      <c r="C10" s="219">
        <v>263928665.28</v>
      </c>
      <c r="D10" s="226">
        <f t="shared" si="0"/>
        <v>0.40357169110809987</v>
      </c>
      <c r="E10" s="225">
        <f t="shared" si="1"/>
        <v>2.9614689925081095E-2</v>
      </c>
      <c r="F10" s="219">
        <v>243619322.05000001</v>
      </c>
      <c r="G10" s="224">
        <f t="shared" si="2"/>
        <v>8.3365075721833382E-2</v>
      </c>
      <c r="H10" s="223">
        <f t="shared" si="3"/>
        <v>8.3365075721833382E-2</v>
      </c>
      <c r="I10" s="216">
        <f t="shared" si="4"/>
        <v>3.1165160788822251E-2</v>
      </c>
      <c r="J10" s="222">
        <f t="shared" si="5"/>
        <v>0.12985446862462116</v>
      </c>
      <c r="L10" s="221" t="s">
        <v>6</v>
      </c>
      <c r="M10" s="220">
        <f t="shared" si="6"/>
        <v>3337308.7480067052</v>
      </c>
      <c r="N10" s="219">
        <f t="shared" si="7"/>
        <v>2107219.7074497091</v>
      </c>
      <c r="O10" s="218">
        <f t="shared" si="8"/>
        <v>5853371.4883394809</v>
      </c>
      <c r="P10" s="217">
        <f t="shared" si="9"/>
        <v>11297899.943795895</v>
      </c>
      <c r="Q10" s="216">
        <f t="shared" si="10"/>
        <v>5.0127786924111468E-2</v>
      </c>
      <c r="S10" s="202"/>
      <c r="T10" s="202"/>
      <c r="U10" s="202"/>
      <c r="V10" s="202"/>
      <c r="W10" s="202"/>
      <c r="X10" s="202"/>
      <c r="Y10" s="202"/>
      <c r="Z10" s="202"/>
    </row>
    <row r="11" spans="1:29">
      <c r="A11" s="221" t="s">
        <v>7</v>
      </c>
      <c r="B11" s="220">
        <v>0</v>
      </c>
      <c r="C11" s="219">
        <v>0</v>
      </c>
      <c r="D11" s="226">
        <f t="shared" si="0"/>
        <v>0</v>
      </c>
      <c r="E11" s="225">
        <f t="shared" si="1"/>
        <v>0</v>
      </c>
      <c r="F11" s="219">
        <v>0</v>
      </c>
      <c r="G11" s="224">
        <f t="shared" si="2"/>
        <v>0</v>
      </c>
      <c r="H11" s="223">
        <f t="shared" si="3"/>
        <v>0</v>
      </c>
      <c r="I11" s="216">
        <f t="shared" si="4"/>
        <v>0</v>
      </c>
      <c r="J11" s="222">
        <f t="shared" si="5"/>
        <v>0</v>
      </c>
      <c r="L11" s="221" t="s">
        <v>7</v>
      </c>
      <c r="M11" s="220">
        <f t="shared" si="6"/>
        <v>0</v>
      </c>
      <c r="N11" s="219">
        <f t="shared" si="7"/>
        <v>0</v>
      </c>
      <c r="O11" s="218">
        <f t="shared" si="8"/>
        <v>0</v>
      </c>
      <c r="P11" s="217">
        <f t="shared" si="9"/>
        <v>0</v>
      </c>
      <c r="Q11" s="216">
        <f t="shared" si="10"/>
        <v>0</v>
      </c>
      <c r="S11" s="202"/>
      <c r="T11" s="202"/>
      <c r="U11" s="202"/>
      <c r="V11" s="202"/>
      <c r="W11" s="202"/>
      <c r="X11" s="202"/>
      <c r="Y11" s="202"/>
      <c r="Z11" s="202"/>
    </row>
    <row r="12" spans="1:29">
      <c r="A12" s="221" t="s">
        <v>8</v>
      </c>
      <c r="B12" s="220">
        <v>2146802</v>
      </c>
      <c r="C12" s="219">
        <v>721021</v>
      </c>
      <c r="D12" s="226">
        <f t="shared" si="0"/>
        <v>0.33585817415858565</v>
      </c>
      <c r="E12" s="225">
        <f t="shared" si="1"/>
        <v>2.4645771508899503E-2</v>
      </c>
      <c r="F12" s="219">
        <v>739085</v>
      </c>
      <c r="G12" s="224">
        <f t="shared" si="2"/>
        <v>-2.4441031816367587E-2</v>
      </c>
      <c r="H12" s="223">
        <f t="shared" si="3"/>
        <v>0</v>
      </c>
      <c r="I12" s="216">
        <f t="shared" si="4"/>
        <v>0</v>
      </c>
      <c r="J12" s="222">
        <f t="shared" si="5"/>
        <v>3.5474660822788578E-4</v>
      </c>
      <c r="L12" s="221" t="s">
        <v>8</v>
      </c>
      <c r="M12" s="220">
        <f t="shared" si="6"/>
        <v>2777356.4087991877</v>
      </c>
      <c r="N12" s="219">
        <f t="shared" si="7"/>
        <v>0</v>
      </c>
      <c r="O12" s="218">
        <f t="shared" si="8"/>
        <v>15990.698696621774</v>
      </c>
      <c r="P12" s="217">
        <f t="shared" si="9"/>
        <v>2793347.1074958094</v>
      </c>
      <c r="Q12" s="216">
        <f t="shared" si="10"/>
        <v>1.239383507609533E-2</v>
      </c>
      <c r="S12" s="202"/>
      <c r="T12" s="202"/>
      <c r="U12" s="202"/>
      <c r="V12" s="202"/>
      <c r="W12" s="202"/>
      <c r="X12" s="202"/>
      <c r="Y12" s="202"/>
      <c r="Z12" s="202"/>
    </row>
    <row r="13" spans="1:29">
      <c r="A13" s="221" t="s">
        <v>9</v>
      </c>
      <c r="B13" s="220">
        <v>98384121</v>
      </c>
      <c r="C13" s="219">
        <v>28310880.329999998</v>
      </c>
      <c r="D13" s="226">
        <f t="shared" si="0"/>
        <v>0.28775863464796314</v>
      </c>
      <c r="E13" s="225">
        <f t="shared" si="1"/>
        <v>2.1116155880421931E-2</v>
      </c>
      <c r="F13" s="219">
        <v>26808501</v>
      </c>
      <c r="G13" s="224">
        <f t="shared" si="2"/>
        <v>5.6041153886224215E-2</v>
      </c>
      <c r="H13" s="223">
        <f t="shared" si="3"/>
        <v>5.6041153886224215E-2</v>
      </c>
      <c r="I13" s="216">
        <f t="shared" si="4"/>
        <v>2.0950398671537349E-2</v>
      </c>
      <c r="J13" s="222">
        <f t="shared" si="5"/>
        <v>1.3929121028393164E-2</v>
      </c>
      <c r="L13" s="221" t="s">
        <v>9</v>
      </c>
      <c r="M13" s="220">
        <f t="shared" si="6"/>
        <v>2379600.5267076036</v>
      </c>
      <c r="N13" s="219">
        <f t="shared" si="7"/>
        <v>1416552.7095700265</v>
      </c>
      <c r="O13" s="218">
        <f t="shared" si="8"/>
        <v>627874.57951036934</v>
      </c>
      <c r="P13" s="217">
        <f t="shared" si="9"/>
        <v>4424027.815787999</v>
      </c>
      <c r="Q13" s="216">
        <f t="shared" si="10"/>
        <v>1.9629021747350806E-2</v>
      </c>
      <c r="S13" s="202"/>
      <c r="T13" s="202"/>
      <c r="U13" s="202"/>
      <c r="V13" s="202"/>
      <c r="W13" s="202"/>
      <c r="X13" s="202"/>
      <c r="Y13" s="202"/>
      <c r="Z13" s="202"/>
    </row>
    <row r="14" spans="1:29">
      <c r="A14" s="221" t="s">
        <v>10</v>
      </c>
      <c r="B14" s="220">
        <v>21304607</v>
      </c>
      <c r="C14" s="219">
        <v>4203660</v>
      </c>
      <c r="D14" s="226">
        <f t="shared" si="0"/>
        <v>0.19731225269726871</v>
      </c>
      <c r="E14" s="225">
        <f t="shared" si="1"/>
        <v>1.4479066076227022E-2</v>
      </c>
      <c r="F14" s="219">
        <v>4025421.55</v>
      </c>
      <c r="G14" s="224">
        <f t="shared" si="2"/>
        <v>4.4278207334583319E-2</v>
      </c>
      <c r="H14" s="223">
        <f t="shared" si="3"/>
        <v>4.4278207334583319E-2</v>
      </c>
      <c r="I14" s="216">
        <f t="shared" si="4"/>
        <v>1.6552944252429813E-2</v>
      </c>
      <c r="J14" s="222">
        <f t="shared" si="5"/>
        <v>2.0682256510465499E-3</v>
      </c>
      <c r="L14" s="221" t="s">
        <v>10</v>
      </c>
      <c r="M14" s="220">
        <f t="shared" si="6"/>
        <v>1631660.301066861</v>
      </c>
      <c r="N14" s="219">
        <f t="shared" si="7"/>
        <v>1119220.6124457684</v>
      </c>
      <c r="O14" s="218">
        <f t="shared" si="8"/>
        <v>93228.159073093702</v>
      </c>
      <c r="P14" s="217">
        <f t="shared" si="9"/>
        <v>2844109.0725857234</v>
      </c>
      <c r="Q14" s="216">
        <f t="shared" si="10"/>
        <v>1.2619061444051768E-2</v>
      </c>
      <c r="S14" s="202"/>
      <c r="T14" s="202"/>
      <c r="U14" s="202"/>
      <c r="V14" s="202"/>
      <c r="W14" s="202"/>
      <c r="X14" s="202"/>
      <c r="Y14" s="202"/>
      <c r="Z14" s="202"/>
    </row>
    <row r="15" spans="1:29">
      <c r="A15" s="221" t="s">
        <v>11</v>
      </c>
      <c r="B15" s="220">
        <v>2970608</v>
      </c>
      <c r="C15" s="219">
        <v>3866062</v>
      </c>
      <c r="D15" s="226">
        <f t="shared" si="0"/>
        <v>1.3014379547890533</v>
      </c>
      <c r="E15" s="225">
        <f t="shared" si="1"/>
        <v>9.5501449524332052E-2</v>
      </c>
      <c r="F15" s="219">
        <v>5594177</v>
      </c>
      <c r="G15" s="224">
        <f t="shared" si="2"/>
        <v>-0.30891317882862845</v>
      </c>
      <c r="H15" s="223">
        <f t="shared" si="3"/>
        <v>0</v>
      </c>
      <c r="I15" s="216">
        <f t="shared" si="4"/>
        <v>0</v>
      </c>
      <c r="J15" s="222">
        <f t="shared" si="5"/>
        <v>1.9021254328219518E-3</v>
      </c>
      <c r="L15" s="221" t="s">
        <v>11</v>
      </c>
      <c r="M15" s="220">
        <f t="shared" si="6"/>
        <v>10762152.963652933</v>
      </c>
      <c r="N15" s="219">
        <f t="shared" si="7"/>
        <v>0</v>
      </c>
      <c r="O15" s="218">
        <f t="shared" si="8"/>
        <v>85740.959811793233</v>
      </c>
      <c r="P15" s="217">
        <f t="shared" si="9"/>
        <v>10847893.923464727</v>
      </c>
      <c r="Q15" s="216">
        <f t="shared" si="10"/>
        <v>4.8131149848730438E-2</v>
      </c>
      <c r="S15" s="202"/>
      <c r="T15" s="202"/>
      <c r="U15" s="202"/>
      <c r="V15" s="202"/>
      <c r="W15" s="202"/>
      <c r="X15" s="202"/>
      <c r="Y15" s="202"/>
      <c r="Z15" s="202"/>
    </row>
    <row r="16" spans="1:29">
      <c r="A16" s="221" t="s">
        <v>12</v>
      </c>
      <c r="B16" s="220">
        <v>4274726</v>
      </c>
      <c r="C16" s="219">
        <v>1407462</v>
      </c>
      <c r="D16" s="226">
        <f t="shared" si="0"/>
        <v>0.32925198012691342</v>
      </c>
      <c r="E16" s="225">
        <f t="shared" si="1"/>
        <v>2.4160999181842276E-2</v>
      </c>
      <c r="F16" s="219">
        <v>1434848</v>
      </c>
      <c r="G16" s="224">
        <f t="shared" si="2"/>
        <v>-1.9086342246704913E-2</v>
      </c>
      <c r="H16" s="223">
        <f t="shared" si="3"/>
        <v>0</v>
      </c>
      <c r="I16" s="216">
        <f t="shared" si="4"/>
        <v>0</v>
      </c>
      <c r="J16" s="222">
        <f t="shared" si="5"/>
        <v>6.9247965136887363E-4</v>
      </c>
      <c r="L16" s="221" t="s">
        <v>12</v>
      </c>
      <c r="M16" s="220">
        <f t="shared" si="6"/>
        <v>2722726.934981551</v>
      </c>
      <c r="N16" s="219">
        <f t="shared" si="7"/>
        <v>0</v>
      </c>
      <c r="O16" s="218">
        <f t="shared" si="8"/>
        <v>31214.487191003696</v>
      </c>
      <c r="P16" s="217">
        <f t="shared" si="9"/>
        <v>2753941.4221725548</v>
      </c>
      <c r="Q16" s="216">
        <f t="shared" si="10"/>
        <v>1.2218995521194915E-2</v>
      </c>
      <c r="S16" s="202"/>
      <c r="T16" s="202"/>
      <c r="U16" s="202"/>
      <c r="V16" s="202"/>
      <c r="W16" s="202"/>
      <c r="X16" s="202"/>
      <c r="Y16" s="202"/>
      <c r="Z16" s="202"/>
    </row>
    <row r="17" spans="1:26">
      <c r="A17" s="221" t="s">
        <v>13</v>
      </c>
      <c r="B17" s="220">
        <v>41956827</v>
      </c>
      <c r="C17" s="219">
        <v>12855566</v>
      </c>
      <c r="D17" s="226">
        <f t="shared" si="0"/>
        <v>0.30639986193426877</v>
      </c>
      <c r="E17" s="225">
        <f t="shared" si="1"/>
        <v>2.2484076817569702E-2</v>
      </c>
      <c r="F17" s="219">
        <v>12542027</v>
      </c>
      <c r="G17" s="224">
        <f t="shared" si="2"/>
        <v>2.4999069129734819E-2</v>
      </c>
      <c r="H17" s="223">
        <f t="shared" si="3"/>
        <v>2.4999069129734819E-2</v>
      </c>
      <c r="I17" s="216">
        <f t="shared" si="4"/>
        <v>9.3456402726570242E-3</v>
      </c>
      <c r="J17" s="222">
        <f t="shared" si="5"/>
        <v>6.3250147157291239E-3</v>
      </c>
      <c r="L17" s="221" t="s">
        <v>13</v>
      </c>
      <c r="M17" s="220">
        <f t="shared" si="6"/>
        <v>2533752.8923637597</v>
      </c>
      <c r="N17" s="219">
        <f t="shared" si="7"/>
        <v>631901.6768346593</v>
      </c>
      <c r="O17" s="218">
        <f t="shared" si="8"/>
        <v>285108.86989496171</v>
      </c>
      <c r="P17" s="217">
        <f t="shared" si="9"/>
        <v>3450763.4390933807</v>
      </c>
      <c r="Q17" s="216">
        <f t="shared" si="10"/>
        <v>1.5310733433727786E-2</v>
      </c>
      <c r="S17" s="202"/>
      <c r="T17" s="202"/>
      <c r="U17" s="202"/>
      <c r="V17" s="202"/>
      <c r="W17" s="202"/>
      <c r="X17" s="202"/>
      <c r="Y17" s="202"/>
      <c r="Z17" s="202"/>
    </row>
    <row r="18" spans="1:26">
      <c r="A18" s="221" t="s">
        <v>14</v>
      </c>
      <c r="B18" s="220">
        <v>6139487</v>
      </c>
      <c r="C18" s="219">
        <v>602897</v>
      </c>
      <c r="D18" s="226">
        <f t="shared" si="0"/>
        <v>9.81998984605717E-2</v>
      </c>
      <c r="E18" s="225">
        <f t="shared" si="1"/>
        <v>7.2060543582708973E-3</v>
      </c>
      <c r="F18" s="219">
        <v>637894</v>
      </c>
      <c r="G18" s="224">
        <f t="shared" si="2"/>
        <v>-5.4863347201886237E-2</v>
      </c>
      <c r="H18" s="223">
        <f t="shared" si="3"/>
        <v>0</v>
      </c>
      <c r="I18" s="216">
        <f t="shared" si="4"/>
        <v>0</v>
      </c>
      <c r="J18" s="222">
        <f t="shared" si="5"/>
        <v>2.9662889965863362E-4</v>
      </c>
      <c r="L18" s="221" t="s">
        <v>14</v>
      </c>
      <c r="M18" s="220">
        <f t="shared" si="6"/>
        <v>812057.40493342187</v>
      </c>
      <c r="N18" s="219">
        <f t="shared" si="7"/>
        <v>0</v>
      </c>
      <c r="O18" s="218">
        <f t="shared" si="8"/>
        <v>13370.961833423962</v>
      </c>
      <c r="P18" s="217">
        <f t="shared" si="9"/>
        <v>825428.36676684581</v>
      </c>
      <c r="Q18" s="216">
        <f t="shared" si="10"/>
        <v>3.6623529590671762E-3</v>
      </c>
      <c r="S18" s="202"/>
      <c r="T18" s="202"/>
      <c r="U18" s="202"/>
      <c r="V18" s="202"/>
      <c r="W18" s="202"/>
      <c r="X18" s="202"/>
      <c r="Y18" s="202"/>
      <c r="Z18" s="202"/>
    </row>
    <row r="19" spans="1:26">
      <c r="A19" s="221" t="s">
        <v>15</v>
      </c>
      <c r="B19" s="220">
        <v>1456249</v>
      </c>
      <c r="C19" s="219">
        <v>363371</v>
      </c>
      <c r="D19" s="226">
        <f t="shared" si="0"/>
        <v>0.24952532156245258</v>
      </c>
      <c r="E19" s="225">
        <f t="shared" si="1"/>
        <v>1.8310538596595514E-2</v>
      </c>
      <c r="F19" s="219">
        <v>290883</v>
      </c>
      <c r="G19" s="224">
        <f t="shared" si="2"/>
        <v>0.24919985011155688</v>
      </c>
      <c r="H19" s="223">
        <f t="shared" si="3"/>
        <v>0.24919985011155688</v>
      </c>
      <c r="I19" s="216">
        <f t="shared" si="4"/>
        <v>9.3160755028775924E-2</v>
      </c>
      <c r="J19" s="222">
        <f t="shared" si="5"/>
        <v>1.7878068707898257E-4</v>
      </c>
      <c r="L19" s="221" t="s">
        <v>15</v>
      </c>
      <c r="M19" s="220">
        <f t="shared" si="6"/>
        <v>2063432.7353662234</v>
      </c>
      <c r="N19" s="219">
        <f t="shared" si="7"/>
        <v>6299026.6691625779</v>
      </c>
      <c r="O19" s="218">
        <f t="shared" si="8"/>
        <v>8058.7891005811907</v>
      </c>
      <c r="P19" s="217">
        <f t="shared" si="9"/>
        <v>8370518.1936293822</v>
      </c>
      <c r="Q19" s="216">
        <f t="shared" si="10"/>
        <v>3.7139251944346342E-2</v>
      </c>
      <c r="S19" s="202"/>
      <c r="T19" s="202"/>
      <c r="U19" s="202"/>
      <c r="V19" s="202"/>
      <c r="W19" s="202"/>
      <c r="X19" s="202"/>
      <c r="Y19" s="202"/>
      <c r="Z19" s="202"/>
    </row>
    <row r="20" spans="1:26">
      <c r="A20" s="221" t="s">
        <v>16</v>
      </c>
      <c r="B20" s="220">
        <v>2045528</v>
      </c>
      <c r="C20" s="219">
        <v>531178</v>
      </c>
      <c r="D20" s="226">
        <f t="shared" si="0"/>
        <v>0.25967769690759551</v>
      </c>
      <c r="E20" s="225">
        <f t="shared" si="1"/>
        <v>1.9055534973878359E-2</v>
      </c>
      <c r="F20" s="219">
        <v>471485</v>
      </c>
      <c r="G20" s="224">
        <f t="shared" si="2"/>
        <v>0.12660636075378862</v>
      </c>
      <c r="H20" s="223">
        <f t="shared" si="3"/>
        <v>0.12660636075378862</v>
      </c>
      <c r="I20" s="216">
        <f t="shared" si="4"/>
        <v>4.7330462494212952E-2</v>
      </c>
      <c r="J20" s="222">
        <f t="shared" si="5"/>
        <v>2.6134272630793265E-4</v>
      </c>
      <c r="L20" s="221" t="s">
        <v>16</v>
      </c>
      <c r="M20" s="220">
        <f t="shared" si="6"/>
        <v>2147387.1152172065</v>
      </c>
      <c r="N20" s="219">
        <f t="shared" si="7"/>
        <v>3200230.0262890416</v>
      </c>
      <c r="O20" s="218">
        <f t="shared" si="8"/>
        <v>11780.388299750161</v>
      </c>
      <c r="P20" s="217">
        <f t="shared" si="9"/>
        <v>5359397.5298059983</v>
      </c>
      <c r="Q20" s="216">
        <f t="shared" si="10"/>
        <v>2.3779174780464658E-2</v>
      </c>
      <c r="S20" s="202"/>
      <c r="T20" s="202"/>
      <c r="U20" s="202"/>
      <c r="V20" s="202"/>
      <c r="W20" s="202"/>
      <c r="X20" s="202"/>
      <c r="Y20" s="202"/>
      <c r="Z20" s="202"/>
    </row>
    <row r="21" spans="1:26">
      <c r="A21" s="221" t="s">
        <v>17</v>
      </c>
      <c r="B21" s="220">
        <v>9607239</v>
      </c>
      <c r="C21" s="219">
        <v>1058773</v>
      </c>
      <c r="D21" s="226">
        <f t="shared" si="0"/>
        <v>0.11020575214169233</v>
      </c>
      <c r="E21" s="225">
        <f t="shared" si="1"/>
        <v>8.0870617279306389E-3</v>
      </c>
      <c r="F21" s="219">
        <v>892233</v>
      </c>
      <c r="G21" s="224">
        <f t="shared" si="2"/>
        <v>0.18665527950658634</v>
      </c>
      <c r="H21" s="223">
        <f t="shared" si="3"/>
        <v>0.18665527950658634</v>
      </c>
      <c r="I21" s="216">
        <f t="shared" si="4"/>
        <v>6.9779122102828106E-2</v>
      </c>
      <c r="J21" s="222">
        <f t="shared" si="5"/>
        <v>5.2092259536582614E-4</v>
      </c>
      <c r="L21" s="221" t="s">
        <v>17</v>
      </c>
      <c r="M21" s="220">
        <f t="shared" si="6"/>
        <v>911338.99826638948</v>
      </c>
      <c r="N21" s="219">
        <f t="shared" si="7"/>
        <v>4718087.0414875755</v>
      </c>
      <c r="O21" s="218">
        <f t="shared" si="8"/>
        <v>23481.313347486863</v>
      </c>
      <c r="P21" s="217">
        <f t="shared" si="9"/>
        <v>5652907.3531014519</v>
      </c>
      <c r="Q21" s="216">
        <f t="shared" si="10"/>
        <v>2.5081452013886927E-2</v>
      </c>
      <c r="S21" s="202"/>
      <c r="T21" s="202"/>
      <c r="U21" s="202"/>
      <c r="V21" s="202"/>
      <c r="W21" s="202"/>
      <c r="X21" s="202"/>
      <c r="Y21" s="202"/>
      <c r="Z21" s="202"/>
    </row>
    <row r="22" spans="1:26">
      <c r="A22" s="221" t="s">
        <v>18</v>
      </c>
      <c r="B22" s="220">
        <v>354652384</v>
      </c>
      <c r="C22" s="219">
        <v>84817135</v>
      </c>
      <c r="D22" s="226">
        <f t="shared" si="0"/>
        <v>0.23915568829222927</v>
      </c>
      <c r="E22" s="225">
        <f t="shared" si="1"/>
        <v>1.7549599510181223E-2</v>
      </c>
      <c r="F22" s="219">
        <v>74155651.00999999</v>
      </c>
      <c r="G22" s="224">
        <f t="shared" si="2"/>
        <v>0.14377169972605719</v>
      </c>
      <c r="H22" s="223">
        <f t="shared" si="3"/>
        <v>0.14377169972605719</v>
      </c>
      <c r="I22" s="216">
        <f t="shared" si="4"/>
        <v>5.3747544760777491E-2</v>
      </c>
      <c r="J22" s="222">
        <f t="shared" si="5"/>
        <v>4.1730533453057127E-2</v>
      </c>
      <c r="L22" s="221" t="s">
        <v>18</v>
      </c>
      <c r="M22" s="220">
        <f t="shared" si="6"/>
        <v>1977681.7558281964</v>
      </c>
      <c r="N22" s="219">
        <f t="shared" si="7"/>
        <v>3634118.4412424704</v>
      </c>
      <c r="O22" s="218">
        <f t="shared" si="8"/>
        <v>1881062.0635122876</v>
      </c>
      <c r="P22" s="217">
        <f t="shared" si="9"/>
        <v>7492862.2605829537</v>
      </c>
      <c r="Q22" s="216">
        <f t="shared" si="10"/>
        <v>3.324516987393529E-2</v>
      </c>
      <c r="S22" s="202"/>
      <c r="T22" s="202"/>
      <c r="U22" s="202"/>
      <c r="V22" s="202"/>
      <c r="W22" s="202"/>
      <c r="X22" s="202"/>
      <c r="Y22" s="202"/>
      <c r="Z22" s="202"/>
    </row>
    <row r="23" spans="1:26">
      <c r="A23" s="221" t="s">
        <v>19</v>
      </c>
      <c r="B23" s="220">
        <v>4705374</v>
      </c>
      <c r="C23" s="219">
        <v>1347671</v>
      </c>
      <c r="D23" s="226">
        <f t="shared" si="0"/>
        <v>0.2864110270511972</v>
      </c>
      <c r="E23" s="225">
        <f t="shared" si="1"/>
        <v>2.1017266434015698E-2</v>
      </c>
      <c r="F23" s="219">
        <v>1274026</v>
      </c>
      <c r="G23" s="224">
        <f t="shared" si="2"/>
        <v>5.780494275627035E-2</v>
      </c>
      <c r="H23" s="223">
        <f t="shared" si="3"/>
        <v>5.780494275627035E-2</v>
      </c>
      <c r="I23" s="216">
        <f t="shared" si="4"/>
        <v>2.1609772675058186E-2</v>
      </c>
      <c r="J23" s="222">
        <f t="shared" si="5"/>
        <v>6.6306212476069783E-4</v>
      </c>
      <c r="L23" s="221" t="s">
        <v>19</v>
      </c>
      <c r="M23" s="220">
        <f t="shared" si="6"/>
        <v>2368456.5770187178</v>
      </c>
      <c r="N23" s="219">
        <f t="shared" si="7"/>
        <v>1461136.0154035538</v>
      </c>
      <c r="O23" s="218">
        <f t="shared" si="8"/>
        <v>29888.451103608582</v>
      </c>
      <c r="P23" s="217">
        <f t="shared" si="9"/>
        <v>3859481.0435258802</v>
      </c>
      <c r="Q23" s="216">
        <f t="shared" si="10"/>
        <v>1.7124177444477449E-2</v>
      </c>
      <c r="S23" s="202"/>
      <c r="T23" s="202"/>
      <c r="U23" s="202"/>
      <c r="V23" s="202"/>
      <c r="W23" s="202"/>
      <c r="X23" s="202"/>
      <c r="Y23" s="202"/>
      <c r="Z23" s="202"/>
    </row>
    <row r="24" spans="1:26">
      <c r="A24" s="221" t="s">
        <v>20</v>
      </c>
      <c r="B24" s="220">
        <v>422301629</v>
      </c>
      <c r="C24" s="219">
        <v>139338983</v>
      </c>
      <c r="D24" s="226">
        <f t="shared" si="0"/>
        <v>0.3299513272774991</v>
      </c>
      <c r="E24" s="225">
        <f t="shared" si="1"/>
        <v>2.4212318314157322E-2</v>
      </c>
      <c r="F24" s="219">
        <v>127647607.33</v>
      </c>
      <c r="G24" s="224">
        <f t="shared" si="2"/>
        <v>9.1591028727823875E-2</v>
      </c>
      <c r="H24" s="223">
        <f t="shared" si="3"/>
        <v>9.1591028727823875E-2</v>
      </c>
      <c r="I24" s="216">
        <f t="shared" si="4"/>
        <v>3.4240347200556631E-2</v>
      </c>
      <c r="J24" s="222">
        <f t="shared" si="5"/>
        <v>6.8555606026971527E-2</v>
      </c>
      <c r="L24" s="221" t="s">
        <v>20</v>
      </c>
      <c r="M24" s="220">
        <f t="shared" si="6"/>
        <v>2728510.1388458628</v>
      </c>
      <c r="N24" s="219">
        <f t="shared" si="7"/>
        <v>2315147.1895120637</v>
      </c>
      <c r="O24" s="218">
        <f t="shared" si="8"/>
        <v>3090239.6654836731</v>
      </c>
      <c r="P24" s="217">
        <f t="shared" si="9"/>
        <v>8133896.9938415997</v>
      </c>
      <c r="Q24" s="216">
        <f t="shared" si="10"/>
        <v>3.6089384522639968E-2</v>
      </c>
      <c r="S24" s="202"/>
      <c r="T24" s="202"/>
      <c r="U24" s="202"/>
      <c r="V24" s="202"/>
      <c r="W24" s="202"/>
      <c r="X24" s="202"/>
      <c r="Y24" s="202"/>
      <c r="Z24" s="202"/>
    </row>
    <row r="25" spans="1:26">
      <c r="A25" s="221" t="s">
        <v>21</v>
      </c>
      <c r="B25" s="220">
        <v>12413879</v>
      </c>
      <c r="C25" s="219">
        <v>3647488</v>
      </c>
      <c r="D25" s="226">
        <f t="shared" si="0"/>
        <v>0.29382338912760469</v>
      </c>
      <c r="E25" s="225">
        <f t="shared" si="1"/>
        <v>2.1561196569210538E-2</v>
      </c>
      <c r="F25" s="219">
        <v>4150430.84</v>
      </c>
      <c r="G25" s="224">
        <f t="shared" si="2"/>
        <v>-0.12117846541444832</v>
      </c>
      <c r="H25" s="223">
        <f t="shared" si="3"/>
        <v>0</v>
      </c>
      <c r="I25" s="216">
        <f t="shared" si="4"/>
        <v>0</v>
      </c>
      <c r="J25" s="222">
        <f t="shared" si="5"/>
        <v>1.794585728504322E-3</v>
      </c>
      <c r="L25" s="221" t="s">
        <v>21</v>
      </c>
      <c r="M25" s="220">
        <f t="shared" si="6"/>
        <v>2429752.6028451719</v>
      </c>
      <c r="N25" s="219">
        <f t="shared" si="7"/>
        <v>0</v>
      </c>
      <c r="O25" s="218">
        <f t="shared" si="8"/>
        <v>80893.457482574799</v>
      </c>
      <c r="P25" s="217">
        <f t="shared" si="9"/>
        <v>2510646.0603277469</v>
      </c>
      <c r="Q25" s="216">
        <f t="shared" si="10"/>
        <v>1.1139515430306137E-2</v>
      </c>
      <c r="S25" s="202"/>
      <c r="T25" s="202"/>
      <c r="U25" s="202"/>
      <c r="V25" s="202"/>
      <c r="W25" s="202"/>
      <c r="X25" s="202"/>
      <c r="Y25" s="202"/>
      <c r="Z25" s="202"/>
    </row>
    <row r="26" spans="1:26">
      <c r="A26" s="221" t="s">
        <v>22</v>
      </c>
      <c r="B26" s="220">
        <v>784275</v>
      </c>
      <c r="C26" s="219">
        <v>228955</v>
      </c>
      <c r="D26" s="226">
        <f t="shared" si="0"/>
        <v>0.29193203914443278</v>
      </c>
      <c r="E26" s="225">
        <f t="shared" si="1"/>
        <v>2.1422406499129926E-2</v>
      </c>
      <c r="F26" s="219">
        <v>221868</v>
      </c>
      <c r="G26" s="224">
        <f t="shared" si="2"/>
        <v>3.1942416211441005E-2</v>
      </c>
      <c r="H26" s="223">
        <f t="shared" si="3"/>
        <v>3.1942416211441005E-2</v>
      </c>
      <c r="I26" s="216">
        <f t="shared" si="4"/>
        <v>1.1941337887519264E-2</v>
      </c>
      <c r="J26" s="222">
        <f t="shared" si="5"/>
        <v>1.1264721788521498E-4</v>
      </c>
      <c r="L26" s="221" t="s">
        <v>22</v>
      </c>
      <c r="M26" s="220">
        <f t="shared" si="6"/>
        <v>2414112.2123434227</v>
      </c>
      <c r="N26" s="219">
        <f t="shared" si="7"/>
        <v>807408.71835711761</v>
      </c>
      <c r="O26" s="218">
        <f t="shared" si="8"/>
        <v>5077.7306348706043</v>
      </c>
      <c r="P26" s="217">
        <f t="shared" si="9"/>
        <v>3226598.661335411</v>
      </c>
      <c r="Q26" s="216">
        <f t="shared" si="10"/>
        <v>1.431613405939779E-2</v>
      </c>
      <c r="S26" s="202"/>
      <c r="T26" s="202"/>
      <c r="U26" s="202"/>
      <c r="V26" s="202"/>
      <c r="W26" s="202"/>
      <c r="X26" s="202"/>
      <c r="Y26" s="202"/>
      <c r="Z26" s="202"/>
    </row>
    <row r="27" spans="1:26">
      <c r="A27" s="221" t="s">
        <v>23</v>
      </c>
      <c r="B27" s="220">
        <v>0</v>
      </c>
      <c r="C27" s="219">
        <v>0</v>
      </c>
      <c r="D27" s="226">
        <f t="shared" si="0"/>
        <v>0</v>
      </c>
      <c r="E27" s="225">
        <f t="shared" si="1"/>
        <v>0</v>
      </c>
      <c r="F27" s="219">
        <v>0</v>
      </c>
      <c r="G27" s="224">
        <f t="shared" si="2"/>
        <v>0</v>
      </c>
      <c r="H27" s="223">
        <f t="shared" si="3"/>
        <v>0</v>
      </c>
      <c r="I27" s="216">
        <f t="shared" si="4"/>
        <v>0</v>
      </c>
      <c r="J27" s="222">
        <f t="shared" si="5"/>
        <v>0</v>
      </c>
      <c r="L27" s="221" t="s">
        <v>23</v>
      </c>
      <c r="M27" s="220">
        <f t="shared" si="6"/>
        <v>0</v>
      </c>
      <c r="N27" s="219">
        <f t="shared" si="7"/>
        <v>0</v>
      </c>
      <c r="O27" s="218">
        <f t="shared" si="8"/>
        <v>0</v>
      </c>
      <c r="P27" s="217">
        <f t="shared" si="9"/>
        <v>0</v>
      </c>
      <c r="Q27" s="216">
        <f t="shared" si="10"/>
        <v>0</v>
      </c>
      <c r="S27" s="202"/>
      <c r="T27" s="202"/>
      <c r="U27" s="202"/>
      <c r="V27" s="202"/>
      <c r="W27" s="202"/>
      <c r="X27" s="202"/>
      <c r="Y27" s="202"/>
      <c r="Z27" s="202"/>
    </row>
    <row r="28" spans="1:26">
      <c r="A28" s="221" t="s">
        <v>24</v>
      </c>
      <c r="B28" s="220">
        <v>0</v>
      </c>
      <c r="C28" s="219">
        <v>0</v>
      </c>
      <c r="D28" s="226">
        <f t="shared" si="0"/>
        <v>0</v>
      </c>
      <c r="E28" s="225">
        <f t="shared" si="1"/>
        <v>0</v>
      </c>
      <c r="F28" s="219">
        <v>0</v>
      </c>
      <c r="G28" s="224">
        <f t="shared" si="2"/>
        <v>0</v>
      </c>
      <c r="H28" s="223">
        <f t="shared" si="3"/>
        <v>0</v>
      </c>
      <c r="I28" s="216">
        <f t="shared" si="4"/>
        <v>0</v>
      </c>
      <c r="J28" s="222">
        <f t="shared" si="5"/>
        <v>0</v>
      </c>
      <c r="L28" s="221" t="s">
        <v>24</v>
      </c>
      <c r="M28" s="220">
        <f t="shared" si="6"/>
        <v>0</v>
      </c>
      <c r="N28" s="219">
        <f t="shared" si="7"/>
        <v>0</v>
      </c>
      <c r="O28" s="218">
        <f t="shared" si="8"/>
        <v>0</v>
      </c>
      <c r="P28" s="217">
        <f t="shared" si="9"/>
        <v>0</v>
      </c>
      <c r="Q28" s="216">
        <f t="shared" si="10"/>
        <v>0</v>
      </c>
      <c r="S28" s="202"/>
      <c r="T28" s="202"/>
      <c r="U28" s="202"/>
      <c r="V28" s="202"/>
      <c r="W28" s="202"/>
      <c r="X28" s="202"/>
      <c r="Y28" s="202"/>
      <c r="Z28" s="202"/>
    </row>
    <row r="29" spans="1:26">
      <c r="A29" s="221" t="s">
        <v>25</v>
      </c>
      <c r="B29" s="220">
        <v>531696647</v>
      </c>
      <c r="C29" s="219">
        <v>252087113.56999999</v>
      </c>
      <c r="D29" s="226">
        <f t="shared" si="0"/>
        <v>0.47411830597833354</v>
      </c>
      <c r="E29" s="225">
        <f t="shared" si="1"/>
        <v>3.4791505273327292E-2</v>
      </c>
      <c r="F29" s="219">
        <v>228201604.11000001</v>
      </c>
      <c r="G29" s="224">
        <f t="shared" si="2"/>
        <v>0.10466845556653692</v>
      </c>
      <c r="H29" s="223">
        <f t="shared" si="3"/>
        <v>0.10466845556653692</v>
      </c>
      <c r="I29" s="216">
        <f t="shared" si="4"/>
        <v>3.9129206313363876E-2</v>
      </c>
      <c r="J29" s="222">
        <f t="shared" si="5"/>
        <v>0.12402835495348311</v>
      </c>
      <c r="L29" s="221" t="s">
        <v>25</v>
      </c>
      <c r="M29" s="220">
        <f t="shared" si="6"/>
        <v>3920689.1984596266</v>
      </c>
      <c r="N29" s="219">
        <f t="shared" si="7"/>
        <v>2645705.4157076245</v>
      </c>
      <c r="O29" s="218">
        <f t="shared" si="8"/>
        <v>5590751.2796422634</v>
      </c>
      <c r="P29" s="217">
        <f t="shared" si="9"/>
        <v>12157145.893809514</v>
      </c>
      <c r="Q29" s="216">
        <f t="shared" si="10"/>
        <v>5.3940185521369442E-2</v>
      </c>
      <c r="S29" s="202"/>
      <c r="T29" s="202"/>
      <c r="U29" s="202"/>
      <c r="V29" s="202"/>
      <c r="W29" s="202"/>
      <c r="X29" s="202"/>
      <c r="Y29" s="202"/>
      <c r="Z29" s="202"/>
    </row>
    <row r="30" spans="1:26">
      <c r="A30" s="221" t="s">
        <v>26</v>
      </c>
      <c r="B30" s="220">
        <v>818878</v>
      </c>
      <c r="C30" s="219">
        <v>228664</v>
      </c>
      <c r="D30" s="226">
        <f t="shared" si="0"/>
        <v>0.27924061948177875</v>
      </c>
      <c r="E30" s="225">
        <f t="shared" si="1"/>
        <v>2.0491091279802757E-2</v>
      </c>
      <c r="F30" s="219">
        <v>207054</v>
      </c>
      <c r="G30" s="224">
        <f t="shared" si="2"/>
        <v>0.10436890859389347</v>
      </c>
      <c r="H30" s="223">
        <f t="shared" si="3"/>
        <v>0.10436890859389347</v>
      </c>
      <c r="I30" s="216">
        <f t="shared" si="4"/>
        <v>3.9017223813673146E-2</v>
      </c>
      <c r="J30" s="222">
        <f t="shared" si="5"/>
        <v>1.1250404415935357E-4</v>
      </c>
      <c r="L30" s="221" t="s">
        <v>26</v>
      </c>
      <c r="M30" s="220">
        <f t="shared" si="6"/>
        <v>2309161.3775896183</v>
      </c>
      <c r="N30" s="219">
        <f t="shared" si="7"/>
        <v>2638133.7644064566</v>
      </c>
      <c r="O30" s="218">
        <f t="shared" si="8"/>
        <v>5071.2768792647112</v>
      </c>
      <c r="P30" s="217">
        <f t="shared" si="9"/>
        <v>4952366.4188753394</v>
      </c>
      <c r="Q30" s="216">
        <f t="shared" si="10"/>
        <v>2.1973213592835199E-2</v>
      </c>
      <c r="S30" s="202"/>
      <c r="T30" s="202"/>
      <c r="U30" s="202"/>
      <c r="V30" s="202"/>
      <c r="W30" s="202"/>
      <c r="X30" s="202"/>
      <c r="Y30" s="202"/>
      <c r="Z30" s="202"/>
    </row>
    <row r="31" spans="1:26">
      <c r="A31" s="221" t="s">
        <v>27</v>
      </c>
      <c r="B31" s="220">
        <v>2180533</v>
      </c>
      <c r="C31" s="219">
        <v>558660</v>
      </c>
      <c r="D31" s="226">
        <f t="shared" si="0"/>
        <v>0.25620341448627471</v>
      </c>
      <c r="E31" s="225">
        <f t="shared" si="1"/>
        <v>1.8800586971115658E-2</v>
      </c>
      <c r="F31" s="219">
        <v>642185</v>
      </c>
      <c r="G31" s="224">
        <f t="shared" si="2"/>
        <v>-0.1300637666715978</v>
      </c>
      <c r="H31" s="223">
        <f t="shared" si="3"/>
        <v>0</v>
      </c>
      <c r="I31" s="216">
        <f t="shared" si="4"/>
        <v>0</v>
      </c>
      <c r="J31" s="222">
        <f t="shared" si="5"/>
        <v>2.7486403329804633E-4</v>
      </c>
      <c r="L31" s="221" t="s">
        <v>27</v>
      </c>
      <c r="M31" s="220">
        <f t="shared" si="6"/>
        <v>2118656.7721996284</v>
      </c>
      <c r="N31" s="219">
        <f t="shared" si="7"/>
        <v>0</v>
      </c>
      <c r="O31" s="218">
        <f t="shared" si="8"/>
        <v>12389.88009205657</v>
      </c>
      <c r="P31" s="217">
        <f t="shared" si="9"/>
        <v>2131046.6522916849</v>
      </c>
      <c r="Q31" s="216">
        <f t="shared" si="10"/>
        <v>9.4552662922174398E-3</v>
      </c>
      <c r="S31" s="202"/>
      <c r="T31" s="202"/>
      <c r="U31" s="202"/>
      <c r="V31" s="202"/>
      <c r="W31" s="202"/>
      <c r="X31" s="202"/>
      <c r="Y31" s="202"/>
      <c r="Z31" s="202"/>
    </row>
    <row r="32" spans="1:26">
      <c r="A32" s="221" t="s">
        <v>28</v>
      </c>
      <c r="B32" s="220">
        <v>678268</v>
      </c>
      <c r="C32" s="219">
        <v>282361</v>
      </c>
      <c r="D32" s="226">
        <f t="shared" si="0"/>
        <v>0.41629709790230413</v>
      </c>
      <c r="E32" s="225">
        <f t="shared" si="1"/>
        <v>3.0548499170586215E-2</v>
      </c>
      <c r="F32" s="219">
        <v>360817</v>
      </c>
      <c r="G32" s="224">
        <f t="shared" si="2"/>
        <v>-0.21743986563825979</v>
      </c>
      <c r="H32" s="223">
        <f t="shared" si="3"/>
        <v>0</v>
      </c>
      <c r="I32" s="216">
        <f t="shared" si="4"/>
        <v>0</v>
      </c>
      <c r="J32" s="222">
        <f t="shared" si="5"/>
        <v>1.3892328662526343E-4</v>
      </c>
      <c r="L32" s="221" t="s">
        <v>28</v>
      </c>
      <c r="M32" s="220">
        <f t="shared" si="6"/>
        <v>3442540.6370414253</v>
      </c>
      <c r="N32" s="219">
        <f t="shared" si="7"/>
        <v>0</v>
      </c>
      <c r="O32" s="218">
        <f t="shared" si="8"/>
        <v>6262.1611224594299</v>
      </c>
      <c r="P32" s="217">
        <f t="shared" si="9"/>
        <v>3448802.7981638848</v>
      </c>
      <c r="Q32" s="216">
        <f t="shared" si="10"/>
        <v>1.5302034242618164E-2</v>
      </c>
      <c r="S32" s="202"/>
      <c r="T32" s="202"/>
      <c r="U32" s="202"/>
      <c r="V32" s="202"/>
      <c r="W32" s="202"/>
      <c r="X32" s="202"/>
      <c r="Y32" s="202"/>
      <c r="Z32" s="202"/>
    </row>
    <row r="33" spans="1:26">
      <c r="A33" s="221" t="s">
        <v>29</v>
      </c>
      <c r="B33" s="220">
        <v>1784944</v>
      </c>
      <c r="C33" s="219">
        <v>494360</v>
      </c>
      <c r="D33" s="226">
        <f t="shared" si="0"/>
        <v>0.27696106992712377</v>
      </c>
      <c r="E33" s="225">
        <f t="shared" si="1"/>
        <v>2.0323814548759991E-2</v>
      </c>
      <c r="F33" s="219">
        <v>457885</v>
      </c>
      <c r="G33" s="224">
        <f t="shared" si="2"/>
        <v>7.9659739891020598E-2</v>
      </c>
      <c r="H33" s="223">
        <f t="shared" si="3"/>
        <v>7.9659739891020598E-2</v>
      </c>
      <c r="I33" s="216">
        <f t="shared" si="4"/>
        <v>2.9779959780558536E-2</v>
      </c>
      <c r="J33" s="222">
        <f t="shared" si="5"/>
        <v>2.43228051947915E-4</v>
      </c>
      <c r="L33" s="221" t="s">
        <v>29</v>
      </c>
      <c r="M33" s="220">
        <f t="shared" si="6"/>
        <v>2290310.7970412737</v>
      </c>
      <c r="N33" s="219">
        <f t="shared" si="7"/>
        <v>2013559.9030555852</v>
      </c>
      <c r="O33" s="218">
        <f t="shared" si="8"/>
        <v>10963.84405955158</v>
      </c>
      <c r="P33" s="217">
        <f t="shared" si="9"/>
        <v>4314834.5441564098</v>
      </c>
      <c r="Q33" s="216">
        <f t="shared" si="10"/>
        <v>1.9144540818937142E-2</v>
      </c>
      <c r="S33" s="202"/>
      <c r="T33" s="202"/>
      <c r="U33" s="202"/>
      <c r="V33" s="202"/>
      <c r="W33" s="202"/>
      <c r="X33" s="202"/>
      <c r="Y33" s="202"/>
      <c r="Z33" s="202"/>
    </row>
    <row r="34" spans="1:26">
      <c r="A34" s="221" t="s">
        <v>30</v>
      </c>
      <c r="B34" s="220">
        <v>550784</v>
      </c>
      <c r="C34" s="219">
        <v>111314</v>
      </c>
      <c r="D34" s="226">
        <f t="shared" si="0"/>
        <v>0.20210100511271206</v>
      </c>
      <c r="E34" s="225">
        <f t="shared" si="1"/>
        <v>1.4830471838910586E-2</v>
      </c>
      <c r="F34" s="219">
        <v>71527</v>
      </c>
      <c r="G34" s="224">
        <f t="shared" si="2"/>
        <v>0.55625148545304581</v>
      </c>
      <c r="H34" s="223">
        <f t="shared" si="3"/>
        <v>0.55625148545304581</v>
      </c>
      <c r="I34" s="216">
        <f t="shared" si="4"/>
        <v>0.20794879430098293</v>
      </c>
      <c r="J34" s="222">
        <f t="shared" si="5"/>
        <v>5.4767148180536878E-5</v>
      </c>
      <c r="L34" s="221" t="s">
        <v>30</v>
      </c>
      <c r="M34" s="220">
        <f t="shared" si="6"/>
        <v>1671260.564614129</v>
      </c>
      <c r="N34" s="219">
        <f t="shared" si="7"/>
        <v>14060373.391322283</v>
      </c>
      <c r="O34" s="218">
        <f t="shared" si="8"/>
        <v>2468.7056753073157</v>
      </c>
      <c r="P34" s="217">
        <f t="shared" si="9"/>
        <v>15734102.661611719</v>
      </c>
      <c r="Q34" s="216">
        <f t="shared" si="10"/>
        <v>6.98108276393863E-2</v>
      </c>
      <c r="S34" s="202"/>
      <c r="T34" s="202"/>
      <c r="U34" s="202"/>
      <c r="V34" s="202"/>
      <c r="W34" s="202"/>
      <c r="X34" s="202"/>
      <c r="Y34" s="202"/>
      <c r="Z34" s="202"/>
    </row>
    <row r="35" spans="1:26">
      <c r="A35" s="221" t="s">
        <v>31</v>
      </c>
      <c r="B35" s="220">
        <v>0</v>
      </c>
      <c r="C35" s="219">
        <v>0</v>
      </c>
      <c r="D35" s="226">
        <f t="shared" si="0"/>
        <v>0</v>
      </c>
      <c r="E35" s="225">
        <f t="shared" si="1"/>
        <v>0</v>
      </c>
      <c r="F35" s="219">
        <v>0</v>
      </c>
      <c r="G35" s="224">
        <f t="shared" si="2"/>
        <v>0</v>
      </c>
      <c r="H35" s="223">
        <f t="shared" si="3"/>
        <v>0</v>
      </c>
      <c r="I35" s="216">
        <f t="shared" si="4"/>
        <v>0</v>
      </c>
      <c r="J35" s="222">
        <f t="shared" si="5"/>
        <v>0</v>
      </c>
      <c r="L35" s="221" t="s">
        <v>31</v>
      </c>
      <c r="M35" s="220">
        <f t="shared" si="6"/>
        <v>0</v>
      </c>
      <c r="N35" s="219">
        <f t="shared" si="7"/>
        <v>0</v>
      </c>
      <c r="O35" s="218">
        <f t="shared" si="8"/>
        <v>0</v>
      </c>
      <c r="P35" s="217">
        <f t="shared" si="9"/>
        <v>0</v>
      </c>
      <c r="Q35" s="216">
        <f t="shared" si="10"/>
        <v>0</v>
      </c>
      <c r="S35" s="202"/>
      <c r="T35" s="202"/>
      <c r="U35" s="202"/>
      <c r="V35" s="202"/>
      <c r="W35" s="202"/>
      <c r="X35" s="202"/>
      <c r="Y35" s="202"/>
      <c r="Z35" s="202"/>
    </row>
    <row r="36" spans="1:26">
      <c r="A36" s="221" t="s">
        <v>32</v>
      </c>
      <c r="B36" s="220">
        <v>3683050</v>
      </c>
      <c r="C36" s="219">
        <v>1144646</v>
      </c>
      <c r="D36" s="226">
        <f t="shared" si="0"/>
        <v>0.3107875266423209</v>
      </c>
      <c r="E36" s="225">
        <f t="shared" si="1"/>
        <v>2.2806050168741598E-2</v>
      </c>
      <c r="F36" s="219">
        <v>1230552</v>
      </c>
      <c r="G36" s="224">
        <f t="shared" si="2"/>
        <v>-6.9810946632080539E-2</v>
      </c>
      <c r="H36" s="223">
        <f t="shared" si="3"/>
        <v>0</v>
      </c>
      <c r="I36" s="216">
        <f t="shared" si="4"/>
        <v>0</v>
      </c>
      <c r="J36" s="222">
        <f t="shared" si="5"/>
        <v>5.6317262066100232E-4</v>
      </c>
      <c r="L36" s="221" t="s">
        <v>32</v>
      </c>
      <c r="M36" s="220">
        <f t="shared" si="6"/>
        <v>2570036.3882980184</v>
      </c>
      <c r="N36" s="219">
        <f t="shared" si="7"/>
        <v>0</v>
      </c>
      <c r="O36" s="218">
        <f t="shared" si="8"/>
        <v>25385.792231146286</v>
      </c>
      <c r="P36" s="217">
        <f t="shared" si="9"/>
        <v>2595422.1805291646</v>
      </c>
      <c r="Q36" s="216">
        <f t="shared" si="10"/>
        <v>1.1515659608503002E-2</v>
      </c>
      <c r="S36" s="202"/>
      <c r="T36" s="202"/>
      <c r="U36" s="202"/>
      <c r="V36" s="202"/>
      <c r="W36" s="202"/>
      <c r="X36" s="202"/>
      <c r="Y36" s="202"/>
      <c r="Z36" s="202"/>
    </row>
    <row r="37" spans="1:26">
      <c r="A37" s="221" t="s">
        <v>33</v>
      </c>
      <c r="B37" s="220">
        <v>38008782</v>
      </c>
      <c r="C37" s="219">
        <v>10001944</v>
      </c>
      <c r="D37" s="226">
        <f t="shared" ref="D37:D55" si="11">IFERROR(C37/B37,0)</f>
        <v>0.26314823768885831</v>
      </c>
      <c r="E37" s="225">
        <f t="shared" ref="E37:E55" si="12">IFERROR(D37/$D$56,0)</f>
        <v>1.9310208409537941E-2</v>
      </c>
      <c r="F37" s="219">
        <v>10573187</v>
      </c>
      <c r="G37" s="224">
        <f t="shared" ref="G37:G55" si="13">IFERROR((C37/F37)-1,0)</f>
        <v>-5.4027513180273878E-2</v>
      </c>
      <c r="H37" s="223">
        <f t="shared" ref="H37:H55" si="14">IF(G37&lt;0,0,G37)</f>
        <v>0</v>
      </c>
      <c r="I37" s="216">
        <f t="shared" ref="I37:I55" si="15">IFERROR(H37/$H$56,0)</f>
        <v>0</v>
      </c>
      <c r="J37" s="222">
        <f t="shared" ref="J37:J55" si="16">IFERROR(C37/$C$56,0)</f>
        <v>4.9210157674814646E-3</v>
      </c>
      <c r="L37" s="221" t="s">
        <v>33</v>
      </c>
      <c r="M37" s="220">
        <f t="shared" ref="M37:M55" si="17">IFERROR($M$3*E37,0)</f>
        <v>2176086.516995911</v>
      </c>
      <c r="N37" s="219">
        <f t="shared" ref="N37:N55" si="18">IFERROR($N$3*I37,0)</f>
        <v>0</v>
      </c>
      <c r="O37" s="218">
        <f t="shared" ref="O37:O55" si="19">IFERROR($O$3*J37,0)</f>
        <v>221821.65690664208</v>
      </c>
      <c r="P37" s="217">
        <f t="shared" ref="P37:P55" si="20">IFERROR(SUM(M37:O37),0)</f>
        <v>2397908.173902553</v>
      </c>
      <c r="Q37" s="216">
        <f t="shared" ref="Q37:Q55" si="21">IFERROR(P37/$P$56,0)</f>
        <v>1.0639307358265267E-2</v>
      </c>
      <c r="S37" s="202"/>
      <c r="T37" s="202"/>
      <c r="U37" s="202"/>
      <c r="V37" s="202"/>
      <c r="W37" s="202"/>
      <c r="X37" s="202"/>
      <c r="Y37" s="202"/>
      <c r="Z37" s="202"/>
    </row>
    <row r="38" spans="1:26">
      <c r="A38" s="221" t="s">
        <v>34</v>
      </c>
      <c r="B38" s="220">
        <v>0</v>
      </c>
      <c r="C38" s="219">
        <v>0</v>
      </c>
      <c r="D38" s="226">
        <f t="shared" si="11"/>
        <v>0</v>
      </c>
      <c r="E38" s="225">
        <f t="shared" si="12"/>
        <v>0</v>
      </c>
      <c r="F38" s="219">
        <v>0</v>
      </c>
      <c r="G38" s="224">
        <f t="shared" si="13"/>
        <v>0</v>
      </c>
      <c r="H38" s="223">
        <f t="shared" si="14"/>
        <v>0</v>
      </c>
      <c r="I38" s="216">
        <f t="shared" si="15"/>
        <v>0</v>
      </c>
      <c r="J38" s="222">
        <f t="shared" si="16"/>
        <v>0</v>
      </c>
      <c r="L38" s="221" t="s">
        <v>34</v>
      </c>
      <c r="M38" s="220">
        <f t="shared" si="17"/>
        <v>0</v>
      </c>
      <c r="N38" s="219">
        <f t="shared" si="18"/>
        <v>0</v>
      </c>
      <c r="O38" s="218">
        <f t="shared" si="19"/>
        <v>0</v>
      </c>
      <c r="P38" s="217">
        <f t="shared" si="20"/>
        <v>0</v>
      </c>
      <c r="Q38" s="216">
        <f t="shared" si="21"/>
        <v>0</v>
      </c>
      <c r="S38" s="202"/>
      <c r="T38" s="202"/>
      <c r="U38" s="202"/>
      <c r="V38" s="202"/>
      <c r="W38" s="202"/>
      <c r="X38" s="202"/>
      <c r="Y38" s="202"/>
      <c r="Z38" s="202"/>
    </row>
    <row r="39" spans="1:26">
      <c r="A39" s="221" t="s">
        <v>35</v>
      </c>
      <c r="B39" s="220">
        <v>737314</v>
      </c>
      <c r="C39" s="219">
        <v>296444</v>
      </c>
      <c r="D39" s="226">
        <f t="shared" si="11"/>
        <v>0.40205936683692428</v>
      </c>
      <c r="E39" s="225">
        <f t="shared" si="12"/>
        <v>2.9503713324531968E-2</v>
      </c>
      <c r="F39" s="219">
        <v>262924</v>
      </c>
      <c r="G39" s="224">
        <f t="shared" si="13"/>
        <v>0.12748931250095086</v>
      </c>
      <c r="H39" s="223">
        <f t="shared" si="14"/>
        <v>0.12748931250095086</v>
      </c>
      <c r="I39" s="216">
        <f t="shared" si="15"/>
        <v>4.7660544761047335E-2</v>
      </c>
      <c r="J39" s="222">
        <f t="shared" si="16"/>
        <v>1.4585220614865224E-4</v>
      </c>
      <c r="L39" s="221" t="s">
        <v>35</v>
      </c>
      <c r="M39" s="220">
        <f t="shared" si="17"/>
        <v>3324802.6849422734</v>
      </c>
      <c r="N39" s="219">
        <f t="shared" si="18"/>
        <v>3222548.4048934784</v>
      </c>
      <c r="O39" s="218">
        <f t="shared" si="19"/>
        <v>6574.4918447886339</v>
      </c>
      <c r="P39" s="217">
        <f t="shared" si="20"/>
        <v>6553925.58168054</v>
      </c>
      <c r="Q39" s="216">
        <f t="shared" si="21"/>
        <v>2.907919053180992E-2</v>
      </c>
      <c r="S39" s="202"/>
      <c r="T39" s="202"/>
      <c r="U39" s="202"/>
      <c r="V39" s="202"/>
      <c r="W39" s="202"/>
      <c r="X39" s="202"/>
      <c r="Y39" s="202"/>
      <c r="Z39" s="202"/>
    </row>
    <row r="40" spans="1:26">
      <c r="A40" s="221" t="s">
        <v>36</v>
      </c>
      <c r="B40" s="220">
        <v>752319</v>
      </c>
      <c r="C40" s="219">
        <v>94052</v>
      </c>
      <c r="D40" s="226">
        <f t="shared" si="11"/>
        <v>0.12501611683341773</v>
      </c>
      <c r="E40" s="225">
        <f t="shared" si="12"/>
        <v>9.173868279744337E-3</v>
      </c>
      <c r="F40" s="219">
        <v>85535</v>
      </c>
      <c r="G40" s="224">
        <f t="shared" si="13"/>
        <v>9.9573274098322395E-2</v>
      </c>
      <c r="H40" s="223">
        <f t="shared" si="14"/>
        <v>9.9573274098322395E-2</v>
      </c>
      <c r="I40" s="216">
        <f t="shared" si="15"/>
        <v>3.7224426064198395E-2</v>
      </c>
      <c r="J40" s="222">
        <f t="shared" si="16"/>
        <v>4.6274141803150139E-5</v>
      </c>
      <c r="L40" s="221" t="s">
        <v>36</v>
      </c>
      <c r="M40" s="220">
        <f t="shared" si="17"/>
        <v>1033812.3053290135</v>
      </c>
      <c r="N40" s="219">
        <f t="shared" si="18"/>
        <v>2516914.4716595495</v>
      </c>
      <c r="O40" s="218">
        <f t="shared" si="19"/>
        <v>2085.8715541082315</v>
      </c>
      <c r="P40" s="217">
        <f t="shared" si="20"/>
        <v>3552812.6485426715</v>
      </c>
      <c r="Q40" s="216">
        <f t="shared" si="21"/>
        <v>1.5763516787492323E-2</v>
      </c>
      <c r="S40" s="202"/>
      <c r="T40" s="202"/>
      <c r="U40" s="202"/>
      <c r="V40" s="202"/>
      <c r="W40" s="202"/>
      <c r="X40" s="202"/>
      <c r="Y40" s="202"/>
      <c r="Z40" s="202"/>
    </row>
    <row r="41" spans="1:26">
      <c r="A41" s="221" t="s">
        <v>37</v>
      </c>
      <c r="B41" s="220">
        <v>4368244</v>
      </c>
      <c r="C41" s="219">
        <v>601205</v>
      </c>
      <c r="D41" s="226">
        <f t="shared" si="11"/>
        <v>0.13763081915753791</v>
      </c>
      <c r="E41" s="225">
        <f t="shared" si="12"/>
        <v>1.0099553866858407E-2</v>
      </c>
      <c r="F41" s="219">
        <v>684339</v>
      </c>
      <c r="G41" s="224">
        <f t="shared" si="13"/>
        <v>-0.12148072811866628</v>
      </c>
      <c r="H41" s="223">
        <f t="shared" si="14"/>
        <v>0</v>
      </c>
      <c r="I41" s="216">
        <f t="shared" si="15"/>
        <v>0</v>
      </c>
      <c r="J41" s="222">
        <f t="shared" si="16"/>
        <v>2.9579642562372813E-4</v>
      </c>
      <c r="L41" s="221" t="s">
        <v>37</v>
      </c>
      <c r="M41" s="220">
        <f t="shared" si="17"/>
        <v>1138128.7312512428</v>
      </c>
      <c r="N41" s="219">
        <f t="shared" si="18"/>
        <v>0</v>
      </c>
      <c r="O41" s="218">
        <f t="shared" si="19"/>
        <v>13333.436903921653</v>
      </c>
      <c r="P41" s="217">
        <f t="shared" si="20"/>
        <v>1151462.1681551645</v>
      </c>
      <c r="Q41" s="216">
        <f t="shared" si="21"/>
        <v>5.1089362185539507E-3</v>
      </c>
      <c r="S41" s="202"/>
      <c r="T41" s="202"/>
      <c r="U41" s="202"/>
      <c r="V41" s="202"/>
      <c r="W41" s="202"/>
      <c r="X41" s="202"/>
      <c r="Y41" s="202"/>
      <c r="Z41" s="202"/>
    </row>
    <row r="42" spans="1:26">
      <c r="A42" s="221" t="s">
        <v>38</v>
      </c>
      <c r="B42" s="220">
        <v>54997682</v>
      </c>
      <c r="C42" s="219">
        <v>16720965.199999999</v>
      </c>
      <c r="D42" s="226">
        <f t="shared" si="11"/>
        <v>0.304030362588736</v>
      </c>
      <c r="E42" s="225">
        <f t="shared" si="12"/>
        <v>2.2310199437313018E-2</v>
      </c>
      <c r="F42" s="219">
        <v>16186491</v>
      </c>
      <c r="G42" s="224">
        <f t="shared" si="13"/>
        <v>3.3019769386706477E-2</v>
      </c>
      <c r="H42" s="223">
        <f t="shared" si="14"/>
        <v>3.3019769386706477E-2</v>
      </c>
      <c r="I42" s="216">
        <f t="shared" si="15"/>
        <v>1.234409509301297E-2</v>
      </c>
      <c r="J42" s="222">
        <f t="shared" si="16"/>
        <v>8.2268140470201454E-3</v>
      </c>
      <c r="L42" s="221" t="s">
        <v>38</v>
      </c>
      <c r="M42" s="220">
        <f t="shared" si="17"/>
        <v>2514158.4781159959</v>
      </c>
      <c r="N42" s="219">
        <f t="shared" si="18"/>
        <v>834640.98346508725</v>
      </c>
      <c r="O42" s="218">
        <f t="shared" si="19"/>
        <v>370835.13022491446</v>
      </c>
      <c r="P42" s="217">
        <f t="shared" si="20"/>
        <v>3719634.5918059973</v>
      </c>
      <c r="Q42" s="216">
        <f t="shared" si="21"/>
        <v>1.6503691055964432E-2</v>
      </c>
      <c r="S42" s="202"/>
      <c r="T42" s="202"/>
      <c r="U42" s="202"/>
      <c r="V42" s="202"/>
      <c r="W42" s="202"/>
      <c r="X42" s="202"/>
      <c r="Y42" s="202"/>
      <c r="Z42" s="202"/>
    </row>
    <row r="43" spans="1:26">
      <c r="A43" s="221" t="s">
        <v>39</v>
      </c>
      <c r="B43" s="220">
        <v>0</v>
      </c>
      <c r="C43" s="219">
        <v>0</v>
      </c>
      <c r="D43" s="226">
        <f t="shared" si="11"/>
        <v>0</v>
      </c>
      <c r="E43" s="225">
        <f t="shared" si="12"/>
        <v>0</v>
      </c>
      <c r="F43" s="219">
        <v>0</v>
      </c>
      <c r="G43" s="224">
        <f t="shared" si="13"/>
        <v>0</v>
      </c>
      <c r="H43" s="223">
        <f t="shared" si="14"/>
        <v>0</v>
      </c>
      <c r="I43" s="216">
        <f t="shared" si="15"/>
        <v>0</v>
      </c>
      <c r="J43" s="222">
        <f t="shared" si="16"/>
        <v>0</v>
      </c>
      <c r="L43" s="221" t="s">
        <v>39</v>
      </c>
      <c r="M43" s="220">
        <f t="shared" si="17"/>
        <v>0</v>
      </c>
      <c r="N43" s="219">
        <f t="shared" si="18"/>
        <v>0</v>
      </c>
      <c r="O43" s="218">
        <f t="shared" si="19"/>
        <v>0</v>
      </c>
      <c r="P43" s="217">
        <f t="shared" si="20"/>
        <v>0</v>
      </c>
      <c r="Q43" s="216">
        <f t="shared" si="21"/>
        <v>0</v>
      </c>
      <c r="S43" s="202"/>
      <c r="T43" s="202"/>
      <c r="U43" s="202"/>
      <c r="V43" s="202"/>
      <c r="W43" s="202"/>
      <c r="X43" s="202"/>
      <c r="Y43" s="202"/>
      <c r="Z43" s="202"/>
    </row>
    <row r="44" spans="1:26">
      <c r="A44" s="221" t="s">
        <v>40</v>
      </c>
      <c r="B44" s="220">
        <v>1283549</v>
      </c>
      <c r="C44" s="219">
        <v>476354</v>
      </c>
      <c r="D44" s="226">
        <f t="shared" si="11"/>
        <v>0.371122567194552</v>
      </c>
      <c r="E44" s="225">
        <f t="shared" si="12"/>
        <v>2.7233525031176656E-2</v>
      </c>
      <c r="F44" s="219">
        <v>507232</v>
      </c>
      <c r="G44" s="224">
        <f t="shared" si="13"/>
        <v>-6.0875496814081109E-2</v>
      </c>
      <c r="H44" s="223">
        <f t="shared" si="14"/>
        <v>0</v>
      </c>
      <c r="I44" s="216">
        <f t="shared" si="15"/>
        <v>0</v>
      </c>
      <c r="J44" s="222">
        <f t="shared" si="16"/>
        <v>2.3436899315801665E-4</v>
      </c>
      <c r="L44" s="221" t="s">
        <v>40</v>
      </c>
      <c r="M44" s="220">
        <f t="shared" si="17"/>
        <v>3068972.9170060372</v>
      </c>
      <c r="N44" s="219">
        <f t="shared" si="18"/>
        <v>0</v>
      </c>
      <c r="O44" s="218">
        <f t="shared" si="19"/>
        <v>10564.509614741553</v>
      </c>
      <c r="P44" s="217">
        <f t="shared" si="20"/>
        <v>3079537.4266207786</v>
      </c>
      <c r="Q44" s="216">
        <f t="shared" si="21"/>
        <v>1.3663636314219935E-2</v>
      </c>
      <c r="S44" s="202"/>
      <c r="T44" s="202"/>
      <c r="U44" s="202"/>
      <c r="V44" s="202"/>
      <c r="W44" s="202"/>
      <c r="X44" s="202"/>
      <c r="Y44" s="202"/>
      <c r="Z44" s="202"/>
    </row>
    <row r="45" spans="1:26">
      <c r="A45" s="221" t="s">
        <v>41</v>
      </c>
      <c r="B45" s="220">
        <v>0</v>
      </c>
      <c r="C45" s="219">
        <v>0</v>
      </c>
      <c r="D45" s="226">
        <f t="shared" si="11"/>
        <v>0</v>
      </c>
      <c r="E45" s="225">
        <f t="shared" si="12"/>
        <v>0</v>
      </c>
      <c r="F45" s="219">
        <v>0</v>
      </c>
      <c r="G45" s="224">
        <f t="shared" si="13"/>
        <v>0</v>
      </c>
      <c r="H45" s="223">
        <f t="shared" si="14"/>
        <v>0</v>
      </c>
      <c r="I45" s="216">
        <f t="shared" si="15"/>
        <v>0</v>
      </c>
      <c r="J45" s="222">
        <f t="shared" si="16"/>
        <v>0</v>
      </c>
      <c r="L45" s="221" t="s">
        <v>41</v>
      </c>
      <c r="M45" s="220">
        <f t="shared" si="17"/>
        <v>0</v>
      </c>
      <c r="N45" s="219">
        <f t="shared" si="18"/>
        <v>0</v>
      </c>
      <c r="O45" s="218">
        <f t="shared" si="19"/>
        <v>0</v>
      </c>
      <c r="P45" s="217">
        <f t="shared" si="20"/>
        <v>0</v>
      </c>
      <c r="Q45" s="216">
        <f t="shared" si="21"/>
        <v>0</v>
      </c>
      <c r="S45" s="202"/>
      <c r="T45" s="202"/>
      <c r="U45" s="202"/>
      <c r="V45" s="202"/>
      <c r="W45" s="202"/>
      <c r="X45" s="202"/>
      <c r="Y45" s="202"/>
      <c r="Z45" s="202"/>
    </row>
    <row r="46" spans="1:26">
      <c r="A46" s="221" t="s">
        <v>42</v>
      </c>
      <c r="B46" s="220">
        <v>5999815</v>
      </c>
      <c r="C46" s="219">
        <v>704593</v>
      </c>
      <c r="D46" s="226">
        <f t="shared" si="11"/>
        <v>0.11743578760345111</v>
      </c>
      <c r="E46" s="225">
        <f t="shared" si="12"/>
        <v>8.6176124654202373E-3</v>
      </c>
      <c r="F46" s="219">
        <v>745242</v>
      </c>
      <c r="G46" s="224">
        <f t="shared" si="13"/>
        <v>-5.4544698232252053E-2</v>
      </c>
      <c r="H46" s="223">
        <f t="shared" si="14"/>
        <v>0</v>
      </c>
      <c r="I46" s="216">
        <f t="shared" si="15"/>
        <v>0</v>
      </c>
      <c r="J46" s="222">
        <f t="shared" si="16"/>
        <v>3.4666393479678223E-4</v>
      </c>
      <c r="L46" s="221" t="s">
        <v>42</v>
      </c>
      <c r="M46" s="220">
        <f t="shared" si="17"/>
        <v>971127.28650998475</v>
      </c>
      <c r="N46" s="219">
        <f t="shared" si="18"/>
        <v>0</v>
      </c>
      <c r="O46" s="218">
        <f t="shared" si="19"/>
        <v>15626.360905922054</v>
      </c>
      <c r="P46" s="217">
        <f t="shared" si="20"/>
        <v>986753.64741590677</v>
      </c>
      <c r="Q46" s="216">
        <f t="shared" si="21"/>
        <v>4.3781390196694758E-3</v>
      </c>
      <c r="S46" s="202"/>
      <c r="T46" s="202"/>
      <c r="U46" s="202"/>
      <c r="V46" s="202"/>
      <c r="W46" s="202"/>
      <c r="X46" s="202"/>
      <c r="Y46" s="202"/>
      <c r="Z46" s="202"/>
    </row>
    <row r="47" spans="1:26">
      <c r="A47" s="221" t="s">
        <v>43</v>
      </c>
      <c r="B47" s="220">
        <v>1019262</v>
      </c>
      <c r="C47" s="219">
        <v>625255</v>
      </c>
      <c r="D47" s="226">
        <f t="shared" si="11"/>
        <v>0.61343893915401537</v>
      </c>
      <c r="E47" s="225">
        <f t="shared" si="12"/>
        <v>4.5015060201907799E-2</v>
      </c>
      <c r="F47" s="219">
        <v>536095</v>
      </c>
      <c r="G47" s="224">
        <f t="shared" si="13"/>
        <v>0.16631380632164072</v>
      </c>
      <c r="H47" s="223">
        <f t="shared" si="14"/>
        <v>0.16631380632164072</v>
      </c>
      <c r="I47" s="216">
        <f t="shared" si="15"/>
        <v>6.2174675312596066E-2</v>
      </c>
      <c r="J47" s="222">
        <f t="shared" si="16"/>
        <v>3.076291682593527E-4</v>
      </c>
      <c r="L47" s="221" t="s">
        <v>43</v>
      </c>
      <c r="M47" s="220">
        <f t="shared" si="17"/>
        <v>5072791.7322086897</v>
      </c>
      <c r="N47" s="219">
        <f t="shared" si="18"/>
        <v>4203915.4558117865</v>
      </c>
      <c r="O47" s="218">
        <f t="shared" si="19"/>
        <v>13866.814300216287</v>
      </c>
      <c r="P47" s="217">
        <f t="shared" si="20"/>
        <v>9290574.0023206919</v>
      </c>
      <c r="Q47" s="216">
        <f t="shared" si="21"/>
        <v>4.1221458528384596E-2</v>
      </c>
      <c r="S47" s="202"/>
      <c r="T47" s="202"/>
      <c r="U47" s="202"/>
      <c r="V47" s="202"/>
      <c r="W47" s="202"/>
      <c r="X47" s="202"/>
      <c r="Y47" s="202"/>
      <c r="Z47" s="202"/>
    </row>
    <row r="48" spans="1:26">
      <c r="A48" s="221" t="s">
        <v>44</v>
      </c>
      <c r="B48" s="220">
        <v>18416508</v>
      </c>
      <c r="C48" s="219">
        <v>6249012</v>
      </c>
      <c r="D48" s="226">
        <f t="shared" si="11"/>
        <v>0.33931579211433566</v>
      </c>
      <c r="E48" s="225">
        <f t="shared" si="12"/>
        <v>2.4899496648434875E-2</v>
      </c>
      <c r="F48" s="219">
        <v>6777223</v>
      </c>
      <c r="G48" s="224">
        <f t="shared" si="13"/>
        <v>-7.793915000288465E-2</v>
      </c>
      <c r="H48" s="223">
        <f t="shared" si="14"/>
        <v>0</v>
      </c>
      <c r="I48" s="216">
        <f t="shared" si="15"/>
        <v>0</v>
      </c>
      <c r="J48" s="222">
        <f t="shared" si="16"/>
        <v>3.0745509656103735E-3</v>
      </c>
      <c r="L48" s="221" t="s">
        <v>44</v>
      </c>
      <c r="M48" s="220">
        <f t="shared" si="17"/>
        <v>2805948.9461481436</v>
      </c>
      <c r="N48" s="219">
        <f t="shared" si="18"/>
        <v>0</v>
      </c>
      <c r="O48" s="218">
        <f t="shared" si="19"/>
        <v>138589.67775359363</v>
      </c>
      <c r="P48" s="217">
        <f t="shared" si="20"/>
        <v>2944538.6239017374</v>
      </c>
      <c r="Q48" s="216">
        <f t="shared" si="21"/>
        <v>1.3064658517339517E-2</v>
      </c>
      <c r="S48" s="202"/>
      <c r="T48" s="202"/>
      <c r="U48" s="202"/>
      <c r="V48" s="202"/>
      <c r="W48" s="202"/>
      <c r="X48" s="202"/>
      <c r="Y48" s="202"/>
      <c r="Z48" s="202"/>
    </row>
    <row r="49" spans="1:26">
      <c r="A49" s="221" t="s">
        <v>45</v>
      </c>
      <c r="B49" s="220">
        <v>345400602</v>
      </c>
      <c r="C49" s="219">
        <v>19718538</v>
      </c>
      <c r="D49" s="226">
        <f t="shared" si="11"/>
        <v>5.7088892971877331E-2</v>
      </c>
      <c r="E49" s="225">
        <f t="shared" si="12"/>
        <v>4.1892677330418338E-3</v>
      </c>
      <c r="F49" s="219">
        <v>21565896.16</v>
      </c>
      <c r="G49" s="224">
        <f t="shared" si="13"/>
        <v>-8.566108944855455E-2</v>
      </c>
      <c r="H49" s="223">
        <f t="shared" si="14"/>
        <v>0</v>
      </c>
      <c r="I49" s="216">
        <f t="shared" si="15"/>
        <v>0</v>
      </c>
      <c r="J49" s="222">
        <f t="shared" si="16"/>
        <v>9.7016376426105194E-3</v>
      </c>
      <c r="L49" s="221" t="s">
        <v>45</v>
      </c>
      <c r="M49" s="220">
        <f t="shared" si="17"/>
        <v>472092.73129623849</v>
      </c>
      <c r="N49" s="219">
        <f t="shared" si="18"/>
        <v>0</v>
      </c>
      <c r="O49" s="218">
        <f t="shared" si="19"/>
        <v>437314.86308427487</v>
      </c>
      <c r="P49" s="217">
        <f t="shared" si="20"/>
        <v>909407.5943805133</v>
      </c>
      <c r="Q49" s="216">
        <f t="shared" si="21"/>
        <v>4.0349613950430218E-3</v>
      </c>
      <c r="S49" s="202"/>
      <c r="T49" s="202"/>
      <c r="U49" s="202"/>
      <c r="V49" s="202"/>
      <c r="W49" s="202"/>
      <c r="X49" s="202"/>
      <c r="Y49" s="202"/>
      <c r="Z49" s="202"/>
    </row>
    <row r="50" spans="1:26">
      <c r="A50" s="221" t="s">
        <v>46</v>
      </c>
      <c r="B50" s="220">
        <v>628178081</v>
      </c>
      <c r="C50" s="219">
        <v>290272983.67000002</v>
      </c>
      <c r="D50" s="226">
        <f t="shared" si="11"/>
        <v>0.46208709353231958</v>
      </c>
      <c r="E50" s="225">
        <f t="shared" si="12"/>
        <v>3.3908637039846465E-2</v>
      </c>
      <c r="F50" s="219">
        <v>273934217.07000005</v>
      </c>
      <c r="G50" s="224">
        <f t="shared" si="13"/>
        <v>5.9644854793093671E-2</v>
      </c>
      <c r="H50" s="223">
        <f t="shared" si="14"/>
        <v>5.9644854793093671E-2</v>
      </c>
      <c r="I50" s="216">
        <f t="shared" si="15"/>
        <v>2.229760452752624E-2</v>
      </c>
      <c r="J50" s="222">
        <f t="shared" si="16"/>
        <v>0.14281602951525821</v>
      </c>
      <c r="L50" s="221" t="s">
        <v>46</v>
      </c>
      <c r="M50" s="220">
        <f t="shared" si="17"/>
        <v>3821197.9025390358</v>
      </c>
      <c r="N50" s="219">
        <f t="shared" si="18"/>
        <v>1507643.4871523336</v>
      </c>
      <c r="O50" s="218">
        <f t="shared" si="19"/>
        <v>6437631.943641562</v>
      </c>
      <c r="P50" s="217">
        <f t="shared" si="20"/>
        <v>11766473.333332932</v>
      </c>
      <c r="Q50" s="216">
        <f t="shared" si="21"/>
        <v>5.2206805781232761E-2</v>
      </c>
      <c r="S50" s="202"/>
      <c r="T50" s="202"/>
      <c r="U50" s="202"/>
      <c r="V50" s="202"/>
      <c r="W50" s="202"/>
      <c r="X50" s="202"/>
      <c r="Y50" s="202"/>
      <c r="Z50" s="202"/>
    </row>
    <row r="51" spans="1:26">
      <c r="A51" s="221" t="s">
        <v>47</v>
      </c>
      <c r="B51" s="220">
        <v>1066601268</v>
      </c>
      <c r="C51" s="219">
        <v>691961660.51999998</v>
      </c>
      <c r="D51" s="226">
        <f t="shared" si="11"/>
        <v>0.64875383264592179</v>
      </c>
      <c r="E51" s="225">
        <f t="shared" si="12"/>
        <v>4.7606519522625956E-2</v>
      </c>
      <c r="F51" s="219">
        <v>648216317.71000004</v>
      </c>
      <c r="G51" s="224">
        <f t="shared" si="13"/>
        <v>6.7485716750455005E-2</v>
      </c>
      <c r="H51" s="223">
        <f t="shared" si="14"/>
        <v>6.7485716750455005E-2</v>
      </c>
      <c r="I51" s="216">
        <f t="shared" si="15"/>
        <v>2.5228828682344911E-2</v>
      </c>
      <c r="J51" s="222">
        <f t="shared" si="16"/>
        <v>0.34044924085873468</v>
      </c>
      <c r="L51" s="221" t="s">
        <v>47</v>
      </c>
      <c r="M51" s="220">
        <f t="shared" si="17"/>
        <v>5364825.8505133251</v>
      </c>
      <c r="N51" s="219">
        <f t="shared" si="18"/>
        <v>1705837.0195984063</v>
      </c>
      <c r="O51" s="218">
        <f t="shared" si="19"/>
        <v>15346224.899121387</v>
      </c>
      <c r="P51" s="217">
        <f t="shared" si="20"/>
        <v>22416887.769233119</v>
      </c>
      <c r="Q51" s="216">
        <f t="shared" si="21"/>
        <v>9.9461756537763416E-2</v>
      </c>
      <c r="S51" s="202"/>
      <c r="T51" s="202"/>
      <c r="U51" s="202"/>
      <c r="V51" s="202"/>
      <c r="W51" s="202"/>
      <c r="X51" s="202"/>
      <c r="Y51" s="202"/>
      <c r="Z51" s="202"/>
    </row>
    <row r="52" spans="1:26">
      <c r="A52" s="221" t="s">
        <v>48</v>
      </c>
      <c r="B52" s="220">
        <v>260271541</v>
      </c>
      <c r="C52" s="219">
        <v>108456329.03999999</v>
      </c>
      <c r="D52" s="226">
        <f t="shared" si="11"/>
        <v>0.41670452567843363</v>
      </c>
      <c r="E52" s="225">
        <f t="shared" si="12"/>
        <v>3.057839682575576E-2</v>
      </c>
      <c r="F52" s="219">
        <v>121128581.79000001</v>
      </c>
      <c r="G52" s="224">
        <f t="shared" si="13"/>
        <v>-0.1046181880670396</v>
      </c>
      <c r="H52" s="223">
        <f t="shared" si="14"/>
        <v>0</v>
      </c>
      <c r="I52" s="216">
        <f t="shared" si="15"/>
        <v>0</v>
      </c>
      <c r="J52" s="222">
        <f t="shared" si="16"/>
        <v>5.3361157119955663E-2</v>
      </c>
      <c r="L52" s="221" t="s">
        <v>48</v>
      </c>
      <c r="M52" s="220">
        <f t="shared" si="17"/>
        <v>3445909.8334231745</v>
      </c>
      <c r="N52" s="219">
        <f t="shared" si="18"/>
        <v>0</v>
      </c>
      <c r="O52" s="218">
        <f t="shared" si="19"/>
        <v>2405328.6650739857</v>
      </c>
      <c r="P52" s="217">
        <f t="shared" si="20"/>
        <v>5851238.4984971602</v>
      </c>
      <c r="Q52" s="216">
        <f t="shared" si="21"/>
        <v>2.596142983686902E-2</v>
      </c>
      <c r="S52" s="202"/>
      <c r="T52" s="202"/>
      <c r="U52" s="202"/>
      <c r="V52" s="202"/>
      <c r="W52" s="202"/>
      <c r="X52" s="202"/>
      <c r="Y52" s="202"/>
      <c r="Z52" s="202"/>
    </row>
    <row r="53" spans="1:26">
      <c r="A53" s="221" t="s">
        <v>49</v>
      </c>
      <c r="B53" s="220">
        <v>164659580</v>
      </c>
      <c r="C53" s="219">
        <v>65213950.950000003</v>
      </c>
      <c r="D53" s="226">
        <f t="shared" si="11"/>
        <v>0.39605318409047324</v>
      </c>
      <c r="E53" s="225">
        <f t="shared" si="12"/>
        <v>2.90629707164934E-2</v>
      </c>
      <c r="F53" s="219">
        <v>61393149</v>
      </c>
      <c r="G53" s="224">
        <f t="shared" si="13"/>
        <v>6.2234988956178183E-2</v>
      </c>
      <c r="H53" s="223">
        <f t="shared" si="14"/>
        <v>6.2234988956178183E-2</v>
      </c>
      <c r="I53" s="216">
        <f t="shared" si="15"/>
        <v>2.3265899067634349E-2</v>
      </c>
      <c r="J53" s="222">
        <f t="shared" si="16"/>
        <v>3.2085650637987261E-2</v>
      </c>
      <c r="L53" s="221" t="s">
        <v>49</v>
      </c>
      <c r="M53" s="220">
        <f t="shared" si="17"/>
        <v>3275134.9637826919</v>
      </c>
      <c r="N53" s="219">
        <f t="shared" si="18"/>
        <v>1573114.3297819528</v>
      </c>
      <c r="O53" s="218">
        <f t="shared" si="19"/>
        <v>1446305.5035258632</v>
      </c>
      <c r="P53" s="217">
        <f t="shared" si="20"/>
        <v>6294554.797090508</v>
      </c>
      <c r="Q53" s="216">
        <f t="shared" si="21"/>
        <v>2.7928385206134467E-2</v>
      </c>
      <c r="S53" s="202"/>
      <c r="T53" s="202"/>
      <c r="U53" s="202"/>
      <c r="V53" s="202"/>
      <c r="W53" s="202"/>
      <c r="X53" s="202"/>
      <c r="Y53" s="202"/>
      <c r="Z53" s="202"/>
    </row>
    <row r="54" spans="1:26">
      <c r="A54" s="221" t="s">
        <v>50</v>
      </c>
      <c r="B54" s="220">
        <v>0</v>
      </c>
      <c r="C54" s="219">
        <v>0</v>
      </c>
      <c r="D54" s="226">
        <f t="shared" si="11"/>
        <v>0</v>
      </c>
      <c r="E54" s="225">
        <f t="shared" si="12"/>
        <v>0</v>
      </c>
      <c r="F54" s="219">
        <v>0</v>
      </c>
      <c r="G54" s="224">
        <f t="shared" si="13"/>
        <v>0</v>
      </c>
      <c r="H54" s="223">
        <f t="shared" si="14"/>
        <v>0</v>
      </c>
      <c r="I54" s="216">
        <f t="shared" si="15"/>
        <v>0</v>
      </c>
      <c r="J54" s="222">
        <f t="shared" si="16"/>
        <v>0</v>
      </c>
      <c r="L54" s="221" t="s">
        <v>50</v>
      </c>
      <c r="M54" s="220">
        <f t="shared" si="17"/>
        <v>0</v>
      </c>
      <c r="N54" s="219">
        <f t="shared" si="18"/>
        <v>0</v>
      </c>
      <c r="O54" s="218">
        <f t="shared" si="19"/>
        <v>0</v>
      </c>
      <c r="P54" s="217">
        <f t="shared" si="20"/>
        <v>0</v>
      </c>
      <c r="Q54" s="216">
        <f t="shared" si="21"/>
        <v>0</v>
      </c>
      <c r="S54" s="202"/>
      <c r="T54" s="202"/>
      <c r="U54" s="202"/>
      <c r="V54" s="202"/>
      <c r="W54" s="202"/>
      <c r="X54" s="202"/>
      <c r="Y54" s="202"/>
      <c r="Z54" s="202"/>
    </row>
    <row r="55" spans="1:26">
      <c r="A55" s="221" t="s">
        <v>51</v>
      </c>
      <c r="B55" s="220">
        <v>2885796</v>
      </c>
      <c r="C55" s="219">
        <v>442199</v>
      </c>
      <c r="D55" s="226">
        <f t="shared" si="11"/>
        <v>0.15323293815640468</v>
      </c>
      <c r="E55" s="225">
        <f t="shared" si="12"/>
        <v>1.124446052534326E-2</v>
      </c>
      <c r="F55" s="219">
        <v>482832</v>
      </c>
      <c r="G55" s="224">
        <f t="shared" si="13"/>
        <v>-8.4155565496901619E-2</v>
      </c>
      <c r="H55" s="223">
        <f t="shared" si="14"/>
        <v>0</v>
      </c>
      <c r="I55" s="216">
        <f t="shared" si="15"/>
        <v>0</v>
      </c>
      <c r="J55" s="222">
        <f t="shared" si="16"/>
        <v>2.1756453059170659E-4</v>
      </c>
      <c r="L55" s="221" t="s">
        <v>51</v>
      </c>
      <c r="M55" s="220">
        <f t="shared" si="17"/>
        <v>1267149.396896526</v>
      </c>
      <c r="N55" s="219">
        <f t="shared" si="18"/>
        <v>0</v>
      </c>
      <c r="O55" s="218">
        <f t="shared" si="19"/>
        <v>9807.0250005859089</v>
      </c>
      <c r="P55" s="217">
        <f t="shared" si="20"/>
        <v>1276956.4218971119</v>
      </c>
      <c r="Q55" s="216">
        <f t="shared" si="21"/>
        <v>5.6657431687899733E-3</v>
      </c>
      <c r="S55" s="202"/>
      <c r="T55" s="202"/>
      <c r="U55" s="202"/>
      <c r="V55" s="202"/>
      <c r="W55" s="202"/>
      <c r="X55" s="202"/>
      <c r="Y55" s="202"/>
      <c r="Z55" s="202"/>
    </row>
    <row r="56" spans="1:26" ht="13.5" thickBot="1">
      <c r="A56" s="208" t="s">
        <v>52</v>
      </c>
      <c r="B56" s="215">
        <f>SUM(B5:B55)</f>
        <v>4821287971</v>
      </c>
      <c r="C56" s="214">
        <f>SUM(C5:C55)</f>
        <v>2032495824.5599999</v>
      </c>
      <c r="D56" s="213">
        <f>SUM(D5:D55)</f>
        <v>13.627415722705553</v>
      </c>
      <c r="E56" s="212">
        <f>SUM(E5:E55)</f>
        <v>0.99999999999999989</v>
      </c>
      <c r="F56" s="206">
        <f>SUM(F5:F55)</f>
        <v>1917676962.6199999</v>
      </c>
      <c r="G56" s="211"/>
      <c r="H56" s="210">
        <f>SUM(H5:H55)</f>
        <v>2.6749445089252752</v>
      </c>
      <c r="I56" s="203">
        <f>SUM(I5:I55)</f>
        <v>0.99999999999999989</v>
      </c>
      <c r="J56" s="209">
        <f>SUM(J5:J55)</f>
        <v>1</v>
      </c>
      <c r="L56" s="208" t="s">
        <v>52</v>
      </c>
      <c r="M56" s="207">
        <f>SUM(M5:M55)</f>
        <v>112690990.73633353</v>
      </c>
      <c r="N56" s="206">
        <f>SUM(N5:N55)</f>
        <v>67614594.441800147</v>
      </c>
      <c r="O56" s="205">
        <f>SUM(O5:O55)</f>
        <v>45076396.294533432</v>
      </c>
      <c r="P56" s="204">
        <f>SUM(P5:P55)</f>
        <v>225381981.4726671</v>
      </c>
      <c r="Q56" s="203">
        <f>SUM(Q5:Q55)</f>
        <v>1</v>
      </c>
      <c r="S56" s="202"/>
      <c r="T56" s="202"/>
      <c r="U56" s="202"/>
      <c r="V56" s="202"/>
      <c r="W56" s="202"/>
      <c r="X56" s="202"/>
      <c r="Y56" s="202"/>
      <c r="Z56" s="202"/>
    </row>
    <row r="57" spans="1:26" ht="13.5" thickTop="1"/>
    <row r="59" spans="1:26">
      <c r="L59" s="358" t="s">
        <v>190</v>
      </c>
      <c r="M59" s="358"/>
      <c r="N59" s="358"/>
      <c r="O59" s="358"/>
      <c r="P59" s="358"/>
      <c r="Q59" s="358"/>
    </row>
    <row r="60" spans="1:26">
      <c r="L60" s="358"/>
      <c r="M60" s="358"/>
      <c r="N60" s="358"/>
      <c r="O60" s="358"/>
      <c r="P60" s="358"/>
      <c r="Q60" s="358"/>
    </row>
    <row r="61" spans="1:26">
      <c r="L61" s="358"/>
      <c r="M61" s="358"/>
      <c r="N61" s="358"/>
      <c r="O61" s="358"/>
      <c r="P61" s="358"/>
      <c r="Q61" s="358"/>
    </row>
    <row r="62" spans="1:26">
      <c r="L62" s="358"/>
      <c r="M62" s="358"/>
      <c r="N62" s="358"/>
      <c r="O62" s="358"/>
      <c r="P62" s="358"/>
      <c r="Q62" s="358"/>
    </row>
    <row r="63" spans="1:26">
      <c r="L63" s="358"/>
      <c r="M63" s="358"/>
      <c r="N63" s="358"/>
      <c r="O63" s="358"/>
      <c r="P63" s="358"/>
      <c r="Q63" s="358"/>
    </row>
  </sheetData>
  <mergeCells count="4">
    <mergeCell ref="B1:E1"/>
    <mergeCell ref="F1:I1"/>
    <mergeCell ref="L1:Q1"/>
    <mergeCell ref="L59:Q6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scale="7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zoomScaleNormal="100" zoomScaleSheetLayoutView="100" workbookViewId="0">
      <pane ySplit="4" topLeftCell="A50" activePane="bottomLeft" state="frozen"/>
      <selection pane="bottomLeft" activeCell="B72" sqref="B72"/>
    </sheetView>
  </sheetViews>
  <sheetFormatPr baseColWidth="10" defaultColWidth="11.42578125" defaultRowHeight="12.75"/>
  <cols>
    <col min="1" max="1" width="32.7109375" style="167" customWidth="1"/>
    <col min="2" max="2" width="21.5703125" style="167" customWidth="1"/>
    <col min="3" max="3" width="21" style="167" customWidth="1"/>
    <col min="4" max="4" width="21.42578125" style="167" customWidth="1"/>
    <col min="5" max="16384" width="11.42578125" style="167"/>
  </cols>
  <sheetData>
    <row r="1" spans="1:5">
      <c r="A1" s="318" t="s">
        <v>147</v>
      </c>
      <c r="B1" s="318"/>
      <c r="C1" s="318"/>
      <c r="D1" s="318"/>
    </row>
    <row r="2" spans="1:5">
      <c r="A2" s="318" t="s">
        <v>259</v>
      </c>
      <c r="B2" s="318"/>
      <c r="C2" s="318"/>
      <c r="D2" s="318"/>
    </row>
    <row r="3" spans="1:5" ht="13.5" customHeight="1" thickBot="1">
      <c r="A3" s="317" t="s">
        <v>261</v>
      </c>
      <c r="B3" s="317"/>
      <c r="C3" s="317"/>
      <c r="D3" s="317"/>
    </row>
    <row r="4" spans="1:5" ht="48.75" customHeight="1" thickTop="1" thickBot="1">
      <c r="A4" s="306" t="s">
        <v>278</v>
      </c>
      <c r="B4" s="307" t="s">
        <v>266</v>
      </c>
      <c r="C4" s="307" t="s">
        <v>267</v>
      </c>
      <c r="D4" s="310" t="s">
        <v>268</v>
      </c>
      <c r="E4" s="311"/>
    </row>
    <row r="5" spans="1:5" ht="13.5" thickTop="1">
      <c r="A5" s="170" t="s">
        <v>1</v>
      </c>
      <c r="B5" s="308">
        <f>+'COEF PROVISIONAL 2019 ANUAL'!U7</f>
        <v>13110020.38546302</v>
      </c>
      <c r="C5" s="308">
        <f>+'COEF DEFINITIVO 2019 ANUAL'!U7</f>
        <v>13079602.880000001</v>
      </c>
      <c r="D5" s="309">
        <f>+C5-B5</f>
        <v>-30417.505463019013</v>
      </c>
    </row>
    <row r="6" spans="1:5">
      <c r="A6" s="170" t="s">
        <v>2</v>
      </c>
      <c r="B6" s="288">
        <f>+'COEF PROVISIONAL 2019 ANUAL'!U8</f>
        <v>22740277.003306035</v>
      </c>
      <c r="C6" s="288">
        <f>+'COEF DEFINITIVO 2019 ANUAL'!U8</f>
        <v>22680026.609999999</v>
      </c>
      <c r="D6" s="289">
        <f t="shared" ref="D6:D55" si="0">+C6-B6</f>
        <v>-60250.393306035548</v>
      </c>
    </row>
    <row r="7" spans="1:5">
      <c r="A7" s="170" t="s">
        <v>3</v>
      </c>
      <c r="B7" s="288">
        <f>+'COEF PROVISIONAL 2019 ANUAL'!U9</f>
        <v>20356157.971758019</v>
      </c>
      <c r="C7" s="288">
        <f>+'COEF DEFINITIVO 2019 ANUAL'!U9</f>
        <v>20367072.190000001</v>
      </c>
      <c r="D7" s="289">
        <f t="shared" si="0"/>
        <v>10914.218241982162</v>
      </c>
    </row>
    <row r="8" spans="1:5">
      <c r="A8" s="170" t="s">
        <v>4</v>
      </c>
      <c r="B8" s="288">
        <f>+'COEF PROVISIONAL 2019 ANUAL'!U10</f>
        <v>63055469.177978344</v>
      </c>
      <c r="C8" s="288">
        <f>+'COEF DEFINITIVO 2019 ANUAL'!U10</f>
        <v>63075019.68</v>
      </c>
      <c r="D8" s="289">
        <f t="shared" si="0"/>
        <v>19550.50202165544</v>
      </c>
    </row>
    <row r="9" spans="1:5">
      <c r="A9" s="170" t="s">
        <v>5</v>
      </c>
      <c r="B9" s="288">
        <f>+'COEF PROVISIONAL 2019 ANUAL'!U11</f>
        <v>73612857.176675647</v>
      </c>
      <c r="C9" s="288">
        <f>+'COEF DEFINITIVO 2019 ANUAL'!U11</f>
        <v>73393903.040000021</v>
      </c>
      <c r="D9" s="289">
        <f t="shared" si="0"/>
        <v>-218954.13667562604</v>
      </c>
    </row>
    <row r="10" spans="1:5">
      <c r="A10" s="170" t="s">
        <v>6</v>
      </c>
      <c r="B10" s="288">
        <f>+'COEF PROVISIONAL 2019 ANUAL'!U12</f>
        <v>513595672.89976108</v>
      </c>
      <c r="C10" s="288">
        <f>+'COEF DEFINITIVO 2019 ANUAL'!U12</f>
        <v>513726611.48000002</v>
      </c>
      <c r="D10" s="289">
        <f t="shared" si="0"/>
        <v>130938.58023893833</v>
      </c>
    </row>
    <row r="11" spans="1:5">
      <c r="A11" s="170" t="s">
        <v>7</v>
      </c>
      <c r="B11" s="288">
        <f>+'COEF PROVISIONAL 2019 ANUAL'!U13</f>
        <v>81563693.385420486</v>
      </c>
      <c r="C11" s="288">
        <f>+'COEF DEFINITIVO 2019 ANUAL'!U13</f>
        <v>81531075.870000005</v>
      </c>
      <c r="D11" s="289">
        <f t="shared" si="0"/>
        <v>-32617.515420481563</v>
      </c>
    </row>
    <row r="12" spans="1:5">
      <c r="A12" s="170" t="s">
        <v>8</v>
      </c>
      <c r="B12" s="288">
        <f>+'COEF PROVISIONAL 2019 ANUAL'!U14</f>
        <v>15821447.959394656</v>
      </c>
      <c r="C12" s="288">
        <f>+'COEF DEFINITIVO 2019 ANUAL'!U14</f>
        <v>15781706.59</v>
      </c>
      <c r="D12" s="289">
        <f t="shared" si="0"/>
        <v>-39741.369394656271</v>
      </c>
    </row>
    <row r="13" spans="1:5">
      <c r="A13" s="170" t="s">
        <v>9</v>
      </c>
      <c r="B13" s="288">
        <f>+'COEF PROVISIONAL 2019 ANUAL'!U15</f>
        <v>135533350.80065346</v>
      </c>
      <c r="C13" s="288">
        <f>+'COEF DEFINITIVO 2019 ANUAL'!U15</f>
        <v>135138313.78999999</v>
      </c>
      <c r="D13" s="289">
        <f t="shared" si="0"/>
        <v>-395037.01065346599</v>
      </c>
    </row>
    <row r="14" spans="1:5">
      <c r="A14" s="170" t="s">
        <v>10</v>
      </c>
      <c r="B14" s="288">
        <f>+'COEF PROVISIONAL 2019 ANUAL'!U16</f>
        <v>24967375.404949088</v>
      </c>
      <c r="C14" s="288">
        <f>+'COEF DEFINITIVO 2019 ANUAL'!U16</f>
        <v>25040050.460000001</v>
      </c>
      <c r="D14" s="289">
        <f t="shared" si="0"/>
        <v>72675.055050913244</v>
      </c>
    </row>
    <row r="15" spans="1:5">
      <c r="A15" s="170" t="s">
        <v>11</v>
      </c>
      <c r="B15" s="288">
        <f>+'COEF PROVISIONAL 2019 ANUAL'!U17</f>
        <v>41921269.040370733</v>
      </c>
      <c r="C15" s="288">
        <f>+'COEF DEFINITIVO 2019 ANUAL'!U17</f>
        <v>42020751.230000012</v>
      </c>
      <c r="D15" s="289">
        <f t="shared" si="0"/>
        <v>99482.189629279077</v>
      </c>
    </row>
    <row r="16" spans="1:5">
      <c r="A16" s="170" t="s">
        <v>12</v>
      </c>
      <c r="B16" s="288">
        <f>+'COEF PROVISIONAL 2019 ANUAL'!U18</f>
        <v>68237467.955706418</v>
      </c>
      <c r="C16" s="288">
        <f>+'COEF DEFINITIVO 2019 ANUAL'!U18</f>
        <v>68036916.439999998</v>
      </c>
      <c r="D16" s="289">
        <f t="shared" si="0"/>
        <v>-200551.51570641994</v>
      </c>
    </row>
    <row r="17" spans="1:4">
      <c r="A17" s="170" t="s">
        <v>13</v>
      </c>
      <c r="B17" s="288">
        <f>+'COEF PROVISIONAL 2019 ANUAL'!U19</f>
        <v>37754259.398043461</v>
      </c>
      <c r="C17" s="288">
        <f>+'COEF DEFINITIVO 2019 ANUAL'!U19</f>
        <v>37652216.930000007</v>
      </c>
      <c r="D17" s="289">
        <f t="shared" si="0"/>
        <v>-102042.46804345399</v>
      </c>
    </row>
    <row r="18" spans="1:4">
      <c r="A18" s="170" t="s">
        <v>14</v>
      </c>
      <c r="B18" s="288">
        <f>+'COEF PROVISIONAL 2019 ANUAL'!U20</f>
        <v>183108116.35322267</v>
      </c>
      <c r="C18" s="288">
        <f>+'COEF DEFINITIVO 2019 ANUAL'!U20</f>
        <v>183157594.00999999</v>
      </c>
      <c r="D18" s="289">
        <f t="shared" si="0"/>
        <v>49477.656777322292</v>
      </c>
    </row>
    <row r="19" spans="1:4">
      <c r="A19" s="170" t="s">
        <v>15</v>
      </c>
      <c r="B19" s="288">
        <f>+'COEF PROVISIONAL 2019 ANUAL'!U21</f>
        <v>31550846.734785132</v>
      </c>
      <c r="C19" s="288">
        <f>+'COEF DEFINITIVO 2019 ANUAL'!U21</f>
        <v>31564741.959999997</v>
      </c>
      <c r="D19" s="289">
        <f t="shared" si="0"/>
        <v>13895.225214865059</v>
      </c>
    </row>
    <row r="20" spans="1:4">
      <c r="A20" s="170" t="s">
        <v>16</v>
      </c>
      <c r="B20" s="288">
        <f>+'COEF PROVISIONAL 2019 ANUAL'!U22</f>
        <v>21557024.456168052</v>
      </c>
      <c r="C20" s="288">
        <f>+'COEF DEFINITIVO 2019 ANUAL'!U22</f>
        <v>21507336.27</v>
      </c>
      <c r="D20" s="289">
        <f t="shared" si="0"/>
        <v>-49688.186168052256</v>
      </c>
    </row>
    <row r="21" spans="1:4">
      <c r="A21" s="170" t="s">
        <v>17</v>
      </c>
      <c r="B21" s="288">
        <f>+'COEF PROVISIONAL 2019 ANUAL'!U23</f>
        <v>148588869.32678837</v>
      </c>
      <c r="C21" s="288">
        <f>+'COEF DEFINITIVO 2019 ANUAL'!U23</f>
        <v>148153097.17999998</v>
      </c>
      <c r="D21" s="289">
        <f t="shared" si="0"/>
        <v>-435772.14678838849</v>
      </c>
    </row>
    <row r="22" spans="1:4">
      <c r="A22" s="170" t="s">
        <v>18</v>
      </c>
      <c r="B22" s="288">
        <f>+'COEF PROVISIONAL 2019 ANUAL'!U24</f>
        <v>187006699.40414959</v>
      </c>
      <c r="C22" s="288">
        <f>+'COEF DEFINITIVO 2019 ANUAL'!U24</f>
        <v>187497518.80999997</v>
      </c>
      <c r="D22" s="289">
        <f t="shared" si="0"/>
        <v>490819.40585038066</v>
      </c>
    </row>
    <row r="23" spans="1:4">
      <c r="A23" s="170" t="s">
        <v>19</v>
      </c>
      <c r="B23" s="288">
        <f>+'COEF PROVISIONAL 2019 ANUAL'!U25</f>
        <v>31220886.205543905</v>
      </c>
      <c r="C23" s="288">
        <f>+'COEF DEFINITIVO 2019 ANUAL'!U25</f>
        <v>31137130.639999997</v>
      </c>
      <c r="D23" s="289">
        <f t="shared" si="0"/>
        <v>-83755.565543908626</v>
      </c>
    </row>
    <row r="24" spans="1:4">
      <c r="A24" s="170" t="s">
        <v>20</v>
      </c>
      <c r="B24" s="288">
        <f>+'COEF PROVISIONAL 2019 ANUAL'!U26</f>
        <v>392822793.84241372</v>
      </c>
      <c r="C24" s="288">
        <f>+'COEF DEFINITIVO 2019 ANUAL'!U26</f>
        <v>391677905.19</v>
      </c>
      <c r="D24" s="289">
        <f t="shared" si="0"/>
        <v>-1144888.6524137259</v>
      </c>
    </row>
    <row r="25" spans="1:4">
      <c r="A25" s="170" t="s">
        <v>21</v>
      </c>
      <c r="B25" s="288">
        <f>+'COEF PROVISIONAL 2019 ANUAL'!U27</f>
        <v>57890738.68221876</v>
      </c>
      <c r="C25" s="288">
        <f>+'COEF DEFINITIVO 2019 ANUAL'!U27</f>
        <v>57721700.190000005</v>
      </c>
      <c r="D25" s="289">
        <f t="shared" si="0"/>
        <v>-169038.49221875519</v>
      </c>
    </row>
    <row r="26" spans="1:4">
      <c r="A26" s="170" t="s">
        <v>22</v>
      </c>
      <c r="B26" s="288">
        <f>+'COEF PROVISIONAL 2019 ANUAL'!U28</f>
        <v>12040917.447695583</v>
      </c>
      <c r="C26" s="288">
        <f>+'COEF DEFINITIVO 2019 ANUAL'!U28</f>
        <v>12013803.529999997</v>
      </c>
      <c r="D26" s="289">
        <f t="shared" si="0"/>
        <v>-27113.917695585638</v>
      </c>
    </row>
    <row r="27" spans="1:4">
      <c r="A27" s="170" t="s">
        <v>23</v>
      </c>
      <c r="B27" s="288">
        <f>+'COEF PROVISIONAL 2019 ANUAL'!U29</f>
        <v>40931845.850628793</v>
      </c>
      <c r="C27" s="288">
        <f>+'COEF DEFINITIVO 2019 ANUAL'!U29</f>
        <v>40899957.050000004</v>
      </c>
      <c r="D27" s="289">
        <f t="shared" si="0"/>
        <v>-31888.800628788769</v>
      </c>
    </row>
    <row r="28" spans="1:4">
      <c r="A28" s="170" t="s">
        <v>24</v>
      </c>
      <c r="B28" s="288">
        <f>+'COEF PROVISIONAL 2019 ANUAL'!U30</f>
        <v>41870858.610872813</v>
      </c>
      <c r="C28" s="288">
        <f>+'COEF DEFINITIVO 2019 ANUAL'!U30</f>
        <v>41854491.369999997</v>
      </c>
      <c r="D28" s="289">
        <f t="shared" si="0"/>
        <v>-16367.240872815251</v>
      </c>
    </row>
    <row r="29" spans="1:4">
      <c r="A29" s="170" t="s">
        <v>25</v>
      </c>
      <c r="B29" s="288">
        <f>+'COEF PROVISIONAL 2019 ANUAL'!U31</f>
        <v>667989220.29017532</v>
      </c>
      <c r="C29" s="288">
        <f>+'COEF DEFINITIVO 2019 ANUAL'!U31</f>
        <v>667575915.02999997</v>
      </c>
      <c r="D29" s="289">
        <f t="shared" si="0"/>
        <v>-413305.26017534733</v>
      </c>
    </row>
    <row r="30" spans="1:4">
      <c r="A30" s="170" t="s">
        <v>26</v>
      </c>
      <c r="B30" s="288">
        <f>+'COEF PROVISIONAL 2019 ANUAL'!U32</f>
        <v>21364124.473019235</v>
      </c>
      <c r="C30" s="288">
        <f>+'COEF DEFINITIVO 2019 ANUAL'!U32</f>
        <v>21313703.660000004</v>
      </c>
      <c r="D30" s="289">
        <f t="shared" si="0"/>
        <v>-50420.813019230962</v>
      </c>
    </row>
    <row r="31" spans="1:4">
      <c r="A31" s="170" t="s">
        <v>27</v>
      </c>
      <c r="B31" s="288">
        <f>+'COEF PROVISIONAL 2019 ANUAL'!U33</f>
        <v>30807793.851660915</v>
      </c>
      <c r="C31" s="288">
        <f>+'COEF DEFINITIVO 2019 ANUAL'!U33</f>
        <v>30721002.259999998</v>
      </c>
      <c r="D31" s="289">
        <f t="shared" si="0"/>
        <v>-86791.591660916805</v>
      </c>
    </row>
    <row r="32" spans="1:4">
      <c r="A32" s="170" t="s">
        <v>28</v>
      </c>
      <c r="B32" s="288">
        <f>+'COEF PROVISIONAL 2019 ANUAL'!U34</f>
        <v>19646682.061484016</v>
      </c>
      <c r="C32" s="288">
        <f>+'COEF DEFINITIVO 2019 ANUAL'!U34</f>
        <v>19653180.190000001</v>
      </c>
      <c r="D32" s="289">
        <f t="shared" si="0"/>
        <v>6498.128515984863</v>
      </c>
    </row>
    <row r="33" spans="1:4">
      <c r="A33" s="170" t="s">
        <v>29</v>
      </c>
      <c r="B33" s="288">
        <f>+'COEF PROVISIONAL 2019 ANUAL'!U35</f>
        <v>27090064.914454546</v>
      </c>
      <c r="C33" s="288">
        <f>+'COEF DEFINITIVO 2019 ANUAL'!U35</f>
        <v>27020582.969999999</v>
      </c>
      <c r="D33" s="289">
        <f t="shared" si="0"/>
        <v>-69481.944454547018</v>
      </c>
    </row>
    <row r="34" spans="1:4">
      <c r="A34" s="170" t="s">
        <v>30</v>
      </c>
      <c r="B34" s="288">
        <f>+'COEF PROVISIONAL 2019 ANUAL'!U36</f>
        <v>37058676.210662983</v>
      </c>
      <c r="C34" s="288">
        <f>+'COEF DEFINITIVO 2019 ANUAL'!U36</f>
        <v>37049837.839999989</v>
      </c>
      <c r="D34" s="289">
        <f t="shared" si="0"/>
        <v>-8838.3706629946828</v>
      </c>
    </row>
    <row r="35" spans="1:4">
      <c r="A35" s="170" t="s">
        <v>31</v>
      </c>
      <c r="B35" s="288">
        <f>+'COEF PROVISIONAL 2019 ANUAL'!U37</f>
        <v>207712075.21772015</v>
      </c>
      <c r="C35" s="288">
        <f>+'COEF DEFINITIVO 2019 ANUAL'!U37</f>
        <v>207104557.44999999</v>
      </c>
      <c r="D35" s="289">
        <f t="shared" si="0"/>
        <v>-607517.76772016287</v>
      </c>
    </row>
    <row r="36" spans="1:4">
      <c r="A36" s="170" t="s">
        <v>32</v>
      </c>
      <c r="B36" s="288">
        <f>+'COEF PROVISIONAL 2019 ANUAL'!U38</f>
        <v>41243468.508162536</v>
      </c>
      <c r="C36" s="288">
        <f>+'COEF DEFINITIVO 2019 ANUAL'!U38</f>
        <v>41125077.009999998</v>
      </c>
      <c r="D36" s="289">
        <f t="shared" si="0"/>
        <v>-118391.49816253781</v>
      </c>
    </row>
    <row r="37" spans="1:4">
      <c r="A37" s="170" t="s">
        <v>33</v>
      </c>
      <c r="B37" s="288">
        <f>+'COEF PROVISIONAL 2019 ANUAL'!U39</f>
        <v>145981265.9812043</v>
      </c>
      <c r="C37" s="288">
        <f>+'COEF DEFINITIVO 2019 ANUAL'!U39</f>
        <v>145547194.85000005</v>
      </c>
      <c r="D37" s="289">
        <f t="shared" si="0"/>
        <v>-434071.13120424747</v>
      </c>
    </row>
    <row r="38" spans="1:4">
      <c r="A38" s="170" t="s">
        <v>34</v>
      </c>
      <c r="B38" s="288">
        <f>+'COEF PROVISIONAL 2019 ANUAL'!U40</f>
        <v>30191016.649039619</v>
      </c>
      <c r="C38" s="288">
        <f>+'COEF DEFINITIVO 2019 ANUAL'!U40</f>
        <v>30208676.950000007</v>
      </c>
      <c r="D38" s="289">
        <f t="shared" si="0"/>
        <v>17660.300960388035</v>
      </c>
    </row>
    <row r="39" spans="1:4">
      <c r="A39" s="170" t="s">
        <v>35</v>
      </c>
      <c r="B39" s="288">
        <f>+'COEF PROVISIONAL 2019 ANUAL'!U41</f>
        <v>35424081.275634989</v>
      </c>
      <c r="C39" s="288">
        <f>+'COEF DEFINITIVO 2019 ANUAL'!U41</f>
        <v>35457394.849999994</v>
      </c>
      <c r="D39" s="289">
        <f t="shared" si="0"/>
        <v>33313.574365004897</v>
      </c>
    </row>
    <row r="40" spans="1:4">
      <c r="A40" s="170" t="s">
        <v>36</v>
      </c>
      <c r="B40" s="288">
        <f>+'COEF PROVISIONAL 2019 ANUAL'!U42</f>
        <v>34167192.372019924</v>
      </c>
      <c r="C40" s="288">
        <f>+'COEF DEFINITIVO 2019 ANUAL'!U42</f>
        <v>34073719.390000001</v>
      </c>
      <c r="D40" s="289">
        <f t="shared" si="0"/>
        <v>-93472.982019923627</v>
      </c>
    </row>
    <row r="41" spans="1:4">
      <c r="A41" s="170" t="s">
        <v>37</v>
      </c>
      <c r="B41" s="288">
        <f>+'COEF PROVISIONAL 2019 ANUAL'!U43</f>
        <v>44103495.202561907</v>
      </c>
      <c r="C41" s="288">
        <f>+'COEF DEFINITIVO 2019 ANUAL'!U43</f>
        <v>43971834.400000006</v>
      </c>
      <c r="D41" s="289">
        <f t="shared" si="0"/>
        <v>-131660.80256190151</v>
      </c>
    </row>
    <row r="42" spans="1:4">
      <c r="A42" s="170" t="s">
        <v>38</v>
      </c>
      <c r="B42" s="288">
        <f>+'COEF PROVISIONAL 2019 ANUAL'!U44</f>
        <v>105992594.95440951</v>
      </c>
      <c r="C42" s="288">
        <f>+'COEF DEFINITIVO 2019 ANUAL'!U44</f>
        <v>105683706.56000002</v>
      </c>
      <c r="D42" s="289">
        <f t="shared" si="0"/>
        <v>-308888.39440949261</v>
      </c>
    </row>
    <row r="43" spans="1:4">
      <c r="A43" s="170" t="s">
        <v>39</v>
      </c>
      <c r="B43" s="288">
        <f>+'COEF PROVISIONAL 2019 ANUAL'!U45</f>
        <v>2103717166.6973119</v>
      </c>
      <c r="C43" s="288">
        <f>+'COEF DEFINITIVO 2019 ANUAL'!U45</f>
        <v>2107633536.1999998</v>
      </c>
      <c r="D43" s="289">
        <f t="shared" si="0"/>
        <v>3916369.5026879311</v>
      </c>
    </row>
    <row r="44" spans="1:4">
      <c r="A44" s="170" t="s">
        <v>40</v>
      </c>
      <c r="B44" s="288">
        <f>+'COEF PROVISIONAL 2019 ANUAL'!U46</f>
        <v>13828217.109103911</v>
      </c>
      <c r="C44" s="288">
        <f>+'COEF DEFINITIVO 2019 ANUAL'!U46</f>
        <v>13795202.33</v>
      </c>
      <c r="D44" s="289">
        <f t="shared" si="0"/>
        <v>-33014.77910391055</v>
      </c>
    </row>
    <row r="45" spans="1:4">
      <c r="A45" s="170" t="s">
        <v>41</v>
      </c>
      <c r="B45" s="288">
        <f>+'COEF PROVISIONAL 2019 ANUAL'!U47</f>
        <v>46410700.313077725</v>
      </c>
      <c r="C45" s="288">
        <f>+'COEF DEFINITIVO 2019 ANUAL'!U47</f>
        <v>46865513.269999996</v>
      </c>
      <c r="D45" s="289">
        <f t="shared" si="0"/>
        <v>454812.95692227036</v>
      </c>
    </row>
    <row r="46" spans="1:4">
      <c r="A46" s="170" t="s">
        <v>42</v>
      </c>
      <c r="B46" s="288">
        <f>+'COEF PROVISIONAL 2019 ANUAL'!U48</f>
        <v>23838398.023984507</v>
      </c>
      <c r="C46" s="288">
        <f>+'COEF DEFINITIVO 2019 ANUAL'!U48</f>
        <v>23768374.800000001</v>
      </c>
      <c r="D46" s="289">
        <f t="shared" si="0"/>
        <v>-70023.223984505981</v>
      </c>
    </row>
    <row r="47" spans="1:4">
      <c r="A47" s="170" t="s">
        <v>43</v>
      </c>
      <c r="B47" s="288">
        <f>+'COEF PROVISIONAL 2019 ANUAL'!U49</f>
        <v>34819307.947345912</v>
      </c>
      <c r="C47" s="288">
        <f>+'COEF DEFINITIVO 2019 ANUAL'!U49</f>
        <v>34818408.430000007</v>
      </c>
      <c r="D47" s="289">
        <f t="shared" si="0"/>
        <v>-899.51734590530396</v>
      </c>
    </row>
    <row r="48" spans="1:4">
      <c r="A48" s="170" t="s">
        <v>44</v>
      </c>
      <c r="B48" s="288">
        <f>+'COEF PROVISIONAL 2019 ANUAL'!U50</f>
        <v>77212568.132476017</v>
      </c>
      <c r="C48" s="288">
        <f>+'COEF DEFINITIVO 2019 ANUAL'!U50</f>
        <v>76986808.25</v>
      </c>
      <c r="D48" s="289">
        <f t="shared" si="0"/>
        <v>-225759.88247601688</v>
      </c>
    </row>
    <row r="49" spans="1:4">
      <c r="A49" s="170" t="s">
        <v>45</v>
      </c>
      <c r="B49" s="288">
        <f>+'COEF PROVISIONAL 2019 ANUAL'!U51</f>
        <v>65447998.076605424</v>
      </c>
      <c r="C49" s="288">
        <f>+'COEF DEFINITIVO 2019 ANUAL'!U51</f>
        <v>65253719.770000003</v>
      </c>
      <c r="D49" s="289">
        <f t="shared" si="0"/>
        <v>-194278.30660542101</v>
      </c>
    </row>
    <row r="50" spans="1:4">
      <c r="A50" s="170" t="s">
        <v>46</v>
      </c>
      <c r="B50" s="288">
        <f>+'COEF PROVISIONAL 2019 ANUAL'!U52</f>
        <v>596280732.84530175</v>
      </c>
      <c r="C50" s="288">
        <f>+'COEF DEFINITIVO 2019 ANUAL'!U52</f>
        <v>594522796.03999996</v>
      </c>
      <c r="D50" s="289">
        <f t="shared" si="0"/>
        <v>-1757936.8053017855</v>
      </c>
    </row>
    <row r="51" spans="1:4">
      <c r="A51" s="170" t="s">
        <v>47</v>
      </c>
      <c r="B51" s="288">
        <f>+'COEF PROVISIONAL 2019 ANUAL'!U53</f>
        <v>1125297517.8851917</v>
      </c>
      <c r="C51" s="288">
        <f>+'COEF DEFINITIVO 2019 ANUAL'!U53</f>
        <v>1128282788.24</v>
      </c>
      <c r="D51" s="289">
        <f t="shared" si="0"/>
        <v>2985270.3548083305</v>
      </c>
    </row>
    <row r="52" spans="1:4">
      <c r="A52" s="170" t="s">
        <v>48</v>
      </c>
      <c r="B52" s="288">
        <f>+'COEF PROVISIONAL 2019 ANUAL'!U54</f>
        <v>312051684.5563243</v>
      </c>
      <c r="C52" s="288">
        <f>+'COEF DEFINITIVO 2019 ANUAL'!U54</f>
        <v>311136371.31</v>
      </c>
      <c r="D52" s="289">
        <f t="shared" si="0"/>
        <v>-915313.24632430077</v>
      </c>
    </row>
    <row r="53" spans="1:4">
      <c r="A53" s="170" t="s">
        <v>49</v>
      </c>
      <c r="B53" s="288">
        <f>+'COEF PROVISIONAL 2019 ANUAL'!U55</f>
        <v>101843652.14200935</v>
      </c>
      <c r="C53" s="288">
        <f>+'COEF DEFINITIVO 2019 ANUAL'!U55</f>
        <v>102239549.05</v>
      </c>
      <c r="D53" s="289">
        <f t="shared" si="0"/>
        <v>395896.90799064934</v>
      </c>
    </row>
    <row r="54" spans="1:4">
      <c r="A54" s="170" t="s">
        <v>50</v>
      </c>
      <c r="B54" s="288">
        <f>+'COEF PROVISIONAL 2019 ANUAL'!U56</f>
        <v>19080137.593748633</v>
      </c>
      <c r="C54" s="288">
        <f>+'COEF DEFINITIVO 2019 ANUAL'!U56</f>
        <v>19021516.82</v>
      </c>
      <c r="D54" s="289">
        <f t="shared" si="0"/>
        <v>-58620.77374863252</v>
      </c>
    </row>
    <row r="55" spans="1:4" ht="13.5" thickBot="1">
      <c r="A55" s="170" t="s">
        <v>51</v>
      </c>
      <c r="B55" s="288">
        <f>+'COEF PROVISIONAL 2019 ANUAL'!U57</f>
        <v>27532607.52799505</v>
      </c>
      <c r="C55" s="288">
        <f>+'COEF DEFINITIVO 2019 ANUAL'!U57</f>
        <v>27451845.07</v>
      </c>
      <c r="D55" s="289">
        <f t="shared" si="0"/>
        <v>-80762.457995049655</v>
      </c>
    </row>
    <row r="56" spans="1:4" ht="14.25" thickTop="1" thickBot="1">
      <c r="A56" s="171" t="s">
        <v>52</v>
      </c>
      <c r="B56" s="296">
        <f t="shared" ref="B56" si="1">SUM(B5:B55)</f>
        <v>8256991356.2866545</v>
      </c>
      <c r="C56" s="296">
        <f>SUM(C5:C55)</f>
        <v>8256991356.3800011</v>
      </c>
      <c r="D56" s="297">
        <f>SUM(D5:D55)</f>
        <v>9.3345886096358299E-2</v>
      </c>
    </row>
    <row r="57" spans="1:4" ht="13.5" thickTop="1"/>
    <row r="58" spans="1:4">
      <c r="A58" s="166" t="s">
        <v>146</v>
      </c>
    </row>
    <row r="60" spans="1:4" ht="16.5" customHeight="1"/>
  </sheetData>
  <mergeCells count="3">
    <mergeCell ref="A3:D3"/>
    <mergeCell ref="A1:D1"/>
    <mergeCell ref="A2:D2"/>
  </mergeCells>
  <printOptions horizontalCentered="1"/>
  <pageMargins left="0.19685039370078741" right="0.19685039370078741" top="0.11811023622047245" bottom="0.19685039370078741" header="0.15748031496062992" footer="0.15748031496062992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00" workbookViewId="0">
      <pane ySplit="5" topLeftCell="A51" activePane="bottomLeft" state="frozen"/>
      <selection pane="bottomLeft" activeCell="A3" sqref="A3:K3"/>
    </sheetView>
  </sheetViews>
  <sheetFormatPr baseColWidth="10" defaultColWidth="11.42578125" defaultRowHeight="12.75"/>
  <cols>
    <col min="1" max="1" width="29.42578125" style="167" bestFit="1" customWidth="1"/>
    <col min="2" max="2" width="13.85546875" style="167" bestFit="1" customWidth="1"/>
    <col min="3" max="10" width="11.42578125" style="167"/>
    <col min="11" max="11" width="14.42578125" style="167" customWidth="1"/>
    <col min="12" max="16384" width="11.42578125" style="167"/>
  </cols>
  <sheetData>
    <row r="1" spans="1:11">
      <c r="A1" s="319" t="s">
        <v>147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>
      <c r="A2" s="319" t="s">
        <v>174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13.5" customHeight="1">
      <c r="A3" s="320" t="s">
        <v>260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3.5" customHeight="1" thickBo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ht="29.45" customHeight="1" thickTop="1" thickBot="1">
      <c r="A5" s="169" t="s">
        <v>0</v>
      </c>
      <c r="B5" s="277" t="s">
        <v>133</v>
      </c>
      <c r="C5" s="277" t="s">
        <v>257</v>
      </c>
      <c r="D5" s="277" t="s">
        <v>258</v>
      </c>
      <c r="E5" s="277" t="s">
        <v>135</v>
      </c>
      <c r="F5" s="277" t="s">
        <v>156</v>
      </c>
      <c r="G5" s="277" t="s">
        <v>148</v>
      </c>
      <c r="H5" s="277" t="s">
        <v>171</v>
      </c>
      <c r="I5" s="277" t="s">
        <v>172</v>
      </c>
      <c r="J5" s="277" t="s">
        <v>216</v>
      </c>
      <c r="K5" s="278" t="s">
        <v>53</v>
      </c>
    </row>
    <row r="6" spans="1:11" ht="13.5" thickTop="1">
      <c r="A6" s="170" t="s">
        <v>1</v>
      </c>
      <c r="B6" s="288">
        <f>(+'COEF DEFINITIVO 2019 ANUAL'!C7-'COEF PROVISIONAL 2019 ANUAL'!C7)</f>
        <v>-24148.061555512249</v>
      </c>
      <c r="C6" s="288">
        <f>+'COEF DEFINITIVO 2019 ANUAL'!E7-'COEF PROVISIONAL 2019 ANUAL'!E7</f>
        <v>-3366.1304203092586</v>
      </c>
      <c r="D6" s="288">
        <f>+'COEF DEFINITIVO 2019 ANUAL'!G7-'COEF PROVISIONAL 2019 ANUAL'!G7</f>
        <v>5.4212212562561035E-3</v>
      </c>
      <c r="E6" s="288">
        <f>+'COEF DEFINITIVO 2019 ANUAL'!I7-'COEF PROVISIONAL 2019 ANUAL'!I7</f>
        <v>-787.26166308825486</v>
      </c>
      <c r="F6" s="288">
        <f>+'COEF DEFINITIVO 2019 ANUAL'!K7-'COEF PROVISIONAL 2019 ANUAL'!K7</f>
        <v>-1175.489950391755</v>
      </c>
      <c r="G6" s="288">
        <f>+'COEF DEFINITIVO 2019 ANUAL'!M7-'COEF PROVISIONAL 2019 ANUAL'!M7</f>
        <v>-87.900172123994707</v>
      </c>
      <c r="H6" s="288">
        <f>+'COEF DEFINITIVO 2019 ANUAL'!O7-'COEF PROVISIONAL 2019 ANUAL'!O7</f>
        <v>-710.56257839372847</v>
      </c>
      <c r="I6" s="288">
        <f>+'COEF DEFINITIVO 2019 ANUAL'!Q7-'COEF PROVISIONAL 2019 ANUAL'!Q7</f>
        <v>-142.12200211387972</v>
      </c>
      <c r="J6" s="288">
        <f>+'COEF DEFINITIVO 2019 ANUAL'!S7-'COEF PROVISIONAL 2019 ANUAL'!S7</f>
        <v>1.7457693684264086E-2</v>
      </c>
      <c r="K6" s="289">
        <f>SUM(B6:J6)</f>
        <v>-30417.50546301818</v>
      </c>
    </row>
    <row r="7" spans="1:11">
      <c r="A7" s="170" t="s">
        <v>2</v>
      </c>
      <c r="B7" s="288">
        <f>(+'COEF DEFINITIVO 2019 ANUAL'!C8-'COEF PROVISIONAL 2019 ANUAL'!C8)</f>
        <v>-47831.922009607777</v>
      </c>
      <c r="C7" s="288">
        <f>+'COEF DEFINITIVO 2019 ANUAL'!E8-'COEF PROVISIONAL 2019 ANUAL'!E8</f>
        <v>-6667.6080677402206</v>
      </c>
      <c r="D7" s="288">
        <f>+'COEF DEFINITIVO 2019 ANUAL'!G8-'COEF PROVISIONAL 2019 ANUAL'!G8</f>
        <v>1.9718450494110584E-3</v>
      </c>
      <c r="E7" s="288">
        <f>+'COEF DEFINITIVO 2019 ANUAL'!I8-'COEF PROVISIONAL 2019 ANUAL'!I8</f>
        <v>-1559.3785616130917</v>
      </c>
      <c r="F7" s="288">
        <f>+'COEF DEFINITIVO 2019 ANUAL'!K8-'COEF PROVISIONAL 2019 ANUAL'!K8</f>
        <v>-2328.3646110153059</v>
      </c>
      <c r="G7" s="288">
        <f>+'COEF DEFINITIVO 2019 ANUAL'!M8-'COEF PROVISIONAL 2019 ANUAL'!M8</f>
        <v>-174.08122882331372</v>
      </c>
      <c r="H7" s="288">
        <f>+'COEF DEFINITIVO 2019 ANUAL'!O8-'COEF PROVISIONAL 2019 ANUAL'!O8</f>
        <v>-1407.5108251752681</v>
      </c>
      <c r="I7" s="288">
        <f>+'COEF DEFINITIVO 2019 ANUAL'!Q8-'COEF PROVISIONAL 2019 ANUAL'!Q8</f>
        <v>-281.53725360173848</v>
      </c>
      <c r="J7" s="288">
        <f>+'COEF DEFINITIVO 2019 ANUAL'!S8-'COEF PROVISIONAL 2019 ANUAL'!S8</f>
        <v>7.2796946915332228E-3</v>
      </c>
      <c r="K7" s="289">
        <f t="shared" ref="K7:K56" si="0">SUM(B7:J7)</f>
        <v>-60250.393306036975</v>
      </c>
    </row>
    <row r="8" spans="1:11">
      <c r="A8" s="170" t="s">
        <v>3</v>
      </c>
      <c r="B8" s="288">
        <f>(+'COEF DEFINITIVO 2019 ANUAL'!C9-'COEF PROVISIONAL 2019 ANUAL'!C9)</f>
        <v>8664.5976776741445</v>
      </c>
      <c r="C8" s="288">
        <f>+'COEF DEFINITIVO 2019 ANUAL'!E9-'COEF PROVISIONAL 2019 ANUAL'!E9</f>
        <v>1207.8199982512742</v>
      </c>
      <c r="D8" s="288">
        <f>+'COEF DEFINITIVO 2019 ANUAL'!G9-'COEF PROVISIONAL 2019 ANUAL'!G9</f>
        <v>0</v>
      </c>
      <c r="E8" s="288">
        <f>+'COEF DEFINITIVO 2019 ANUAL'!I9-'COEF PROVISIONAL 2019 ANUAL'!I9</f>
        <v>282.46319316281006</v>
      </c>
      <c r="F8" s="288">
        <f>+'COEF DEFINITIVO 2019 ANUAL'!K9-'COEF PROVISIONAL 2019 ANUAL'!K9</f>
        <v>421.79197548714001</v>
      </c>
      <c r="G8" s="288">
        <f>+'COEF DEFINITIVO 2019 ANUAL'!M9-'COEF PROVISIONAL 2019 ANUAL'!M9</f>
        <v>31.518929043661046</v>
      </c>
      <c r="H8" s="288">
        <f>+'COEF DEFINITIVO 2019 ANUAL'!O9-'COEF PROVISIONAL 2019 ANUAL'!O9</f>
        <v>254.98318986967206</v>
      </c>
      <c r="I8" s="288">
        <f>+'COEF DEFINITIVO 2019 ANUAL'!Q9-'COEF PROVISIONAL 2019 ANUAL'!Q9</f>
        <v>51.032757047767518</v>
      </c>
      <c r="J8" s="288">
        <f>+'COEF DEFINITIVO 2019 ANUAL'!S9-'COEF PROVISIONAL 2019 ANUAL'!S9</f>
        <v>1.0521443677134812E-2</v>
      </c>
      <c r="K8" s="289">
        <f t="shared" si="0"/>
        <v>10914.218241980147</v>
      </c>
    </row>
    <row r="9" spans="1:11">
      <c r="A9" s="170" t="s">
        <v>4</v>
      </c>
      <c r="B9" s="288">
        <f>(+'COEF DEFINITIVO 2019 ANUAL'!C10-'COEF PROVISIONAL 2019 ANUAL'!C10)</f>
        <v>15520.931900165975</v>
      </c>
      <c r="C9" s="288">
        <f>+'COEF DEFINITIVO 2019 ANUAL'!E10-'COEF PROVISIONAL 2019 ANUAL'!E10</f>
        <v>2163.5570630505681</v>
      </c>
      <c r="D9" s="288">
        <f>+'COEF DEFINITIVO 2019 ANUAL'!G10-'COEF PROVISIONAL 2019 ANUAL'!G10</f>
        <v>-7.7549507841467857E-3</v>
      </c>
      <c r="E9" s="288">
        <f>+'COEF DEFINITIVO 2019 ANUAL'!I10-'COEF PROVISIONAL 2019 ANUAL'!I10</f>
        <v>505.9725410991814</v>
      </c>
      <c r="F9" s="288">
        <f>+'COEF DEFINITIVO 2019 ANUAL'!K10-'COEF PROVISIONAL 2019 ANUAL'!K10</f>
        <v>755.49032464344054</v>
      </c>
      <c r="G9" s="288">
        <f>+'COEF DEFINITIVO 2019 ANUAL'!M10-'COEF PROVISIONAL 2019 ANUAL'!M10</f>
        <v>56.49380959616974</v>
      </c>
      <c r="H9" s="288">
        <f>+'COEF DEFINITIVO 2019 ANUAL'!O10-'COEF PROVISIONAL 2019 ANUAL'!O10</f>
        <v>456.69918276672252</v>
      </c>
      <c r="I9" s="288">
        <f>+'COEF DEFINITIVO 2019 ANUAL'!Q10-'COEF PROVISIONAL 2019 ANUAL'!Q10</f>
        <v>91.343454467132688</v>
      </c>
      <c r="J9" s="288">
        <f>+'COEF DEFINITIVO 2019 ANUAL'!S10-'COEF PROVISIONAL 2019 ANUAL'!S10</f>
        <v>2.1500819595530629E-2</v>
      </c>
      <c r="K9" s="289">
        <f t="shared" si="0"/>
        <v>19550.502021658001</v>
      </c>
    </row>
    <row r="10" spans="1:11">
      <c r="A10" s="170" t="s">
        <v>5</v>
      </c>
      <c r="B10" s="288">
        <f>(+'COEF DEFINITIVO 2019 ANUAL'!C11-'COEF PROVISIONAL 2019 ANUAL'!C11)</f>
        <v>-173824.47287258506</v>
      </c>
      <c r="C10" s="288">
        <f>+'COEF DEFINITIVO 2019 ANUAL'!E11-'COEF PROVISIONAL 2019 ANUAL'!E11</f>
        <v>-24230.501874973066</v>
      </c>
      <c r="D10" s="288">
        <f>+'COEF DEFINITIVO 2019 ANUAL'!G11-'COEF PROVISIONAL 2019 ANUAL'!G11</f>
        <v>-4.1891396977007389E-3</v>
      </c>
      <c r="E10" s="288">
        <f>+'COEF DEFINITIVO 2019 ANUAL'!I11-'COEF PROVISIONAL 2019 ANUAL'!I11</f>
        <v>-5666.8412140845321</v>
      </c>
      <c r="F10" s="288">
        <f>+'COEF DEFINITIVO 2019 ANUAL'!K11-'COEF PROVISIONAL 2019 ANUAL'!K11</f>
        <v>-8461.4288570848294</v>
      </c>
      <c r="G10" s="288">
        <f>+'COEF DEFINITIVO 2019 ANUAL'!M11-'COEF PROVISIONAL 2019 ANUAL'!M11</f>
        <v>-632.71811015350977</v>
      </c>
      <c r="H10" s="288">
        <f>+'COEF DEFINITIVO 2019 ANUAL'!O11-'COEF PROVISIONAL 2019 ANUAL'!O11</f>
        <v>-5114.94372059335</v>
      </c>
      <c r="I10" s="288">
        <f>+'COEF DEFINITIVO 2019 ANUAL'!Q11-'COEF PROVISIONAL 2019 ANUAL'!Q11</f>
        <v>-1023.1973421407747</v>
      </c>
      <c r="J10" s="288">
        <f>+'COEF DEFINITIVO 2019 ANUAL'!S11-'COEF PROVISIONAL 2019 ANUAL'!S11</f>
        <v>-2.8494890546426177E-2</v>
      </c>
      <c r="K10" s="289">
        <f t="shared" si="0"/>
        <v>-218954.13667564536</v>
      </c>
    </row>
    <row r="11" spans="1:11">
      <c r="A11" s="170" t="s">
        <v>6</v>
      </c>
      <c r="B11" s="288">
        <f>(+'COEF DEFINITIVO 2019 ANUAL'!C12-'COEF PROVISIONAL 2019 ANUAL'!C12)</f>
        <v>103950.24636828899</v>
      </c>
      <c r="C11" s="288">
        <f>+'COEF DEFINITIVO 2019 ANUAL'!E12-'COEF PROVISIONAL 2019 ANUAL'!E12</f>
        <v>14490.287135854363</v>
      </c>
      <c r="D11" s="288">
        <f>+'COEF DEFINITIVO 2019 ANUAL'!G12-'COEF PROVISIONAL 2019 ANUAL'!G12</f>
        <v>2.7644559741020203E-3</v>
      </c>
      <c r="E11" s="288">
        <f>+'COEF DEFINITIVO 2019 ANUAL'!I12-'COEF PROVISIONAL 2019 ANUAL'!I12</f>
        <v>3388.8642114978284</v>
      </c>
      <c r="F11" s="288">
        <f>+'COEF DEFINITIVO 2019 ANUAL'!K12-'COEF PROVISIONAL 2019 ANUAL'!K12</f>
        <v>5060.0674188286066</v>
      </c>
      <c r="G11" s="288">
        <f>+'COEF DEFINITIVO 2019 ANUAL'!M12-'COEF PROVISIONAL 2019 ANUAL'!M12</f>
        <v>378.36219123890623</v>
      </c>
      <c r="H11" s="288">
        <f>+'COEF DEFINITIVO 2019 ANUAL'!O12-'COEF PROVISIONAL 2019 ANUAL'!O12</f>
        <v>3058.8182392343879</v>
      </c>
      <c r="I11" s="288">
        <f>+'COEF DEFINITIVO 2019 ANUAL'!Q12-'COEF PROVISIONAL 2019 ANUAL'!Q12</f>
        <v>611.9025463713333</v>
      </c>
      <c r="J11" s="288">
        <f>+'COEF DEFINITIVO 2019 ANUAL'!S12-'COEF PROVISIONAL 2019 ANUAL'!S12</f>
        <v>2.9363080859184265E-2</v>
      </c>
      <c r="K11" s="289">
        <f t="shared" si="0"/>
        <v>130938.58023885125</v>
      </c>
    </row>
    <row r="12" spans="1:11">
      <c r="A12" s="170" t="s">
        <v>7</v>
      </c>
      <c r="B12" s="288">
        <f>(+'COEF DEFINITIVO 2019 ANUAL'!C13-'COEF PROVISIONAL 2019 ANUAL'!C13)</f>
        <v>-25894.617954783142</v>
      </c>
      <c r="C12" s="288">
        <f>+'COEF DEFINITIVO 2019 ANUAL'!E13-'COEF PROVISIONAL 2019 ANUAL'!E13</f>
        <v>-3609.6148201785982</v>
      </c>
      <c r="D12" s="288">
        <f>+'COEF DEFINITIVO 2019 ANUAL'!G13-'COEF PROVISIONAL 2019 ANUAL'!G13</f>
        <v>0</v>
      </c>
      <c r="E12" s="288">
        <f>+'COEF DEFINITIVO 2019 ANUAL'!I13-'COEF PROVISIONAL 2019 ANUAL'!I13</f>
        <v>-844.16813500714488</v>
      </c>
      <c r="F12" s="288">
        <f>+'COEF DEFINITIVO 2019 ANUAL'!K13-'COEF PROVISIONAL 2019 ANUAL'!K13</f>
        <v>-1260.4967156234197</v>
      </c>
      <c r="G12" s="288">
        <f>+'COEF DEFINITIVO 2019 ANUAL'!M13-'COEF PROVISIONAL 2019 ANUAL'!M13</f>
        <v>-94.247178711317247</v>
      </c>
      <c r="H12" s="288">
        <f>+'COEF DEFINITIVO 2019 ANUAL'!O13-'COEF PROVISIONAL 2019 ANUAL'!O13</f>
        <v>-761.97421838948503</v>
      </c>
      <c r="I12" s="288">
        <f>+'COEF DEFINITIVO 2019 ANUAL'!Q13-'COEF PROVISIONAL 2019 ANUAL'!Q13</f>
        <v>-152.40631918283179</v>
      </c>
      <c r="J12" s="288">
        <f>+'COEF DEFINITIVO 2019 ANUAL'!S13-'COEF PROVISIONAL 2019 ANUAL'!S13</f>
        <v>9.9213910289108753E-3</v>
      </c>
      <c r="K12" s="289">
        <f t="shared" si="0"/>
        <v>-32617.51542048491</v>
      </c>
    </row>
    <row r="13" spans="1:11">
      <c r="A13" s="170" t="s">
        <v>8</v>
      </c>
      <c r="B13" s="288">
        <f>(+'COEF DEFINITIVO 2019 ANUAL'!C14-'COEF PROVISIONAL 2019 ANUAL'!C14)</f>
        <v>-31550.119784850627</v>
      </c>
      <c r="C13" s="288">
        <f>+'COEF DEFINITIVO 2019 ANUAL'!E14-'COEF PROVISIONAL 2019 ANUAL'!E14</f>
        <v>-4397.9790307071526</v>
      </c>
      <c r="D13" s="288">
        <f>+'COEF DEFINITIVO 2019 ANUAL'!G14-'COEF PROVISIONAL 2019 ANUAL'!G14</f>
        <v>3.0217817984521389E-3</v>
      </c>
      <c r="E13" s="288">
        <f>+'COEF DEFINITIVO 2019 ANUAL'!I14-'COEF PROVISIONAL 2019 ANUAL'!I14</f>
        <v>-1028.5819205931039</v>
      </c>
      <c r="F13" s="288">
        <f>+'COEF DEFINITIVO 2019 ANUAL'!K14-'COEF PROVISIONAL 2019 ANUAL'!K14</f>
        <v>-1535.7626625113189</v>
      </c>
      <c r="G13" s="288">
        <f>+'COEF DEFINITIVO 2019 ANUAL'!M14-'COEF PROVISIONAL 2019 ANUAL'!M14</f>
        <v>-114.84784159834089</v>
      </c>
      <c r="H13" s="288">
        <f>+'COEF DEFINITIVO 2019 ANUAL'!O14-'COEF PROVISIONAL 2019 ANUAL'!O14</f>
        <v>-928.38032746710815</v>
      </c>
      <c r="I13" s="288">
        <f>+'COEF DEFINITIVO 2019 ANUAL'!Q14-'COEF PROVISIONAL 2019 ANUAL'!Q14</f>
        <v>-185.72001165682013</v>
      </c>
      <c r="J13" s="288">
        <f>+'COEF DEFINITIVO 2019 ANUAL'!S14-'COEF PROVISIONAL 2019 ANUAL'!S14</f>
        <v>1.9162947311997414E-2</v>
      </c>
      <c r="K13" s="289">
        <f t="shared" si="0"/>
        <v>-39741.369394655361</v>
      </c>
    </row>
    <row r="14" spans="1:11">
      <c r="A14" s="170" t="s">
        <v>9</v>
      </c>
      <c r="B14" s="288">
        <f>(+'COEF DEFINITIVO 2019 ANUAL'!C15-'COEF PROVISIONAL 2019 ANUAL'!C15)</f>
        <v>-313614.33816704154</v>
      </c>
      <c r="C14" s="288">
        <f>+'COEF DEFINITIVO 2019 ANUAL'!E15-'COEF PROVISIONAL 2019 ANUAL'!E15</f>
        <v>-43716.683213474229</v>
      </c>
      <c r="D14" s="288">
        <f>+'COEF DEFINITIVO 2019 ANUAL'!G15-'COEF PROVISIONAL 2019 ANUAL'!G15</f>
        <v>4.3915342539548874E-3</v>
      </c>
      <c r="E14" s="288">
        <f>+'COEF DEFINITIVO 2019 ANUAL'!I15-'COEF PROVISIONAL 2019 ANUAL'!I15</f>
        <v>-10224.076345683541</v>
      </c>
      <c r="F14" s="288">
        <f>+'COEF DEFINITIVO 2019 ANUAL'!K15-'COEF PROVISIONAL 2019 ANUAL'!K15</f>
        <v>-15266.09631305933</v>
      </c>
      <c r="G14" s="288">
        <f>+'COEF DEFINITIVO 2019 ANUAL'!M15-'COEF PROVISIONAL 2019 ANUAL'!M15</f>
        <v>-1141.4625426061102</v>
      </c>
      <c r="H14" s="288">
        <f>+'COEF DEFINITIVO 2019 ANUAL'!O15-'COEF PROVISIONAL 2019 ANUAL'!O15</f>
        <v>-9228.3370798206888</v>
      </c>
      <c r="I14" s="288">
        <f>+'COEF DEFINITIVO 2019 ANUAL'!Q15-'COEF PROVISIONAL 2019 ANUAL'!Q15</f>
        <v>-1846.052400863613</v>
      </c>
      <c r="J14" s="288">
        <f>+'COEF DEFINITIVO 2019 ANUAL'!S15-'COEF PROVISIONAL 2019 ANUAL'!S15</f>
        <v>3.101753955706954E-2</v>
      </c>
      <c r="K14" s="289">
        <f t="shared" si="0"/>
        <v>-395037.01065347524</v>
      </c>
    </row>
    <row r="15" spans="1:11">
      <c r="A15" s="170" t="s">
        <v>10</v>
      </c>
      <c r="B15" s="288">
        <f>(+'COEF DEFINITIVO 2019 ANUAL'!C16-'COEF PROVISIONAL 2019 ANUAL'!C16)</f>
        <v>57695.686150977388</v>
      </c>
      <c r="C15" s="288">
        <f>+'COEF DEFINITIVO 2019 ANUAL'!E16-'COEF PROVISIONAL 2019 ANUAL'!E16</f>
        <v>8042.5513733034022</v>
      </c>
      <c r="D15" s="288">
        <f>+'COEF DEFINITIVO 2019 ANUAL'!G16-'COEF PROVISIONAL 2019 ANUAL'!G16</f>
        <v>1.049511693418026E-2</v>
      </c>
      <c r="E15" s="288">
        <f>+'COEF DEFINITIVO 2019 ANUAL'!I16-'COEF PROVISIONAL 2019 ANUAL'!I16</f>
        <v>1880.964020821033</v>
      </c>
      <c r="F15" s="288">
        <f>+'COEF DEFINITIVO 2019 ANUAL'!K16-'COEF PROVISIONAL 2019 ANUAL'!K16</f>
        <v>2808.5194997633807</v>
      </c>
      <c r="G15" s="288">
        <f>+'COEF DEFINITIVO 2019 ANUAL'!M16-'COEF PROVISIONAL 2019 ANUAL'!M16</f>
        <v>209.99905286773719</v>
      </c>
      <c r="H15" s="288">
        <f>+'COEF DEFINITIVO 2019 ANUAL'!O16-'COEF PROVISIONAL 2019 ANUAL'!O16</f>
        <v>1697.7316108436789</v>
      </c>
      <c r="I15" s="288">
        <f>+'COEF DEFINITIVO 2019 ANUAL'!Q16-'COEF PROVISIONAL 2019 ANUAL'!Q16</f>
        <v>339.58975776858279</v>
      </c>
      <c r="J15" s="288">
        <f>+'COEF DEFINITIVO 2019 ANUAL'!S16-'COEF PROVISIONAL 2019 ANUAL'!S16</f>
        <v>3.0894486699253321E-3</v>
      </c>
      <c r="K15" s="289">
        <f t="shared" si="0"/>
        <v>72675.0550509108</v>
      </c>
    </row>
    <row r="16" spans="1:11">
      <c r="A16" s="170" t="s">
        <v>11</v>
      </c>
      <c r="B16" s="288">
        <f>(+'COEF DEFINITIVO 2019 ANUAL'!C17-'COEF PROVISIONAL 2019 ANUAL'!C17)</f>
        <v>78977.548657801002</v>
      </c>
      <c r="C16" s="288">
        <f>+'COEF DEFINITIVO 2019 ANUAL'!E17-'COEF PROVISIONAL 2019 ANUAL'!E17</f>
        <v>11009.163578224368</v>
      </c>
      <c r="D16" s="288">
        <f>+'COEF DEFINITIVO 2019 ANUAL'!G17-'COEF PROVISIONAL 2019 ANUAL'!G17</f>
        <v>-3.8167852908372879E-3</v>
      </c>
      <c r="E16" s="288">
        <f>+'COEF DEFINITIVO 2019 ANUAL'!I17-'COEF PROVISIONAL 2019 ANUAL'!I17</f>
        <v>2574.7387280636467</v>
      </c>
      <c r="F16" s="288">
        <f>+'COEF DEFINITIVO 2019 ANUAL'!K17-'COEF PROVISIONAL 2019 ANUAL'!K17</f>
        <v>3844.4566848590039</v>
      </c>
      <c r="G16" s="288">
        <f>+'COEF DEFINITIVO 2019 ANUAL'!M17-'COEF PROVISIONAL 2019 ANUAL'!M17</f>
        <v>287.45128384650161</v>
      </c>
      <c r="H16" s="288">
        <f>+'COEF DEFINITIVO 2019 ANUAL'!O17-'COEF PROVISIONAL 2019 ANUAL'!O17</f>
        <v>2323.9575303043239</v>
      </c>
      <c r="I16" s="288">
        <f>+'COEF DEFINITIVO 2019 ANUAL'!Q17-'COEF PROVISIONAL 2019 ANUAL'!Q17</f>
        <v>464.89166885305895</v>
      </c>
      <c r="J16" s="288">
        <f>+'COEF DEFINITIVO 2019 ANUAL'!S17-'COEF PROVISIONAL 2019 ANUAL'!S17</f>
        <v>-1.4685897738672793E-2</v>
      </c>
      <c r="K16" s="289">
        <f t="shared" si="0"/>
        <v>99482.189629268876</v>
      </c>
    </row>
    <row r="17" spans="1:11">
      <c r="A17" s="170" t="s">
        <v>12</v>
      </c>
      <c r="B17" s="288">
        <f>(+'COEF DEFINITIVO 2019 ANUAL'!C18-'COEF PROVISIONAL 2019 ANUAL'!C18)</f>
        <v>-159214.95944514871</v>
      </c>
      <c r="C17" s="288">
        <f>+'COEF DEFINITIVO 2019 ANUAL'!E18-'COEF PROVISIONAL 2019 ANUAL'!E18</f>
        <v>-22193.996626120992</v>
      </c>
      <c r="D17" s="288">
        <f>+'COEF DEFINITIVO 2019 ANUAL'!G18-'COEF PROVISIONAL 2019 ANUAL'!G18</f>
        <v>-6.7497920244932175E-3</v>
      </c>
      <c r="E17" s="288">
        <f>+'COEF DEFINITIVO 2019 ANUAL'!I18-'COEF PROVISIONAL 2019 ANUAL'!I18</f>
        <v>-5190.5221455059946</v>
      </c>
      <c r="F17" s="288">
        <f>+'COEF DEFINITIVO 2019 ANUAL'!K18-'COEF PROVISIONAL 2019 ANUAL'!K18</f>
        <v>-7750.2698943661526</v>
      </c>
      <c r="G17" s="288">
        <f>+'COEF DEFINITIVO 2019 ANUAL'!M18-'COEF PROVISIONAL 2019 ANUAL'!M18</f>
        <v>-579.53663094251533</v>
      </c>
      <c r="H17" s="288">
        <f>+'COEF DEFINITIVO 2019 ANUAL'!O18-'COEF PROVISIONAL 2019 ANUAL'!O18</f>
        <v>-4685.0039462232962</v>
      </c>
      <c r="I17" s="288">
        <f>+'COEF DEFINITIVO 2019 ANUAL'!Q18-'COEF PROVISIONAL 2019 ANUAL'!Q18</f>
        <v>-937.24057624285342</v>
      </c>
      <c r="J17" s="288">
        <f>+'COEF DEFINITIVO 2019 ANUAL'!S18-'COEF PROVISIONAL 2019 ANUAL'!S18</f>
        <v>2.0307912258431315E-2</v>
      </c>
      <c r="K17" s="289">
        <f t="shared" si="0"/>
        <v>-200551.51570643028</v>
      </c>
    </row>
    <row r="18" spans="1:11">
      <c r="A18" s="170" t="s">
        <v>13</v>
      </c>
      <c r="B18" s="288">
        <f>(+'COEF DEFINITIVO 2019 ANUAL'!C19-'COEF PROVISIONAL 2019 ANUAL'!C19)</f>
        <v>-81010.089762020856</v>
      </c>
      <c r="C18" s="288">
        <f>+'COEF DEFINITIVO 2019 ANUAL'!E19-'COEF PROVISIONAL 2019 ANUAL'!E19</f>
        <v>-11292.502022141125</v>
      </c>
      <c r="D18" s="288">
        <f>+'COEF DEFINITIVO 2019 ANUAL'!G19-'COEF PROVISIONAL 2019 ANUAL'!G19</f>
        <v>5.9071932919323444E-3</v>
      </c>
      <c r="E18" s="288">
        <f>+'COEF DEFINITIVO 2019 ANUAL'!I19-'COEF PROVISIONAL 2019 ANUAL'!I19</f>
        <v>-2640.9999126039911</v>
      </c>
      <c r="F18" s="288">
        <f>+'COEF DEFINITIVO 2019 ANUAL'!K19-'COEF PROVISIONAL 2019 ANUAL'!K19</f>
        <v>-3943.3866472602822</v>
      </c>
      <c r="G18" s="288">
        <f>+'COEF DEFINITIVO 2019 ANUAL'!M19-'COEF PROVISIONAL 2019 ANUAL'!M19</f>
        <v>-294.84724622919748</v>
      </c>
      <c r="H18" s="288">
        <f>+'COEF DEFINITIVO 2019 ANUAL'!O19-'COEF PROVISIONAL 2019 ANUAL'!O19</f>
        <v>-2383.7913581845351</v>
      </c>
      <c r="I18" s="288">
        <f>+'COEF DEFINITIVO 2019 ANUAL'!Q19-'COEF PROVISIONAL 2019 ANUAL'!Q19</f>
        <v>-476.85708140919451</v>
      </c>
      <c r="J18" s="288">
        <f>+'COEF DEFINITIVO 2019 ANUAL'!S19-'COEF PROVISIONAL 2019 ANUAL'!S19</f>
        <v>7.9195480793714523E-5</v>
      </c>
      <c r="K18" s="289">
        <f t="shared" si="0"/>
        <v>-102042.46804346041</v>
      </c>
    </row>
    <row r="19" spans="1:11">
      <c r="A19" s="170" t="s">
        <v>14</v>
      </c>
      <c r="B19" s="288">
        <f>(+'COEF DEFINITIVO 2019 ANUAL'!C20-'COEF PROVISIONAL 2019 ANUAL'!C20)</f>
        <v>39279.54109275341</v>
      </c>
      <c r="C19" s="288">
        <f>+'COEF DEFINITIVO 2019 ANUAL'!E20-'COEF PROVISIONAL 2019 ANUAL'!E20</f>
        <v>5475.4343942850828</v>
      </c>
      <c r="D19" s="288">
        <f>+'COEF DEFINITIVO 2019 ANUAL'!G20-'COEF PROVISIONAL 2019 ANUAL'!G20</f>
        <v>4.9857728881761432E-3</v>
      </c>
      <c r="E19" s="288">
        <f>+'COEF DEFINITIVO 2019 ANUAL'!I20-'COEF PROVISIONAL 2019 ANUAL'!I20</f>
        <v>1280.5425157593563</v>
      </c>
      <c r="F19" s="288">
        <f>+'COEF DEFINITIVO 2019 ANUAL'!K20-'COEF PROVISIONAL 2019 ANUAL'!K20</f>
        <v>1912.0745484260842</v>
      </c>
      <c r="G19" s="288">
        <f>+'COEF DEFINITIVO 2019 ANUAL'!M20-'COEF PROVISIONAL 2019 ANUAL'!M20</f>
        <v>142.98199923126958</v>
      </c>
      <c r="H19" s="288">
        <f>+'COEF DEFINITIVO 2019 ANUAL'!O20-'COEF PROVISIONAL 2019 ANUAL'!O20</f>
        <v>1155.8443802390248</v>
      </c>
      <c r="I19" s="288">
        <f>+'COEF DEFINITIVO 2019 ANUAL'!Q20-'COEF PROVISIONAL 2019 ANUAL'!Q20</f>
        <v>231.21269593213219</v>
      </c>
      <c r="J19" s="288">
        <f>+'COEF DEFINITIVO 2019 ANUAL'!S20-'COEF PROVISIONAL 2019 ANUAL'!S20</f>
        <v>2.0164946559816599E-2</v>
      </c>
      <c r="K19" s="289">
        <f t="shared" si="0"/>
        <v>49477.656777345808</v>
      </c>
    </row>
    <row r="20" spans="1:11">
      <c r="A20" s="170" t="s">
        <v>15</v>
      </c>
      <c r="B20" s="288">
        <f>(+'COEF DEFINITIVO 2019 ANUAL'!C21-'COEF PROVISIONAL 2019 ANUAL'!C21)</f>
        <v>11031.279070284218</v>
      </c>
      <c r="C20" s="288">
        <f>+'COEF DEFINITIVO 2019 ANUAL'!E21-'COEF PROVISIONAL 2019 ANUAL'!E21</f>
        <v>1537.6967170434073</v>
      </c>
      <c r="D20" s="288">
        <f>+'COEF DEFINITIVO 2019 ANUAL'!G21-'COEF PROVISIONAL 2019 ANUAL'!G21</f>
        <v>-3.248150460422039E-3</v>
      </c>
      <c r="E20" s="288">
        <f>+'COEF DEFINITIVO 2019 ANUAL'!I21-'COEF PROVISIONAL 2019 ANUAL'!I21</f>
        <v>359.63859171548393</v>
      </c>
      <c r="F20" s="288">
        <f>+'COEF DEFINITIVO 2019 ANUAL'!K21-'COEF PROVISIONAL 2019 ANUAL'!K21</f>
        <v>536.97130920109339</v>
      </c>
      <c r="G20" s="288">
        <f>+'COEF DEFINITIVO 2019 ANUAL'!M21-'COEF PROVISIONAL 2019 ANUAL'!M21</f>
        <v>40.140696559872595</v>
      </c>
      <c r="H20" s="288">
        <f>+'COEF DEFINITIVO 2019 ANUAL'!O21-'COEF PROVISIONAL 2019 ANUAL'!O21</f>
        <v>324.59628845972475</v>
      </c>
      <c r="I20" s="288">
        <f>+'COEF DEFINITIVO 2019 ANUAL'!Q21-'COEF PROVISIONAL 2019 ANUAL'!Q21</f>
        <v>64.893950742218294</v>
      </c>
      <c r="J20" s="288">
        <f>+'COEF DEFINITIVO 2019 ANUAL'!S21-'COEF PROVISIONAL 2019 ANUAL'!S21</f>
        <v>1.1839009530376643E-2</v>
      </c>
      <c r="K20" s="289">
        <f t="shared" si="0"/>
        <v>13895.225214865088</v>
      </c>
    </row>
    <row r="21" spans="1:11">
      <c r="A21" s="170" t="s">
        <v>16</v>
      </c>
      <c r="B21" s="288">
        <f>(+'COEF DEFINITIVO 2019 ANUAL'!C22-'COEF PROVISIONAL 2019 ANUAL'!C22)</f>
        <v>-39446.715483425185</v>
      </c>
      <c r="C21" s="288">
        <f>+'COEF DEFINITIVO 2019 ANUAL'!E22-'COEF PROVISIONAL 2019 ANUAL'!E22</f>
        <v>-5498.7143862335943</v>
      </c>
      <c r="D21" s="288">
        <f>+'COEF DEFINITIVO 2019 ANUAL'!G22-'COEF PROVISIONAL 2019 ANUAL'!G22</f>
        <v>-7.8524406999349594E-3</v>
      </c>
      <c r="E21" s="288">
        <f>+'COEF DEFINITIVO 2019 ANUAL'!I22-'COEF PROVISIONAL 2019 ANUAL'!I22</f>
        <v>-1286.0182464487734</v>
      </c>
      <c r="F21" s="288">
        <f>+'COEF DEFINITIVO 2019 ANUAL'!K22-'COEF PROVISIONAL 2019 ANUAL'!K22</f>
        <v>-1920.2119498733664</v>
      </c>
      <c r="G21" s="288">
        <f>+'COEF DEFINITIVO 2019 ANUAL'!M22-'COEF PROVISIONAL 2019 ANUAL'!M22</f>
        <v>-143.54779429891641</v>
      </c>
      <c r="H21" s="288">
        <f>+'COEF DEFINITIVO 2019 ANUAL'!O22-'COEF PROVISIONAL 2019 ANUAL'!O22</f>
        <v>-1160.7677405767608</v>
      </c>
      <c r="I21" s="288">
        <f>+'COEF DEFINITIVO 2019 ANUAL'!Q22-'COEF PROVISIONAL 2019 ANUAL'!Q22</f>
        <v>-232.22165546187898</v>
      </c>
      <c r="J21" s="288">
        <f>+'COEF DEFINITIVO 2019 ANUAL'!S22-'COEF PROVISIONAL 2019 ANUAL'!S22</f>
        <v>1.8940703972475603E-2</v>
      </c>
      <c r="K21" s="289">
        <f t="shared" si="0"/>
        <v>-49688.186168055203</v>
      </c>
    </row>
    <row r="22" spans="1:11">
      <c r="A22" s="170" t="s">
        <v>17</v>
      </c>
      <c r="B22" s="288">
        <f>(+'COEF DEFINITIVO 2019 ANUAL'!C23-'COEF PROVISIONAL 2019 ANUAL'!C23)</f>
        <v>-345953.25464472175</v>
      </c>
      <c r="C22" s="288">
        <f>+'COEF DEFINITIVO 2019 ANUAL'!E23-'COEF PROVISIONAL 2019 ANUAL'!E23</f>
        <v>-48224.643588878214</v>
      </c>
      <c r="D22" s="288">
        <f>+'COEF DEFINITIVO 2019 ANUAL'!G23-'COEF PROVISIONAL 2019 ANUAL'!G23</f>
        <v>-9.9087422713637352E-3</v>
      </c>
      <c r="E22" s="288">
        <f>+'COEF DEFINITIVO 2019 ANUAL'!I23-'COEF PROVISIONAL 2019 ANUAL'!I23</f>
        <v>-11278.343277511187</v>
      </c>
      <c r="F22" s="288">
        <f>+'COEF DEFINITIVO 2019 ANUAL'!K23-'COEF PROVISIONAL 2019 ANUAL'!K23</f>
        <v>-16840.299313722178</v>
      </c>
      <c r="G22" s="288">
        <f>+'COEF DEFINITIVO 2019 ANUAL'!M23-'COEF PROVISIONAL 2019 ANUAL'!M23</f>
        <v>-1259.2028682464152</v>
      </c>
      <c r="H22" s="288">
        <f>+'COEF DEFINITIVO 2019 ANUAL'!O23-'COEF PROVISIONAL 2019 ANUAL'!O23</f>
        <v>-10179.981568648946</v>
      </c>
      <c r="I22" s="288">
        <f>+'COEF DEFINITIVO 2019 ANUAL'!Q23-'COEF PROVISIONAL 2019 ANUAL'!Q23</f>
        <v>-2036.434973446303</v>
      </c>
      <c r="J22" s="288">
        <f>+'COEF DEFINITIVO 2019 ANUAL'!S23-'COEF PROVISIONAL 2019 ANUAL'!S23</f>
        <v>2.3355581797659397E-2</v>
      </c>
      <c r="K22" s="289">
        <f t="shared" si="0"/>
        <v>-435772.14678833546</v>
      </c>
    </row>
    <row r="23" spans="1:11">
      <c r="A23" s="170" t="s">
        <v>18</v>
      </c>
      <c r="B23" s="288">
        <f>(+'COEF DEFINITIVO 2019 ANUAL'!C24-'COEF PROVISIONAL 2019 ANUAL'!C24)</f>
        <v>389654.45872721076</v>
      </c>
      <c r="C23" s="288">
        <f>+'COEF DEFINITIVO 2019 ANUAL'!E24-'COEF PROVISIONAL 2019 ANUAL'!E24</f>
        <v>54316.412928719074</v>
      </c>
      <c r="D23" s="288">
        <f>+'COEF DEFINITIVO 2019 ANUAL'!G24-'COEF PROVISIONAL 2019 ANUAL'!G24</f>
        <v>-1.4781848527491093E-2</v>
      </c>
      <c r="E23" s="288">
        <f>+'COEF DEFINITIVO 2019 ANUAL'!I24-'COEF PROVISIONAL 2019 ANUAL'!I24</f>
        <v>12703.069110825658</v>
      </c>
      <c r="F23" s="288">
        <f>+'COEF DEFINITIVO 2019 ANUAL'!K24-'COEF PROVISIONAL 2019 ANUAL'!K24</f>
        <v>18967.6098769214</v>
      </c>
      <c r="G23" s="288">
        <f>+'COEF DEFINITIVO 2019 ANUAL'!M24-'COEF PROVISIONAL 2019 ANUAL'!M24</f>
        <v>1418.2982306244667</v>
      </c>
      <c r="H23" s="288">
        <f>+'COEF DEFINITIVO 2019 ANUAL'!O24-'COEF PROVISIONAL 2019 ANUAL'!O24</f>
        <v>11465.896763686556</v>
      </c>
      <c r="I23" s="288">
        <f>+'COEF DEFINITIVO 2019 ANUAL'!Q24-'COEF PROVISIONAL 2019 ANUAL'!Q24</f>
        <v>2293.6704337319825</v>
      </c>
      <c r="J23" s="288">
        <f>+'COEF DEFINITIVO 2019 ANUAL'!S24-'COEF PROVISIONAL 2019 ANUAL'!S24</f>
        <v>4.560534842312336E-3</v>
      </c>
      <c r="K23" s="289">
        <f t="shared" si="0"/>
        <v>490819.40585040621</v>
      </c>
    </row>
    <row r="24" spans="1:11">
      <c r="A24" s="170" t="s">
        <v>19</v>
      </c>
      <c r="B24" s="288">
        <f>(+'COEF DEFINITIVO 2019 ANUAL'!C25-'COEF PROVISIONAL 2019 ANUAL'!C25)</f>
        <v>-66492.328605715185</v>
      </c>
      <c r="C24" s="288">
        <f>+'COEF DEFINITIVO 2019 ANUAL'!E25-'COEF PROVISIONAL 2019 ANUAL'!E25</f>
        <v>-9268.8044270463288</v>
      </c>
      <c r="D24" s="288">
        <f>+'COEF DEFINITIVO 2019 ANUAL'!G25-'COEF PROVISIONAL 2019 ANUAL'!G25</f>
        <v>-5.7754945009946823E-4</v>
      </c>
      <c r="E24" s="288">
        <f>+'COEF DEFINITIVO 2019 ANUAL'!I25-'COEF PROVISIONAL 2019 ANUAL'!I25</f>
        <v>-2167.7033490025206</v>
      </c>
      <c r="F24" s="288">
        <f>+'COEF DEFINITIVO 2019 ANUAL'!K25-'COEF PROVISIONAL 2019 ANUAL'!K25</f>
        <v>-3236.7230299259536</v>
      </c>
      <c r="G24" s="288">
        <f>+'COEF DEFINITIVO 2019 ANUAL'!M25-'COEF PROVISIONAL 2019 ANUAL'!M25</f>
        <v>-242.02673984982539</v>
      </c>
      <c r="H24" s="288">
        <f>+'COEF DEFINITIVO 2019 ANUAL'!O25-'COEF PROVISIONAL 2019 ANUAL'!O25</f>
        <v>-1956.5819235701347</v>
      </c>
      <c r="I24" s="288">
        <f>+'COEF DEFINITIVO 2019 ANUAL'!Q25-'COEF PROVISIONAL 2019 ANUAL'!Q25</f>
        <v>-391.37654568860307</v>
      </c>
      <c r="J24" s="288">
        <f>+'COEF DEFINITIVO 2019 ANUAL'!S25-'COEF PROVISIONAL 2019 ANUAL'!S25</f>
        <v>-2.0345559460110962E-2</v>
      </c>
      <c r="K24" s="289">
        <f t="shared" si="0"/>
        <v>-83755.565543907462</v>
      </c>
    </row>
    <row r="25" spans="1:11">
      <c r="A25" s="170" t="s">
        <v>20</v>
      </c>
      <c r="B25" s="288">
        <f>(+'COEF DEFINITIVO 2019 ANUAL'!C26-'COEF PROVISIONAL 2019 ANUAL'!C26)</f>
        <v>-908910.72871619463</v>
      </c>
      <c r="C25" s="288">
        <f>+'COEF DEFINITIVO 2019 ANUAL'!E26-'COEF PROVISIONAL 2019 ANUAL'!E26</f>
        <v>-126698.85120443255</v>
      </c>
      <c r="D25" s="288">
        <f>+'COEF DEFINITIVO 2019 ANUAL'!G26-'COEF PROVISIONAL 2019 ANUAL'!G26</f>
        <v>-1.7163300886750221E-2</v>
      </c>
      <c r="E25" s="288">
        <f>+'COEF DEFINITIVO 2019 ANUAL'!I26-'COEF PROVISIONAL 2019 ANUAL'!I26</f>
        <v>-29631.248506842181</v>
      </c>
      <c r="F25" s="288">
        <f>+'COEF DEFINITIVO 2019 ANUAL'!K26-'COEF PROVISIONAL 2019 ANUAL'!K26</f>
        <v>-44243.870669165626</v>
      </c>
      <c r="G25" s="288">
        <f>+'COEF DEFINITIVO 2019 ANUAL'!M26-'COEF PROVISIONAL 2019 ANUAL'!M26</f>
        <v>-3308.2871619649231</v>
      </c>
      <c r="H25" s="288">
        <f>+'COEF DEFINITIVO 2019 ANUAL'!O26-'COEF PROVISIONAL 2019 ANUAL'!O26</f>
        <v>-26745.4191164691</v>
      </c>
      <c r="I25" s="288">
        <f>+'COEF DEFINITIVO 2019 ANUAL'!Q26-'COEF PROVISIONAL 2019 ANUAL'!Q26</f>
        <v>-5350.2652294375002</v>
      </c>
      <c r="J25" s="288">
        <f>+'COEF DEFINITIVO 2019 ANUAL'!S26-'COEF PROVISIONAL 2019 ANUAL'!S26</f>
        <v>3.5354025661945343E-2</v>
      </c>
      <c r="K25" s="289">
        <f t="shared" si="0"/>
        <v>-1144888.6524137817</v>
      </c>
    </row>
    <row r="26" spans="1:11">
      <c r="A26" s="170" t="s">
        <v>21</v>
      </c>
      <c r="B26" s="288">
        <f>(+'COEF DEFINITIVO 2019 ANUAL'!C27-'COEF PROVISIONAL 2019 ANUAL'!C27)</f>
        <v>-134197.25323822349</v>
      </c>
      <c r="C26" s="288">
        <f>+'COEF DEFINITIVO 2019 ANUAL'!E27-'COEF PROVISIONAL 2019 ANUAL'!E27</f>
        <v>-18706.62653935235</v>
      </c>
      <c r="D26" s="288">
        <f>+'COEF DEFINITIVO 2019 ANUAL'!G27-'COEF PROVISIONAL 2019 ANUAL'!G27</f>
        <v>-5.5450783111155033E-3</v>
      </c>
      <c r="E26" s="288">
        <f>+'COEF DEFINITIVO 2019 ANUAL'!I27-'COEF PROVISIONAL 2019 ANUAL'!I27</f>
        <v>-4374.9324639621191</v>
      </c>
      <c r="F26" s="288">
        <f>+'COEF DEFINITIVO 2019 ANUAL'!K27-'COEF PROVISIONAL 2019 ANUAL'!K27</f>
        <v>-6532.4290390489623</v>
      </c>
      <c r="G26" s="288">
        <f>+'COEF DEFINITIVO 2019 ANUAL'!M27-'COEF PROVISIONAL 2019 ANUAL'!M27</f>
        <v>-488.45693438395392</v>
      </c>
      <c r="H26" s="288">
        <f>+'COEF DEFINITIVO 2019 ANUAL'!O27-'COEF PROVISIONAL 2019 ANUAL'!O27</f>
        <v>-3948.8420713990927</v>
      </c>
      <c r="I26" s="288">
        <f>+'COEF DEFINITIVO 2019 ANUAL'!Q27-'COEF PROVISIONAL 2019 ANUAL'!Q27</f>
        <v>-789.97000011510681</v>
      </c>
      <c r="J26" s="288">
        <f>+'COEF DEFINITIVO 2019 ANUAL'!S27-'COEF PROVISIONAL 2019 ANUAL'!S27</f>
        <v>2.3612800054252148E-2</v>
      </c>
      <c r="K26" s="289">
        <f t="shared" si="0"/>
        <v>-169038.49221876333</v>
      </c>
    </row>
    <row r="27" spans="1:11">
      <c r="A27" s="170" t="s">
        <v>22</v>
      </c>
      <c r="B27" s="288">
        <f>(+'COEF DEFINITIVO 2019 ANUAL'!C28-'COEF PROVISIONAL 2019 ANUAL'!C28)</f>
        <v>-21525.299562066793</v>
      </c>
      <c r="C27" s="288">
        <f>+'COEF DEFINITIVO 2019 ANUAL'!E28-'COEF PROVISIONAL 2019 ANUAL'!E28</f>
        <v>-3000.5680602437351</v>
      </c>
      <c r="D27" s="288">
        <f>+'COEF DEFINITIVO 2019 ANUAL'!G28-'COEF PROVISIONAL 2019 ANUAL'!G28</f>
        <v>-5.2718231454491615E-3</v>
      </c>
      <c r="E27" s="288">
        <f>+'COEF DEFINITIVO 2019 ANUAL'!I28-'COEF PROVISIONAL 2019 ANUAL'!I28</f>
        <v>-701.76845572155435</v>
      </c>
      <c r="F27" s="288">
        <f>+'COEF DEFINITIVO 2019 ANUAL'!K28-'COEF PROVISIONAL 2019 ANUAL'!K28</f>
        <v>-1047.8024240952218</v>
      </c>
      <c r="G27" s="288">
        <f>+'COEF DEFINITIVO 2019 ANUAL'!M28-'COEF PROVISIONAL 2019 ANUAL'!M28</f>
        <v>-78.366257449557452</v>
      </c>
      <c r="H27" s="288">
        <f>+'COEF DEFINITIVO 2019 ANUAL'!O28-'COEF PROVISIONAL 2019 ANUAL'!O28</f>
        <v>-633.39621737771085</v>
      </c>
      <c r="I27" s="288">
        <f>+'COEF DEFINITIVO 2019 ANUAL'!Q28-'COEF PROVISIONAL 2019 ANUAL'!Q28</f>
        <v>-126.73450675658387</v>
      </c>
      <c r="J27" s="288">
        <f>+'COEF DEFINITIVO 2019 ANUAL'!S28-'COEF PROVISIONAL 2019 ANUAL'!S28</f>
        <v>2.3059948231093585E-2</v>
      </c>
      <c r="K27" s="289">
        <f t="shared" si="0"/>
        <v>-27113.917695586071</v>
      </c>
    </row>
    <row r="28" spans="1:11">
      <c r="A28" s="170" t="s">
        <v>23</v>
      </c>
      <c r="B28" s="288">
        <f>(+'COEF DEFINITIVO 2019 ANUAL'!C29-'COEF PROVISIONAL 2019 ANUAL'!C29)</f>
        <v>-25316.097306456417</v>
      </c>
      <c r="C28" s="288">
        <f>+'COEF DEFINITIVO 2019 ANUAL'!E29-'COEF PROVISIONAL 2019 ANUAL'!E29</f>
        <v>-3528.9646646995097</v>
      </c>
      <c r="D28" s="288">
        <f>+'COEF DEFINITIVO 2019 ANUAL'!G29-'COEF PROVISIONAL 2019 ANUAL'!G29</f>
        <v>0</v>
      </c>
      <c r="E28" s="288">
        <f>+'COEF DEFINITIVO 2019 ANUAL'!I29-'COEF PROVISIONAL 2019 ANUAL'!I29</f>
        <v>-825.3272143502254</v>
      </c>
      <c r="F28" s="288">
        <f>+'COEF DEFINITIVO 2019 ANUAL'!K29-'COEF PROVISIONAL 2019 ANUAL'!K29</f>
        <v>-1232.3342929740902</v>
      </c>
      <c r="G28" s="288">
        <f>+'COEF DEFINITIVO 2019 ANUAL'!M29-'COEF PROVISIONAL 2019 ANUAL'!M29</f>
        <v>-92.141901466224226</v>
      </c>
      <c r="H28" s="288">
        <f>+'COEF DEFINITIVO 2019 ANUAL'!O29-'COEF PROVISIONAL 2019 ANUAL'!O29</f>
        <v>-744.92850783991162</v>
      </c>
      <c r="I28" s="288">
        <f>+'COEF DEFINITIVO 2019 ANUAL'!Q29-'COEF PROVISIONAL 2019 ANUAL'!Q29</f>
        <v>-148.99183801829349</v>
      </c>
      <c r="J28" s="288">
        <f>+'COEF DEFINITIVO 2019 ANUAL'!S29-'COEF PROVISIONAL 2019 ANUAL'!S29</f>
        <v>-1.4902995782904327E-2</v>
      </c>
      <c r="K28" s="289">
        <f t="shared" si="0"/>
        <v>-31888.800628800454</v>
      </c>
    </row>
    <row r="29" spans="1:11">
      <c r="A29" s="170" t="s">
        <v>24</v>
      </c>
      <c r="B29" s="288">
        <f>(+'COEF DEFINITIVO 2019 ANUAL'!C30-'COEF PROVISIONAL 2019 ANUAL'!C30)</f>
        <v>-12993.711046986282</v>
      </c>
      <c r="C29" s="288">
        <f>+'COEF DEFINITIVO 2019 ANUAL'!E30-'COEF PROVISIONAL 2019 ANUAL'!E30</f>
        <v>-1811.2622089404613</v>
      </c>
      <c r="D29" s="288">
        <f>+'COEF DEFINITIVO 2019 ANUAL'!G30-'COEF PROVISIONAL 2019 ANUAL'!G30</f>
        <v>0</v>
      </c>
      <c r="E29" s="288">
        <f>+'COEF DEFINITIVO 2019 ANUAL'!I30-'COEF PROVISIONAL 2019 ANUAL'!I30</f>
        <v>-423.62394111359026</v>
      </c>
      <c r="F29" s="288">
        <f>+'COEF DEFINITIVO 2019 ANUAL'!K30-'COEF PROVISIONAL 2019 ANUAL'!K30</f>
        <v>-632.52634382131509</v>
      </c>
      <c r="G29" s="288">
        <f>+'COEF DEFINITIVO 2019 ANUAL'!M30-'COEF PROVISIONAL 2019 ANUAL'!M30</f>
        <v>-47.285877509973943</v>
      </c>
      <c r="H29" s="288">
        <f>+'COEF DEFINITIVO 2019 ANUAL'!O30-'COEF PROVISIONAL 2019 ANUAL'!O30</f>
        <v>-382.33680280856788</v>
      </c>
      <c r="I29" s="288">
        <f>+'COEF DEFINITIVO 2019 ANUAL'!Q30-'COEF PROVISIONAL 2019 ANUAL'!Q30</f>
        <v>-76.51808312808862</v>
      </c>
      <c r="J29" s="288">
        <f>+'COEF DEFINITIVO 2019 ANUAL'!S30-'COEF PROVISIONAL 2019 ANUAL'!S30</f>
        <v>2.3431490641087294E-2</v>
      </c>
      <c r="K29" s="289">
        <f t="shared" si="0"/>
        <v>-16367.240872817638</v>
      </c>
    </row>
    <row r="30" spans="1:11">
      <c r="A30" s="170" t="s">
        <v>25</v>
      </c>
      <c r="B30" s="288">
        <f>(+'COEF DEFINITIVO 2019 ANUAL'!C31-'COEF PROVISIONAL 2019 ANUAL'!C31)</f>
        <v>-328117.12805634737</v>
      </c>
      <c r="C30" s="288">
        <f>+'COEF DEFINITIVO 2019 ANUAL'!E31-'COEF PROVISIONAL 2019 ANUAL'!E31</f>
        <v>-45738.314834326506</v>
      </c>
      <c r="D30" s="288">
        <f>+'COEF DEFINITIVO 2019 ANUAL'!G31-'COEF PROVISIONAL 2019 ANUAL'!G31</f>
        <v>-1.5179943293333054E-2</v>
      </c>
      <c r="E30" s="288">
        <f>+'COEF DEFINITIVO 2019 ANUAL'!I31-'COEF PROVISIONAL 2019 ANUAL'!I31</f>
        <v>-10696.879675794393</v>
      </c>
      <c r="F30" s="288">
        <f>+'COEF DEFINITIVO 2019 ANUAL'!K31-'COEF PROVISIONAL 2019 ANUAL'!K31</f>
        <v>-15972.057242486626</v>
      </c>
      <c r="G30" s="288">
        <f>+'COEF DEFINITIVO 2019 ANUAL'!M31-'COEF PROVISIONAL 2019 ANUAL'!M31</f>
        <v>-1194.2901948499493</v>
      </c>
      <c r="H30" s="288">
        <f>+'COEF DEFINITIVO 2019 ANUAL'!O31-'COEF PROVISIONAL 2019 ANUAL'!O31</f>
        <v>-9655.1193310655653</v>
      </c>
      <c r="I30" s="288">
        <f>+'COEF DEFINITIVO 2019 ANUAL'!Q31-'COEF PROVISIONAL 2019 ANUAL'!Q31</f>
        <v>-1931.4690784416161</v>
      </c>
      <c r="J30" s="288">
        <f>+'COEF DEFINITIVO 2019 ANUAL'!S31-'COEF PROVISIONAL 2019 ANUAL'!S31</f>
        <v>1.3417847454547882E-2</v>
      </c>
      <c r="K30" s="289">
        <f t="shared" si="0"/>
        <v>-413305.26017540786</v>
      </c>
    </row>
    <row r="31" spans="1:11">
      <c r="A31" s="170" t="s">
        <v>26</v>
      </c>
      <c r="B31" s="288">
        <f>(+'COEF DEFINITIVO 2019 ANUAL'!C32-'COEF PROVISIONAL 2019 ANUAL'!C32)</f>
        <v>-40028.337774405256</v>
      </c>
      <c r="C31" s="288">
        <f>+'COEF DEFINITIVO 2019 ANUAL'!E32-'COEF PROVISIONAL 2019 ANUAL'!E32</f>
        <v>-5579.8251887883525</v>
      </c>
      <c r="D31" s="288">
        <f>+'COEF DEFINITIVO 2019 ANUAL'!G32-'COEF PROVISIONAL 2019 ANUAL'!G32</f>
        <v>-1.2154825031757355E-2</v>
      </c>
      <c r="E31" s="288">
        <f>+'COEF DEFINITIVO 2019 ANUAL'!I32-'COEF PROVISIONAL 2019 ANUAL'!I32</f>
        <v>-1304.9617537932354</v>
      </c>
      <c r="F31" s="288">
        <f>+'COEF DEFINITIVO 2019 ANUAL'!K32-'COEF PROVISIONAL 2019 ANUAL'!K32</f>
        <v>-1948.4829414646374</v>
      </c>
      <c r="G31" s="288">
        <f>+'COEF DEFINITIVO 2019 ANUAL'!M32-'COEF PROVISIONAL 2019 ANUAL'!M32</f>
        <v>-145.70229617973382</v>
      </c>
      <c r="H31" s="288">
        <f>+'COEF DEFINITIVO 2019 ANUAL'!O32-'COEF PROVISIONAL 2019 ANUAL'!O32</f>
        <v>-1177.854482471128</v>
      </c>
      <c r="I31" s="288">
        <f>+'COEF DEFINITIVO 2019 ANUAL'!Q32-'COEF PROVISIONAL 2019 ANUAL'!Q32</f>
        <v>-235.64156807103427</v>
      </c>
      <c r="J31" s="288">
        <f>+'COEF DEFINITIVO 2019 ANUAL'!S32-'COEF PROVISIONAL 2019 ANUAL'!S32</f>
        <v>5.1407605642452836E-3</v>
      </c>
      <c r="K31" s="289">
        <f t="shared" si="0"/>
        <v>-50420.813019237845</v>
      </c>
    </row>
    <row r="32" spans="1:11">
      <c r="A32" s="170" t="s">
        <v>27</v>
      </c>
      <c r="B32" s="288">
        <f>(+'COEF DEFINITIVO 2019 ANUAL'!C33-'COEF PROVISIONAL 2019 ANUAL'!C33)</f>
        <v>-68902.632903069258</v>
      </c>
      <c r="C32" s="288">
        <f>+'COEF DEFINITIVO 2019 ANUAL'!E33-'COEF PROVISIONAL 2019 ANUAL'!E33</f>
        <v>-9604.7660973849706</v>
      </c>
      <c r="D32" s="288">
        <f>+'COEF DEFINITIVO 2019 ANUAL'!G33-'COEF PROVISIONAL 2019 ANUAL'!G33</f>
        <v>7.9480735585093498E-3</v>
      </c>
      <c r="E32" s="288">
        <f>+'COEF DEFINITIVO 2019 ANUAL'!I33-'COEF PROVISIONAL 2019 ANUAL'!I33</f>
        <v>-2246.254222725518</v>
      </c>
      <c r="F32" s="288">
        <f>+'COEF DEFINITIVO 2019 ANUAL'!K33-'COEF PROVISIONAL 2019 ANUAL'!K33</f>
        <v>-3354.0537685074378</v>
      </c>
      <c r="G32" s="288">
        <f>+'COEF DEFINITIVO 2019 ANUAL'!M33-'COEF PROVISIONAL 2019 ANUAL'!M33</f>
        <v>-250.80851872978383</v>
      </c>
      <c r="H32" s="288">
        <f>+'COEF DEFINITIVO 2019 ANUAL'!O33-'COEF PROVISIONAL 2019 ANUAL'!O33</f>
        <v>-2027.5263196541928</v>
      </c>
      <c r="I32" s="288">
        <f>+'COEF DEFINITIVO 2019 ANUAL'!Q33-'COEF PROVISIONAL 2019 ANUAL'!Q33</f>
        <v>-405.57260445828433</v>
      </c>
      <c r="J32" s="288">
        <f>+'COEF DEFINITIVO 2019 ANUAL'!S33-'COEF PROVISIONAL 2019 ANUAL'!S33</f>
        <v>1.4825534075498581E-2</v>
      </c>
      <c r="K32" s="289">
        <f t="shared" si="0"/>
        <v>-86791.591660921811</v>
      </c>
    </row>
    <row r="33" spans="1:11">
      <c r="A33" s="170" t="s">
        <v>28</v>
      </c>
      <c r="B33" s="288">
        <f>(+'COEF DEFINITIVO 2019 ANUAL'!C34-'COEF PROVISIONAL 2019 ANUAL'!C34)</f>
        <v>5158.8419282734394</v>
      </c>
      <c r="C33" s="288">
        <f>+'COEF DEFINITIVO 2019 ANUAL'!E34-'COEF PROVISIONAL 2019 ANUAL'!E34</f>
        <v>719.09336143848486</v>
      </c>
      <c r="D33" s="288">
        <f>+'COEF DEFINITIVO 2019 ANUAL'!G34-'COEF PROVISIONAL 2019 ANUAL'!G34</f>
        <v>4.1589592583477497E-3</v>
      </c>
      <c r="E33" s="288">
        <f>+'COEF DEFINITIVO 2019 ANUAL'!I34-'COEF PROVISIONAL 2019 ANUAL'!I34</f>
        <v>168.16645281761885</v>
      </c>
      <c r="F33" s="288">
        <f>+'COEF DEFINITIVO 2019 ANUAL'!K34-'COEF PROVISIONAL 2019 ANUAL'!K34</f>
        <v>251.14192444784567</v>
      </c>
      <c r="G33" s="288">
        <f>+'COEF DEFINITIVO 2019 ANUAL'!M34-'COEF PROVISIONAL 2019 ANUAL'!M34</f>
        <v>18.785528749904188</v>
      </c>
      <c r="H33" s="288">
        <f>+'COEF DEFINITIVO 2019 ANUAL'!O34-'COEF PROVISIONAL 2019 ANUAL'!O34</f>
        <v>151.79248750064289</v>
      </c>
      <c r="I33" s="288">
        <f>+'COEF DEFINITIVO 2019 ANUAL'!Q34-'COEF PROVISIONAL 2019 ANUAL'!Q34</f>
        <v>30.332280413625995</v>
      </c>
      <c r="J33" s="288">
        <f>+'COEF DEFINITIVO 2019 ANUAL'!S34-'COEF PROVISIONAL 2019 ANUAL'!S34</f>
        <v>-2.9606619995320216E-2</v>
      </c>
      <c r="K33" s="289">
        <f t="shared" si="0"/>
        <v>6498.1285159808249</v>
      </c>
    </row>
    <row r="34" spans="1:11">
      <c r="A34" s="170" t="s">
        <v>29</v>
      </c>
      <c r="B34" s="288">
        <f>(+'COEF DEFINITIVO 2019 ANUAL'!C35-'COEF PROVISIONAL 2019 ANUAL'!C35)</f>
        <v>-55160.712928727269</v>
      </c>
      <c r="C34" s="288">
        <f>+'COEF DEFINITIVO 2019 ANUAL'!E35-'COEF PROVISIONAL 2019 ANUAL'!E35</f>
        <v>-7689.2078349273652</v>
      </c>
      <c r="D34" s="288">
        <f>+'COEF DEFINITIVO 2019 ANUAL'!G35-'COEF PROVISIONAL 2019 ANUAL'!G35</f>
        <v>1.0743055492639542E-2</v>
      </c>
      <c r="E34" s="288">
        <f>+'COEF DEFINITIVO 2019 ANUAL'!I35-'COEF PROVISIONAL 2019 ANUAL'!I35</f>
        <v>-1798.3050366815878</v>
      </c>
      <c r="F34" s="288">
        <f>+'COEF DEFINITIVO 2019 ANUAL'!K35-'COEF PROVISIONAL 2019 ANUAL'!K35</f>
        <v>-2685.1027829060331</v>
      </c>
      <c r="G34" s="288">
        <f>+'COEF DEFINITIVO 2019 ANUAL'!M35-'COEF PROVISIONAL 2019 ANUAL'!M35</f>
        <v>-200.77416660205927</v>
      </c>
      <c r="H34" s="288">
        <f>+'COEF DEFINITIVO 2019 ANUAL'!O35-'COEF PROVISIONAL 2019 ANUAL'!O35</f>
        <v>-1623.1679079555324</v>
      </c>
      <c r="I34" s="288">
        <f>+'COEF DEFINITIVO 2019 ANUAL'!Q35-'COEF PROVISIONAL 2019 ANUAL'!Q35</f>
        <v>-324.66431604261743</v>
      </c>
      <c r="J34" s="288">
        <f>+'COEF DEFINITIVO 2019 ANUAL'!S35-'COEF PROVISIONAL 2019 ANUAL'!S35</f>
        <v>-2.0223759347572923E-2</v>
      </c>
      <c r="K34" s="289">
        <f t="shared" si="0"/>
        <v>-69481.944454546319</v>
      </c>
    </row>
    <row r="35" spans="1:11">
      <c r="A35" s="170" t="s">
        <v>30</v>
      </c>
      <c r="B35" s="288">
        <f>(+'COEF DEFINITIVO 2019 ANUAL'!C36-'COEF PROVISIONAL 2019 ANUAL'!C36)</f>
        <v>-7016.6712333094329</v>
      </c>
      <c r="C35" s="288">
        <f>+'COEF DEFINITIVO 2019 ANUAL'!E36-'COEF PROVISIONAL 2019 ANUAL'!E36</f>
        <v>-978.10405274899676</v>
      </c>
      <c r="D35" s="288">
        <f>+'COEF DEFINITIVO 2019 ANUAL'!G36-'COEF PROVISIONAL 2019 ANUAL'!G36</f>
        <v>-1.9207265228033066E-2</v>
      </c>
      <c r="E35" s="288">
        <f>+'COEF DEFINITIVO 2019 ANUAL'!I36-'COEF PROVISIONAL 2019 ANUAL'!I36</f>
        <v>-228.71729419904295</v>
      </c>
      <c r="F35" s="288">
        <f>+'COEF DEFINITIVO 2019 ANUAL'!K36-'COEF PROVISIONAL 2019 ANUAL'!K36</f>
        <v>-341.53912452235818</v>
      </c>
      <c r="G35" s="288">
        <f>+'COEF DEFINITIVO 2019 ANUAL'!M36-'COEF PROVISIONAL 2019 ANUAL'!M36</f>
        <v>-25.526390878549137</v>
      </c>
      <c r="H35" s="288">
        <f>+'COEF DEFINITIVO 2019 ANUAL'!O36-'COEF PROVISIONAL 2019 ANUAL'!O36</f>
        <v>-206.46077790472191</v>
      </c>
      <c r="I35" s="288">
        <f>+'COEF DEFINITIVO 2019 ANUAL'!Q36-'COEF PROVISIONAL 2019 ANUAL'!Q36</f>
        <v>-41.336028545381851</v>
      </c>
      <c r="J35" s="288">
        <f>+'COEF DEFINITIVO 2019 ANUAL'!S36-'COEF PROVISIONAL 2019 ANUAL'!S36</f>
        <v>3.4463892807252705E-3</v>
      </c>
      <c r="K35" s="289">
        <f t="shared" si="0"/>
        <v>-8838.370662984431</v>
      </c>
    </row>
    <row r="36" spans="1:11">
      <c r="A36" s="170" t="s">
        <v>31</v>
      </c>
      <c r="B36" s="288">
        <f>(+'COEF DEFINITIVO 2019 ANUAL'!C37-'COEF PROVISIONAL 2019 ANUAL'!C37)</f>
        <v>-482299.63057181239</v>
      </c>
      <c r="C36" s="288">
        <f>+'COEF DEFINITIVO 2019 ANUAL'!E37-'COEF PROVISIONAL 2019 ANUAL'!E37</f>
        <v>-67230.812574230134</v>
      </c>
      <c r="D36" s="288">
        <f>+'COEF DEFINITIVO 2019 ANUAL'!G37-'COEF PROVISIONAL 2019 ANUAL'!G37</f>
        <v>0</v>
      </c>
      <c r="E36" s="288">
        <f>+'COEF DEFINITIVO 2019 ANUAL'!I37-'COEF PROVISIONAL 2019 ANUAL'!I37</f>
        <v>-15723.364398729056</v>
      </c>
      <c r="F36" s="288">
        <f>+'COEF DEFINITIVO 2019 ANUAL'!K37-'COEF PROVISIONAL 2019 ANUAL'!K37</f>
        <v>-23477.365999302827</v>
      </c>
      <c r="G36" s="288">
        <f>+'COEF DEFINITIVO 2019 ANUAL'!M37-'COEF PROVISIONAL 2019 ANUAL'!M37</f>
        <v>-1755.5023731201654</v>
      </c>
      <c r="H36" s="288">
        <f>+'COEF DEFINITIVO 2019 ANUAL'!O37-'COEF PROVISIONAL 2019 ANUAL'!O37</f>
        <v>-14192.09284667857</v>
      </c>
      <c r="I36" s="288">
        <f>+'COEF DEFINITIVO 2019 ANUAL'!Q37-'COEF PROVISIONAL 2019 ANUAL'!Q37</f>
        <v>-2839.0212679950055</v>
      </c>
      <c r="J36" s="288">
        <f>+'COEF DEFINITIVO 2019 ANUAL'!S37-'COEF PROVISIONAL 2019 ANUAL'!S37</f>
        <v>2.2311724722385406E-2</v>
      </c>
      <c r="K36" s="289">
        <f t="shared" si="0"/>
        <v>-607517.76772014343</v>
      </c>
    </row>
    <row r="37" spans="1:11">
      <c r="A37" s="170" t="s">
        <v>32</v>
      </c>
      <c r="B37" s="288">
        <f>(+'COEF DEFINITIVO 2019 ANUAL'!C38-'COEF PROVISIONAL 2019 ANUAL'!C38)</f>
        <v>-93989.27150471881</v>
      </c>
      <c r="C37" s="288">
        <f>+'COEF DEFINITIVO 2019 ANUAL'!E38-'COEF PROVISIONAL 2019 ANUAL'!E38</f>
        <v>-13101.78600820154</v>
      </c>
      <c r="D37" s="288">
        <f>+'COEF DEFINITIVO 2019 ANUAL'!G38-'COEF PROVISIONAL 2019 ANUAL'!G38</f>
        <v>1.2919297441840172E-3</v>
      </c>
      <c r="E37" s="288">
        <f>+'COEF DEFINITIVO 2019 ANUAL'!I38-'COEF PROVISIONAL 2019 ANUAL'!I38</f>
        <v>-3064.150545224431</v>
      </c>
      <c r="F37" s="288">
        <f>+'COEF DEFINITIVO 2019 ANUAL'!K38-'COEF PROVISIONAL 2019 ANUAL'!K38</f>
        <v>-4575.1933610392734</v>
      </c>
      <c r="G37" s="288">
        <f>+'COEF DEFINITIVO 2019 ANUAL'!M38-'COEF PROVISIONAL 2019 ANUAL'!M38</f>
        <v>-342.12241698853904</v>
      </c>
      <c r="H37" s="288">
        <f>+'COEF DEFINITIVO 2019 ANUAL'!O38-'COEF PROVISIONAL 2019 ANUAL'!O38</f>
        <v>-2765.7015696305316</v>
      </c>
      <c r="I37" s="288">
        <f>+'COEF DEFINITIVO 2019 ANUAL'!Q38-'COEF PROVISIONAL 2019 ANUAL'!Q38</f>
        <v>-553.26443708498846</v>
      </c>
      <c r="J37" s="288">
        <f>+'COEF DEFINITIVO 2019 ANUAL'!S38-'COEF PROVISIONAL 2019 ANUAL'!S38</f>
        <v>-9.611588204279542E-3</v>
      </c>
      <c r="K37" s="289">
        <f t="shared" si="0"/>
        <v>-118391.49816254657</v>
      </c>
    </row>
    <row r="38" spans="1:11">
      <c r="A38" s="170" t="s">
        <v>33</v>
      </c>
      <c r="B38" s="288">
        <f>(+'COEF DEFINITIVO 2019 ANUAL'!C39-'COEF PROVISIONAL 2019 ANUAL'!C39)</f>
        <v>-344602.86524114013</v>
      </c>
      <c r="C38" s="288">
        <f>+'COEF DEFINITIVO 2019 ANUAL'!E39-'COEF PROVISIONAL 2019 ANUAL'!E39</f>
        <v>-48036.392278922722</v>
      </c>
      <c r="D38" s="288">
        <f>+'COEF DEFINITIVO 2019 ANUAL'!G39-'COEF PROVISIONAL 2019 ANUAL'!G39</f>
        <v>-9.3184555880725384E-3</v>
      </c>
      <c r="E38" s="288">
        <f>+'COEF DEFINITIVO 2019 ANUAL'!I39-'COEF PROVISIONAL 2019 ANUAL'!I39</f>
        <v>-11234.338521657977</v>
      </c>
      <c r="F38" s="288">
        <f>+'COEF DEFINITIVO 2019 ANUAL'!K39-'COEF PROVISIONAL 2019 ANUAL'!K39</f>
        <v>-16774.549911036156</v>
      </c>
      <c r="G38" s="288">
        <f>+'COEF DEFINITIVO 2019 ANUAL'!M39-'COEF PROVISIONAL 2019 ANUAL'!M39</f>
        <v>-1254.2869004273671</v>
      </c>
      <c r="H38" s="288">
        <f>+'COEF DEFINITIVO 2019 ANUAL'!O39-'COEF PROVISIONAL 2019 ANUAL'!O39</f>
        <v>-10140.235837648623</v>
      </c>
      <c r="I38" s="288">
        <f>+'COEF DEFINITIVO 2019 ANUAL'!Q39-'COEF PROVISIONAL 2019 ANUAL'!Q39</f>
        <v>-2028.4886625932995</v>
      </c>
      <c r="J38" s="288">
        <f>+'COEF DEFINITIVO 2019 ANUAL'!S39-'COEF PROVISIONAL 2019 ANUAL'!S39</f>
        <v>3.5467586945742369E-2</v>
      </c>
      <c r="K38" s="289">
        <f t="shared" si="0"/>
        <v>-434071.13120429491</v>
      </c>
    </row>
    <row r="39" spans="1:11">
      <c r="A39" s="170" t="s">
        <v>34</v>
      </c>
      <c r="B39" s="288">
        <f>(+'COEF DEFINITIVO 2019 ANUAL'!C40-'COEF PROVISIONAL 2019 ANUAL'!C40)</f>
        <v>14020.27269924432</v>
      </c>
      <c r="C39" s="288">
        <f>+'COEF DEFINITIVO 2019 ANUAL'!E40-'COEF PROVISIONAL 2019 ANUAL'!E40</f>
        <v>1954.4010883797891</v>
      </c>
      <c r="D39" s="288">
        <f>+'COEF DEFINITIVO 2019 ANUAL'!G40-'COEF PROVISIONAL 2019 ANUAL'!G40</f>
        <v>0</v>
      </c>
      <c r="E39" s="288">
        <f>+'COEF DEFINITIVO 2019 ANUAL'!I40-'COEF PROVISIONAL 2019 ANUAL'!I40</f>
        <v>457.05484873591922</v>
      </c>
      <c r="F39" s="288">
        <f>+'COEF DEFINITIVO 2019 ANUAL'!K40-'COEF PROVISIONAL 2019 ANUAL'!K40</f>
        <v>682.44420053996146</v>
      </c>
      <c r="G39" s="288">
        <f>+'COEF DEFINITIVO 2019 ANUAL'!M40-'COEF PROVISIONAL 2019 ANUAL'!M40</f>
        <v>51.033848880892037</v>
      </c>
      <c r="H39" s="288">
        <f>+'COEF DEFINITIVO 2019 ANUAL'!O40-'COEF PROVISIONAL 2019 ANUAL'!O40</f>
        <v>412.53759902587626</v>
      </c>
      <c r="I39" s="288">
        <f>+'COEF DEFINITIVO 2019 ANUAL'!Q40-'COEF PROVISIONAL 2019 ANUAL'!Q40</f>
        <v>82.567731343064224</v>
      </c>
      <c r="J39" s="288">
        <f>+'COEF DEFINITIVO 2019 ANUAL'!S40-'COEF PROVISIONAL 2019 ANUAL'!S40</f>
        <v>-1.1055770155508071E-2</v>
      </c>
      <c r="K39" s="289">
        <f t="shared" si="0"/>
        <v>17660.300960379667</v>
      </c>
    </row>
    <row r="40" spans="1:11">
      <c r="A40" s="170" t="s">
        <v>35</v>
      </c>
      <c r="B40" s="288">
        <f>(+'COEF DEFINITIVO 2019 ANUAL'!C41-'COEF PROVISIONAL 2019 ANUAL'!C41)</f>
        <v>26447.210769433528</v>
      </c>
      <c r="C40" s="288">
        <f>+'COEF DEFINITIVO 2019 ANUAL'!E41-'COEF PROVISIONAL 2019 ANUAL'!E41</f>
        <v>3686.6500630043447</v>
      </c>
      <c r="D40" s="288">
        <f>+'COEF DEFINITIVO 2019 ANUAL'!G41-'COEF PROVISIONAL 2019 ANUAL'!G41</f>
        <v>-9.241173043847084E-3</v>
      </c>
      <c r="E40" s="288">
        <f>+'COEF DEFINITIVO 2019 ANUAL'!I41-'COEF PROVISIONAL 2019 ANUAL'!I41</f>
        <v>862.18492347595748</v>
      </c>
      <c r="F40" s="288">
        <f>+'COEF DEFINITIVO 2019 ANUAL'!K41-'COEF PROVISIONAL 2019 ANUAL'!K41</f>
        <v>1287.3788151855115</v>
      </c>
      <c r="G40" s="288">
        <f>+'COEF DEFINITIVO 2019 ANUAL'!M41-'COEF PROVISIONAL 2019 ANUAL'!M41</f>
        <v>96.275676602803287</v>
      </c>
      <c r="H40" s="288">
        <f>+'COEF DEFINITIVO 2019 ANUAL'!O41-'COEF PROVISIONAL 2019 ANUAL'!O41</f>
        <v>778.19484271958936</v>
      </c>
      <c r="I40" s="288">
        <f>+'COEF DEFINITIVO 2019 ANUAL'!Q41-'COEF PROVISIONAL 2019 ANUAL'!Q41</f>
        <v>155.70478600388742</v>
      </c>
      <c r="J40" s="288">
        <f>+'COEF DEFINITIVO 2019 ANUAL'!S41-'COEF PROVISIONAL 2019 ANUAL'!S41</f>
        <v>-1.627023599576205E-2</v>
      </c>
      <c r="K40" s="289">
        <f t="shared" si="0"/>
        <v>33313.574365016582</v>
      </c>
    </row>
    <row r="41" spans="1:11">
      <c r="A41" s="170" t="s">
        <v>36</v>
      </c>
      <c r="B41" s="288">
        <f>(+'COEF DEFINITIVO 2019 ANUAL'!C42-'COEF PROVISIONAL 2019 ANUAL'!C42)</f>
        <v>-74206.815387822688</v>
      </c>
      <c r="C41" s="288">
        <f>+'COEF DEFINITIVO 2019 ANUAL'!E42-'COEF PROVISIONAL 2019 ANUAL'!E42</f>
        <v>-10344.185903511476</v>
      </c>
      <c r="D41" s="288">
        <f>+'COEF DEFINITIVO 2019 ANUAL'!G42-'COEF PROVISIONAL 2019 ANUAL'!G42</f>
        <v>5.8013899251818657E-4</v>
      </c>
      <c r="E41" s="288">
        <f>+'COEF DEFINITIVO 2019 ANUAL'!I42-'COEF PROVISIONAL 2019 ANUAL'!I42</f>
        <v>-2419.200283449376</v>
      </c>
      <c r="F41" s="288">
        <f>+'COEF DEFINITIVO 2019 ANUAL'!K42-'COEF PROVISIONAL 2019 ANUAL'!K42</f>
        <v>-3612.2707610023208</v>
      </c>
      <c r="G41" s="288">
        <f>+'COEF DEFINITIVO 2019 ANUAL'!M42-'COEF PROVISIONAL 2019 ANUAL'!M42</f>
        <v>-270.12142695116927</v>
      </c>
      <c r="H41" s="288">
        <f>+'COEF DEFINITIVO 2019 ANUAL'!O42-'COEF PROVISIONAL 2019 ANUAL'!O42</f>
        <v>-2183.5880284213927</v>
      </c>
      <c r="I41" s="288">
        <f>+'COEF DEFINITIVO 2019 ANUAL'!Q42-'COEF PROVISIONAL 2019 ANUAL'!Q42</f>
        <v>-436.80979417604976</v>
      </c>
      <c r="J41" s="288">
        <f>+'COEF DEFINITIVO 2019 ANUAL'!S42-'COEF PROVISIONAL 2019 ANUAL'!S42</f>
        <v>8.985270862467587E-3</v>
      </c>
      <c r="K41" s="289">
        <f t="shared" si="0"/>
        <v>-93472.982019924617</v>
      </c>
    </row>
    <row r="42" spans="1:11">
      <c r="A42" s="170" t="s">
        <v>37</v>
      </c>
      <c r="B42" s="288">
        <f>(+'COEF DEFINITIVO 2019 ANUAL'!C43-'COEF PROVISIONAL 2019 ANUAL'!C43)</f>
        <v>-104523.61627084762</v>
      </c>
      <c r="C42" s="288">
        <f>+'COEF DEFINITIVO 2019 ANUAL'!E43-'COEF PROVISIONAL 2019 ANUAL'!E43</f>
        <v>-14570.242162992246</v>
      </c>
      <c r="D42" s="288">
        <f>+'COEF DEFINITIVO 2019 ANUAL'!G43-'COEF PROVISIONAL 2019 ANUAL'!G43</f>
        <v>1.6713961958885193E-3</v>
      </c>
      <c r="E42" s="288">
        <f>+'COEF DEFINITIVO 2019 ANUAL'!I43-'COEF PROVISIONAL 2019 ANUAL'!I43</f>
        <v>-3407.551421959186</v>
      </c>
      <c r="F42" s="288">
        <f>+'COEF DEFINITIVO 2019 ANUAL'!K43-'COEF PROVISIONAL 2019 ANUAL'!K43</f>
        <v>-5087.9997585976962</v>
      </c>
      <c r="G42" s="288">
        <f>+'COEF DEFINITIVO 2019 ANUAL'!M43-'COEF PROVISIONAL 2019 ANUAL'!M43</f>
        <v>-380.43454128950543</v>
      </c>
      <c r="H42" s="288">
        <f>+'COEF DEFINITIVO 2019 ANUAL'!O43-'COEF PROVISIONAL 2019 ANUAL'!O43</f>
        <v>-3075.6828141971491</v>
      </c>
      <c r="I42" s="288">
        <f>+'COEF DEFINITIVO 2019 ANUAL'!Q43-'COEF PROVISIONAL 2019 ANUAL'!Q43</f>
        <v>-615.26985446413164</v>
      </c>
      <c r="J42" s="288">
        <f>+'COEF DEFINITIVO 2019 ANUAL'!S43-'COEF PROVISIONAL 2019 ANUAL'!S43</f>
        <v>-7.4089541449211538E-3</v>
      </c>
      <c r="K42" s="289">
        <f t="shared" si="0"/>
        <v>-131660.80256190547</v>
      </c>
    </row>
    <row r="43" spans="1:11">
      <c r="A43" s="170" t="s">
        <v>38</v>
      </c>
      <c r="B43" s="288">
        <f>(+'COEF DEFINITIVO 2019 ANUAL'!C44-'COEF PROVISIONAL 2019 ANUAL'!C44)</f>
        <v>-245222.0797303617</v>
      </c>
      <c r="C43" s="288">
        <f>+'COEF DEFINITIVO 2019 ANUAL'!E44-'COEF PROVISIONAL 2019 ANUAL'!E44</f>
        <v>-34183.060714669526</v>
      </c>
      <c r="D43" s="288">
        <f>+'COEF DEFINITIVO 2019 ANUAL'!G44-'COEF PROVISIONAL 2019 ANUAL'!G44</f>
        <v>5.9915403835475445E-3</v>
      </c>
      <c r="E43" s="288">
        <f>+'COEF DEFINITIVO 2019 ANUAL'!I44-'COEF PROVISIONAL 2019 ANUAL'!I44</f>
        <v>-7994.468152506277</v>
      </c>
      <c r="F43" s="288">
        <f>+'COEF DEFINITIVO 2019 ANUAL'!K44-'COEF PROVISIONAL 2019 ANUAL'!K44</f>
        <v>-11936.914015073329</v>
      </c>
      <c r="G43" s="288">
        <f>+'COEF DEFINITIVO 2019 ANUAL'!M44-'COEF PROVISIONAL 2019 ANUAL'!M44</f>
        <v>-892.56796623347327</v>
      </c>
      <c r="H43" s="288">
        <f>+'COEF DEFINITIVO 2019 ANUAL'!O44-'COEF PROVISIONAL 2019 ANUAL'!O44</f>
        <v>-7215.8667369498871</v>
      </c>
      <c r="I43" s="288">
        <f>+'COEF DEFINITIVO 2019 ANUAL'!Q44-'COEF PROVISIONAL 2019 ANUAL'!Q44</f>
        <v>-1443.455169249617</v>
      </c>
      <c r="J43" s="288">
        <f>+'COEF DEFINITIVO 2019 ANUAL'!S44-'COEF PROVISIONAL 2019 ANUAL'!S44</f>
        <v>1.2084004934877157E-2</v>
      </c>
      <c r="K43" s="289">
        <f t="shared" si="0"/>
        <v>-308888.39440949849</v>
      </c>
    </row>
    <row r="44" spans="1:11">
      <c r="A44" s="170" t="s">
        <v>39</v>
      </c>
      <c r="B44" s="288">
        <f>(+'COEF DEFINITIVO 2019 ANUAL'!C45-'COEF PROVISIONAL 2019 ANUAL'!C45)</f>
        <v>3109149.6402914524</v>
      </c>
      <c r="C44" s="288">
        <f>+'COEF DEFINITIVO 2019 ANUAL'!E45-'COEF PROVISIONAL 2019 ANUAL'!E45</f>
        <v>433404.12681758404</v>
      </c>
      <c r="D44" s="288">
        <f>+'COEF DEFINITIVO 2019 ANUAL'!G45-'COEF PROVISIONAL 2019 ANUAL'!G45</f>
        <v>0</v>
      </c>
      <c r="E44" s="288">
        <f>+'COEF DEFINITIVO 2019 ANUAL'!I45-'COEF PROVISIONAL 2019 ANUAL'!I45</f>
        <v>101360.90080279857</v>
      </c>
      <c r="F44" s="288">
        <f>+'COEF DEFINITIVO 2019 ANUAL'!K45-'COEF PROVISIONAL 2019 ANUAL'!K45</f>
        <v>151347.00285093486</v>
      </c>
      <c r="G44" s="288">
        <f>+'COEF DEFINITIVO 2019 ANUAL'!M45-'COEF PROVISIONAL 2019 ANUAL'!M45</f>
        <v>11316.768513583578</v>
      </c>
      <c r="H44" s="288">
        <f>+'COEF DEFINITIVO 2019 ANUAL'!O45-'COEF PROVISIONAL 2019 ANUAL'!O45</f>
        <v>91489.254460930824</v>
      </c>
      <c r="I44" s="288">
        <f>+'COEF DEFINITIVO 2019 ANUAL'!Q45-'COEF PROVISIONAL 2019 ANUAL'!Q45</f>
        <v>18301.750847259536</v>
      </c>
      <c r="J44" s="288">
        <f>+'COEF DEFINITIVO 2019 ANUAL'!S45-'COEF PROVISIONAL 2019 ANUAL'!S45</f>
        <v>5.8103524148464203E-2</v>
      </c>
      <c r="K44" s="289">
        <f t="shared" si="0"/>
        <v>3916369.502688068</v>
      </c>
    </row>
    <row r="45" spans="1:11">
      <c r="A45" s="170" t="s">
        <v>40</v>
      </c>
      <c r="B45" s="288">
        <f>(+'COEF DEFINITIVO 2019 ANUAL'!C46-'COEF PROVISIONAL 2019 ANUAL'!C46)</f>
        <v>-26209.974438231438</v>
      </c>
      <c r="C45" s="288">
        <f>+'COEF DEFINITIVO 2019 ANUAL'!E46-'COEF PROVISIONAL 2019 ANUAL'!E46</f>
        <v>-3653.5784093770199</v>
      </c>
      <c r="D45" s="288">
        <f>+'COEF DEFINITIVO 2019 ANUAL'!G46-'COEF PROVISIONAL 2019 ANUAL'!G46</f>
        <v>5.2836369723081589E-3</v>
      </c>
      <c r="E45" s="288">
        <f>+'COEF DEFINITIVO 2019 ANUAL'!I46-'COEF PROVISIONAL 2019 ANUAL'!I46</f>
        <v>-854.4604850683827</v>
      </c>
      <c r="F45" s="288">
        <f>+'COEF DEFINITIVO 2019 ANUAL'!K46-'COEF PROVISIONAL 2019 ANUAL'!K46</f>
        <v>-1275.8497606232413</v>
      </c>
      <c r="G45" s="288">
        <f>+'COEF DEFINITIVO 2019 ANUAL'!M46-'COEF PROVISIONAL 2019 ANUAL'!M46</f>
        <v>-95.390833464156458</v>
      </c>
      <c r="H45" s="288">
        <f>+'COEF DEFINITIVO 2019 ANUAL'!O46-'COEF PROVISIONAL 2019 ANUAL'!O46</f>
        <v>-771.25390175095527</v>
      </c>
      <c r="I45" s="288">
        <f>+'COEF DEFINITIVO 2019 ANUAL'!Q46-'COEF PROVISIONAL 2019 ANUAL'!Q46</f>
        <v>-154.27925658226013</v>
      </c>
      <c r="J45" s="288">
        <f>+'COEF DEFINITIVO 2019 ANUAL'!S46-'COEF PROVISIONAL 2019 ANUAL'!S46</f>
        <v>2.6975485088769346E-3</v>
      </c>
      <c r="K45" s="289">
        <f t="shared" si="0"/>
        <v>-33014.779103911977</v>
      </c>
    </row>
    <row r="46" spans="1:11">
      <c r="A46" s="170" t="s">
        <v>41</v>
      </c>
      <c r="B46" s="288">
        <f>(+'COEF DEFINITIVO 2019 ANUAL'!C47-'COEF PROVISIONAL 2019 ANUAL'!C47)</f>
        <v>361069.43393309414</v>
      </c>
      <c r="C46" s="288">
        <f>+'COEF DEFINITIVO 2019 ANUAL'!E47-'COEF PROVISIONAL 2019 ANUAL'!E47</f>
        <v>50331.790998977609</v>
      </c>
      <c r="D46" s="288">
        <f>+'COEF DEFINITIVO 2019 ANUAL'!G47-'COEF PROVISIONAL 2019 ANUAL'!G47</f>
        <v>0</v>
      </c>
      <c r="E46" s="288">
        <f>+'COEF DEFINITIVO 2019 ANUAL'!I47-'COEF PROVISIONAL 2019 ANUAL'!I47</f>
        <v>11771.189645419363</v>
      </c>
      <c r="F46" s="288">
        <f>+'COEF DEFINITIVO 2019 ANUAL'!K47-'COEF PROVISIONAL 2019 ANUAL'!K47</f>
        <v>17576.091554234736</v>
      </c>
      <c r="G46" s="288">
        <f>+'COEF DEFINITIVO 2019 ANUAL'!M47-'COEF PROVISIONAL 2019 ANUAL'!M47</f>
        <v>1314.2572159920383</v>
      </c>
      <c r="H46" s="288">
        <f>+'COEF DEFINITIVO 2019 ANUAL'!O47-'COEF PROVISIONAL 2019 ANUAL'!O47</f>
        <v>10624.749941591523</v>
      </c>
      <c r="I46" s="288">
        <f>+'COEF DEFINITIVO 2019 ANUAL'!Q47-'COEF PROVISIONAL 2019 ANUAL'!Q47</f>
        <v>2125.4153418870701</v>
      </c>
      <c r="J46" s="288">
        <f>+'COEF DEFINITIVO 2019 ANUAL'!S47-'COEF PROVISIONAL 2019 ANUAL'!S47</f>
        <v>2.829107316210866E-2</v>
      </c>
      <c r="K46" s="289">
        <f t="shared" si="0"/>
        <v>454812.95692226966</v>
      </c>
    </row>
    <row r="47" spans="1:11">
      <c r="A47" s="170" t="s">
        <v>42</v>
      </c>
      <c r="B47" s="288">
        <f>(+'COEF DEFINITIVO 2019 ANUAL'!C48-'COEF PROVISIONAL 2019 ANUAL'!C48)</f>
        <v>-55590.520497474819</v>
      </c>
      <c r="C47" s="288">
        <f>+'COEF DEFINITIVO 2019 ANUAL'!E48-'COEF PROVISIONAL 2019 ANUAL'!E48</f>
        <v>-7749.0997655303217</v>
      </c>
      <c r="D47" s="288">
        <f>+'COEF DEFINITIVO 2019 ANUAL'!G48-'COEF PROVISIONAL 2019 ANUAL'!G48</f>
        <v>5.8954866835847497E-3</v>
      </c>
      <c r="E47" s="288">
        <f>+'COEF DEFINITIVO 2019 ANUAL'!I48-'COEF PROVISIONAL 2019 ANUAL'!I48</f>
        <v>-1812.299059431185</v>
      </c>
      <c r="F47" s="288">
        <f>+'COEF DEFINITIVO 2019 ANUAL'!K48-'COEF PROVISIONAL 2019 ANUAL'!K48</f>
        <v>-2706.0125636919402</v>
      </c>
      <c r="G47" s="288">
        <f>+'COEF DEFINITIVO 2019 ANUAL'!M48-'COEF PROVISIONAL 2019 ANUAL'!M48</f>
        <v>-202.31390650676622</v>
      </c>
      <c r="H47" s="288">
        <f>+'COEF DEFINITIVO 2019 ANUAL'!O48-'COEF PROVISIONAL 2019 ANUAL'!O48</f>
        <v>-1635.7625766308047</v>
      </c>
      <c r="I47" s="288">
        <f>+'COEF DEFINITIVO 2019 ANUAL'!Q48-'COEF PROVISIONAL 2019 ANUAL'!Q48</f>
        <v>-327.20829387902631</v>
      </c>
      <c r="J47" s="288">
        <f>+'COEF DEFINITIVO 2019 ANUAL'!S48-'COEF PROVISIONAL 2019 ANUAL'!S48</f>
        <v>-1.3216846477007493E-2</v>
      </c>
      <c r="K47" s="289">
        <f t="shared" si="0"/>
        <v>-70023.223984504657</v>
      </c>
    </row>
    <row r="48" spans="1:11">
      <c r="A48" s="170" t="s">
        <v>43</v>
      </c>
      <c r="B48" s="288">
        <f>(+'COEF DEFINITIVO 2019 ANUAL'!C49-'COEF PROVISIONAL 2019 ANUAL'!C49)</f>
        <v>-714.08447571843863</v>
      </c>
      <c r="C48" s="288">
        <f>+'COEF DEFINITIVO 2019 ANUAL'!E49-'COEF PROVISIONAL 2019 ANUAL'!E49</f>
        <v>-99.513745147269219</v>
      </c>
      <c r="D48" s="288">
        <f>+'COEF DEFINITIVO 2019 ANUAL'!G49-'COEF PROVISIONAL 2019 ANUAL'!G49</f>
        <v>-6.9213993847370148E-3</v>
      </c>
      <c r="E48" s="288">
        <f>+'COEF DEFINITIVO 2019 ANUAL'!I49-'COEF PROVISIONAL 2019 ANUAL'!I49</f>
        <v>-23.313499378506094</v>
      </c>
      <c r="F48" s="288">
        <f>+'COEF DEFINITIVO 2019 ANUAL'!K49-'COEF PROVISIONAL 2019 ANUAL'!K49</f>
        <v>-34.770390931633301</v>
      </c>
      <c r="G48" s="288">
        <f>+'COEF DEFINITIVO 2019 ANUAL'!M49-'COEF PROVISIONAL 2019 ANUAL'!M49</f>
        <v>-2.5739626475260593</v>
      </c>
      <c r="H48" s="288">
        <f>+'COEF DEFINITIVO 2019 ANUAL'!O49-'COEF PROVISIONAL 2019 ANUAL'!O49</f>
        <v>-21.029387978953309</v>
      </c>
      <c r="I48" s="288">
        <f>+'COEF DEFINITIVO 2019 ANUAL'!Q49-'COEF PROVISIONAL 2019 ANUAL'!Q49</f>
        <v>-4.202865704006399</v>
      </c>
      <c r="J48" s="288">
        <f>+'COEF DEFINITIVO 2019 ANUAL'!S49-'COEF PROVISIONAL 2019 ANUAL'!S49</f>
        <v>-2.2097003471571952E-2</v>
      </c>
      <c r="K48" s="289">
        <f t="shared" si="0"/>
        <v>-899.51734590918932</v>
      </c>
    </row>
    <row r="49" spans="1:11">
      <c r="A49" s="170" t="s">
        <v>44</v>
      </c>
      <c r="B49" s="288">
        <f>(+'COEF DEFINITIVO 2019 ANUAL'!C50-'COEF PROVISIONAL 2019 ANUAL'!C50)</f>
        <v>-179227.56266032904</v>
      </c>
      <c r="C49" s="288">
        <f>+'COEF DEFINITIVO 2019 ANUAL'!E50-'COEF PROVISIONAL 2019 ANUAL'!E50</f>
        <v>-24983.651139279827</v>
      </c>
      <c r="D49" s="288">
        <f>+'COEF DEFINITIVO 2019 ANUAL'!G50-'COEF PROVISIONAL 2019 ANUAL'!G50</f>
        <v>-1.2002699077129364E-3</v>
      </c>
      <c r="E49" s="288">
        <f>+'COEF DEFINITIVO 2019 ANUAL'!I50-'COEF PROVISIONAL 2019 ANUAL'!I50</f>
        <v>-5842.9639448537491</v>
      </c>
      <c r="F49" s="288">
        <f>+'COEF DEFINITIVO 2019 ANUAL'!K50-'COEF PROVISIONAL 2019 ANUAL'!K50</f>
        <v>-8724.4221156034619</v>
      </c>
      <c r="G49" s="288">
        <f>+'COEF DEFINITIVO 2019 ANUAL'!M50-'COEF PROVISIONAL 2019 ANUAL'!M50</f>
        <v>-652.36642313128687</v>
      </c>
      <c r="H49" s="288">
        <f>+'COEF DEFINITIVO 2019 ANUAL'!O50-'COEF PROVISIONAL 2019 ANUAL'!O50</f>
        <v>-5273.901699191425</v>
      </c>
      <c r="I49" s="288">
        <f>+'COEF DEFINITIVO 2019 ANUAL'!Q50-'COEF PROVISIONAL 2019 ANUAL'!Q50</f>
        <v>-1055.0195276819286</v>
      </c>
      <c r="J49" s="288">
        <f>+'COEF DEFINITIVO 2019 ANUAL'!S50-'COEF PROVISIONAL 2019 ANUAL'!S50</f>
        <v>6.234330590814352E-3</v>
      </c>
      <c r="K49" s="289">
        <f t="shared" si="0"/>
        <v>-225759.88247601004</v>
      </c>
    </row>
    <row r="50" spans="1:11">
      <c r="A50" s="170" t="s">
        <v>45</v>
      </c>
      <c r="B50" s="288">
        <f>(+'COEF DEFINITIVO 2019 ANUAL'!C51-'COEF PROVISIONAL 2019 ANUAL'!C51)</f>
        <v>-154234.75579215586</v>
      </c>
      <c r="C50" s="288">
        <f>+'COEF DEFINITIVO 2019 ANUAL'!E51-'COEF PROVISIONAL 2019 ANUAL'!E51</f>
        <v>-21499.756002282724</v>
      </c>
      <c r="D50" s="288">
        <f>+'COEF DEFINITIVO 2019 ANUAL'!G51-'COEF PROVISIONAL 2019 ANUAL'!G51</f>
        <v>-2.1229158155620098E-3</v>
      </c>
      <c r="E50" s="288">
        <f>+'COEF DEFINITIVO 2019 ANUAL'!I51-'COEF PROVISIONAL 2019 ANUAL'!I51</f>
        <v>-5028.1773370634764</v>
      </c>
      <c r="F50" s="288">
        <f>+'COEF DEFINITIVO 2019 ANUAL'!K51-'COEF PROVISIONAL 2019 ANUAL'!K51</f>
        <v>-7507.8251562928781</v>
      </c>
      <c r="G50" s="288">
        <f>+'COEF DEFINITIVO 2019 ANUAL'!M51-'COEF PROVISIONAL 2019 ANUAL'!M51</f>
        <v>-561.40545498541906</v>
      </c>
      <c r="H50" s="288">
        <f>+'COEF DEFINITIVO 2019 ANUAL'!O51-'COEF PROVISIONAL 2019 ANUAL'!O51</f>
        <v>-4538.4943617980462</v>
      </c>
      <c r="I50" s="288">
        <f>+'COEF DEFINITIVO 2019 ANUAL'!Q51-'COEF PROVISIONAL 2019 ANUAL'!Q51</f>
        <v>-907.90174165921053</v>
      </c>
      <c r="J50" s="288">
        <f>+'COEF DEFINITIVO 2019 ANUAL'!S51-'COEF PROVISIONAL 2019 ANUAL'!S51</f>
        <v>1.1363724246621132E-2</v>
      </c>
      <c r="K50" s="289">
        <f t="shared" si="0"/>
        <v>-194278.30660542918</v>
      </c>
    </row>
    <row r="51" spans="1:11">
      <c r="A51" s="170" t="s">
        <v>46</v>
      </c>
      <c r="B51" s="288">
        <f>(+'COEF DEFINITIVO 2019 ANUAL'!C52-'COEF PROVISIONAL 2019 ANUAL'!C52)</f>
        <v>-1395600.8865126371</v>
      </c>
      <c r="C51" s="288">
        <f>+'COEF DEFINITIVO 2019 ANUAL'!E52-'COEF PROVISIONAL 2019 ANUAL'!E52</f>
        <v>-194541.67339082062</v>
      </c>
      <c r="D51" s="288">
        <f>+'COEF DEFINITIVO 2019 ANUAL'!G52-'COEF PROVISIONAL 2019 ANUAL'!G52</f>
        <v>-1.1057177558541298E-2</v>
      </c>
      <c r="E51" s="288">
        <f>+'COEF DEFINITIVO 2019 ANUAL'!I52-'COEF PROVISIONAL 2019 ANUAL'!I52</f>
        <v>-45497.741673504934</v>
      </c>
      <c r="F51" s="288">
        <f>+'COEF DEFINITIVO 2019 ANUAL'!K52-'COEF PROVISIONAL 2019 ANUAL'!K52</f>
        <v>-67934.991545055062</v>
      </c>
      <c r="G51" s="288">
        <f>+'COEF DEFINITIVO 2019 ANUAL'!M52-'COEF PROVISIONAL 2019 ANUAL'!M52</f>
        <v>-5079.7429887563922</v>
      </c>
      <c r="H51" s="288">
        <f>+'COEF DEFINITIVO 2019 ANUAL'!O52-'COEF PROVISIONAL 2019 ANUAL'!O52</f>
        <v>-41066.688800036907</v>
      </c>
      <c r="I51" s="288">
        <f>+'COEF DEFINITIVO 2019 ANUAL'!Q52-'COEF PROVISIONAL 2019 ANUAL'!Q52</f>
        <v>-8215.1040981146507</v>
      </c>
      <c r="J51" s="288">
        <f>+'COEF DEFINITIVO 2019 ANUAL'!S52-'COEF PROVISIONAL 2019 ANUAL'!S52</f>
        <v>3.4764353185892105E-2</v>
      </c>
      <c r="K51" s="289">
        <f t="shared" si="0"/>
        <v>-1757936.8053017501</v>
      </c>
    </row>
    <row r="52" spans="1:11">
      <c r="A52" s="170" t="s">
        <v>47</v>
      </c>
      <c r="B52" s="288">
        <f>(+'COEF DEFINITIVO 2019 ANUAL'!C53-'COEF PROVISIONAL 2019 ANUAL'!C53)</f>
        <v>2369963.3770530224</v>
      </c>
      <c r="C52" s="288">
        <f>+'COEF DEFINITIVO 2019 ANUAL'!E53-'COEF PROVISIONAL 2019 ANUAL'!E53</f>
        <v>330364.25391362607</v>
      </c>
      <c r="D52" s="288">
        <f>+'COEF DEFINITIVO 2019 ANUAL'!G53-'COEF PROVISIONAL 2019 ANUAL'!G53</f>
        <v>5.1744282245635986E-6</v>
      </c>
      <c r="E52" s="288">
        <f>+'COEF DEFINITIVO 2019 ANUAL'!I53-'COEF PROVISIONAL 2019 ANUAL'!I53</f>
        <v>77262.794340372086</v>
      </c>
      <c r="F52" s="288">
        <f>+'COEF DEFINITIVO 2019 ANUAL'!K53-'COEF PROVISIONAL 2019 ANUAL'!K53</f>
        <v>115364.93435969204</v>
      </c>
      <c r="G52" s="288">
        <f>+'COEF DEFINITIVO 2019 ANUAL'!M53-'COEF PROVISIONAL 2019 ANUAL'!M53</f>
        <v>8626.255948567763</v>
      </c>
      <c r="H52" s="288">
        <f>+'COEF DEFINITIVO 2019 ANUAL'!O53-'COEF PROVISIONAL 2019 ANUAL'!O53</f>
        <v>69738.095741886646</v>
      </c>
      <c r="I52" s="288">
        <f>+'COEF DEFINITIVO 2019 ANUAL'!Q53-'COEF PROVISIONAL 2019 ANUAL'!Q53</f>
        <v>13950.623371805064</v>
      </c>
      <c r="J52" s="288">
        <f>+'COEF DEFINITIVO 2019 ANUAL'!S53-'COEF PROVISIONAL 2019 ANUAL'!S53</f>
        <v>2.0074391737580299E-2</v>
      </c>
      <c r="K52" s="289">
        <f t="shared" si="0"/>
        <v>2985270.3548085382</v>
      </c>
    </row>
    <row r="53" spans="1:11">
      <c r="A53" s="170" t="s">
        <v>48</v>
      </c>
      <c r="B53" s="313">
        <f>(+'COEF DEFINITIVO 2019 ANUAL'!C54-'COEF PROVISIONAL 2019 ANUAL'!C54)</f>
        <v>-726654.07003924251</v>
      </c>
      <c r="C53" s="288">
        <f>+'COEF DEFINITIVO 2019 ANUAL'!E54-'COEF PROVISIONAL 2019 ANUAL'!E54</f>
        <v>-101292.91216791421</v>
      </c>
      <c r="D53" s="288">
        <f>+'COEF DEFINITIVO 2019 ANUAL'!G54-'COEF PROVISIONAL 2019 ANUAL'!G54</f>
        <v>6.4664771780371666E-3</v>
      </c>
      <c r="E53" s="288">
        <f>+'COEF DEFINITIVO 2019 ANUAL'!I54-'COEF PROVISIONAL 2019 ANUAL'!I54</f>
        <v>-23689.54654878471</v>
      </c>
      <c r="F53" s="288">
        <f>+'COEF DEFINITIVO 2019 ANUAL'!K54-'COEF PROVISIONAL 2019 ANUAL'!K54</f>
        <v>-35372.033455291763</v>
      </c>
      <c r="G53" s="288">
        <f>+'COEF DEFINITIVO 2019 ANUAL'!M54-'COEF PROVISIONAL 2019 ANUAL'!M54</f>
        <v>-2644.9019810429309</v>
      </c>
      <c r="H53" s="288">
        <f>+'COEF DEFINITIVO 2019 ANUAL'!O54-'COEF PROVISIONAL 2019 ANUAL'!O54</f>
        <v>-21382.402723717503</v>
      </c>
      <c r="I53" s="288">
        <f>+'COEF DEFINITIVO 2019 ANUAL'!Q54-'COEF PROVISIONAL 2019 ANUAL'!Q54</f>
        <v>-4277.4092365868855</v>
      </c>
      <c r="J53" s="288">
        <f>+'COEF DEFINITIVO 2019 ANUAL'!S54-'COEF PROVISIONAL 2019 ANUAL'!S54</f>
        <v>2.3361831903457642E-2</v>
      </c>
      <c r="K53" s="289">
        <f t="shared" si="0"/>
        <v>-915313.24632427143</v>
      </c>
    </row>
    <row r="54" spans="1:11">
      <c r="A54" s="170" t="s">
        <v>49</v>
      </c>
      <c r="B54" s="288">
        <f>(+'COEF DEFINITIVO 2019 ANUAL'!C55-'COEF PROVISIONAL 2019 ANUAL'!C55)</f>
        <v>314296.86382700503</v>
      </c>
      <c r="C54" s="288">
        <f>+'COEF DEFINITIVO 2019 ANUAL'!E55-'COEF PROVISIONAL 2019 ANUAL'!E55</f>
        <v>43811.838290000334</v>
      </c>
      <c r="D54" s="288">
        <f>+'COEF DEFINITIVO 2019 ANUAL'!G55-'COEF PROVISIONAL 2019 ANUAL'!G55</f>
        <v>-8.3494735881686211E-3</v>
      </c>
      <c r="E54" s="288">
        <f>+'COEF DEFINITIVO 2019 ANUAL'!I55-'COEF PROVISIONAL 2019 ANUAL'!I55</f>
        <v>10246.31737147551</v>
      </c>
      <c r="F54" s="288">
        <f>+'COEF DEFINITIVO 2019 ANUAL'!K55-'COEF PROVISIONAL 2019 ANUAL'!K55</f>
        <v>15299.353589663748</v>
      </c>
      <c r="G54" s="288">
        <f>+'COEF DEFINITIVO 2019 ANUAL'!M55-'COEF PROVISIONAL 2019 ANUAL'!M55</f>
        <v>1143.9773710381123</v>
      </c>
      <c r="H54" s="288">
        <f>+'COEF DEFINITIVO 2019 ANUAL'!O55-'COEF PROVISIONAL 2019 ANUAL'!O55</f>
        <v>9248.4271026700735</v>
      </c>
      <c r="I54" s="288">
        <f>+'COEF DEFINITIVO 2019 ANUAL'!Q55-'COEF PROVISIONAL 2019 ANUAL'!Q55</f>
        <v>1850.1111450880999</v>
      </c>
      <c r="J54" s="288">
        <f>+'COEF DEFINITIVO 2019 ANUAL'!S55-'COEF PROVISIONAL 2019 ANUAL'!S55</f>
        <v>2.7643170207738876E-2</v>
      </c>
      <c r="K54" s="289">
        <f t="shared" si="0"/>
        <v>395896.90799063753</v>
      </c>
    </row>
    <row r="55" spans="1:11">
      <c r="A55" s="170" t="s">
        <v>50</v>
      </c>
      <c r="B55" s="288">
        <f>(+'COEF DEFINITIVO 2019 ANUAL'!C56-'COEF PROVISIONAL 2019 ANUAL'!C56)</f>
        <v>-46538.250993797556</v>
      </c>
      <c r="C55" s="288">
        <f>+'COEF DEFINITIVO 2019 ANUAL'!E56-'COEF PROVISIONAL 2019 ANUAL'!E56</f>
        <v>-6487.2632446263451</v>
      </c>
      <c r="D55" s="288">
        <f>+'COEF DEFINITIVO 2019 ANUAL'!G56-'COEF PROVISIONAL 2019 ANUAL'!G56</f>
        <v>0</v>
      </c>
      <c r="E55" s="288">
        <f>+'COEF DEFINITIVO 2019 ANUAL'!I56-'COEF PROVISIONAL 2019 ANUAL'!I56</f>
        <v>-1517.1918006576016</v>
      </c>
      <c r="F55" s="288">
        <f>+'COEF DEFINITIVO 2019 ANUAL'!K56-'COEF PROVISIONAL 2019 ANUAL'!K56</f>
        <v>-2265.3451387166278</v>
      </c>
      <c r="G55" s="288">
        <f>+'COEF DEFINITIVO 2019 ANUAL'!M56-'COEF PROVISIONAL 2019 ANUAL'!M56</f>
        <v>-169.40674887943896</v>
      </c>
      <c r="H55" s="288">
        <f>+'COEF DEFINITIVO 2019 ANUAL'!O56-'COEF PROVISIONAL 2019 ANUAL'!O56</f>
        <v>-1369.3975241261651</v>
      </c>
      <c r="I55" s="288">
        <f>+'COEF DEFINITIVO 2019 ANUAL'!Q56-'COEF PROVISIONAL 2019 ANUAL'!Q56</f>
        <v>-273.927741262989</v>
      </c>
      <c r="J55" s="288">
        <f>+'COEF DEFINITIVO 2019 ANUAL'!S56-'COEF PROVISIONAL 2019 ANUAL'!S56</f>
        <v>9.4434344209730625E-3</v>
      </c>
      <c r="K55" s="289">
        <f t="shared" si="0"/>
        <v>-58620.773748632302</v>
      </c>
    </row>
    <row r="56" spans="1:11" ht="13.5" thickBot="1">
      <c r="A56" s="170" t="s">
        <v>51</v>
      </c>
      <c r="B56" s="288">
        <f>(+'COEF DEFINITIVO 2019 ANUAL'!C57-'COEF PROVISIONAL 2019 ANUAL'!C57)</f>
        <v>-64116.161569368094</v>
      </c>
      <c r="C56" s="288">
        <f>+'COEF DEFINITIVO 2019 ANUAL'!E57-'COEF PROVISIONAL 2019 ANUAL'!E57</f>
        <v>-8937.5843632379547</v>
      </c>
      <c r="D56" s="288">
        <f>+'COEF DEFINITIVO 2019 ANUAL'!G57-'COEF PROVISIONAL 2019 ANUAL'!G57</f>
        <v>2.2139530628919601E-3</v>
      </c>
      <c r="E56" s="288">
        <f>+'COEF DEFINITIVO 2019 ANUAL'!I57-'COEF PROVISIONAL 2019 ANUAL'!I57</f>
        <v>-2090.2113285729429</v>
      </c>
      <c r="F56" s="288">
        <f>+'COEF DEFINITIVO 2019 ANUAL'!K57-'COEF PROVISIONAL 2019 ANUAL'!K57</f>
        <v>-3121.038329359144</v>
      </c>
      <c r="G56" s="288">
        <f>+'COEF DEFINITIVO 2019 ANUAL'!M57-'COEF PROVISIONAL 2019 ANUAL'!M57</f>
        <v>-233.36717852497532</v>
      </c>
      <c r="H56" s="288">
        <f>+'COEF DEFINITIVO 2019 ANUAL'!O57-'COEF PROVISIONAL 2019 ANUAL'!O57</f>
        <v>-1886.6437309919856</v>
      </c>
      <c r="I56" s="288">
        <f>+'COEF DEFINITIVO 2019 ANUAL'!Q57-'COEF PROVISIONAL 2019 ANUAL'!Q57</f>
        <v>-377.44140687215258</v>
      </c>
      <c r="J56" s="288">
        <f>+'COEF DEFINITIVO 2019 ANUAL'!S57-'COEF PROVISIONAL 2019 ANUAL'!S57</f>
        <v>-1.2302069197176024E-2</v>
      </c>
      <c r="K56" s="289">
        <f t="shared" si="0"/>
        <v>-80762.457995043384</v>
      </c>
    </row>
    <row r="57" spans="1:11" ht="14.25" thickTop="1" thickBot="1">
      <c r="A57" s="171" t="s">
        <v>52</v>
      </c>
      <c r="B57" s="296">
        <f t="shared" ref="B57:D57" si="1">SUM(B6:B56)</f>
        <v>-6.8590175360441208E-2</v>
      </c>
      <c r="C57" s="296">
        <f t="shared" si="1"/>
        <v>-0.10331264929845929</v>
      </c>
      <c r="D57" s="296">
        <f t="shared" si="1"/>
        <v>-9.0403756592422724E-2</v>
      </c>
      <c r="E57" s="296">
        <f>SUM(E6:E56)</f>
        <v>-3.1039127352414653E-2</v>
      </c>
      <c r="F57" s="296">
        <f>SUM(F6:F56)</f>
        <v>1.8097385298460722E-2</v>
      </c>
      <c r="G57" s="296">
        <f>SUM(G6:G56)</f>
        <v>3.7139876400033245E-2</v>
      </c>
      <c r="H57" s="296">
        <f t="shared" ref="H57:K57" si="2">SUM(H6:H56)</f>
        <v>-5.0000008457573131E-2</v>
      </c>
      <c r="I57" s="296">
        <f t="shared" si="2"/>
        <v>-9.0000014643010218E-2</v>
      </c>
      <c r="J57" s="296">
        <f t="shared" si="2"/>
        <v>0.47145451854157727</v>
      </c>
      <c r="K57" s="297">
        <f t="shared" si="2"/>
        <v>9.3346049339743331E-2</v>
      </c>
    </row>
    <row r="58" spans="1:11" ht="13.5" thickTop="1">
      <c r="A58" s="314" t="s">
        <v>269</v>
      </c>
    </row>
    <row r="59" spans="1:11">
      <c r="A59" s="315" t="s">
        <v>146</v>
      </c>
    </row>
    <row r="61" spans="1:11" ht="16.5" customHeight="1"/>
  </sheetData>
  <mergeCells count="3">
    <mergeCell ref="A1:K1"/>
    <mergeCell ref="A2:K2"/>
    <mergeCell ref="A3:K3"/>
  </mergeCells>
  <printOptions horizontalCentered="1"/>
  <pageMargins left="0.19685039370078741" right="0.19685039370078741" top="0.11811023622047245" bottom="0.19685039370078741" header="0.15748031496062992" footer="0.15748031496062992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zoomScaleNormal="100" zoomScaleSheetLayoutView="100" workbookViewId="0">
      <selection activeCell="A3" sqref="A3:U6"/>
    </sheetView>
  </sheetViews>
  <sheetFormatPr baseColWidth="10" defaultColWidth="11.42578125" defaultRowHeight="12.75"/>
  <cols>
    <col min="1" max="1" width="28" style="167" customWidth="1"/>
    <col min="2" max="2" width="16" style="167" customWidth="1"/>
    <col min="3" max="4" width="17.85546875" style="256" customWidth="1"/>
    <col min="5" max="5" width="15.140625" style="256" bestFit="1" customWidth="1"/>
    <col min="6" max="6" width="15.140625" style="256" customWidth="1"/>
    <col min="7" max="7" width="15" style="256" bestFit="1" customWidth="1"/>
    <col min="8" max="8" width="15" style="256" customWidth="1"/>
    <col min="9" max="10" width="15.42578125" style="256" customWidth="1"/>
    <col min="11" max="11" width="15" style="256" bestFit="1" customWidth="1"/>
    <col min="12" max="12" width="15" style="256" customWidth="1"/>
    <col min="13" max="13" width="13.42578125" style="256" customWidth="1"/>
    <col min="14" max="14" width="15.140625" style="256" customWidth="1"/>
    <col min="15" max="15" width="15" style="256" bestFit="1" customWidth="1"/>
    <col min="16" max="16" width="15" style="256" customWidth="1"/>
    <col min="17" max="17" width="13.42578125" style="256" customWidth="1"/>
    <col min="18" max="18" width="16" style="256" customWidth="1"/>
    <col min="19" max="19" width="15.28515625" style="256" bestFit="1" customWidth="1"/>
    <col min="20" max="20" width="15.28515625" style="256" customWidth="1"/>
    <col min="21" max="21" width="16.85546875" style="256" customWidth="1"/>
    <col min="22" max="22" width="18.5703125" style="167" customWidth="1"/>
    <col min="23" max="16384" width="11.42578125" style="167"/>
  </cols>
  <sheetData>
    <row r="1" spans="1:21">
      <c r="A1" s="319" t="s">
        <v>147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</row>
    <row r="2" spans="1:21">
      <c r="A2" s="319" t="s">
        <v>174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</row>
    <row r="3" spans="1:21">
      <c r="A3" s="319" t="s">
        <v>280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1" ht="13.5" thickBot="1">
      <c r="A4" s="322" t="s">
        <v>279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</row>
    <row r="5" spans="1:21" ht="34.5" customHeight="1" thickTop="1" thickBot="1">
      <c r="A5" s="323" t="s">
        <v>0</v>
      </c>
      <c r="B5" s="324" t="s">
        <v>144</v>
      </c>
      <c r="C5" s="325"/>
      <c r="D5" s="324" t="s">
        <v>270</v>
      </c>
      <c r="E5" s="325"/>
      <c r="F5" s="324" t="s">
        <v>271</v>
      </c>
      <c r="G5" s="325"/>
      <c r="H5" s="321" t="s">
        <v>272</v>
      </c>
      <c r="I5" s="321"/>
      <c r="J5" s="321" t="s">
        <v>163</v>
      </c>
      <c r="K5" s="321"/>
      <c r="L5" s="321" t="s">
        <v>273</v>
      </c>
      <c r="M5" s="321"/>
      <c r="N5" s="321" t="s">
        <v>274</v>
      </c>
      <c r="O5" s="321"/>
      <c r="P5" s="321" t="s">
        <v>275</v>
      </c>
      <c r="Q5" s="321"/>
      <c r="R5" s="321" t="s">
        <v>276</v>
      </c>
      <c r="S5" s="321"/>
      <c r="T5" s="326" t="s">
        <v>53</v>
      </c>
      <c r="U5" s="327"/>
    </row>
    <row r="6" spans="1:21" ht="22.5" customHeight="1" thickTop="1" thickBot="1">
      <c r="A6" s="323"/>
      <c r="B6" s="299" t="s">
        <v>262</v>
      </c>
      <c r="C6" s="299" t="s">
        <v>263</v>
      </c>
      <c r="D6" s="299" t="s">
        <v>262</v>
      </c>
      <c r="E6" s="299" t="s">
        <v>263</v>
      </c>
      <c r="F6" s="299" t="s">
        <v>262</v>
      </c>
      <c r="G6" s="299" t="s">
        <v>263</v>
      </c>
      <c r="H6" s="299" t="s">
        <v>262</v>
      </c>
      <c r="I6" s="299" t="s">
        <v>263</v>
      </c>
      <c r="J6" s="299" t="s">
        <v>262</v>
      </c>
      <c r="K6" s="299" t="s">
        <v>263</v>
      </c>
      <c r="L6" s="299" t="s">
        <v>262</v>
      </c>
      <c r="M6" s="299" t="s">
        <v>263</v>
      </c>
      <c r="N6" s="299" t="s">
        <v>262</v>
      </c>
      <c r="O6" s="299" t="s">
        <v>263</v>
      </c>
      <c r="P6" s="299" t="s">
        <v>262</v>
      </c>
      <c r="Q6" s="299" t="s">
        <v>263</v>
      </c>
      <c r="R6" s="299" t="s">
        <v>262</v>
      </c>
      <c r="S6" s="299" t="s">
        <v>263</v>
      </c>
      <c r="T6" s="299" t="s">
        <v>262</v>
      </c>
      <c r="U6" s="299" t="s">
        <v>263</v>
      </c>
    </row>
    <row r="7" spans="1:21" ht="13.5" thickTop="1">
      <c r="A7" s="170" t="s">
        <v>1</v>
      </c>
      <c r="B7" s="282">
        <f>+C7/C$58*100</f>
        <v>0.12517195869370826</v>
      </c>
      <c r="C7" s="273">
        <f>ROUND('PART anual'!D$4*'CALCULO GARANTIA'!$U7,2)</f>
        <v>7766231.7300000004</v>
      </c>
      <c r="D7" s="282">
        <f>+E7/E$58*100</f>
        <v>0.12517195889199589</v>
      </c>
      <c r="E7" s="273">
        <f>ROUND('PART anual'!D$5*'CALCULO GARANTIA'!$U7,2)</f>
        <v>1082584.3700000001</v>
      </c>
      <c r="F7" s="282">
        <f>+G7/G$58*100</f>
        <v>1.413697483553368</v>
      </c>
      <c r="G7" s="273">
        <f>ROUND(+'Art.14 Frac.III'!P5,2)</f>
        <v>3186219.4</v>
      </c>
      <c r="H7" s="282">
        <f>+I7/I$58*100</f>
        <v>0.12517195926703717</v>
      </c>
      <c r="I7" s="273">
        <f>ROUND('PART anual'!D$7*'CALCULO GARANTIA'!$U7,2)</f>
        <v>253185.67</v>
      </c>
      <c r="J7" s="282">
        <f>+K7/K$58*100</f>
        <v>0.12517195865601641</v>
      </c>
      <c r="K7" s="273">
        <f>ROUND('PART anual'!D$8*'CALCULO GARANTIA'!$U7,2)</f>
        <v>378044.18</v>
      </c>
      <c r="L7" s="282">
        <f>+M7/M$58*100</f>
        <v>0.12517196138447173</v>
      </c>
      <c r="M7" s="273">
        <f>ROUND('PART anual'!D$9*'CALCULO GARANTIA'!$U7,2)</f>
        <v>28267.71</v>
      </c>
      <c r="N7" s="282">
        <f>+O7/O$58*100</f>
        <v>0.12517196092467325</v>
      </c>
      <c r="O7" s="273">
        <f>ROUND('PART anual'!D$10*'CALCULO GARANTIA'!$U7,2)</f>
        <v>228527.67</v>
      </c>
      <c r="P7" s="282">
        <f>+Q7/Q$58*100</f>
        <v>0.1251719618221537</v>
      </c>
      <c r="Q7" s="273">
        <f>ROUND('PART anual'!D$11*'CALCULO GARANTIA'!$U7,2)</f>
        <v>45715.37</v>
      </c>
      <c r="R7" s="282">
        <f>+S7/S$58*100</f>
        <v>5.1233910982503926E-2</v>
      </c>
      <c r="S7" s="273">
        <f>ROUND(+'PART anual'!D$12*'COEF Art 14 F II'!N8,2)</f>
        <v>110826.78</v>
      </c>
      <c r="T7" s="282">
        <f>+U7/U$58*100</f>
        <v>0.15840640150233015</v>
      </c>
      <c r="U7" s="312">
        <f>+C7+E7+G7+I7+K7+M7+O7+Q7+S7</f>
        <v>13079602.880000001</v>
      </c>
    </row>
    <row r="8" spans="1:21">
      <c r="A8" s="170" t="s">
        <v>2</v>
      </c>
      <c r="B8" s="282">
        <f t="shared" ref="B8:B57" si="0">+C8/C$58*100</f>
        <v>0.24793778360712401</v>
      </c>
      <c r="C8" s="273">
        <f>ROUND('PART anual'!D$4*'CALCULO GARANTIA'!$U8,2)</f>
        <v>15383176.09</v>
      </c>
      <c r="D8" s="282">
        <f t="shared" ref="D8:D57" si="1">+E8/E$58*100</f>
        <v>0.2479377833917342</v>
      </c>
      <c r="E8" s="273">
        <f>ROUND('PART anual'!D$5*'CALCULO GARANTIA'!$U8,2)</f>
        <v>2144358.62</v>
      </c>
      <c r="F8" s="282">
        <f t="shared" ref="F8:F57" si="2">+G8/G$58*100</f>
        <v>1.3572722674879678</v>
      </c>
      <c r="G8" s="273">
        <f>ROUND(+'Art.14 Frac.III'!P6,2)</f>
        <v>3059047.13</v>
      </c>
      <c r="H8" s="282">
        <f t="shared" ref="H8:H57" si="3">+I8/I$58*100</f>
        <v>0.24793778153367951</v>
      </c>
      <c r="I8" s="273">
        <f>ROUND('PART anual'!D$7*'CALCULO GARANTIA'!$U8,2)</f>
        <v>501504.44</v>
      </c>
      <c r="J8" s="282">
        <f t="shared" ref="J8:J57" si="4">+K8/K$58*100</f>
        <v>0.24793778418877385</v>
      </c>
      <c r="K8" s="273">
        <f>ROUND('PART anual'!D$8*'CALCULO GARANTIA'!$U8,2)</f>
        <v>748821.36</v>
      </c>
      <c r="L8" s="282">
        <f t="shared" ref="L8:L57" si="5">+M8/M$58*100</f>
        <v>0.24793778727451912</v>
      </c>
      <c r="M8" s="273">
        <f>ROUND('PART anual'!D$9*'CALCULO GARANTIA'!$U8,2)</f>
        <v>55992.04</v>
      </c>
      <c r="N8" s="282">
        <f t="shared" ref="N8:N57" si="6">+O8/O$58*100</f>
        <v>0.2479377836391875</v>
      </c>
      <c r="O8" s="273">
        <f>ROUND('PART anual'!D$10*'CALCULO GARANTIA'!$U8,2)</f>
        <v>452662.43</v>
      </c>
      <c r="P8" s="282">
        <f t="shared" ref="P8:P57" si="7">+Q8/Q$58*100</f>
        <v>0.24793778835784999</v>
      </c>
      <c r="Q8" s="273">
        <f>ROUND('PART anual'!D$11*'CALCULO GARANTIA'!$U8,2)</f>
        <v>90551.97</v>
      </c>
      <c r="R8" s="282">
        <f t="shared" ref="R8:R57" si="8">+S8/S$58*100</f>
        <v>0.11275788080766506</v>
      </c>
      <c r="S8" s="273">
        <f>ROUND(+'PART anual'!D$12*'COEF Art 14 F II'!N9,2)</f>
        <v>243912.53</v>
      </c>
      <c r="T8" s="282">
        <f t="shared" ref="T8:T57" si="9">+U8/U$58*100</f>
        <v>0.27467664226723004</v>
      </c>
      <c r="U8" s="312">
        <f t="shared" ref="U8:U57" si="10">+C8+E8+G8+I8+K8+M8+O8+Q8+S8</f>
        <v>22680026.609999999</v>
      </c>
    </row>
    <row r="9" spans="1:21">
      <c r="A9" s="170" t="s">
        <v>3</v>
      </c>
      <c r="B9" s="282">
        <f t="shared" si="0"/>
        <v>0.25792845641324452</v>
      </c>
      <c r="C9" s="273">
        <f>ROUND('PART anual'!D$4*'CALCULO GARANTIA'!$U9,2)</f>
        <v>16003042.4</v>
      </c>
      <c r="D9" s="282">
        <f t="shared" si="1"/>
        <v>0.25792845596090919</v>
      </c>
      <c r="E9" s="273">
        <f>ROUND('PART anual'!D$5*'CALCULO GARANTIA'!$U9,2)</f>
        <v>2230765.7200000002</v>
      </c>
      <c r="F9" s="282">
        <f t="shared" si="2"/>
        <v>0</v>
      </c>
      <c r="G9" s="273">
        <f>ROUND(+'Art.14 Frac.III'!P7,2)</f>
        <v>0</v>
      </c>
      <c r="H9" s="282">
        <f t="shared" si="3"/>
        <v>0.25792845846299139</v>
      </c>
      <c r="I9" s="273">
        <f>ROUND('PART anual'!D$7*'CALCULO GARANTIA'!$U9,2)</f>
        <v>521712.61</v>
      </c>
      <c r="J9" s="282">
        <f t="shared" si="4"/>
        <v>0.25792845485010901</v>
      </c>
      <c r="K9" s="273">
        <f>ROUND('PART anual'!D$8*'CALCULO GARANTIA'!$U9,2)</f>
        <v>778995.17</v>
      </c>
      <c r="L9" s="282">
        <f t="shared" si="5"/>
        <v>0.25792844372584273</v>
      </c>
      <c r="M9" s="273">
        <f>ROUND('PART anual'!D$9*'CALCULO GARANTIA'!$U9,2)</f>
        <v>58248.24</v>
      </c>
      <c r="N9" s="282">
        <f t="shared" si="6"/>
        <v>0.25792845710688311</v>
      </c>
      <c r="O9" s="273">
        <f>ROUND('PART anual'!D$10*'CALCULO GARANTIA'!$U9,2)</f>
        <v>470902.5</v>
      </c>
      <c r="P9" s="282">
        <f t="shared" si="7"/>
        <v>0.25792846445424111</v>
      </c>
      <c r="Q9" s="273">
        <f>ROUND('PART anual'!D$11*'CALCULO GARANTIA'!$U9,2)</f>
        <v>94200.77</v>
      </c>
      <c r="R9" s="282">
        <f t="shared" si="8"/>
        <v>9.6712898052567428E-2</v>
      </c>
      <c r="S9" s="273">
        <f>ROUND(+'PART anual'!D$12*'COEF Art 14 F II'!N10,2)</f>
        <v>209204.78</v>
      </c>
      <c r="T9" s="282">
        <f t="shared" si="9"/>
        <v>0.24666456958638813</v>
      </c>
      <c r="U9" s="312">
        <f t="shared" si="10"/>
        <v>20367072.190000001</v>
      </c>
    </row>
    <row r="10" spans="1:21">
      <c r="A10" s="170" t="s">
        <v>4</v>
      </c>
      <c r="B10" s="282">
        <f t="shared" si="0"/>
        <v>0.71341318084203198</v>
      </c>
      <c r="C10" s="273">
        <f>ROUND('PART anual'!D$4*'CALCULO GARANTIA'!$U10,2)</f>
        <v>44263364.890000001</v>
      </c>
      <c r="D10" s="282">
        <f t="shared" si="1"/>
        <v>0.71341318060727577</v>
      </c>
      <c r="E10" s="273">
        <f>ROUND('PART anual'!D$5*'CALCULO GARANTIA'!$U10,2)</f>
        <v>6170151.5700000003</v>
      </c>
      <c r="F10" s="282">
        <f t="shared" si="2"/>
        <v>2.5799652185363264</v>
      </c>
      <c r="G10" s="273">
        <f>ROUND(+'Art.14 Frac.III'!P8,2)</f>
        <v>5814776.7300000004</v>
      </c>
      <c r="H10" s="282">
        <f t="shared" si="3"/>
        <v>0.71341317874129728</v>
      </c>
      <c r="I10" s="273">
        <f>ROUND('PART anual'!D$7*'CALCULO GARANTIA'!$U10,2)</f>
        <v>1443022.82</v>
      </c>
      <c r="J10" s="282">
        <f t="shared" si="4"/>
        <v>0.71341318000357934</v>
      </c>
      <c r="K10" s="273">
        <f>ROUND('PART anual'!D$8*'CALCULO GARANTIA'!$U10,2)</f>
        <v>2154649.52</v>
      </c>
      <c r="L10" s="282">
        <f t="shared" si="5"/>
        <v>0.71341319617544463</v>
      </c>
      <c r="M10" s="273">
        <f>ROUND('PART anual'!D$9*'CALCULO GARANTIA'!$U10,2)</f>
        <v>161110.82</v>
      </c>
      <c r="N10" s="282">
        <f t="shared" si="6"/>
        <v>0.7134131792170173</v>
      </c>
      <c r="O10" s="273">
        <f>ROUND('PART anual'!D$10*'CALCULO GARANTIA'!$U10,2)</f>
        <v>1302485.3999999999</v>
      </c>
      <c r="P10" s="282">
        <f t="shared" si="7"/>
        <v>0.71341318450932945</v>
      </c>
      <c r="Q10" s="273">
        <f>ROUND('PART anual'!D$11*'CALCULO GARANTIA'!$U10,2)</f>
        <v>260553.14</v>
      </c>
      <c r="R10" s="282">
        <f t="shared" si="8"/>
        <v>0.69569970406073134</v>
      </c>
      <c r="S10" s="273">
        <f>ROUND(+'PART anual'!D$12*'COEF Art 14 F II'!N11,2)</f>
        <v>1504904.79</v>
      </c>
      <c r="T10" s="282">
        <f t="shared" si="9"/>
        <v>0.76389833727103607</v>
      </c>
      <c r="U10" s="312">
        <f t="shared" si="10"/>
        <v>63075019.68</v>
      </c>
    </row>
    <row r="11" spans="1:21">
      <c r="A11" s="170" t="s">
        <v>5</v>
      </c>
      <c r="B11" s="282">
        <f t="shared" si="0"/>
        <v>0.90102384015786197</v>
      </c>
      <c r="C11" s="273">
        <f>ROUND('PART anual'!D$4*'CALCULO GARANTIA'!$U11,2)</f>
        <v>55903574.649999999</v>
      </c>
      <c r="D11" s="282">
        <f t="shared" si="1"/>
        <v>0.90102383974184164</v>
      </c>
      <c r="E11" s="273">
        <f>ROUND('PART anual'!D$5*'CALCULO GARANTIA'!$U11,2)</f>
        <v>7792754.3399999999</v>
      </c>
      <c r="F11" s="282">
        <f t="shared" si="2"/>
        <v>0.86601093287468778</v>
      </c>
      <c r="G11" s="273">
        <f>ROUND(+'Art.14 Frac.III'!P9,2)</f>
        <v>1951832.6</v>
      </c>
      <c r="H11" s="282">
        <f t="shared" si="3"/>
        <v>0.90102384192594898</v>
      </c>
      <c r="I11" s="273">
        <f>ROUND('PART anual'!D$7*'CALCULO GARANTIA'!$U11,2)</f>
        <v>1822503.43</v>
      </c>
      <c r="J11" s="282">
        <f t="shared" si="4"/>
        <v>0.90102383959561883</v>
      </c>
      <c r="K11" s="273">
        <f>ROUND('PART anual'!D$8*'CALCULO GARANTIA'!$U11,2)</f>
        <v>2721270.98</v>
      </c>
      <c r="L11" s="282">
        <f t="shared" si="5"/>
        <v>0.90102383784134932</v>
      </c>
      <c r="M11" s="273">
        <f>ROUND('PART anual'!D$9*'CALCULO GARANTIA'!$U11,2)</f>
        <v>203479.12</v>
      </c>
      <c r="N11" s="282">
        <f t="shared" si="6"/>
        <v>0.90102383815707965</v>
      </c>
      <c r="O11" s="273">
        <f>ROUND('PART anual'!D$10*'CALCULO GARANTIA'!$U11,2)</f>
        <v>1645008.01</v>
      </c>
      <c r="P11" s="282">
        <f t="shared" si="7"/>
        <v>0.90102383267431696</v>
      </c>
      <c r="Q11" s="273">
        <f>ROUND('PART anual'!D$11*'CALCULO GARANTIA'!$U11,2)</f>
        <v>329072.40000000002</v>
      </c>
      <c r="R11" s="282">
        <f t="shared" si="8"/>
        <v>0.47357148856213727</v>
      </c>
      <c r="S11" s="273">
        <f>ROUND(+'PART anual'!D$12*'COEF Art 14 F II'!N12,2)</f>
        <v>1024407.51</v>
      </c>
      <c r="T11" s="282">
        <f t="shared" si="9"/>
        <v>0.88886980586809161</v>
      </c>
      <c r="U11" s="312">
        <f t="shared" si="10"/>
        <v>73393903.040000021</v>
      </c>
    </row>
    <row r="12" spans="1:21">
      <c r="A12" s="170" t="s">
        <v>6</v>
      </c>
      <c r="B12" s="282">
        <f t="shared" si="0"/>
        <v>6.1471787354586489</v>
      </c>
      <c r="C12" s="273">
        <f>ROUND('PART anual'!D$4*'CALCULO GARANTIA'!$U12,2)</f>
        <v>381398637.87</v>
      </c>
      <c r="D12" s="282">
        <f t="shared" si="1"/>
        <v>6.1471787358137977</v>
      </c>
      <c r="E12" s="273">
        <f>ROUND('PART anual'!D$5*'CALCULO GARANTIA'!$U12,2)</f>
        <v>53165578.600000001</v>
      </c>
      <c r="F12" s="282">
        <f t="shared" si="2"/>
        <v>5.012778691453498</v>
      </c>
      <c r="G12" s="273">
        <f>ROUND(+'Art.14 Frac.III'!P10,2)</f>
        <v>11297899.939999999</v>
      </c>
      <c r="H12" s="282">
        <f t="shared" si="3"/>
        <v>6.1471787364554284</v>
      </c>
      <c r="I12" s="273">
        <f>ROUND('PART anual'!D$7*'CALCULO GARANTIA'!$U12,2)</f>
        <v>12433915.52</v>
      </c>
      <c r="J12" s="282">
        <f t="shared" si="4"/>
        <v>6.1471787350966407</v>
      </c>
      <c r="K12" s="273">
        <f>ROUND('PART anual'!D$8*'CALCULO GARANTIA'!$U12,2)</f>
        <v>18565700.890000001</v>
      </c>
      <c r="L12" s="282">
        <f t="shared" si="5"/>
        <v>6.147178736633915</v>
      </c>
      <c r="M12" s="273">
        <f>ROUND('PART anual'!D$9*'CALCULO GARANTIA'!$U12,2)</f>
        <v>1388223.56</v>
      </c>
      <c r="N12" s="282">
        <f t="shared" si="6"/>
        <v>6.1471787368154045</v>
      </c>
      <c r="O12" s="273">
        <f>ROUND('PART anual'!D$10*'CALCULO GARANTIA'!$U12,2)</f>
        <v>11222964.18</v>
      </c>
      <c r="P12" s="282">
        <f t="shared" si="7"/>
        <v>6.1471787242618587</v>
      </c>
      <c r="Q12" s="273">
        <f>ROUND('PART anual'!D$11*'CALCULO GARANTIA'!$U12,2)</f>
        <v>2245075.86</v>
      </c>
      <c r="R12" s="282">
        <f t="shared" si="8"/>
        <v>10.174322711823219</v>
      </c>
      <c r="S12" s="273">
        <f>ROUND(+'PART anual'!D$12*'COEF Art 14 F II'!N13,2)</f>
        <v>22008615.059999999</v>
      </c>
      <c r="T12" s="282">
        <f t="shared" si="9"/>
        <v>6.2217167162595421</v>
      </c>
      <c r="U12" s="312">
        <f t="shared" si="10"/>
        <v>513726611.48000002</v>
      </c>
    </row>
    <row r="13" spans="1:21">
      <c r="A13" s="170" t="s">
        <v>7</v>
      </c>
      <c r="B13" s="282">
        <f t="shared" si="0"/>
        <v>1.0285245330249007</v>
      </c>
      <c r="C13" s="273">
        <f>ROUND('PART anual'!D$4*'CALCULO GARANTIA'!$U13,2)</f>
        <v>63814291.530000001</v>
      </c>
      <c r="D13" s="282">
        <f t="shared" si="1"/>
        <v>1.028524533644279</v>
      </c>
      <c r="E13" s="273">
        <f>ROUND('PART anual'!D$5*'CALCULO GARANTIA'!$U13,2)</f>
        <v>8895479.4199999999</v>
      </c>
      <c r="F13" s="282">
        <f t="shared" si="2"/>
        <v>0</v>
      </c>
      <c r="G13" s="273">
        <f>ROUND(+'Art.14 Frac.III'!P11,2)</f>
        <v>0</v>
      </c>
      <c r="H13" s="282">
        <f t="shared" si="3"/>
        <v>1.0285245318628313</v>
      </c>
      <c r="I13" s="273">
        <f>ROUND('PART anual'!D$7*'CALCULO GARANTIA'!$U13,2)</f>
        <v>2080399.43</v>
      </c>
      <c r="J13" s="282">
        <f t="shared" si="4"/>
        <v>1.0285245324924264</v>
      </c>
      <c r="K13" s="273">
        <f>ROUND('PART anual'!D$8*'CALCULO GARANTIA'!$U13,2)</f>
        <v>3106348.4</v>
      </c>
      <c r="L13" s="282">
        <f t="shared" si="5"/>
        <v>1.0285245317086467</v>
      </c>
      <c r="M13" s="273">
        <f>ROUND('PART anual'!D$9*'CALCULO GARANTIA'!$U13,2)</f>
        <v>232272.73</v>
      </c>
      <c r="N13" s="282">
        <f t="shared" si="6"/>
        <v>1.0285245317789695</v>
      </c>
      <c r="O13" s="273">
        <f>ROUND('PART anual'!D$10*'CALCULO GARANTIA'!$U13,2)</f>
        <v>1877787.27</v>
      </c>
      <c r="P13" s="282">
        <f t="shared" si="7"/>
        <v>1.0285245244953691</v>
      </c>
      <c r="Q13" s="273">
        <f>ROUND('PART anual'!D$11*'CALCULO GARANTIA'!$U13,2)</f>
        <v>375638.27</v>
      </c>
      <c r="R13" s="282">
        <f t="shared" si="8"/>
        <v>0.53110385879066879</v>
      </c>
      <c r="S13" s="273">
        <f>ROUND(+'PART anual'!D$12*'COEF Art 14 F II'!N14,2)</f>
        <v>1148858.82</v>
      </c>
      <c r="T13" s="282">
        <f t="shared" si="9"/>
        <v>0.98741868982341474</v>
      </c>
      <c r="U13" s="312">
        <f t="shared" si="10"/>
        <v>81531075.870000005</v>
      </c>
    </row>
    <row r="14" spans="1:21">
      <c r="A14" s="170" t="s">
        <v>8</v>
      </c>
      <c r="B14" s="282">
        <f t="shared" si="0"/>
        <v>0.16354085162450893</v>
      </c>
      <c r="C14" s="273">
        <f>ROUND('PART anual'!D$4*'CALCULO GARANTIA'!$U14,2)</f>
        <v>10146810.550000001</v>
      </c>
      <c r="D14" s="282">
        <f t="shared" si="1"/>
        <v>0.16354085158768067</v>
      </c>
      <c r="E14" s="273">
        <f>ROUND('PART anual'!D$5*'CALCULO GARANTIA'!$U14,2)</f>
        <v>1414428.37</v>
      </c>
      <c r="F14" s="282">
        <f t="shared" si="2"/>
        <v>1.2393835089002576</v>
      </c>
      <c r="G14" s="273">
        <f>ROUND(+'Art.14 Frac.III'!P12,2)</f>
        <v>2793347.11</v>
      </c>
      <c r="H14" s="282">
        <f t="shared" si="3"/>
        <v>0.16354085397739254</v>
      </c>
      <c r="I14" s="273">
        <f>ROUND('PART anual'!D$7*'CALCULO GARANTIA'!$U14,2)</f>
        <v>330794.53999999998</v>
      </c>
      <c r="J14" s="282">
        <f t="shared" si="4"/>
        <v>0.16354085209579827</v>
      </c>
      <c r="K14" s="273">
        <f>ROUND('PART anual'!D$8*'CALCULO GARANTIA'!$U14,2)</f>
        <v>493925.86</v>
      </c>
      <c r="L14" s="282">
        <f t="shared" si="5"/>
        <v>0.16354087335083528</v>
      </c>
      <c r="M14" s="273">
        <f>ROUND('PART anual'!D$9*'CALCULO GARANTIA'!$U14,2)</f>
        <v>36932.6</v>
      </c>
      <c r="N14" s="282">
        <f t="shared" si="6"/>
        <v>0.1635408527174062</v>
      </c>
      <c r="O14" s="273">
        <f>ROUND('PART anual'!D$10*'CALCULO GARANTIA'!$U14,2)</f>
        <v>298578.13</v>
      </c>
      <c r="P14" s="282">
        <f t="shared" si="7"/>
        <v>0.16354086203951254</v>
      </c>
      <c r="Q14" s="273">
        <f>ROUND('PART anual'!D$11*'CALCULO GARANTIA'!$U14,2)</f>
        <v>59728.480000000003</v>
      </c>
      <c r="R14" s="282">
        <f t="shared" si="8"/>
        <v>9.5768059591291449E-2</v>
      </c>
      <c r="S14" s="273">
        <f>ROUND(+'PART anual'!D$12*'COEF Art 14 F II'!N15,2)</f>
        <v>207160.95</v>
      </c>
      <c r="T14" s="282">
        <f t="shared" si="9"/>
        <v>0.19113144133069501</v>
      </c>
      <c r="U14" s="312">
        <f t="shared" si="10"/>
        <v>15781706.59</v>
      </c>
    </row>
    <row r="15" spans="1:21">
      <c r="A15" s="170" t="s">
        <v>9</v>
      </c>
      <c r="B15" s="282">
        <f t="shared" si="0"/>
        <v>1.6256280660979769</v>
      </c>
      <c r="C15" s="273">
        <f>ROUND('PART anual'!D$4*'CALCULO GARANTIA'!$U15,2)</f>
        <v>100861282.34999999</v>
      </c>
      <c r="D15" s="282">
        <f t="shared" si="1"/>
        <v>1.6256280660919293</v>
      </c>
      <c r="E15" s="273">
        <f>ROUND('PART anual'!D$5*'CALCULO GARANTIA'!$U15,2)</f>
        <v>14059694.77</v>
      </c>
      <c r="F15" s="282">
        <f t="shared" si="2"/>
        <v>1.962902176888413</v>
      </c>
      <c r="G15" s="273">
        <f>ROUND(+'Art.14 Frac.III'!P13,2)</f>
        <v>4424027.82</v>
      </c>
      <c r="H15" s="282">
        <f t="shared" si="3"/>
        <v>1.6256280667382272</v>
      </c>
      <c r="I15" s="273">
        <f>ROUND('PART anual'!D$7*'CALCULO GARANTIA'!$U15,2)</f>
        <v>3288162.41</v>
      </c>
      <c r="J15" s="282">
        <f t="shared" si="4"/>
        <v>1.6256280649462453</v>
      </c>
      <c r="K15" s="273">
        <f>ROUND('PART anual'!D$8*'CALCULO GARANTIA'!$U15,2)</f>
        <v>4909719.68</v>
      </c>
      <c r="L15" s="282">
        <f t="shared" si="5"/>
        <v>1.6256280570804853</v>
      </c>
      <c r="M15" s="273">
        <f>ROUND('PART anual'!D$9*'CALCULO GARANTIA'!$U15,2)</f>
        <v>367117.22</v>
      </c>
      <c r="N15" s="282">
        <f t="shared" si="6"/>
        <v>1.6256280678431636</v>
      </c>
      <c r="O15" s="273">
        <f>ROUND('PART anual'!D$10*'CALCULO GARANTIA'!$U15,2)</f>
        <v>2967925.02</v>
      </c>
      <c r="P15" s="282">
        <f t="shared" si="7"/>
        <v>1.6256280639226208</v>
      </c>
      <c r="Q15" s="273">
        <f>ROUND('PART anual'!D$11*'CALCULO GARANTIA'!$U15,2)</f>
        <v>593712.74</v>
      </c>
      <c r="R15" s="282">
        <f t="shared" si="8"/>
        <v>1.6950590423955223</v>
      </c>
      <c r="S15" s="273">
        <f>ROUND(+'PART anual'!D$12*'COEF Art 14 F II'!N16,2)</f>
        <v>3666671.78</v>
      </c>
      <c r="T15" s="282">
        <f t="shared" si="9"/>
        <v>1.6366532064440336</v>
      </c>
      <c r="U15" s="312">
        <f t="shared" si="10"/>
        <v>135138313.78999999</v>
      </c>
    </row>
    <row r="16" spans="1:21">
      <c r="A16" s="170" t="s">
        <v>10</v>
      </c>
      <c r="B16" s="282">
        <f t="shared" si="0"/>
        <v>0.27009617775042638</v>
      </c>
      <c r="C16" s="273">
        <f>ROUND('PART anual'!D$4*'CALCULO GARANTIA'!$U16,2)</f>
        <v>16757982.6</v>
      </c>
      <c r="D16" s="282">
        <f t="shared" si="1"/>
        <v>0.27009617735566915</v>
      </c>
      <c r="E16" s="273">
        <f>ROUND('PART anual'!D$5*'CALCULO GARANTIA'!$U16,2)</f>
        <v>2336001.63</v>
      </c>
      <c r="F16" s="282">
        <f t="shared" si="2"/>
        <v>1.2619061434408159</v>
      </c>
      <c r="G16" s="273">
        <f>ROUND(+'Art.14 Frac.III'!P14,2)</f>
        <v>2844109.07</v>
      </c>
      <c r="H16" s="282">
        <f t="shared" si="3"/>
        <v>0.27009617793326535</v>
      </c>
      <c r="I16" s="273">
        <f>ROUND('PART anual'!D$7*'CALCULO GARANTIA'!$U16,2)</f>
        <v>546324.29</v>
      </c>
      <c r="J16" s="282">
        <f t="shared" si="4"/>
        <v>0.27009617767639987</v>
      </c>
      <c r="K16" s="273">
        <f>ROUND('PART anual'!D$8*'CALCULO GARANTIA'!$U16,2)</f>
        <v>815744.11</v>
      </c>
      <c r="L16" s="282">
        <f t="shared" si="5"/>
        <v>0.27009617058062935</v>
      </c>
      <c r="M16" s="273">
        <f>ROUND('PART anual'!D$9*'CALCULO GARANTIA'!$U16,2)</f>
        <v>60996.09</v>
      </c>
      <c r="N16" s="282">
        <f t="shared" si="6"/>
        <v>0.27009617979670958</v>
      </c>
      <c r="O16" s="273">
        <f>ROUND('PART anual'!D$10*'CALCULO GARANTIA'!$U16,2)</f>
        <v>493117.23</v>
      </c>
      <c r="P16" s="282">
        <f t="shared" si="7"/>
        <v>0.27009618137617497</v>
      </c>
      <c r="Q16" s="273">
        <f>ROUND('PART anual'!D$11*'CALCULO GARANTIA'!$U16,2)</f>
        <v>98644.67</v>
      </c>
      <c r="R16" s="282">
        <f t="shared" si="8"/>
        <v>0.50256771058873095</v>
      </c>
      <c r="S16" s="273">
        <f>ROUND(+'PART anual'!D$12*'COEF Art 14 F II'!N17,2)</f>
        <v>1087130.77</v>
      </c>
      <c r="T16" s="282">
        <f t="shared" si="9"/>
        <v>0.30325877040736016</v>
      </c>
      <c r="U16" s="312">
        <f t="shared" si="10"/>
        <v>25040050.460000001</v>
      </c>
    </row>
    <row r="17" spans="1:21">
      <c r="A17" s="170" t="s">
        <v>11</v>
      </c>
      <c r="B17" s="282">
        <f t="shared" si="0"/>
        <v>0.39240965185920523</v>
      </c>
      <c r="C17" s="273">
        <f>ROUND('PART anual'!D$4*'CALCULO GARANTIA'!$U17,2)</f>
        <v>24346861.079999998</v>
      </c>
      <c r="D17" s="282">
        <f t="shared" si="1"/>
        <v>0.39240965235435715</v>
      </c>
      <c r="E17" s="273">
        <f>ROUND('PART anual'!D$5*'CALCULO GARANTIA'!$U17,2)</f>
        <v>3393863.61</v>
      </c>
      <c r="F17" s="282">
        <f t="shared" si="2"/>
        <v>4.8131149840333913</v>
      </c>
      <c r="G17" s="273">
        <f>ROUND(+'Art.14 Frac.III'!P15,2)</f>
        <v>10847893.92</v>
      </c>
      <c r="H17" s="282">
        <f t="shared" si="3"/>
        <v>0.39240965000342709</v>
      </c>
      <c r="I17" s="273">
        <f>ROUND('PART anual'!D$7*'CALCULO GARANTIA'!$U17,2)</f>
        <v>793728.09</v>
      </c>
      <c r="J17" s="282">
        <f t="shared" si="4"/>
        <v>0.39240965216860896</v>
      </c>
      <c r="K17" s="273">
        <f>ROUND('PART anual'!D$8*'CALCULO GARANTIA'!$U17,2)</f>
        <v>1185155.1000000001</v>
      </c>
      <c r="L17" s="282">
        <f t="shared" si="5"/>
        <v>0.39240966708653408</v>
      </c>
      <c r="M17" s="273">
        <f>ROUND('PART anual'!D$9*'CALCULO GARANTIA'!$U17,2)</f>
        <v>88618.27</v>
      </c>
      <c r="N17" s="282">
        <f t="shared" si="6"/>
        <v>0.39240965240565778</v>
      </c>
      <c r="O17" s="273">
        <f>ROUND('PART anual'!D$10*'CALCULO GARANTIA'!$U17,2)</f>
        <v>716426.13</v>
      </c>
      <c r="P17" s="282">
        <f t="shared" si="7"/>
        <v>0.3924096510828084</v>
      </c>
      <c r="Q17" s="273">
        <f>ROUND('PART anual'!D$11*'CALCULO GARANTIA'!$U17,2)</f>
        <v>143316.06</v>
      </c>
      <c r="R17" s="282">
        <f t="shared" si="8"/>
        <v>0.23340420559929734</v>
      </c>
      <c r="S17" s="273">
        <f>ROUND(+'PART anual'!D$12*'COEF Art 14 F II'!N18,2)</f>
        <v>504888.97</v>
      </c>
      <c r="T17" s="282">
        <f t="shared" si="9"/>
        <v>0.5089111689275474</v>
      </c>
      <c r="U17" s="312">
        <f t="shared" si="10"/>
        <v>42020751.230000012</v>
      </c>
    </row>
    <row r="18" spans="1:21">
      <c r="A18" s="170" t="s">
        <v>12</v>
      </c>
      <c r="B18" s="282">
        <f t="shared" si="0"/>
        <v>0.82529491356470641</v>
      </c>
      <c r="C18" s="273">
        <f>ROUND('PART anual'!D$4*'CALCULO GARANTIA'!$U18,2)</f>
        <v>51205011.18</v>
      </c>
      <c r="D18" s="282">
        <f t="shared" si="1"/>
        <v>0.82529491374321962</v>
      </c>
      <c r="E18" s="273">
        <f>ROUND('PART anual'!D$5*'CALCULO GARANTIA'!$U18,2)</f>
        <v>7137791.7400000002</v>
      </c>
      <c r="F18" s="282">
        <f t="shared" si="2"/>
        <v>1.2218995513326512</v>
      </c>
      <c r="G18" s="273">
        <f>ROUND(+'Art.14 Frac.III'!P16,2)</f>
        <v>2753941.42</v>
      </c>
      <c r="H18" s="282">
        <f t="shared" si="3"/>
        <v>0.82529491550778944</v>
      </c>
      <c r="I18" s="273">
        <f>ROUND('PART anual'!D$7*'CALCULO GARANTIA'!$U18,2)</f>
        <v>1669326.32</v>
      </c>
      <c r="J18" s="282">
        <f t="shared" si="4"/>
        <v>0.82529491350885054</v>
      </c>
      <c r="K18" s="273">
        <f>ROUND('PART anual'!D$8*'CALCULO GARANTIA'!$U18,2)</f>
        <v>2492554.58</v>
      </c>
      <c r="L18" s="282">
        <f t="shared" si="5"/>
        <v>0.82529490991335108</v>
      </c>
      <c r="M18" s="273">
        <f>ROUND('PART anual'!D$9*'CALCULO GARANTIA'!$U18,2)</f>
        <v>186377.18</v>
      </c>
      <c r="N18" s="282">
        <f t="shared" si="6"/>
        <v>0.82529491153579637</v>
      </c>
      <c r="O18" s="273">
        <f>ROUND('PART anual'!D$10*'CALCULO GARANTIA'!$U18,2)</f>
        <v>1506748.97</v>
      </c>
      <c r="P18" s="282">
        <f t="shared" si="7"/>
        <v>0.82529490214600032</v>
      </c>
      <c r="Q18" s="273">
        <f>ROUND('PART anual'!D$11*'CALCULO GARANTIA'!$U18,2)</f>
        <v>301414.64</v>
      </c>
      <c r="R18" s="282">
        <f t="shared" si="8"/>
        <v>0.36231855458076972</v>
      </c>
      <c r="S18" s="273">
        <f>ROUND(+'PART anual'!D$12*'COEF Art 14 F II'!N19,2)</f>
        <v>783750.41</v>
      </c>
      <c r="T18" s="282">
        <f t="shared" si="9"/>
        <v>0.82399161514719665</v>
      </c>
      <c r="U18" s="312">
        <f t="shared" si="10"/>
        <v>68036916.439999998</v>
      </c>
    </row>
    <row r="19" spans="1:21">
      <c r="A19" s="170" t="s">
        <v>13</v>
      </c>
      <c r="B19" s="282">
        <f t="shared" si="0"/>
        <v>0.41991793542165734</v>
      </c>
      <c r="C19" s="273">
        <f>ROUND('PART anual'!D$4*'CALCULO GARANTIA'!$U19,2)</f>
        <v>26053598.809999999</v>
      </c>
      <c r="D19" s="282">
        <f t="shared" si="1"/>
        <v>0.41991793561877466</v>
      </c>
      <c r="E19" s="273">
        <f>ROUND('PART anual'!D$5*'CALCULO GARANTIA'!$U19,2)</f>
        <v>3631776.62</v>
      </c>
      <c r="F19" s="282">
        <f t="shared" si="2"/>
        <v>1.5310733439969526</v>
      </c>
      <c r="G19" s="273">
        <f>ROUND(+'Art.14 Frac.III'!P17,2)</f>
        <v>3450763.44</v>
      </c>
      <c r="H19" s="282">
        <f t="shared" si="3"/>
        <v>0.41991793770017377</v>
      </c>
      <c r="I19" s="273">
        <f>ROUND('PART anual'!D$7*'CALCULO GARANTIA'!$U19,2)</f>
        <v>849369.18</v>
      </c>
      <c r="J19" s="282">
        <f t="shared" si="4"/>
        <v>0.41991793548005152</v>
      </c>
      <c r="K19" s="273">
        <f>ROUND('PART anual'!D$8*'CALCULO GARANTIA'!$U19,2)</f>
        <v>1268235.58</v>
      </c>
      <c r="L19" s="282">
        <f t="shared" si="5"/>
        <v>0.41991793577727143</v>
      </c>
      <c r="M19" s="273">
        <f>ROUND('PART anual'!D$9*'CALCULO GARANTIA'!$U19,2)</f>
        <v>94830.49</v>
      </c>
      <c r="N19" s="282">
        <f t="shared" si="6"/>
        <v>0.41991793508159581</v>
      </c>
      <c r="O19" s="273">
        <f>ROUND('PART anual'!D$10*'CALCULO GARANTIA'!$U19,2)</f>
        <v>766648.27</v>
      </c>
      <c r="P19" s="282">
        <f t="shared" si="7"/>
        <v>0.41991793505650976</v>
      </c>
      <c r="Q19" s="273">
        <f>ROUND('PART anual'!D$11*'CALCULO GARANTIA'!$U19,2)</f>
        <v>153362.65</v>
      </c>
      <c r="R19" s="282">
        <f t="shared" si="8"/>
        <v>0.6396366752224838</v>
      </c>
      <c r="S19" s="273">
        <f>ROUND(+'PART anual'!D$12*'COEF Art 14 F II'!N20,2)</f>
        <v>1383631.89</v>
      </c>
      <c r="T19" s="282">
        <f t="shared" si="9"/>
        <v>0.45600407345596827</v>
      </c>
      <c r="U19" s="312">
        <f t="shared" si="10"/>
        <v>37652216.930000007</v>
      </c>
    </row>
    <row r="20" spans="1:21">
      <c r="A20" s="170" t="s">
        <v>14</v>
      </c>
      <c r="B20" s="282">
        <f t="shared" si="0"/>
        <v>2.3000470947306821</v>
      </c>
      <c r="C20" s="273">
        <f>ROUND('PART anual'!D$4*'CALCULO GARANTIA'!$U20,2)</f>
        <v>142705274.52000001</v>
      </c>
      <c r="D20" s="282">
        <f t="shared" si="1"/>
        <v>2.3000470945078018</v>
      </c>
      <c r="E20" s="273">
        <f>ROUND('PART anual'!D$5*'CALCULO GARANTIA'!$U20,2)</f>
        <v>19892594.609999999</v>
      </c>
      <c r="F20" s="282">
        <f t="shared" si="2"/>
        <v>0.36623529739432203</v>
      </c>
      <c r="G20" s="273">
        <f>ROUND(+'Art.14 Frac.III'!P18,2)</f>
        <v>825428.37</v>
      </c>
      <c r="H20" s="282">
        <f t="shared" si="3"/>
        <v>2.3000470933104644</v>
      </c>
      <c r="I20" s="273">
        <f>ROUND('PART anual'!D$7*'CALCULO GARANTIA'!$U20,2)</f>
        <v>4652311.6500000004</v>
      </c>
      <c r="J20" s="282">
        <f t="shared" si="4"/>
        <v>2.3000470946241256</v>
      </c>
      <c r="K20" s="273">
        <f>ROUND('PART anual'!D$8*'CALCULO GARANTIA'!$U20,2)</f>
        <v>6946599.1200000001</v>
      </c>
      <c r="L20" s="282">
        <f t="shared" si="5"/>
        <v>2.3000470949945009</v>
      </c>
      <c r="M20" s="273">
        <f>ROUND('PART anual'!D$9*'CALCULO GARANTIA'!$U20,2)</f>
        <v>519421.95</v>
      </c>
      <c r="N20" s="282">
        <f t="shared" si="6"/>
        <v>2.300047097064474</v>
      </c>
      <c r="O20" s="273">
        <f>ROUND('PART anual'!D$10*'CALCULO GARANTIA'!$U20,2)</f>
        <v>4199218.42</v>
      </c>
      <c r="P20" s="282">
        <f t="shared" si="7"/>
        <v>2.3000470821563335</v>
      </c>
      <c r="Q20" s="273">
        <f>ROUND('PART anual'!D$11*'CALCULO GARANTIA'!$U20,2)</f>
        <v>840024.41</v>
      </c>
      <c r="R20" s="282">
        <f t="shared" si="8"/>
        <v>1.1911876560105064</v>
      </c>
      <c r="S20" s="273">
        <f>ROUND(+'PART anual'!D$12*'COEF Art 14 F II'!N21,2)</f>
        <v>2576720.96</v>
      </c>
      <c r="T20" s="282">
        <f t="shared" si="9"/>
        <v>2.218212253165047</v>
      </c>
      <c r="U20" s="312">
        <f t="shared" si="10"/>
        <v>183157594.00999999</v>
      </c>
    </row>
    <row r="21" spans="1:21">
      <c r="A21" s="170" t="s">
        <v>15</v>
      </c>
      <c r="B21" s="282">
        <f t="shared" si="0"/>
        <v>0.29362587536912288</v>
      </c>
      <c r="C21" s="273">
        <f>ROUND('PART anual'!D$4*'CALCULO GARANTIA'!$U21,2)</f>
        <v>18217870.949999999</v>
      </c>
      <c r="D21" s="282">
        <f t="shared" si="1"/>
        <v>0.2936258750173058</v>
      </c>
      <c r="E21" s="273">
        <f>ROUND('PART anual'!D$5*'CALCULO GARANTIA'!$U21,2)</f>
        <v>2539504.7400000002</v>
      </c>
      <c r="F21" s="282">
        <f t="shared" si="2"/>
        <v>3.7139251933626083</v>
      </c>
      <c r="G21" s="273">
        <f>ROUND(+'Art.14 Frac.III'!P19,2)</f>
        <v>8370518.1900000004</v>
      </c>
      <c r="H21" s="282">
        <f t="shared" si="3"/>
        <v>0.29362587318470851</v>
      </c>
      <c r="I21" s="273">
        <f>ROUND('PART anual'!D$7*'CALCULO GARANTIA'!$U21,2)</f>
        <v>593917.87</v>
      </c>
      <c r="J21" s="282">
        <f t="shared" si="4"/>
        <v>0.29362587500393517</v>
      </c>
      <c r="K21" s="273">
        <f>ROUND('PART anual'!D$8*'CALCULO GARANTIA'!$U21,2)</f>
        <v>886808.47</v>
      </c>
      <c r="L21" s="282">
        <f t="shared" si="5"/>
        <v>0.29362588905047082</v>
      </c>
      <c r="M21" s="273">
        <f>ROUND('PART anual'!D$9*'CALCULO GARANTIA'!$U21,2)</f>
        <v>66309.83</v>
      </c>
      <c r="N21" s="282">
        <f t="shared" si="6"/>
        <v>0.29362587278516422</v>
      </c>
      <c r="O21" s="273">
        <f>ROUND('PART anual'!D$10*'CALCULO GARANTIA'!$U21,2)</f>
        <v>536075.62</v>
      </c>
      <c r="P21" s="282">
        <f t="shared" si="7"/>
        <v>0.29362588285463903</v>
      </c>
      <c r="Q21" s="273">
        <f>ROUND('PART anual'!D$11*'CALCULO GARANTIA'!$U21,2)</f>
        <v>107238.2</v>
      </c>
      <c r="R21" s="282">
        <f t="shared" si="8"/>
        <v>0.11395315464743487</v>
      </c>
      <c r="S21" s="273">
        <f>ROUND(+'PART anual'!D$12*'COEF Art 14 F II'!N22,2)</f>
        <v>246498.09</v>
      </c>
      <c r="T21" s="282">
        <f t="shared" si="9"/>
        <v>0.38227897544800737</v>
      </c>
      <c r="U21" s="312">
        <f t="shared" si="10"/>
        <v>31564741.959999997</v>
      </c>
    </row>
    <row r="22" spans="1:21">
      <c r="A22" s="170" t="s">
        <v>16</v>
      </c>
      <c r="B22" s="282">
        <f t="shared" si="0"/>
        <v>0.20447318993978172</v>
      </c>
      <c r="C22" s="273">
        <f>ROUND('PART anual'!D$4*'CALCULO GARANTIA'!$U22,2)</f>
        <v>12686437.060000001</v>
      </c>
      <c r="D22" s="282">
        <f t="shared" si="1"/>
        <v>0.20447318993319316</v>
      </c>
      <c r="E22" s="273">
        <f>ROUND('PART anual'!D$5*'CALCULO GARANTIA'!$U22,2)</f>
        <v>1768443.04</v>
      </c>
      <c r="F22" s="282">
        <f t="shared" si="2"/>
        <v>2.3779174784772001</v>
      </c>
      <c r="G22" s="273">
        <f>ROUND(+'Art.14 Frac.III'!P20,2)</f>
        <v>5359397.53</v>
      </c>
      <c r="H22" s="282">
        <f t="shared" si="3"/>
        <v>0.20447319006480658</v>
      </c>
      <c r="I22" s="273">
        <f>ROUND('PART anual'!D$7*'CALCULO GARANTIA'!$U22,2)</f>
        <v>413588.49</v>
      </c>
      <c r="J22" s="282">
        <f t="shared" si="4"/>
        <v>0.20447318950350565</v>
      </c>
      <c r="K22" s="273">
        <f>ROUND('PART anual'!D$8*'CALCULO GARANTIA'!$U22,2)</f>
        <v>617549.65</v>
      </c>
      <c r="L22" s="282">
        <f t="shared" si="5"/>
        <v>0.20447320656516946</v>
      </c>
      <c r="M22" s="273">
        <f>ROUND('PART anual'!D$9*'CALCULO GARANTIA'!$U22,2)</f>
        <v>46176.39</v>
      </c>
      <c r="N22" s="282">
        <f t="shared" si="6"/>
        <v>0.2044731914049645</v>
      </c>
      <c r="O22" s="273">
        <f>ROUND('PART anual'!D$10*'CALCULO GARANTIA'!$U22,2)</f>
        <v>373308.7</v>
      </c>
      <c r="P22" s="282">
        <f t="shared" si="7"/>
        <v>0.20447319976371284</v>
      </c>
      <c r="Q22" s="273">
        <f>ROUND('PART anual'!D$11*'CALCULO GARANTIA'!$U22,2)</f>
        <v>74677.81</v>
      </c>
      <c r="R22" s="282">
        <f t="shared" si="8"/>
        <v>7.7552356434415062E-2</v>
      </c>
      <c r="S22" s="273">
        <f>ROUND(+'PART anual'!D$12*'COEF Art 14 F II'!N23,2)</f>
        <v>167757.6</v>
      </c>
      <c r="T22" s="282">
        <f t="shared" si="9"/>
        <v>0.26047424953862569</v>
      </c>
      <c r="U22" s="312">
        <f t="shared" si="10"/>
        <v>21507336.27</v>
      </c>
    </row>
    <row r="23" spans="1:21">
      <c r="A23" s="170" t="s">
        <v>17</v>
      </c>
      <c r="B23" s="282">
        <f t="shared" si="0"/>
        <v>1.7932573048553595</v>
      </c>
      <c r="C23" s="273">
        <f>ROUND('PART anual'!D$4*'CALCULO GARANTIA'!$U23,2)</f>
        <v>111261754.84</v>
      </c>
      <c r="D23" s="282">
        <f t="shared" si="1"/>
        <v>1.7932573049330109</v>
      </c>
      <c r="E23" s="273">
        <f>ROUND('PART anual'!D$5*'CALCULO GARANTIA'!$U23,2)</f>
        <v>15509482.689999999</v>
      </c>
      <c r="F23" s="282">
        <f t="shared" si="2"/>
        <v>2.5081452003761382</v>
      </c>
      <c r="G23" s="273">
        <f>ROUND(+'Art.14 Frac.III'!P21,2)</f>
        <v>5652907.3499999996</v>
      </c>
      <c r="H23" s="282">
        <f t="shared" si="3"/>
        <v>1.7932573068499338</v>
      </c>
      <c r="I23" s="273">
        <f>ROUND('PART anual'!D$7*'CALCULO GARANTIA'!$U23,2)</f>
        <v>3627226.54</v>
      </c>
      <c r="J23" s="282">
        <f t="shared" si="4"/>
        <v>1.793257303750643</v>
      </c>
      <c r="K23" s="273">
        <f>ROUND('PART anual'!D$8*'CALCULO GARANTIA'!$U23,2)</f>
        <v>5415993.2800000003</v>
      </c>
      <c r="L23" s="282">
        <f t="shared" si="5"/>
        <v>1.7932572972819447</v>
      </c>
      <c r="M23" s="273">
        <f>ROUND('PART anual'!D$9*'CALCULO GARANTIA'!$U23,2)</f>
        <v>404973.1</v>
      </c>
      <c r="N23" s="282">
        <f t="shared" si="6"/>
        <v>1.7932573031653281</v>
      </c>
      <c r="O23" s="273">
        <f>ROUND('PART anual'!D$10*'CALCULO GARANTIA'!$U23,2)</f>
        <v>3273967.35</v>
      </c>
      <c r="P23" s="282">
        <f t="shared" si="7"/>
        <v>1.7932573051333915</v>
      </c>
      <c r="Q23" s="273">
        <f>ROUND('PART anual'!D$11*'CALCULO GARANTIA'!$U23,2)</f>
        <v>654934.38</v>
      </c>
      <c r="R23" s="282">
        <f t="shared" si="8"/>
        <v>1.0872360045434948</v>
      </c>
      <c r="S23" s="273">
        <f>ROUND(+'PART anual'!D$12*'COEF Art 14 F II'!N24,2)</f>
        <v>2351857.65</v>
      </c>
      <c r="T23" s="282">
        <f t="shared" si="9"/>
        <v>1.7942745824182709</v>
      </c>
      <c r="U23" s="312">
        <f t="shared" si="10"/>
        <v>148153097.17999998</v>
      </c>
    </row>
    <row r="24" spans="1:21">
      <c r="A24" s="170" t="s">
        <v>18</v>
      </c>
      <c r="B24" s="282">
        <f t="shared" si="0"/>
        <v>2.1994916627669463</v>
      </c>
      <c r="C24" s="273">
        <f>ROUND('PART anual'!D$4*'CALCULO GARANTIA'!$U24,2)</f>
        <v>136466362.91</v>
      </c>
      <c r="D24" s="282">
        <f t="shared" si="1"/>
        <v>2.199491663231024</v>
      </c>
      <c r="E24" s="273">
        <f>ROUND('PART anual'!D$5*'CALCULO GARANTIA'!$U24,2)</f>
        <v>19022913.100000001</v>
      </c>
      <c r="F24" s="282">
        <f t="shared" si="2"/>
        <v>3.3245169876167351</v>
      </c>
      <c r="G24" s="273">
        <f>ROUND(+'Art.14 Frac.III'!P22,2)</f>
        <v>7492862.2599999998</v>
      </c>
      <c r="H24" s="282">
        <f t="shared" si="3"/>
        <v>2.1994916622303013</v>
      </c>
      <c r="I24" s="273">
        <f>ROUND('PART anual'!D$7*'CALCULO GARANTIA'!$U24,2)</f>
        <v>4448917.9000000004</v>
      </c>
      <c r="J24" s="282">
        <f t="shared" si="4"/>
        <v>2.1994916624698715</v>
      </c>
      <c r="K24" s="273">
        <f>ROUND('PART anual'!D$8*'CALCULO GARANTIA'!$U24,2)</f>
        <v>6642901.7400000002</v>
      </c>
      <c r="L24" s="282">
        <f t="shared" si="5"/>
        <v>2.1994916824669875</v>
      </c>
      <c r="M24" s="273">
        <f>ROUND('PART anual'!D$9*'CALCULO GARANTIA'!$U24,2)</f>
        <v>496713.42</v>
      </c>
      <c r="N24" s="282">
        <f t="shared" si="6"/>
        <v>2.1994916612468574</v>
      </c>
      <c r="O24" s="273">
        <f>ROUND('PART anual'!D$10*'CALCULO GARANTIA'!$U24,2)</f>
        <v>4015633.38</v>
      </c>
      <c r="P24" s="282">
        <f t="shared" si="7"/>
        <v>2.1994916720016651</v>
      </c>
      <c r="Q24" s="273">
        <f>ROUND('PART anual'!D$11*'CALCULO GARANTIA'!$U24,2)</f>
        <v>803299.51</v>
      </c>
      <c r="R24" s="282">
        <f t="shared" si="8"/>
        <v>3.7481931204516172</v>
      </c>
      <c r="S24" s="273">
        <f>ROUND(+'PART anual'!D$12*'COEF Art 14 F II'!N25,2)</f>
        <v>8107914.5899999999</v>
      </c>
      <c r="T24" s="282">
        <f t="shared" si="9"/>
        <v>2.2707728604454047</v>
      </c>
      <c r="U24" s="312">
        <f t="shared" si="10"/>
        <v>187497518.80999997</v>
      </c>
    </row>
    <row r="25" spans="1:21">
      <c r="A25" s="170" t="s">
        <v>19</v>
      </c>
      <c r="B25" s="282">
        <f t="shared" si="0"/>
        <v>0.34466467660682915</v>
      </c>
      <c r="C25" s="273">
        <f>ROUND('PART anual'!D$4*'CALCULO GARANTIA'!$U25,2)</f>
        <v>21384547.91</v>
      </c>
      <c r="D25" s="282">
        <f t="shared" si="1"/>
        <v>0.34466467686866858</v>
      </c>
      <c r="E25" s="273">
        <f>ROUND('PART anual'!D$5*'CALCULO GARANTIA'!$U25,2)</f>
        <v>2980927.96</v>
      </c>
      <c r="F25" s="282">
        <f t="shared" si="2"/>
        <v>1.7124177431315422</v>
      </c>
      <c r="G25" s="273">
        <f>ROUND(+'Art.14 Frac.III'!P23,2)</f>
        <v>3859481.04</v>
      </c>
      <c r="H25" s="282">
        <f t="shared" si="3"/>
        <v>0.34466467681699309</v>
      </c>
      <c r="I25" s="273">
        <f>ROUND('PART anual'!D$7*'CALCULO GARANTIA'!$U25,2)</f>
        <v>697154.2</v>
      </c>
      <c r="J25" s="282">
        <f t="shared" si="4"/>
        <v>0.34466467678095425</v>
      </c>
      <c r="K25" s="273">
        <f>ROUND('PART anual'!D$8*'CALCULO GARANTIA'!$U25,2)</f>
        <v>1040955.79</v>
      </c>
      <c r="L25" s="282">
        <f t="shared" si="5"/>
        <v>0.34466467326723321</v>
      </c>
      <c r="M25" s="273">
        <f>ROUND('PART anual'!D$9*'CALCULO GARANTIA'!$U25,2)</f>
        <v>77835.97</v>
      </c>
      <c r="N25" s="282">
        <f t="shared" si="6"/>
        <v>0.34466467552516217</v>
      </c>
      <c r="O25" s="273">
        <f>ROUND('PART anual'!D$10*'CALCULO GARANTIA'!$U25,2)</f>
        <v>629257.66</v>
      </c>
      <c r="P25" s="282">
        <f t="shared" si="7"/>
        <v>0.34466468972832093</v>
      </c>
      <c r="Q25" s="273">
        <f>ROUND('PART anual'!D$11*'CALCULO GARANTIA'!$U25,2)</f>
        <v>125878.62</v>
      </c>
      <c r="R25" s="282">
        <f t="shared" si="8"/>
        <v>0.15768256585231141</v>
      </c>
      <c r="S25" s="273">
        <f>ROUND(+'PART anual'!D$12*'COEF Art 14 F II'!N26,2)</f>
        <v>341091.49</v>
      </c>
      <c r="T25" s="282">
        <f t="shared" si="9"/>
        <v>0.37710019662235689</v>
      </c>
      <c r="U25" s="312">
        <f t="shared" si="10"/>
        <v>31137130.639999997</v>
      </c>
    </row>
    <row r="26" spans="1:21">
      <c r="A26" s="170" t="s">
        <v>20</v>
      </c>
      <c r="B26" s="282">
        <f t="shared" si="0"/>
        <v>4.7113621377338575</v>
      </c>
      <c r="C26" s="273">
        <f>ROUND('PART anual'!D$4*'CALCULO GARANTIA'!$U26,2)</f>
        <v>292314113.38</v>
      </c>
      <c r="D26" s="282">
        <f t="shared" si="1"/>
        <v>4.7113621371104255</v>
      </c>
      <c r="E26" s="273">
        <f>ROUND('PART anual'!D$5*'CALCULO GARANTIA'!$U26,2)</f>
        <v>40747520.899999999</v>
      </c>
      <c r="F26" s="282">
        <f t="shared" si="2"/>
        <v>3.6089384510825955</v>
      </c>
      <c r="G26" s="273">
        <f>ROUND(+'Art.14 Frac.III'!P24,2)</f>
        <v>8133896.9900000002</v>
      </c>
      <c r="H26" s="282">
        <f t="shared" si="3"/>
        <v>4.7113621357305213</v>
      </c>
      <c r="I26" s="273">
        <f>ROUND('PART anual'!D$7*'CALCULO GARANTIA'!$U26,2)</f>
        <v>9529685.2899999991</v>
      </c>
      <c r="J26" s="282">
        <f t="shared" si="4"/>
        <v>4.7113621386228992</v>
      </c>
      <c r="K26" s="273">
        <f>ROUND('PART anual'!D$8*'CALCULO GARANTIA'!$U26,2)</f>
        <v>14229249.550000001</v>
      </c>
      <c r="L26" s="282">
        <f t="shared" si="5"/>
        <v>4.7113621261847056</v>
      </c>
      <c r="M26" s="273">
        <f>ROUND('PART anual'!D$9*'CALCULO GARANTIA'!$U26,2)</f>
        <v>1063971.6499999999</v>
      </c>
      <c r="N26" s="282">
        <f t="shared" si="6"/>
        <v>4.7113621377567911</v>
      </c>
      <c r="O26" s="273">
        <f>ROUND('PART anual'!D$10*'CALCULO GARANTIA'!$U26,2)</f>
        <v>8601579.8100000005</v>
      </c>
      <c r="P26" s="282">
        <f t="shared" si="7"/>
        <v>4.7113621431730257</v>
      </c>
      <c r="Q26" s="273">
        <f>ROUND('PART anual'!D$11*'CALCULO GARANTIA'!$U26,2)</f>
        <v>1720686.17</v>
      </c>
      <c r="R26" s="282">
        <f t="shared" si="8"/>
        <v>7.0902070222560845</v>
      </c>
      <c r="S26" s="273">
        <f>ROUND(+'PART anual'!D$12*'COEF Art 14 F II'!N27,2)</f>
        <v>15337201.449999999</v>
      </c>
      <c r="T26" s="282">
        <f t="shared" si="9"/>
        <v>4.743591076758956</v>
      </c>
      <c r="U26" s="312">
        <f t="shared" si="10"/>
        <v>391677905.19</v>
      </c>
    </row>
    <row r="27" spans="1:21">
      <c r="A27" s="170" t="s">
        <v>21</v>
      </c>
      <c r="B27" s="282">
        <f t="shared" si="0"/>
        <v>0.69561481321460583</v>
      </c>
      <c r="C27" s="273">
        <f>ROUND('PART anual'!D$4*'CALCULO GARANTIA'!$U27,2)</f>
        <v>43159074.049999997</v>
      </c>
      <c r="D27" s="282">
        <f t="shared" si="1"/>
        <v>0.6956148134564587</v>
      </c>
      <c r="E27" s="273">
        <f>ROUND('PART anual'!D$5*'CALCULO GARANTIA'!$U27,2)</f>
        <v>6016217.46</v>
      </c>
      <c r="F27" s="282">
        <f t="shared" si="2"/>
        <v>1.1139515430466522</v>
      </c>
      <c r="G27" s="273">
        <f>ROUND(+'Art.14 Frac.III'!P25,2)</f>
        <v>2510646.06</v>
      </c>
      <c r="H27" s="282">
        <f t="shared" si="3"/>
        <v>0.69561481491138244</v>
      </c>
      <c r="I27" s="273">
        <f>ROUND('PART anual'!D$7*'CALCULO GARANTIA'!$U27,2)</f>
        <v>1407022.02</v>
      </c>
      <c r="J27" s="282">
        <f t="shared" si="4"/>
        <v>0.69561481429729954</v>
      </c>
      <c r="K27" s="273">
        <f>ROUND('PART anual'!D$8*'CALCULO GARANTIA'!$U27,2)</f>
        <v>2100894.92</v>
      </c>
      <c r="L27" s="282">
        <f t="shared" si="5"/>
        <v>0.69561479875493948</v>
      </c>
      <c r="M27" s="273">
        <f>ROUND('PART anual'!D$9*'CALCULO GARANTIA'!$U27,2)</f>
        <v>157091.39000000001</v>
      </c>
      <c r="N27" s="282">
        <f t="shared" si="6"/>
        <v>0.69561481344336318</v>
      </c>
      <c r="O27" s="273">
        <f>ROUND('PART anual'!D$10*'CALCULO GARANTIA'!$U27,2)</f>
        <v>1269990.75</v>
      </c>
      <c r="P27" s="282">
        <f t="shared" si="7"/>
        <v>0.69561481475772513</v>
      </c>
      <c r="Q27" s="273">
        <f>ROUND('PART anual'!D$11*'CALCULO GARANTIA'!$U27,2)</f>
        <v>254052.81</v>
      </c>
      <c r="R27" s="282">
        <f t="shared" si="8"/>
        <v>0.39142436664451424</v>
      </c>
      <c r="S27" s="273">
        <f>ROUND(+'PART anual'!D$12*'COEF Art 14 F II'!N28,2)</f>
        <v>846710.73</v>
      </c>
      <c r="T27" s="282">
        <f t="shared" si="9"/>
        <v>0.6990645587317913</v>
      </c>
      <c r="U27" s="312">
        <f t="shared" si="10"/>
        <v>57721700.190000005</v>
      </c>
    </row>
    <row r="28" spans="1:21">
      <c r="A28" s="170" t="s">
        <v>22</v>
      </c>
      <c r="B28" s="282">
        <f t="shared" si="0"/>
        <v>0.11157691215579217</v>
      </c>
      <c r="C28" s="273">
        <f>ROUND('PART anual'!D$4*'CALCULO GARANTIA'!$U28,2)</f>
        <v>6922733.8499999996</v>
      </c>
      <c r="D28" s="282">
        <f t="shared" si="1"/>
        <v>0.11157691200649625</v>
      </c>
      <c r="E28" s="273">
        <f>ROUND('PART anual'!D$5*'CALCULO GARANTIA'!$U28,2)</f>
        <v>965003.84</v>
      </c>
      <c r="F28" s="282">
        <f t="shared" si="2"/>
        <v>1.431613405554768</v>
      </c>
      <c r="G28" s="273">
        <f>ROUND(+'Art.14 Frac.III'!P26,2)</f>
        <v>3226598.66</v>
      </c>
      <c r="H28" s="282">
        <f t="shared" si="3"/>
        <v>0.11157691195185994</v>
      </c>
      <c r="I28" s="273">
        <f>ROUND('PART anual'!D$7*'CALCULO GARANTIA'!$U28,2)</f>
        <v>225686.93</v>
      </c>
      <c r="J28" s="282">
        <f t="shared" si="4"/>
        <v>0.11157691249578511</v>
      </c>
      <c r="K28" s="273">
        <f>ROUND('PART anual'!D$8*'CALCULO GARANTIA'!$U28,2)</f>
        <v>336984.44</v>
      </c>
      <c r="L28" s="282">
        <f t="shared" si="5"/>
        <v>0.11157692830951171</v>
      </c>
      <c r="M28" s="273">
        <f>ROUND('PART anual'!D$9*'CALCULO GARANTIA'!$U28,2)</f>
        <v>25197.53</v>
      </c>
      <c r="N28" s="282">
        <f t="shared" si="6"/>
        <v>0.11157691387830659</v>
      </c>
      <c r="O28" s="273">
        <f>ROUND('PART anual'!D$10*'CALCULO GARANTIA'!$U28,2)</f>
        <v>203707.06</v>
      </c>
      <c r="P28" s="282">
        <f t="shared" si="7"/>
        <v>0.11157691549266452</v>
      </c>
      <c r="Q28" s="273">
        <f>ROUND('PART anual'!D$11*'CALCULO GARANTIA'!$U28,2)</f>
        <v>40750.18</v>
      </c>
      <c r="R28" s="282">
        <f t="shared" si="8"/>
        <v>3.1038509524798388E-2</v>
      </c>
      <c r="S28" s="273">
        <f>ROUND(+'PART anual'!D$12*'COEF Art 14 F II'!N29,2)</f>
        <v>67141.039999999994</v>
      </c>
      <c r="T28" s="282">
        <f t="shared" si="9"/>
        <v>0.145498560086504</v>
      </c>
      <c r="U28" s="312">
        <f t="shared" si="10"/>
        <v>12013803.529999997</v>
      </c>
    </row>
    <row r="29" spans="1:21">
      <c r="A29" s="170" t="s">
        <v>23</v>
      </c>
      <c r="B29" s="282">
        <f t="shared" si="0"/>
        <v>0.51671172621126815</v>
      </c>
      <c r="C29" s="273">
        <f>ROUND('PART anual'!D$4*'CALCULO GARANTIA'!$U29,2)</f>
        <v>32059121.27</v>
      </c>
      <c r="D29" s="282">
        <f t="shared" si="1"/>
        <v>0.51671172641473817</v>
      </c>
      <c r="E29" s="273">
        <f>ROUND('PART anual'!D$5*'CALCULO GARANTIA'!$U29,2)</f>
        <v>4468924.54</v>
      </c>
      <c r="F29" s="282">
        <f t="shared" si="2"/>
        <v>0</v>
      </c>
      <c r="G29" s="273">
        <f>ROUND(+'Art.14 Frac.III'!P27,2)</f>
        <v>0</v>
      </c>
      <c r="H29" s="282">
        <f t="shared" si="3"/>
        <v>0.51671172368108809</v>
      </c>
      <c r="I29" s="273">
        <f>ROUND('PART anual'!D$7*'CALCULO GARANTIA'!$U29,2)</f>
        <v>1045154.24</v>
      </c>
      <c r="J29" s="282">
        <f t="shared" si="4"/>
        <v>0.51671172764530948</v>
      </c>
      <c r="K29" s="273">
        <f>ROUND('PART anual'!D$8*'CALCULO GARANTIA'!$U29,2)</f>
        <v>1560572.06</v>
      </c>
      <c r="L29" s="282">
        <f t="shared" si="5"/>
        <v>0.51671173020850125</v>
      </c>
      <c r="M29" s="273">
        <f>ROUND('PART anual'!D$9*'CALCULO GARANTIA'!$U29,2)</f>
        <v>116689.53</v>
      </c>
      <c r="N29" s="282">
        <f t="shared" si="6"/>
        <v>0.51671172697712875</v>
      </c>
      <c r="O29" s="273">
        <f>ROUND('PART anual'!D$10*'CALCULO GARANTIA'!$U29,2)</f>
        <v>943365.64</v>
      </c>
      <c r="P29" s="282">
        <f t="shared" si="7"/>
        <v>0.51671172751913019</v>
      </c>
      <c r="Q29" s="273">
        <f>ROUND('PART anual'!D$11*'CALCULO GARANTIA'!$U29,2)</f>
        <v>188713.73</v>
      </c>
      <c r="R29" s="282">
        <f t="shared" si="8"/>
        <v>0.23919532205374633</v>
      </c>
      <c r="S29" s="273">
        <f>ROUND(+'PART anual'!D$12*'COEF Art 14 F II'!N30,2)</f>
        <v>517416.04</v>
      </c>
      <c r="T29" s="282">
        <f t="shared" si="9"/>
        <v>0.49533728793839027</v>
      </c>
      <c r="U29" s="312">
        <f t="shared" si="10"/>
        <v>40899957.050000004</v>
      </c>
    </row>
    <row r="30" spans="1:21">
      <c r="A30" s="170" t="s">
        <v>24</v>
      </c>
      <c r="B30" s="282">
        <f t="shared" si="0"/>
        <v>0.50347065753774622</v>
      </c>
      <c r="C30" s="273">
        <f>ROUND('PART anual'!D$4*'CALCULO GARANTIA'!$U30,2)</f>
        <v>31237585.77</v>
      </c>
      <c r="D30" s="282">
        <f t="shared" si="1"/>
        <v>0.50347065789741752</v>
      </c>
      <c r="E30" s="273">
        <f>ROUND('PART anual'!D$5*'CALCULO GARANTIA'!$U30,2)</f>
        <v>4354405.49</v>
      </c>
      <c r="F30" s="282">
        <f t="shared" si="2"/>
        <v>0</v>
      </c>
      <c r="G30" s="273">
        <f>ROUND(+'Art.14 Frac.III'!P28,2)</f>
        <v>0</v>
      </c>
      <c r="H30" s="282">
        <f t="shared" si="3"/>
        <v>0.5034706581802656</v>
      </c>
      <c r="I30" s="273">
        <f>ROUND('PART anual'!D$7*'CALCULO GARANTIA'!$U30,2)</f>
        <v>1018371.5</v>
      </c>
      <c r="J30" s="282">
        <f t="shared" si="4"/>
        <v>0.50347065820166181</v>
      </c>
      <c r="K30" s="273">
        <f>ROUND('PART anual'!D$8*'CALCULO GARANTIA'!$U30,2)</f>
        <v>1520581.4</v>
      </c>
      <c r="L30" s="282">
        <f t="shared" si="5"/>
        <v>0.50347067864081851</v>
      </c>
      <c r="M30" s="273">
        <f>ROUND('PART anual'!D$9*'CALCULO GARANTIA'!$U30,2)</f>
        <v>113699.29</v>
      </c>
      <c r="N30" s="282">
        <f t="shared" si="6"/>
        <v>0.5034706573351927</v>
      </c>
      <c r="O30" s="273">
        <f>ROUND('PART anual'!D$10*'CALCULO GARANTIA'!$U30,2)</f>
        <v>919191.29</v>
      </c>
      <c r="P30" s="282">
        <f t="shared" si="7"/>
        <v>0.50347065910176048</v>
      </c>
      <c r="Q30" s="273">
        <f>ROUND('PART anual'!D$11*'CALCULO GARANTIA'!$U30,2)</f>
        <v>183877.82</v>
      </c>
      <c r="R30" s="282">
        <f t="shared" si="8"/>
        <v>1.158854226427648</v>
      </c>
      <c r="S30" s="273">
        <f>ROUND(+'PART anual'!D$12*'COEF Art 14 F II'!N31,2)</f>
        <v>2506778.81</v>
      </c>
      <c r="T30" s="282">
        <f t="shared" si="9"/>
        <v>0.50689760426671548</v>
      </c>
      <c r="U30" s="312">
        <f t="shared" si="10"/>
        <v>41854491.369999997</v>
      </c>
    </row>
    <row r="31" spans="1:21">
      <c r="A31" s="170" t="s">
        <v>25</v>
      </c>
      <c r="B31" s="282">
        <f t="shared" si="0"/>
        <v>8.0579115577201907</v>
      </c>
      <c r="C31" s="273">
        <f>ROUND('PART anual'!D$4*'CALCULO GARANTIA'!$U31,2)</f>
        <v>499949102.57999998</v>
      </c>
      <c r="D31" s="282">
        <f t="shared" si="1"/>
        <v>8.0579115577799829</v>
      </c>
      <c r="E31" s="273">
        <f>ROUND('PART anual'!D$5*'CALCULO GARANTIA'!$U31,2)</f>
        <v>69691080.849999994</v>
      </c>
      <c r="F31" s="282">
        <f t="shared" si="2"/>
        <v>5.3940185512285099</v>
      </c>
      <c r="G31" s="273">
        <f>ROUND(+'Art.14 Frac.III'!P29,2)</f>
        <v>12157145.890000001</v>
      </c>
      <c r="H31" s="282">
        <f t="shared" si="3"/>
        <v>8.0579115579176719</v>
      </c>
      <c r="I31" s="273">
        <f>ROUND('PART anual'!D$7*'CALCULO GARANTIA'!$U31,2)</f>
        <v>16298760.109999999</v>
      </c>
      <c r="J31" s="282">
        <f t="shared" si="4"/>
        <v>8.0579115567298221</v>
      </c>
      <c r="K31" s="273">
        <f>ROUND('PART anual'!D$8*'CALCULO GARANTIA'!$U31,2)</f>
        <v>24336493.57</v>
      </c>
      <c r="L31" s="282">
        <f t="shared" si="5"/>
        <v>8.0579115765114473</v>
      </c>
      <c r="M31" s="273">
        <f>ROUND('PART anual'!D$9*'CALCULO GARANTIA'!$U31,2)</f>
        <v>1819726.28</v>
      </c>
      <c r="N31" s="282">
        <f t="shared" si="6"/>
        <v>8.0579115584843439</v>
      </c>
      <c r="O31" s="273">
        <f>ROUND('PART anual'!D$10*'CALCULO GARANTIA'!$U31,2)</f>
        <v>14711407.73</v>
      </c>
      <c r="P31" s="282">
        <f t="shared" si="7"/>
        <v>8.0579115454162249</v>
      </c>
      <c r="Q31" s="273">
        <f>ROUND('PART anual'!D$11*'CALCULO GARANTIA'!$U31,2)</f>
        <v>2942914.71</v>
      </c>
      <c r="R31" s="282">
        <f t="shared" si="8"/>
        <v>11.866606393231075</v>
      </c>
      <c r="S31" s="273">
        <f>ROUND(+'PART anual'!D$12*'COEF Art 14 F II'!N32,2)</f>
        <v>25669283.309999999</v>
      </c>
      <c r="T31" s="282">
        <f t="shared" si="9"/>
        <v>8.084977762683236</v>
      </c>
      <c r="U31" s="312">
        <f t="shared" si="10"/>
        <v>667575915.02999997</v>
      </c>
    </row>
    <row r="32" spans="1:21">
      <c r="A32" s="170" t="s">
        <v>26</v>
      </c>
      <c r="B32" s="282">
        <f t="shared" si="0"/>
        <v>0.20748791431754879</v>
      </c>
      <c r="C32" s="273">
        <f>ROUND('PART anual'!D$4*'CALCULO GARANTIA'!$U32,2)</f>
        <v>12873484.130000001</v>
      </c>
      <c r="D32" s="282">
        <f t="shared" si="1"/>
        <v>0.20748791441247144</v>
      </c>
      <c r="E32" s="273">
        <f>ROUND('PART anual'!D$5*'CALCULO GARANTIA'!$U32,2)</f>
        <v>1794516.72</v>
      </c>
      <c r="F32" s="282">
        <f t="shared" si="2"/>
        <v>2.1973213601010033</v>
      </c>
      <c r="G32" s="273">
        <f>ROUND(+'Art.14 Frac.III'!P30,2)</f>
        <v>4952366.42</v>
      </c>
      <c r="H32" s="282">
        <f t="shared" si="3"/>
        <v>0.20748791376024667</v>
      </c>
      <c r="I32" s="273">
        <f>ROUND('PART anual'!D$7*'CALCULO GARANTIA'!$U32,2)</f>
        <v>419686.38</v>
      </c>
      <c r="J32" s="282">
        <f t="shared" si="4"/>
        <v>0.20748791504590158</v>
      </c>
      <c r="K32" s="273">
        <f>ROUND('PART anual'!D$8*'CALCULO GARANTIA'!$U32,2)</f>
        <v>626654.71999999997</v>
      </c>
      <c r="L32" s="282">
        <f t="shared" si="5"/>
        <v>0.20748789445570473</v>
      </c>
      <c r="M32" s="273">
        <f>ROUND('PART anual'!D$9*'CALCULO GARANTIA'!$U32,2)</f>
        <v>46857.2</v>
      </c>
      <c r="N32" s="282">
        <f t="shared" si="6"/>
        <v>0.20748791485026555</v>
      </c>
      <c r="O32" s="273">
        <f>ROUND('PART anual'!D$10*'CALCULO GARANTIA'!$U32,2)</f>
        <v>378812.71</v>
      </c>
      <c r="P32" s="282">
        <f t="shared" si="7"/>
        <v>0.20748792625164603</v>
      </c>
      <c r="Q32" s="273">
        <f>ROUND('PART anual'!D$11*'CALCULO GARANTIA'!$U32,2)</f>
        <v>75778.850000000006</v>
      </c>
      <c r="R32" s="282">
        <f t="shared" si="8"/>
        <v>6.7284441195822317E-2</v>
      </c>
      <c r="S32" s="273">
        <f>ROUND(+'PART anual'!D$12*'COEF Art 14 F II'!N33,2)</f>
        <v>145546.53</v>
      </c>
      <c r="T32" s="282">
        <f t="shared" si="9"/>
        <v>0.25812917490256737</v>
      </c>
      <c r="U32" s="312">
        <f t="shared" si="10"/>
        <v>21313703.660000004</v>
      </c>
    </row>
    <row r="33" spans="1:21">
      <c r="A33" s="170" t="s">
        <v>27</v>
      </c>
      <c r="B33" s="282">
        <f t="shared" si="0"/>
        <v>0.35715835930462275</v>
      </c>
      <c r="C33" s="273">
        <f>ROUND('PART anual'!D$4*'CALCULO GARANTIA'!$U33,2)</f>
        <v>22159712.219999999</v>
      </c>
      <c r="D33" s="282">
        <f t="shared" si="1"/>
        <v>0.35715835879769153</v>
      </c>
      <c r="E33" s="273">
        <f>ROUND('PART anual'!D$5*'CALCULO GARANTIA'!$U33,2)</f>
        <v>3088983.03</v>
      </c>
      <c r="F33" s="282">
        <f t="shared" si="2"/>
        <v>0.94552662834198908</v>
      </c>
      <c r="G33" s="273">
        <f>ROUND(+'Art.14 Frac.III'!P31,2)</f>
        <v>2131046.65</v>
      </c>
      <c r="H33" s="282">
        <f t="shared" si="3"/>
        <v>0.35715836113315874</v>
      </c>
      <c r="I33" s="273">
        <f>ROUND('PART anual'!D$7*'CALCULO GARANTIA'!$U33,2)</f>
        <v>722425.21</v>
      </c>
      <c r="J33" s="282">
        <f t="shared" si="4"/>
        <v>0.35715835829921205</v>
      </c>
      <c r="K33" s="273">
        <f>ROUND('PART anual'!D$8*'CALCULO GARANTIA'!$U33,2)</f>
        <v>1078689.19</v>
      </c>
      <c r="L33" s="282">
        <f t="shared" si="5"/>
        <v>0.3571583518201768</v>
      </c>
      <c r="M33" s="273">
        <f>ROUND('PART anual'!D$9*'CALCULO GARANTIA'!$U33,2)</f>
        <v>80657.429999999993</v>
      </c>
      <c r="N33" s="282">
        <f t="shared" si="6"/>
        <v>0.3571583591179544</v>
      </c>
      <c r="O33" s="273">
        <f>ROUND('PART anual'!D$10*'CALCULO GARANTIA'!$U33,2)</f>
        <v>652067.5</v>
      </c>
      <c r="P33" s="282">
        <f t="shared" si="7"/>
        <v>0.35715834670794899</v>
      </c>
      <c r="Q33" s="273">
        <f>ROUND('PART anual'!D$11*'CALCULO GARANTIA'!$U33,2)</f>
        <v>130441.56</v>
      </c>
      <c r="R33" s="282">
        <f t="shared" si="8"/>
        <v>0.31295961051076904</v>
      </c>
      <c r="S33" s="273">
        <f>ROUND(+'PART anual'!D$12*'COEF Art 14 F II'!N34,2)</f>
        <v>676979.47</v>
      </c>
      <c r="T33" s="282">
        <f t="shared" si="9"/>
        <v>0.37206048709573292</v>
      </c>
      <c r="U33" s="312">
        <f t="shared" si="10"/>
        <v>30721002.259999998</v>
      </c>
    </row>
    <row r="34" spans="1:21">
      <c r="A34" s="170" t="s">
        <v>28</v>
      </c>
      <c r="B34" s="282">
        <f t="shared" si="0"/>
        <v>0.20498170720458364</v>
      </c>
      <c r="C34" s="273">
        <f>ROUND('PART anual'!D$4*'CALCULO GARANTIA'!$U34,2)</f>
        <v>12717987.76</v>
      </c>
      <c r="D34" s="282">
        <f t="shared" si="1"/>
        <v>0.20498170691261799</v>
      </c>
      <c r="E34" s="273">
        <f>ROUND('PART anual'!D$5*'CALCULO GARANTIA'!$U34,2)</f>
        <v>1772841.09</v>
      </c>
      <c r="F34" s="282">
        <f t="shared" si="2"/>
        <v>1.5302034252982735</v>
      </c>
      <c r="G34" s="273">
        <f>ROUND(+'Art.14 Frac.III'!P32,2)</f>
        <v>3448802.8</v>
      </c>
      <c r="H34" s="282">
        <f t="shared" si="3"/>
        <v>0.20498170768297547</v>
      </c>
      <c r="I34" s="273">
        <f>ROUND('PART anual'!D$7*'CALCULO GARANTIA'!$U34,2)</f>
        <v>414617.07</v>
      </c>
      <c r="J34" s="282">
        <f t="shared" si="4"/>
        <v>0.20498170572386668</v>
      </c>
      <c r="K34" s="273">
        <f>ROUND('PART anual'!D$8*'CALCULO GARANTIA'!$U34,2)</f>
        <v>619085.47</v>
      </c>
      <c r="L34" s="282">
        <f t="shared" si="5"/>
        <v>0.2049817284102497</v>
      </c>
      <c r="M34" s="273">
        <f>ROUND('PART anual'!D$9*'CALCULO GARANTIA'!$U34,2)</f>
        <v>46291.23</v>
      </c>
      <c r="N34" s="282">
        <f t="shared" si="6"/>
        <v>0.20498170596918541</v>
      </c>
      <c r="O34" s="273">
        <f>ROUND('PART anual'!D$10*'CALCULO GARANTIA'!$U34,2)</f>
        <v>374237.1</v>
      </c>
      <c r="P34" s="282">
        <f t="shared" si="7"/>
        <v>0.204981714443778</v>
      </c>
      <c r="Q34" s="273">
        <f>ROUND('PART anual'!D$11*'CALCULO GARANTIA'!$U34,2)</f>
        <v>74863.53</v>
      </c>
      <c r="R34" s="282">
        <f t="shared" si="8"/>
        <v>8.5270969607835922E-2</v>
      </c>
      <c r="S34" s="273">
        <f>ROUND(+'PART anual'!D$12*'COEF Art 14 F II'!N35,2)</f>
        <v>184454.14</v>
      </c>
      <c r="T34" s="282">
        <f t="shared" si="9"/>
        <v>0.23801866008754397</v>
      </c>
      <c r="U34" s="312">
        <f t="shared" si="10"/>
        <v>19653180.190000001</v>
      </c>
    </row>
    <row r="35" spans="1:21">
      <c r="A35" s="170" t="s">
        <v>29</v>
      </c>
      <c r="B35" s="282">
        <f t="shared" si="0"/>
        <v>0.28592685061332646</v>
      </c>
      <c r="C35" s="273">
        <f>ROUND('PART anual'!D$4*'CALCULO GARANTIA'!$U35,2)</f>
        <v>17740188.800000001</v>
      </c>
      <c r="D35" s="282">
        <f t="shared" si="1"/>
        <v>0.28592685013434427</v>
      </c>
      <c r="E35" s="273">
        <f>ROUND('PART anual'!D$5*'CALCULO GARANTIA'!$U35,2)</f>
        <v>2472917.59</v>
      </c>
      <c r="F35" s="282">
        <f t="shared" si="2"/>
        <v>1.914454080327034</v>
      </c>
      <c r="G35" s="273">
        <f>ROUND(+'Art.14 Frac.III'!P33,2)</f>
        <v>4314834.54</v>
      </c>
      <c r="H35" s="282">
        <f t="shared" si="3"/>
        <v>0.28592685276845636</v>
      </c>
      <c r="I35" s="273">
        <f>ROUND('PART anual'!D$7*'CALCULO GARANTIA'!$U35,2)</f>
        <v>578345.04</v>
      </c>
      <c r="J35" s="282">
        <f t="shared" si="4"/>
        <v>0.28592685161887549</v>
      </c>
      <c r="K35" s="273">
        <f>ROUND('PART anual'!D$8*'CALCULO GARANTIA'!$U35,2)</f>
        <v>863555.89</v>
      </c>
      <c r="L35" s="282">
        <f t="shared" si="5"/>
        <v>0.28592685768854043</v>
      </c>
      <c r="M35" s="273">
        <f>ROUND('PART anual'!D$9*'CALCULO GARANTIA'!$U35,2)</f>
        <v>64571.15</v>
      </c>
      <c r="N35" s="282">
        <f t="shared" si="6"/>
        <v>0.28592685054549327</v>
      </c>
      <c r="O35" s="273">
        <f>ROUND('PART anual'!D$10*'CALCULO GARANTIA'!$U35,2)</f>
        <v>522019.44</v>
      </c>
      <c r="P35" s="282">
        <f t="shared" si="7"/>
        <v>0.28592686326604111</v>
      </c>
      <c r="Q35" s="273">
        <f>ROUND('PART anual'!D$11*'CALCULO GARANTIA'!$U35,2)</f>
        <v>104426.36</v>
      </c>
      <c r="R35" s="282">
        <f t="shared" si="8"/>
        <v>0.16629622904947702</v>
      </c>
      <c r="S35" s="273">
        <f>ROUND(+'PART anual'!D$12*'COEF Art 14 F II'!N36,2)</f>
        <v>359724.16</v>
      </c>
      <c r="T35" s="282">
        <f t="shared" si="9"/>
        <v>0.32724489833844589</v>
      </c>
      <c r="U35" s="312">
        <f t="shared" si="10"/>
        <v>27020582.969999999</v>
      </c>
    </row>
    <row r="36" spans="1:21">
      <c r="A36" s="170" t="s">
        <v>30</v>
      </c>
      <c r="B36" s="282">
        <f t="shared" si="0"/>
        <v>0.26912483220130151</v>
      </c>
      <c r="C36" s="273">
        <f>ROUND('PART anual'!D$4*'CALCULO GARANTIA'!$U36,2)</f>
        <v>16697715.949999999</v>
      </c>
      <c r="D36" s="282">
        <f t="shared" si="1"/>
        <v>0.26912483193706344</v>
      </c>
      <c r="E36" s="273">
        <f>ROUND('PART anual'!D$5*'CALCULO GARANTIA'!$U36,2)</f>
        <v>2327600.6800000002</v>
      </c>
      <c r="F36" s="282">
        <f t="shared" si="2"/>
        <v>6.9810827642353672</v>
      </c>
      <c r="G36" s="273">
        <f>ROUND(+'Art.14 Frac.III'!P34,2)</f>
        <v>15734102.66</v>
      </c>
      <c r="H36" s="282">
        <f t="shared" si="3"/>
        <v>0.26912483403670784</v>
      </c>
      <c r="I36" s="273">
        <f>ROUND('PART anual'!D$7*'CALCULO GARANTIA'!$U36,2)</f>
        <v>544359.55000000005</v>
      </c>
      <c r="J36" s="282">
        <f t="shared" si="4"/>
        <v>0.26912483097234319</v>
      </c>
      <c r="K36" s="273">
        <f>ROUND('PART anual'!D$8*'CALCULO GARANTIA'!$U36,2)</f>
        <v>812810.45</v>
      </c>
      <c r="L36" s="282">
        <f t="shared" si="5"/>
        <v>0.26912482477832356</v>
      </c>
      <c r="M36" s="273">
        <f>ROUND('PART anual'!D$9*'CALCULO GARANTIA'!$U36,2)</f>
        <v>60776.73</v>
      </c>
      <c r="N36" s="282">
        <f t="shared" si="6"/>
        <v>0.26912483153282618</v>
      </c>
      <c r="O36" s="273">
        <f>ROUND('PART anual'!D$10*'CALCULO GARANTIA'!$U36,2)</f>
        <v>491343.83</v>
      </c>
      <c r="P36" s="282">
        <f t="shared" si="7"/>
        <v>0.26912482305235463</v>
      </c>
      <c r="Q36" s="273">
        <f>ROUND('PART anual'!D$11*'CALCULO GARANTIA'!$U36,2)</f>
        <v>98289.91</v>
      </c>
      <c r="R36" s="282">
        <f t="shared" si="8"/>
        <v>0.1307527026697187</v>
      </c>
      <c r="S36" s="273">
        <f>ROUND(+'PART anual'!D$12*'COEF Art 14 F II'!N37,2)</f>
        <v>282838.08</v>
      </c>
      <c r="T36" s="282">
        <f t="shared" si="9"/>
        <v>0.44870869110662653</v>
      </c>
      <c r="U36" s="312">
        <f t="shared" si="10"/>
        <v>37049837.839999989</v>
      </c>
    </row>
    <row r="37" spans="1:21">
      <c r="A37" s="170" t="s">
        <v>31</v>
      </c>
      <c r="B37" s="282">
        <f t="shared" si="0"/>
        <v>2.5000123921900612</v>
      </c>
      <c r="C37" s="273">
        <f>ROUND('PART anual'!D$4*'CALCULO GARANTIA'!$U37,2)</f>
        <v>155112021.63999999</v>
      </c>
      <c r="D37" s="282">
        <f t="shared" si="1"/>
        <v>2.5000123927925206</v>
      </c>
      <c r="E37" s="273">
        <f>ROUND('PART anual'!D$5*'CALCULO GARANTIA'!$U37,2)</f>
        <v>21622049.899999999</v>
      </c>
      <c r="F37" s="282">
        <f t="shared" si="2"/>
        <v>0</v>
      </c>
      <c r="G37" s="273">
        <f>ROUND(+'Art.14 Frac.III'!P35,2)</f>
        <v>0</v>
      </c>
      <c r="H37" s="282">
        <f t="shared" si="3"/>
        <v>2.5000123941837855</v>
      </c>
      <c r="I37" s="273">
        <f>ROUND('PART anual'!D$7*'CALCULO GARANTIA'!$U37,2)</f>
        <v>5056782.0199999996</v>
      </c>
      <c r="J37" s="282">
        <f t="shared" si="4"/>
        <v>2.5000123919001331</v>
      </c>
      <c r="K37" s="273">
        <f>ROUND('PART anual'!D$8*'CALCULO GARANTIA'!$U37,2)</f>
        <v>7550534.04</v>
      </c>
      <c r="L37" s="282">
        <f t="shared" si="5"/>
        <v>2.5000123731902262</v>
      </c>
      <c r="M37" s="273">
        <f>ROUND('PART anual'!D$9*'CALCULO GARANTIA'!$U37,2)</f>
        <v>564580.31000000006</v>
      </c>
      <c r="N37" s="282">
        <f t="shared" si="6"/>
        <v>2.5000123923038418</v>
      </c>
      <c r="O37" s="273">
        <f>ROUND('PART anual'!D$10*'CALCULO GARANTIA'!$U37,2)</f>
        <v>4564297.01</v>
      </c>
      <c r="P37" s="282">
        <f t="shared" si="7"/>
        <v>2.5000124027803796</v>
      </c>
      <c r="Q37" s="273">
        <f>ROUND('PART anual'!D$11*'CALCULO GARANTIA'!$U37,2)</f>
        <v>913055.85</v>
      </c>
      <c r="R37" s="282">
        <f t="shared" si="8"/>
        <v>5.4185892314834003</v>
      </c>
      <c r="S37" s="273">
        <f>ROUND(+'PART anual'!D$12*'COEF Art 14 F II'!N38,2)</f>
        <v>11721236.68</v>
      </c>
      <c r="T37" s="282">
        <f t="shared" si="9"/>
        <v>2.5082327025808828</v>
      </c>
      <c r="U37" s="312">
        <f t="shared" si="10"/>
        <v>207104557.44999999</v>
      </c>
    </row>
    <row r="38" spans="1:21">
      <c r="A38" s="170" t="s">
        <v>32</v>
      </c>
      <c r="B38" s="282">
        <f t="shared" si="0"/>
        <v>0.48719569743734348</v>
      </c>
      <c r="C38" s="273">
        <f>ROUND('PART anual'!D$4*'CALCULO GARANTIA'!$U38,2)</f>
        <v>30227813.989999998</v>
      </c>
      <c r="D38" s="282">
        <f t="shared" si="1"/>
        <v>0.48719569687297692</v>
      </c>
      <c r="E38" s="273">
        <f>ROUND('PART anual'!D$5*'CALCULO GARANTIA'!$U38,2)</f>
        <v>4213646.9800000004</v>
      </c>
      <c r="F38" s="282">
        <f t="shared" si="2"/>
        <v>1.1515659607824236</v>
      </c>
      <c r="G38" s="273">
        <f>ROUND(+'Art.14 Frac.III'!P36,2)</f>
        <v>2595422.1800000002</v>
      </c>
      <c r="H38" s="282">
        <f t="shared" si="3"/>
        <v>0.48719569661701873</v>
      </c>
      <c r="I38" s="273">
        <f>ROUND('PART anual'!D$7*'CALCULO GARANTIA'!$U38,2)</f>
        <v>985452.09</v>
      </c>
      <c r="J38" s="282">
        <f t="shared" si="4"/>
        <v>0.48719569891326875</v>
      </c>
      <c r="K38" s="273">
        <f>ROUND('PART anual'!D$8*'CALCULO GARANTIA'!$U38,2)</f>
        <v>1471427.79</v>
      </c>
      <c r="L38" s="282">
        <f t="shared" si="5"/>
        <v>0.48719567699149896</v>
      </c>
      <c r="M38" s="273">
        <f>ROUND('PART anual'!D$9*'CALCULO GARANTIA'!$U38,2)</f>
        <v>110023.89</v>
      </c>
      <c r="N38" s="282">
        <f t="shared" si="6"/>
        <v>0.48719569909866428</v>
      </c>
      <c r="O38" s="273">
        <f>ROUND('PART anual'!D$10*'CALCULO GARANTIA'!$U38,2)</f>
        <v>889477.94</v>
      </c>
      <c r="P38" s="282">
        <f t="shared" si="7"/>
        <v>0.48719569769440901</v>
      </c>
      <c r="Q38" s="273">
        <f>ROUND('PART anual'!D$11*'CALCULO GARANTIA'!$U38,2)</f>
        <v>177933.87</v>
      </c>
      <c r="R38" s="282">
        <f t="shared" si="8"/>
        <v>0.2098225663004194</v>
      </c>
      <c r="S38" s="273">
        <f>ROUND(+'PART anual'!D$12*'COEF Art 14 F II'!N39,2)</f>
        <v>453878.28</v>
      </c>
      <c r="T38" s="282">
        <f t="shared" si="9"/>
        <v>0.49806370425982732</v>
      </c>
      <c r="U38" s="312">
        <f t="shared" si="10"/>
        <v>41125077.009999998</v>
      </c>
    </row>
    <row r="39" spans="1:21">
      <c r="A39" s="170" t="s">
        <v>33</v>
      </c>
      <c r="B39" s="282">
        <f t="shared" si="0"/>
        <v>1.7862578786010268</v>
      </c>
      <c r="C39" s="273">
        <f>ROUND('PART anual'!D$4*'CALCULO GARANTIA'!$U39,2)</f>
        <v>110827478.93000001</v>
      </c>
      <c r="D39" s="282">
        <f t="shared" si="1"/>
        <v>1.7862578783792857</v>
      </c>
      <c r="E39" s="273">
        <f>ROUND('PART anual'!D$5*'CALCULO GARANTIA'!$U39,2)</f>
        <v>15448946.210000001</v>
      </c>
      <c r="F39" s="282">
        <f t="shared" si="2"/>
        <v>1.063930734249205</v>
      </c>
      <c r="G39" s="273">
        <f>ROUND(+'Art.14 Frac.III'!P37,2)</f>
        <v>2397908.17</v>
      </c>
      <c r="H39" s="282">
        <f t="shared" si="3"/>
        <v>1.7862578800734008</v>
      </c>
      <c r="I39" s="273">
        <f>ROUND('PART anual'!D$7*'CALCULO GARANTIA'!$U39,2)</f>
        <v>3613068.78</v>
      </c>
      <c r="J39" s="282">
        <f t="shared" si="4"/>
        <v>1.7862578800435969</v>
      </c>
      <c r="K39" s="273">
        <f>ROUND('PART anual'!D$8*'CALCULO GARANTIA'!$U39,2)</f>
        <v>5394853.6299999999</v>
      </c>
      <c r="L39" s="282">
        <f t="shared" si="5"/>
        <v>1.7862578598446421</v>
      </c>
      <c r="M39" s="273">
        <f>ROUND('PART anual'!D$9*'CALCULO GARANTIA'!$U39,2)</f>
        <v>403392.41</v>
      </c>
      <c r="N39" s="282">
        <f t="shared" si="6"/>
        <v>1.7862578773413149</v>
      </c>
      <c r="O39" s="273">
        <f>ROUND('PART anual'!D$10*'CALCULO GARANTIA'!$U39,2)</f>
        <v>3261188.43</v>
      </c>
      <c r="P39" s="282">
        <f t="shared" si="7"/>
        <v>1.786257890250283</v>
      </c>
      <c r="Q39" s="273">
        <f>ROUND('PART anual'!D$11*'CALCULO GARANTIA'!$U39,2)</f>
        <v>652378.05000000005</v>
      </c>
      <c r="R39" s="282">
        <f t="shared" si="8"/>
        <v>1.6401893457866676</v>
      </c>
      <c r="S39" s="273">
        <f>ROUND(+'PART anual'!D$12*'COEF Art 14 F II'!N40,2)</f>
        <v>3547980.24</v>
      </c>
      <c r="T39" s="282">
        <f t="shared" si="9"/>
        <v>1.7627146325827121</v>
      </c>
      <c r="U39" s="312">
        <f t="shared" si="10"/>
        <v>145547194.85000005</v>
      </c>
    </row>
    <row r="40" spans="1:21">
      <c r="A40" s="170" t="s">
        <v>34</v>
      </c>
      <c r="B40" s="282">
        <f t="shared" si="0"/>
        <v>0.38112714724579755</v>
      </c>
      <c r="C40" s="273">
        <f>ROUND('PART anual'!D$4*'CALCULO GARANTIA'!$U40,2)</f>
        <v>23646843.710000001</v>
      </c>
      <c r="D40" s="282">
        <f t="shared" si="1"/>
        <v>0.38112714743852666</v>
      </c>
      <c r="E40" s="273">
        <f>ROUND('PART anual'!D$5*'CALCULO GARANTIA'!$U40,2)</f>
        <v>3296283.74</v>
      </c>
      <c r="F40" s="282">
        <f t="shared" si="2"/>
        <v>0</v>
      </c>
      <c r="G40" s="273">
        <f>ROUND(+'Art.14 Frac.III'!P38,2)</f>
        <v>0</v>
      </c>
      <c r="H40" s="282">
        <f t="shared" si="3"/>
        <v>0.38112714709468448</v>
      </c>
      <c r="I40" s="273">
        <f>ROUND('PART anual'!D$7*'CALCULO GARANTIA'!$U40,2)</f>
        <v>770906.94</v>
      </c>
      <c r="J40" s="282">
        <f t="shared" si="4"/>
        <v>0.3811271459501378</v>
      </c>
      <c r="K40" s="273">
        <f>ROUND('PART anual'!D$8*'CALCULO GARANTIA'!$U40,2)</f>
        <v>1151079.69</v>
      </c>
      <c r="L40" s="282">
        <f t="shared" si="5"/>
        <v>0.38112715968533489</v>
      </c>
      <c r="M40" s="273">
        <f>ROUND('PART anual'!D$9*'CALCULO GARANTIA'!$U40,2)</f>
        <v>86070.33</v>
      </c>
      <c r="N40" s="282">
        <f t="shared" si="6"/>
        <v>0.38112714709300249</v>
      </c>
      <c r="O40" s="273">
        <f>ROUND('PART anual'!D$10*'CALCULO GARANTIA'!$U40,2)</f>
        <v>695827.55</v>
      </c>
      <c r="P40" s="282">
        <f t="shared" si="7"/>
        <v>0.38112715274834524</v>
      </c>
      <c r="Q40" s="273">
        <f>ROUND('PART anual'!D$11*'CALCULO GARANTIA'!$U40,2)</f>
        <v>139195.46</v>
      </c>
      <c r="R40" s="282">
        <f t="shared" si="8"/>
        <v>0.19530267226784243</v>
      </c>
      <c r="S40" s="273">
        <f>ROUND(+'PART anual'!D$12*'COEF Art 14 F II'!N41,2)</f>
        <v>422469.53</v>
      </c>
      <c r="T40" s="282">
        <f t="shared" si="9"/>
        <v>0.36585574147002597</v>
      </c>
      <c r="U40" s="312">
        <f t="shared" si="10"/>
        <v>30208676.950000007</v>
      </c>
    </row>
    <row r="41" spans="1:21">
      <c r="A41" s="170" t="s">
        <v>35</v>
      </c>
      <c r="B41" s="282">
        <f t="shared" si="0"/>
        <v>0.3663406805388319</v>
      </c>
      <c r="C41" s="273">
        <f>ROUND('PART anual'!D$4*'CALCULO GARANTIA'!$U41,2)</f>
        <v>22729424.760000002</v>
      </c>
      <c r="D41" s="282">
        <f t="shared" si="1"/>
        <v>0.36634068009018622</v>
      </c>
      <c r="E41" s="273">
        <f>ROUND('PART anual'!D$5*'CALCULO GARANTIA'!$U41,2)</f>
        <v>3168398.88</v>
      </c>
      <c r="F41" s="282">
        <f t="shared" si="2"/>
        <v>2.9079190528568275</v>
      </c>
      <c r="G41" s="273">
        <f>ROUND(+'Art.14 Frac.III'!P39,2)</f>
        <v>6553925.5800000001</v>
      </c>
      <c r="H41" s="282">
        <f t="shared" si="3"/>
        <v>0.36634067906079909</v>
      </c>
      <c r="I41" s="273">
        <f>ROUND('PART anual'!D$7*'CALCULO GARANTIA'!$U41,2)</f>
        <v>740998.31</v>
      </c>
      <c r="J41" s="282">
        <f t="shared" si="4"/>
        <v>0.36634068146871684</v>
      </c>
      <c r="K41" s="273">
        <f>ROUND('PART anual'!D$8*'CALCULO GARANTIA'!$U41,2)</f>
        <v>1106421.6299999999</v>
      </c>
      <c r="L41" s="282">
        <f t="shared" si="5"/>
        <v>0.36634066045872277</v>
      </c>
      <c r="M41" s="273">
        <f>ROUND('PART anual'!D$9*'CALCULO GARANTIA'!$U41,2)</f>
        <v>82731.08</v>
      </c>
      <c r="N41" s="282">
        <f t="shared" si="6"/>
        <v>0.36634067846655433</v>
      </c>
      <c r="O41" s="273">
        <f>ROUND('PART anual'!D$10*'CALCULO GARANTIA'!$U41,2)</f>
        <v>668831.75</v>
      </c>
      <c r="P41" s="282">
        <f t="shared" si="7"/>
        <v>0.36634068927080121</v>
      </c>
      <c r="Q41" s="273">
        <f>ROUND('PART anual'!D$11*'CALCULO GARANTIA'!$U41,2)</f>
        <v>133795.14000000001</v>
      </c>
      <c r="R41" s="282">
        <f t="shared" si="8"/>
        <v>0.12614352304090046</v>
      </c>
      <c r="S41" s="273">
        <f>ROUND(+'PART anual'!D$12*'COEF Art 14 F II'!N42,2)</f>
        <v>272867.71999999997</v>
      </c>
      <c r="T41" s="282">
        <f t="shared" si="9"/>
        <v>0.42942269550279744</v>
      </c>
      <c r="U41" s="312">
        <f t="shared" si="10"/>
        <v>35457394.849999994</v>
      </c>
    </row>
    <row r="42" spans="1:21">
      <c r="A42" s="170" t="s">
        <v>36</v>
      </c>
      <c r="B42" s="282">
        <f t="shared" si="0"/>
        <v>0.38465326795092336</v>
      </c>
      <c r="C42" s="273">
        <f>ROUND('PART anual'!D$4*'CALCULO GARANTIA'!$U42,2)</f>
        <v>23865620.109999999</v>
      </c>
      <c r="D42" s="282">
        <f t="shared" si="1"/>
        <v>0.38465326791697435</v>
      </c>
      <c r="E42" s="273">
        <f>ROUND('PART anual'!D$5*'CALCULO GARANTIA'!$U42,2)</f>
        <v>3326780.37</v>
      </c>
      <c r="F42" s="282">
        <f t="shared" si="2"/>
        <v>1.5763516796243136</v>
      </c>
      <c r="G42" s="273">
        <f>ROUND(+'Art.14 Frac.III'!P40,2)</f>
        <v>3552812.65</v>
      </c>
      <c r="H42" s="282">
        <f t="shared" si="3"/>
        <v>0.38465326574650516</v>
      </c>
      <c r="I42" s="273">
        <f>ROUND('PART anual'!D$7*'CALCULO GARANTIA'!$U42,2)</f>
        <v>778039.23</v>
      </c>
      <c r="J42" s="282">
        <f t="shared" si="4"/>
        <v>0.38465326831812013</v>
      </c>
      <c r="K42" s="273">
        <f>ROUND('PART anual'!D$8*'CALCULO GARANTIA'!$U42,2)</f>
        <v>1161729.28</v>
      </c>
      <c r="L42" s="282">
        <f t="shared" si="5"/>
        <v>0.38465324767939085</v>
      </c>
      <c r="M42" s="273">
        <f>ROUND('PART anual'!D$9*'CALCULO GARANTIA'!$U42,2)</f>
        <v>86866.63</v>
      </c>
      <c r="N42" s="282">
        <f t="shared" si="6"/>
        <v>0.38465326617383822</v>
      </c>
      <c r="O42" s="273">
        <f>ROUND('PART anual'!D$10*'CALCULO GARANTIA'!$U42,2)</f>
        <v>702265.22</v>
      </c>
      <c r="P42" s="282">
        <f t="shared" si="7"/>
        <v>0.3846532688916508</v>
      </c>
      <c r="Q42" s="273">
        <f>ROUND('PART anual'!D$11*'CALCULO GARANTIA'!$U42,2)</f>
        <v>140483.26999999999</v>
      </c>
      <c r="R42" s="282">
        <f t="shared" si="8"/>
        <v>0.21224696734375112</v>
      </c>
      <c r="S42" s="273">
        <f>ROUND(+'PART anual'!D$12*'COEF Art 14 F II'!N43,2)</f>
        <v>459122.63</v>
      </c>
      <c r="T42" s="282">
        <f t="shared" si="9"/>
        <v>0.41266507277704689</v>
      </c>
      <c r="U42" s="312">
        <f t="shared" si="10"/>
        <v>34073719.390000001</v>
      </c>
    </row>
    <row r="43" spans="1:21">
      <c r="A43" s="170" t="s">
        <v>37</v>
      </c>
      <c r="B43" s="282">
        <f t="shared" si="0"/>
        <v>0.5418008013456268</v>
      </c>
      <c r="C43" s="273">
        <f>ROUND('PART anual'!D$4*'CALCULO GARANTIA'!$U43,2)</f>
        <v>33615760.420000002</v>
      </c>
      <c r="D43" s="282">
        <f t="shared" si="1"/>
        <v>0.54180080176229894</v>
      </c>
      <c r="E43" s="273">
        <f>ROUND('PART anual'!D$5*'CALCULO GARANTIA'!$U43,2)</f>
        <v>4685914.3600000003</v>
      </c>
      <c r="F43" s="282">
        <f t="shared" si="2"/>
        <v>0.51089362274798167</v>
      </c>
      <c r="G43" s="273">
        <f>ROUND(+'Art.14 Frac.III'!P41,2)</f>
        <v>1151462.17</v>
      </c>
      <c r="H43" s="282">
        <f t="shared" si="3"/>
        <v>0.5418008027584853</v>
      </c>
      <c r="I43" s="273">
        <f>ROUND('PART anual'!D$7*'CALCULO GARANTIA'!$U43,2)</f>
        <v>1095901.99</v>
      </c>
      <c r="J43" s="282">
        <f t="shared" si="4"/>
        <v>0.54180080253460261</v>
      </c>
      <c r="K43" s="273">
        <f>ROUND('PART anual'!D$8*'CALCULO GARANTIA'!$U43,2)</f>
        <v>1636346.05</v>
      </c>
      <c r="L43" s="282">
        <f t="shared" si="5"/>
        <v>0.54180080053958457</v>
      </c>
      <c r="M43" s="273">
        <f>ROUND('PART anual'!D$9*'CALCULO GARANTIA'!$U43,2)</f>
        <v>122355.42</v>
      </c>
      <c r="N43" s="282">
        <f t="shared" si="6"/>
        <v>0.54180080255287932</v>
      </c>
      <c r="O43" s="273">
        <f>ROUND('PART anual'!D$10*'CALCULO GARANTIA'!$U43,2)</f>
        <v>989171.01</v>
      </c>
      <c r="P43" s="282">
        <f t="shared" si="7"/>
        <v>0.54180078822354671</v>
      </c>
      <c r="Q43" s="273">
        <f>ROUND('PART anual'!D$11*'CALCULO GARANTIA'!$U43,2)</f>
        <v>197876.77</v>
      </c>
      <c r="R43" s="282">
        <f t="shared" si="8"/>
        <v>0.2205328266117709</v>
      </c>
      <c r="S43" s="273">
        <f>ROUND(+'PART anual'!D$12*'COEF Art 14 F II'!N44,2)</f>
        <v>477046.21</v>
      </c>
      <c r="T43" s="282">
        <f t="shared" si="9"/>
        <v>0.53254063740812696</v>
      </c>
      <c r="U43" s="312">
        <f t="shared" si="10"/>
        <v>43971834.400000006</v>
      </c>
    </row>
    <row r="44" spans="1:21">
      <c r="A44" s="170" t="s">
        <v>38</v>
      </c>
      <c r="B44" s="282">
        <f t="shared" si="0"/>
        <v>1.2711147123468913</v>
      </c>
      <c r="C44" s="273">
        <f>ROUND('PART anual'!D$4*'CALCULO GARANTIA'!$U44,2)</f>
        <v>78865678.180000007</v>
      </c>
      <c r="D44" s="282">
        <f t="shared" si="1"/>
        <v>1.2711147124516009</v>
      </c>
      <c r="E44" s="273">
        <f>ROUND('PART anual'!D$5*'CALCULO GARANTIA'!$U44,2)</f>
        <v>10993587.800000001</v>
      </c>
      <c r="F44" s="282">
        <f t="shared" si="2"/>
        <v>1.6503691050343439</v>
      </c>
      <c r="G44" s="273">
        <f>ROUND(+'Art.14 Frac.III'!P42,2)</f>
        <v>3719634.59</v>
      </c>
      <c r="H44" s="282">
        <f t="shared" si="3"/>
        <v>1.271114711115831</v>
      </c>
      <c r="I44" s="273">
        <f>ROUND('PART anual'!D$7*'CALCULO GARANTIA'!$U44,2)</f>
        <v>2571087.2599999998</v>
      </c>
      <c r="J44" s="282">
        <f t="shared" si="4"/>
        <v>1.2711147114753212</v>
      </c>
      <c r="K44" s="273">
        <f>ROUND('PART anual'!D$8*'CALCULO GARANTIA'!$U44,2)</f>
        <v>3839018.93</v>
      </c>
      <c r="L44" s="282">
        <f t="shared" si="5"/>
        <v>1.2711146919243919</v>
      </c>
      <c r="M44" s="273">
        <f>ROUND('PART anual'!D$9*'CALCULO GARANTIA'!$U44,2)</f>
        <v>287057.11</v>
      </c>
      <c r="N44" s="282">
        <f t="shared" si="6"/>
        <v>1.2711147129429687</v>
      </c>
      <c r="O44" s="273">
        <f>ROUND('PART anual'!D$10*'CALCULO GARANTIA'!$U44,2)</f>
        <v>2320686.5299999998</v>
      </c>
      <c r="P44" s="282">
        <f t="shared" si="7"/>
        <v>1.2711147218780883</v>
      </c>
      <c r="Q44" s="273">
        <f>ROUND('PART anual'!D$11*'CALCULO GARANTIA'!$U44,2)</f>
        <v>464237.19</v>
      </c>
      <c r="R44" s="282">
        <f t="shared" si="8"/>
        <v>1.2124519925698862</v>
      </c>
      <c r="S44" s="273">
        <f>ROUND(+'PART anual'!D$12*'COEF Art 14 F II'!N45,2)</f>
        <v>2622718.9700000002</v>
      </c>
      <c r="T44" s="282">
        <f t="shared" si="9"/>
        <v>1.2799299647848179</v>
      </c>
      <c r="U44" s="312">
        <f t="shared" si="10"/>
        <v>105683706.56000002</v>
      </c>
    </row>
    <row r="45" spans="1:21">
      <c r="A45" s="170" t="s">
        <v>39</v>
      </c>
      <c r="B45" s="282">
        <f t="shared" si="0"/>
        <v>26.305986754732981</v>
      </c>
      <c r="C45" s="273">
        <f>ROUND('PART anual'!D$4*'CALCULO GARANTIA'!$U45,2)</f>
        <v>1632141824.3800001</v>
      </c>
      <c r="D45" s="282">
        <f t="shared" si="1"/>
        <v>26.305986754124795</v>
      </c>
      <c r="E45" s="273">
        <f>ROUND('PART anual'!D$5*'CALCULO GARANTIA'!$U45,2)</f>
        <v>227514615.49000001</v>
      </c>
      <c r="F45" s="282">
        <f t="shared" si="2"/>
        <v>0</v>
      </c>
      <c r="G45" s="273">
        <f>ROUND(+'Art.14 Frac.III'!P43,2)</f>
        <v>0</v>
      </c>
      <c r="H45" s="282">
        <f t="shared" si="3"/>
        <v>26.305986748764642</v>
      </c>
      <c r="I45" s="273">
        <f>ROUND('PART anual'!D$7*'CALCULO GARANTIA'!$U45,2)</f>
        <v>53209192.530000001</v>
      </c>
      <c r="J45" s="282">
        <f t="shared" si="4"/>
        <v>26.305986752145039</v>
      </c>
      <c r="K45" s="273">
        <f>ROUND('PART anual'!D$8*'CALCULO GARANTIA'!$U45,2)</f>
        <v>79449305.560000002</v>
      </c>
      <c r="L45" s="282">
        <f t="shared" si="5"/>
        <v>26.305986752360312</v>
      </c>
      <c r="M45" s="273">
        <f>ROUND('PART anual'!D$9*'CALCULO GARANTIA'!$U45,2)</f>
        <v>5940707.46</v>
      </c>
      <c r="N45" s="282">
        <f t="shared" si="6"/>
        <v>26.305986755093713</v>
      </c>
      <c r="O45" s="273">
        <f>ROUND('PART anual'!D$10*'CALCULO GARANTIA'!$U45,2)</f>
        <v>48027096.609999999</v>
      </c>
      <c r="P45" s="282">
        <f t="shared" si="7"/>
        <v>26.305986741712946</v>
      </c>
      <c r="Q45" s="273">
        <f>ROUND('PART anual'!D$11*'CALCULO GARANTIA'!$U45,2)</f>
        <v>9607486.3699999992</v>
      </c>
      <c r="R45" s="282">
        <f t="shared" si="8"/>
        <v>23.920319851984342</v>
      </c>
      <c r="S45" s="273">
        <f>ROUND(+'PART anual'!D$12*'COEF Art 14 F II'!N46,2)</f>
        <v>51743307.799999997</v>
      </c>
      <c r="T45" s="282">
        <f t="shared" si="9"/>
        <v>25.525441958607313</v>
      </c>
      <c r="U45" s="312">
        <f t="shared" si="10"/>
        <v>2107633536.1999998</v>
      </c>
    </row>
    <row r="46" spans="1:21">
      <c r="A46" s="170" t="s">
        <v>40</v>
      </c>
      <c r="B46" s="282">
        <f t="shared" si="0"/>
        <v>0.13585995872829534</v>
      </c>
      <c r="C46" s="273">
        <f>ROUND('PART anual'!D$4*'CALCULO GARANTIA'!$U46,2)</f>
        <v>8429363.3599999994</v>
      </c>
      <c r="D46" s="282">
        <f t="shared" si="1"/>
        <v>0.13585995894913044</v>
      </c>
      <c r="E46" s="273">
        <f>ROUND('PART anual'!D$5*'CALCULO GARANTIA'!$U46,2)</f>
        <v>1175022.5</v>
      </c>
      <c r="F46" s="282">
        <f t="shared" si="2"/>
        <v>1.366363633119366</v>
      </c>
      <c r="G46" s="273">
        <f>ROUND(+'Art.14 Frac.III'!P44,2)</f>
        <v>3079537.43</v>
      </c>
      <c r="H46" s="282">
        <f t="shared" si="3"/>
        <v>0.13585996059510733</v>
      </c>
      <c r="I46" s="273">
        <f>ROUND('PART anual'!D$7*'CALCULO GARANTIA'!$U46,2)</f>
        <v>274804.32</v>
      </c>
      <c r="J46" s="282">
        <f t="shared" si="4"/>
        <v>0.13585995762159012</v>
      </c>
      <c r="K46" s="273">
        <f>ROUND('PART anual'!D$8*'CALCULO GARANTIA'!$U46,2)</f>
        <v>410324.06</v>
      </c>
      <c r="L46" s="282">
        <f t="shared" si="5"/>
        <v>0.13585995343456958</v>
      </c>
      <c r="M46" s="273">
        <f>ROUND('PART anual'!D$9*'CALCULO GARANTIA'!$U46,2)</f>
        <v>30681.39</v>
      </c>
      <c r="N46" s="282">
        <f t="shared" si="6"/>
        <v>0.13585995771944265</v>
      </c>
      <c r="O46" s="273">
        <f>ROUND('PART anual'!D$10*'CALCULO GARANTIA'!$U46,2)</f>
        <v>248040.85</v>
      </c>
      <c r="P46" s="282">
        <f t="shared" si="7"/>
        <v>0.13585997002450531</v>
      </c>
      <c r="Q46" s="273">
        <f>ROUND('PART anual'!D$11*'CALCULO GARANTIA'!$U46,2)</f>
        <v>49618.85</v>
      </c>
      <c r="R46" s="282">
        <f t="shared" si="8"/>
        <v>4.5216208597028511E-2</v>
      </c>
      <c r="S46" s="273">
        <f>ROUND(+'PART anual'!D$12*'COEF Art 14 F II'!N47,2)</f>
        <v>97809.57</v>
      </c>
      <c r="T46" s="282">
        <f t="shared" si="9"/>
        <v>0.16707298984079402</v>
      </c>
      <c r="U46" s="312">
        <f t="shared" si="10"/>
        <v>13795202.33</v>
      </c>
    </row>
    <row r="47" spans="1:21">
      <c r="A47" s="170" t="s">
        <v>41</v>
      </c>
      <c r="B47" s="282">
        <f t="shared" si="0"/>
        <v>0.57200157267111607</v>
      </c>
      <c r="C47" s="273">
        <f>ROUND('PART anual'!D$4*'CALCULO GARANTIA'!$U47,2)</f>
        <v>35489552.210000001</v>
      </c>
      <c r="D47" s="282">
        <f t="shared" si="1"/>
        <v>0.57200157319767431</v>
      </c>
      <c r="E47" s="273">
        <f>ROUND('PART anual'!D$5*'CALCULO GARANTIA'!$U47,2)</f>
        <v>4947114.0999999996</v>
      </c>
      <c r="F47" s="282">
        <f t="shared" si="2"/>
        <v>0</v>
      </c>
      <c r="G47" s="273">
        <f>ROUND(+'Art.14 Frac.III'!P45,2)</f>
        <v>0</v>
      </c>
      <c r="H47" s="282">
        <f t="shared" si="3"/>
        <v>0.57200157204648716</v>
      </c>
      <c r="I47" s="273">
        <f>ROUND('PART anual'!D$7*'CALCULO GARANTIA'!$U47,2)</f>
        <v>1156989.17</v>
      </c>
      <c r="J47" s="282">
        <f t="shared" si="4"/>
        <v>0.5720015709949432</v>
      </c>
      <c r="K47" s="273">
        <f>ROUND('PART anual'!D$8*'CALCULO GARANTIA'!$U47,2)</f>
        <v>1727558.37</v>
      </c>
      <c r="L47" s="282">
        <f t="shared" si="5"/>
        <v>0.57200156929912227</v>
      </c>
      <c r="M47" s="273">
        <f>ROUND('PART anual'!D$9*'CALCULO GARANTIA'!$U47,2)</f>
        <v>129175.69</v>
      </c>
      <c r="N47" s="282">
        <f t="shared" si="6"/>
        <v>0.57200157235003735</v>
      </c>
      <c r="O47" s="273">
        <f>ROUND('PART anual'!D$10*'CALCULO GARANTIA'!$U47,2)</f>
        <v>1044308.85</v>
      </c>
      <c r="P47" s="282">
        <f t="shared" si="7"/>
        <v>0.57200158240502819</v>
      </c>
      <c r="Q47" s="273">
        <f>ROUND('PART anual'!D$11*'CALCULO GARANTIA'!$U47,2)</f>
        <v>208906.72</v>
      </c>
      <c r="R47" s="282">
        <f t="shared" si="8"/>
        <v>0.99942459955787644</v>
      </c>
      <c r="S47" s="273">
        <f>ROUND(+'PART anual'!D$12*'COEF Art 14 F II'!N48,2)</f>
        <v>2161908.16</v>
      </c>
      <c r="T47" s="282">
        <f t="shared" si="9"/>
        <v>0.56758583420083164</v>
      </c>
      <c r="U47" s="312">
        <f t="shared" si="10"/>
        <v>46865513.269999996</v>
      </c>
    </row>
    <row r="48" spans="1:21">
      <c r="A48" s="170" t="s">
        <v>42</v>
      </c>
      <c r="B48" s="282">
        <f t="shared" si="0"/>
        <v>0.2881548430627609</v>
      </c>
      <c r="C48" s="273">
        <f>ROUND('PART anual'!D$4*'CALCULO GARANTIA'!$U48,2)</f>
        <v>17878423.48</v>
      </c>
      <c r="D48" s="282">
        <f t="shared" si="1"/>
        <v>0.28815484257838175</v>
      </c>
      <c r="E48" s="273">
        <f>ROUND('PART anual'!D$5*'CALCULO GARANTIA'!$U48,2)</f>
        <v>2492187</v>
      </c>
      <c r="F48" s="282">
        <f t="shared" si="2"/>
        <v>0.43781390317694407</v>
      </c>
      <c r="G48" s="273">
        <f>ROUND(+'Art.14 Frac.III'!P46,2)</f>
        <v>986753.65</v>
      </c>
      <c r="H48" s="282">
        <f t="shared" si="3"/>
        <v>0.28815484199373304</v>
      </c>
      <c r="I48" s="273">
        <f>ROUND('PART anual'!D$7*'CALCULO GARANTIA'!$U48,2)</f>
        <v>582851.6</v>
      </c>
      <c r="J48" s="282">
        <f t="shared" si="4"/>
        <v>0.28815484414175241</v>
      </c>
      <c r="K48" s="273">
        <f>ROUND('PART anual'!D$8*'CALCULO GARANTIA'!$U48,2)</f>
        <v>870284.87</v>
      </c>
      <c r="L48" s="282">
        <f t="shared" si="5"/>
        <v>0.28815485112595002</v>
      </c>
      <c r="M48" s="273">
        <f>ROUND('PART anual'!D$9*'CALCULO GARANTIA'!$U48,2)</f>
        <v>65074.3</v>
      </c>
      <c r="N48" s="282">
        <f t="shared" si="6"/>
        <v>0.28815484433851829</v>
      </c>
      <c r="O48" s="273">
        <f>ROUND('PART anual'!D$10*'CALCULO GARANTIA'!$U48,2)</f>
        <v>526087.11</v>
      </c>
      <c r="P48" s="282">
        <f t="shared" si="7"/>
        <v>0.28815483222559857</v>
      </c>
      <c r="Q48" s="273">
        <f>ROUND('PART anual'!D$11*'CALCULO GARANTIA'!$U48,2)</f>
        <v>105240.06</v>
      </c>
      <c r="R48" s="282">
        <f t="shared" si="8"/>
        <v>0.12087575379499688</v>
      </c>
      <c r="S48" s="273">
        <f>ROUND(+'PART anual'!D$12*'COEF Art 14 F II'!N49,2)</f>
        <v>261472.73</v>
      </c>
      <c r="T48" s="282">
        <f t="shared" si="9"/>
        <v>0.28785757153099945</v>
      </c>
      <c r="U48" s="312">
        <f t="shared" si="10"/>
        <v>23768374.800000001</v>
      </c>
    </row>
    <row r="49" spans="1:21">
      <c r="A49" s="170" t="s">
        <v>43</v>
      </c>
      <c r="B49" s="282">
        <f t="shared" si="0"/>
        <v>0.32289892161066347</v>
      </c>
      <c r="C49" s="273">
        <f>ROUND('PART anual'!D$4*'CALCULO GARANTIA'!$U49,2)</f>
        <v>20034102.5</v>
      </c>
      <c r="D49" s="282">
        <f t="shared" si="1"/>
        <v>0.32289892223002087</v>
      </c>
      <c r="E49" s="273">
        <f>ROUND('PART anual'!D$5*'CALCULO GARANTIA'!$U49,2)</f>
        <v>2792680.8</v>
      </c>
      <c r="F49" s="282">
        <f t="shared" si="2"/>
        <v>4.1221458524062555</v>
      </c>
      <c r="G49" s="273">
        <f>ROUND(+'Art.14 Frac.III'!P47,2)</f>
        <v>9290574</v>
      </c>
      <c r="H49" s="282">
        <f t="shared" si="3"/>
        <v>0.32289892337405607</v>
      </c>
      <c r="I49" s="273">
        <f>ROUND('PART anual'!D$7*'CALCULO GARANTIA'!$U49,2)</f>
        <v>653128.55000000005</v>
      </c>
      <c r="J49" s="282">
        <f t="shared" si="4"/>
        <v>0.32289892302970041</v>
      </c>
      <c r="K49" s="273">
        <f>ROUND('PART anual'!D$8*'CALCULO GARANTIA'!$U49,2)</f>
        <v>975218.89</v>
      </c>
      <c r="L49" s="282">
        <f t="shared" si="5"/>
        <v>0.32289892869330039</v>
      </c>
      <c r="M49" s="273">
        <f>ROUND('PART anual'!D$9*'CALCULO GARANTIA'!$U49,2)</f>
        <v>72920.59</v>
      </c>
      <c r="N49" s="282">
        <f t="shared" si="6"/>
        <v>0.32289892118728863</v>
      </c>
      <c r="O49" s="273">
        <f>ROUND('PART anual'!D$10*'CALCULO GARANTIA'!$U49,2)</f>
        <v>589519.71</v>
      </c>
      <c r="P49" s="282">
        <f t="shared" si="7"/>
        <v>0.32289890881410183</v>
      </c>
      <c r="Q49" s="273">
        <f>ROUND('PART anual'!D$11*'CALCULO GARANTIA'!$U49,2)</f>
        <v>117929.31</v>
      </c>
      <c r="R49" s="282">
        <f t="shared" si="8"/>
        <v>0.13514259127507072</v>
      </c>
      <c r="S49" s="273">
        <f>ROUND(+'PART anual'!D$12*'COEF Art 14 F II'!N50,2)</f>
        <v>292334.08000000002</v>
      </c>
      <c r="T49" s="282">
        <f t="shared" si="9"/>
        <v>0.42168396365216687</v>
      </c>
      <c r="U49" s="312">
        <f t="shared" si="10"/>
        <v>34818408.430000007</v>
      </c>
    </row>
    <row r="50" spans="1:21">
      <c r="A50" s="170" t="s">
        <v>44</v>
      </c>
      <c r="B50" s="282">
        <f t="shared" si="0"/>
        <v>0.92903083141312959</v>
      </c>
      <c r="C50" s="273">
        <f>ROUND('PART anual'!D$4*'CALCULO GARANTIA'!$U50,2)</f>
        <v>57641254.450000003</v>
      </c>
      <c r="D50" s="282">
        <f t="shared" si="1"/>
        <v>0.92903083166259426</v>
      </c>
      <c r="E50" s="273">
        <f>ROUND('PART anual'!D$5*'CALCULO GARANTIA'!$U50,2)</f>
        <v>8034980.5700000003</v>
      </c>
      <c r="F50" s="282">
        <f t="shared" si="2"/>
        <v>1.3064658501921453</v>
      </c>
      <c r="G50" s="273">
        <f>ROUND(+'Art.14 Frac.III'!P48,2)</f>
        <v>2944538.62</v>
      </c>
      <c r="H50" s="282">
        <f t="shared" si="3"/>
        <v>0.92903083363888839</v>
      </c>
      <c r="I50" s="273">
        <f>ROUND('PART anual'!D$7*'CALCULO GARANTIA'!$U50,2)</f>
        <v>1879153.25</v>
      </c>
      <c r="J50" s="282">
        <f t="shared" si="4"/>
        <v>0.9290308318254944</v>
      </c>
      <c r="K50" s="273">
        <f>ROUND('PART anual'!D$8*'CALCULO GARANTIA'!$U50,2)</f>
        <v>2805857.66</v>
      </c>
      <c r="L50" s="282">
        <f t="shared" si="5"/>
        <v>0.92903084229846933</v>
      </c>
      <c r="M50" s="273">
        <f>ROUND('PART anual'!D$9*'CALCULO GARANTIA'!$U50,2)</f>
        <v>209803.97</v>
      </c>
      <c r="N50" s="282">
        <f t="shared" si="6"/>
        <v>0.92903083099105632</v>
      </c>
      <c r="O50" s="273">
        <f>ROUND('PART anual'!D$10*'CALCULO GARANTIA'!$U50,2)</f>
        <v>1696140.65</v>
      </c>
      <c r="P50" s="282">
        <f t="shared" si="7"/>
        <v>0.9290308290313215</v>
      </c>
      <c r="Q50" s="273">
        <f>ROUND('PART anual'!D$11*'CALCULO GARANTIA'!$U50,2)</f>
        <v>339301.13</v>
      </c>
      <c r="R50" s="282">
        <f t="shared" si="8"/>
        <v>0.66374318265803611</v>
      </c>
      <c r="S50" s="273">
        <f>ROUND(+'PART anual'!D$12*'COEF Art 14 F II'!N51,2)</f>
        <v>1435777.95</v>
      </c>
      <c r="T50" s="282">
        <f t="shared" si="9"/>
        <v>0.93238329710147916</v>
      </c>
      <c r="U50" s="312">
        <f t="shared" si="10"/>
        <v>76986808.25</v>
      </c>
    </row>
    <row r="51" spans="1:21">
      <c r="A51" s="170" t="s">
        <v>45</v>
      </c>
      <c r="B51" s="282">
        <f t="shared" si="0"/>
        <v>0.79947973637142755</v>
      </c>
      <c r="C51" s="273">
        <f>ROUND('PART anual'!D$4*'CALCULO GARANTIA'!$U51,2)</f>
        <v>49603321.390000001</v>
      </c>
      <c r="D51" s="282">
        <f t="shared" si="1"/>
        <v>0.79947973574128017</v>
      </c>
      <c r="E51" s="273">
        <f>ROUND('PART anual'!D$5*'CALCULO GARANTIA'!$U51,2)</f>
        <v>6914522.0199999996</v>
      </c>
      <c r="F51" s="282">
        <f t="shared" si="2"/>
        <v>0.40349613761919007</v>
      </c>
      <c r="G51" s="273">
        <f>ROUND(+'Art.14 Frac.III'!P49,2)</f>
        <v>909407.59</v>
      </c>
      <c r="H51" s="282">
        <f t="shared" si="3"/>
        <v>0.79947973370563719</v>
      </c>
      <c r="I51" s="273">
        <f>ROUND('PART anual'!D$7*'CALCULO GARANTIA'!$U51,2)</f>
        <v>1617109.88</v>
      </c>
      <c r="J51" s="282">
        <f t="shared" si="4"/>
        <v>0.79947973737347056</v>
      </c>
      <c r="K51" s="273">
        <f>ROUND('PART anual'!D$8*'CALCULO GARANTIA'!$U51,2)</f>
        <v>2414587.62</v>
      </c>
      <c r="L51" s="282">
        <f t="shared" si="5"/>
        <v>0.79947972139908907</v>
      </c>
      <c r="M51" s="273">
        <f>ROUND('PART anual'!D$9*'CALCULO GARANTIA'!$U51,2)</f>
        <v>180547.31</v>
      </c>
      <c r="N51" s="282">
        <f t="shared" si="6"/>
        <v>0.79947973478376455</v>
      </c>
      <c r="O51" s="273">
        <f>ROUND('PART anual'!D$10*'CALCULO GARANTIA'!$U51,2)</f>
        <v>1459617.95</v>
      </c>
      <c r="P51" s="282">
        <f t="shared" si="7"/>
        <v>0.79947973220183299</v>
      </c>
      <c r="Q51" s="273">
        <f>ROUND('PART anual'!D$11*'CALCULO GARANTIA'!$U51,2)</f>
        <v>291986.40999999997</v>
      </c>
      <c r="R51" s="282">
        <f t="shared" si="8"/>
        <v>0.86106703434555343</v>
      </c>
      <c r="S51" s="273">
        <f>ROUND(+'PART anual'!D$12*'COEF Art 14 F II'!N52,2)</f>
        <v>1862619.6</v>
      </c>
      <c r="T51" s="282">
        <f t="shared" si="9"/>
        <v>0.79028446262790186</v>
      </c>
      <c r="U51" s="312">
        <f t="shared" si="10"/>
        <v>65253719.770000003</v>
      </c>
    </row>
    <row r="52" spans="1:21">
      <c r="A52" s="170" t="s">
        <v>46</v>
      </c>
      <c r="B52" s="282">
        <f t="shared" si="0"/>
        <v>7.2341325399773337</v>
      </c>
      <c r="C52" s="273">
        <f>ROUND('PART anual'!D$4*'CALCULO GARANTIA'!$U52,2)</f>
        <v>448838144.39999998</v>
      </c>
      <c r="D52" s="282">
        <f t="shared" si="1"/>
        <v>7.234132540430914</v>
      </c>
      <c r="E52" s="273">
        <f>ROUND('PART anual'!D$5*'CALCULO GARANTIA'!$U52,2)</f>
        <v>62566399.759999998</v>
      </c>
      <c r="F52" s="282">
        <f t="shared" si="2"/>
        <v>5.2206805774011729</v>
      </c>
      <c r="G52" s="273">
        <f>ROUND(+'Art.14 Frac.III'!P50,2)</f>
        <v>11766473.33</v>
      </c>
      <c r="H52" s="282">
        <f t="shared" si="3"/>
        <v>7.2341325398665779</v>
      </c>
      <c r="I52" s="273">
        <f>ROUND('PART anual'!D$7*'CALCULO GARANTIA'!$U52,2)</f>
        <v>14632500</v>
      </c>
      <c r="J52" s="282">
        <f t="shared" si="4"/>
        <v>7.2341325401990302</v>
      </c>
      <c r="K52" s="273">
        <f>ROUND('PART anual'!D$8*'CALCULO GARANTIA'!$U52,2)</f>
        <v>21848517.300000001</v>
      </c>
      <c r="L52" s="282">
        <f t="shared" si="5"/>
        <v>7.2341325346164371</v>
      </c>
      <c r="M52" s="273">
        <f>ROUND('PART anual'!D$9*'CALCULO GARANTIA'!$U52,2)</f>
        <v>1633691.43</v>
      </c>
      <c r="N52" s="282">
        <f t="shared" si="6"/>
        <v>7.2341325396000409</v>
      </c>
      <c r="O52" s="273">
        <f>ROUND('PART anual'!D$10*'CALCULO GARANTIA'!$U52,2)</f>
        <v>13207426.34</v>
      </c>
      <c r="P52" s="282">
        <f t="shared" si="7"/>
        <v>7.2341325492979598</v>
      </c>
      <c r="Q52" s="273">
        <f>ROUND('PART anual'!D$11*'CALCULO GARANTIA'!$U52,2)</f>
        <v>2642053.71</v>
      </c>
      <c r="R52" s="282">
        <f t="shared" si="8"/>
        <v>8.0380773173819176</v>
      </c>
      <c r="S52" s="273">
        <f>ROUND(+'PART anual'!D$12*'COEF Art 14 F II'!N53,2)</f>
        <v>17387589.77</v>
      </c>
      <c r="T52" s="282">
        <f t="shared" si="9"/>
        <v>7.2002351750147451</v>
      </c>
      <c r="U52" s="312">
        <f t="shared" si="10"/>
        <v>594522796.03999996</v>
      </c>
    </row>
    <row r="53" spans="1:21">
      <c r="A53" s="170" t="s">
        <v>47</v>
      </c>
      <c r="B53" s="282">
        <f t="shared" si="0"/>
        <v>13.978187700711459</v>
      </c>
      <c r="C53" s="273">
        <f>ROUND('PART anual'!D$4*'CALCULO GARANTIA'!$U53,2)</f>
        <v>867269682.29999995</v>
      </c>
      <c r="D53" s="282">
        <f t="shared" si="1"/>
        <v>13.978187700283829</v>
      </c>
      <c r="E53" s="273">
        <f>ROUND('PART anual'!D$5*'CALCULO GARANTIA'!$U53,2)</f>
        <v>120894229.5</v>
      </c>
      <c r="F53" s="282">
        <f t="shared" si="2"/>
        <v>9.946175655558207</v>
      </c>
      <c r="G53" s="273">
        <f>ROUND(+'Art.14 Frac.III'!P51,2)</f>
        <v>22416887.77</v>
      </c>
      <c r="H53" s="282">
        <f t="shared" si="3"/>
        <v>13.978187699233885</v>
      </c>
      <c r="I53" s="273">
        <f>ROUND('PART anual'!D$7*'CALCULO GARANTIA'!$U53,2)</f>
        <v>28273719.120000001</v>
      </c>
      <c r="J53" s="282">
        <f t="shared" si="4"/>
        <v>13.978187700171318</v>
      </c>
      <c r="K53" s="273">
        <f>ROUND('PART anual'!D$8*'CALCULO GARANTIA'!$U53,2)</f>
        <v>42216903.560000002</v>
      </c>
      <c r="L53" s="282">
        <f t="shared" si="5"/>
        <v>13.97818772417169</v>
      </c>
      <c r="M53" s="273">
        <f>ROUND('PART anual'!D$9*'CALCULO GARANTIA'!$U53,2)</f>
        <v>3156708.2</v>
      </c>
      <c r="N53" s="282">
        <f t="shared" si="6"/>
        <v>13.978187700804812</v>
      </c>
      <c r="O53" s="273">
        <f>ROUND('PART anual'!D$10*'CALCULO GARANTIA'!$U53,2)</f>
        <v>25520113.629999999</v>
      </c>
      <c r="P53" s="282">
        <f t="shared" si="7"/>
        <v>13.978187689937796</v>
      </c>
      <c r="Q53" s="273">
        <f>ROUND('PART anual'!D$11*'CALCULO GARANTIA'!$U53,2)</f>
        <v>5105121.09</v>
      </c>
      <c r="R53" s="282">
        <f t="shared" si="8"/>
        <v>6.2082636174647012</v>
      </c>
      <c r="S53" s="273">
        <f>ROUND(+'PART anual'!D$12*'COEF Art 14 F II'!N54,2)</f>
        <v>13429423.07</v>
      </c>
      <c r="T53" s="282">
        <f t="shared" si="9"/>
        <v>13.664575140534692</v>
      </c>
      <c r="U53" s="312">
        <f t="shared" si="10"/>
        <v>1128282788.24</v>
      </c>
    </row>
    <row r="54" spans="1:21">
      <c r="A54" s="170" t="s">
        <v>48</v>
      </c>
      <c r="B54" s="282">
        <f t="shared" si="0"/>
        <v>3.7666298561908125</v>
      </c>
      <c r="C54" s="273">
        <f>ROUND('PART anual'!D$4*'CALCULO GARANTIA'!$U54,2)</f>
        <v>233698670.28999999</v>
      </c>
      <c r="D54" s="282">
        <f t="shared" si="1"/>
        <v>3.7666298567188403</v>
      </c>
      <c r="E54" s="273">
        <f>ROUND('PART anual'!D$5*'CALCULO GARANTIA'!$U54,2)</f>
        <v>32576742</v>
      </c>
      <c r="F54" s="282">
        <f t="shared" si="2"/>
        <v>2.5961429847299855</v>
      </c>
      <c r="G54" s="273">
        <f>ROUND(+'Art.14 Frac.III'!P52,2)</f>
        <v>5851238.5</v>
      </c>
      <c r="H54" s="282">
        <f t="shared" si="3"/>
        <v>3.7666298553380821</v>
      </c>
      <c r="I54" s="273">
        <f>ROUND('PART anual'!D$7*'CALCULO GARANTIA'!$U54,2)</f>
        <v>7618772.6799999997</v>
      </c>
      <c r="J54" s="282">
        <f t="shared" si="4"/>
        <v>3.7666298561431284</v>
      </c>
      <c r="K54" s="273">
        <f>ROUND('PART anual'!D$8*'CALCULO GARANTIA'!$U54,2)</f>
        <v>11375970.390000001</v>
      </c>
      <c r="L54" s="282">
        <f t="shared" si="5"/>
        <v>3.766629852722752</v>
      </c>
      <c r="M54" s="273">
        <f>ROUND('PART anual'!D$9*'CALCULO GARANTIA'!$U54,2)</f>
        <v>850621.81</v>
      </c>
      <c r="N54" s="282">
        <f t="shared" si="6"/>
        <v>3.766629856994967</v>
      </c>
      <c r="O54" s="273">
        <f>ROUND('PART anual'!D$10*'CALCULO GARANTIA'!$U54,2)</f>
        <v>6876772.8700000001</v>
      </c>
      <c r="P54" s="282">
        <f t="shared" si="7"/>
        <v>3.7666298418563628</v>
      </c>
      <c r="Q54" s="273">
        <f>ROUND('PART anual'!D$11*'CALCULO GARANTIA'!$U54,2)</f>
        <v>1375650.54</v>
      </c>
      <c r="R54" s="282">
        <f t="shared" si="8"/>
        <v>5.0444573461300202</v>
      </c>
      <c r="S54" s="273">
        <f>ROUND(+'PART anual'!D$12*'COEF Art 14 F II'!N55,2)</f>
        <v>10911932.23</v>
      </c>
      <c r="T54" s="282">
        <f t="shared" si="9"/>
        <v>3.7681566793647128</v>
      </c>
      <c r="U54" s="312">
        <f t="shared" si="10"/>
        <v>311136371.31</v>
      </c>
    </row>
    <row r="55" spans="1:21">
      <c r="A55" s="170" t="s">
        <v>49</v>
      </c>
      <c r="B55" s="282">
        <f t="shared" si="0"/>
        <v>1.2006013851092847</v>
      </c>
      <c r="C55" s="273">
        <f>ROUND('PART anual'!D$4*'CALCULO GARANTIA'!$U55,2)</f>
        <v>74490713.969999999</v>
      </c>
      <c r="D55" s="282">
        <f t="shared" si="1"/>
        <v>1.2006013850915198</v>
      </c>
      <c r="E55" s="273">
        <f>ROUND('PART anual'!D$5*'CALCULO GARANTIA'!$U55,2)</f>
        <v>10383733.75</v>
      </c>
      <c r="F55" s="282">
        <f t="shared" si="2"/>
        <v>2.7928385223091587</v>
      </c>
      <c r="G55" s="273">
        <f>ROUND(+'Art.14 Frac.III'!P53,2)</f>
        <v>6294554.7999999998</v>
      </c>
      <c r="H55" s="282">
        <f t="shared" si="3"/>
        <v>1.2006013853799813</v>
      </c>
      <c r="I55" s="273">
        <f>ROUND('PART anual'!D$7*'CALCULO GARANTIA'!$U55,2)</f>
        <v>2428459.7599999998</v>
      </c>
      <c r="J55" s="282">
        <f t="shared" si="4"/>
        <v>1.200601386032222</v>
      </c>
      <c r="K55" s="273">
        <f>ROUND('PART anual'!D$8*'CALCULO GARANTIA'!$U55,2)</f>
        <v>3626054.68</v>
      </c>
      <c r="L55" s="282">
        <f t="shared" si="5"/>
        <v>1.2006013896949985</v>
      </c>
      <c r="M55" s="273">
        <f>ROUND('PART anual'!D$9*'CALCULO GARANTIA'!$U55,2)</f>
        <v>271133.02</v>
      </c>
      <c r="N55" s="282">
        <f t="shared" si="6"/>
        <v>1.2006013853393369</v>
      </c>
      <c r="O55" s="273">
        <f>ROUND('PART anual'!D$10*'CALCULO GARANTIA'!$U55,2)</f>
        <v>2191949.66</v>
      </c>
      <c r="P55" s="282">
        <f t="shared" si="7"/>
        <v>1.2006013798872224</v>
      </c>
      <c r="Q55" s="273">
        <f>ROUND('PART anual'!D$11*'CALCULO GARANTIA'!$U55,2)</f>
        <v>438484.27</v>
      </c>
      <c r="R55" s="282">
        <f t="shared" si="8"/>
        <v>0.97749225194819989</v>
      </c>
      <c r="S55" s="273">
        <f>ROUND(+'PART anual'!D$12*'COEF Art 14 F II'!N56,2)</f>
        <v>2114465.14</v>
      </c>
      <c r="T55" s="282">
        <f t="shared" si="9"/>
        <v>1.2382179493381895</v>
      </c>
      <c r="U55" s="312">
        <f t="shared" si="10"/>
        <v>102239549.05</v>
      </c>
    </row>
    <row r="56" spans="1:21">
      <c r="A56" s="170" t="s">
        <v>50</v>
      </c>
      <c r="B56" s="282">
        <f t="shared" si="0"/>
        <v>0.24123198546929392</v>
      </c>
      <c r="C56" s="273">
        <f>ROUND('PART anual'!D$4*'CALCULO GARANTIA'!$U56,2)</f>
        <v>14967118.189999999</v>
      </c>
      <c r="D56" s="282">
        <f t="shared" si="1"/>
        <v>0.24123198563367015</v>
      </c>
      <c r="E56" s="273">
        <f>ROUND('PART anual'!D$5*'CALCULO GARANTIA'!$U56,2)</f>
        <v>2086361.67</v>
      </c>
      <c r="F56" s="282">
        <f t="shared" si="2"/>
        <v>0</v>
      </c>
      <c r="G56" s="273">
        <f>ROUND(+'Art.14 Frac.III'!P54,2)</f>
        <v>0</v>
      </c>
      <c r="H56" s="282">
        <f t="shared" si="3"/>
        <v>0.24123198662725762</v>
      </c>
      <c r="I56" s="273">
        <f>ROUND('PART anual'!D$7*'CALCULO GARANTIA'!$U56,2)</f>
        <v>487940.61</v>
      </c>
      <c r="J56" s="282">
        <f t="shared" si="4"/>
        <v>0.24123198686332126</v>
      </c>
      <c r="K56" s="273">
        <f>ROUND('PART anual'!D$8*'CALCULO GARANTIA'!$U56,2)</f>
        <v>728568.52</v>
      </c>
      <c r="L56" s="282">
        <f t="shared" si="5"/>
        <v>0.24123197647904202</v>
      </c>
      <c r="M56" s="273">
        <f>ROUND('PART anual'!D$9*'CALCULO GARANTIA'!$U56,2)</f>
        <v>54477.66</v>
      </c>
      <c r="N56" s="282">
        <f t="shared" si="6"/>
        <v>0.24123198608702665</v>
      </c>
      <c r="O56" s="273">
        <f>ROUND('PART anual'!D$10*'CALCULO GARANTIA'!$U56,2)</f>
        <v>440419.59</v>
      </c>
      <c r="P56" s="282">
        <f t="shared" si="7"/>
        <v>0.24123197690540771</v>
      </c>
      <c r="Q56" s="273">
        <f>ROUND('PART anual'!D$11*'CALCULO GARANTIA'!$U56,2)</f>
        <v>88102.87</v>
      </c>
      <c r="R56" s="282">
        <f t="shared" si="8"/>
        <v>7.7908369188613408E-2</v>
      </c>
      <c r="S56" s="273">
        <f>ROUND(+'PART anual'!D$12*'COEF Art 14 F II'!N57,2)</f>
        <v>168527.71</v>
      </c>
      <c r="T56" s="282">
        <f t="shared" si="9"/>
        <v>0.23036861732091413</v>
      </c>
      <c r="U56" s="312">
        <f t="shared" si="10"/>
        <v>19021516.82</v>
      </c>
    </row>
    <row r="57" spans="1:21" ht="13.5" thickBot="1">
      <c r="A57" s="170" t="s">
        <v>51</v>
      </c>
      <c r="B57" s="282">
        <f t="shared" si="0"/>
        <v>0.33234797929539056</v>
      </c>
      <c r="C57" s="273">
        <f>ROUND('PART anual'!D$4*'CALCULO GARANTIA'!$U57,2)</f>
        <v>20620364.57</v>
      </c>
      <c r="D57" s="282">
        <f t="shared" si="1"/>
        <v>0.33234797949880374</v>
      </c>
      <c r="E57" s="273">
        <f>ROUND('PART anual'!D$5*'CALCULO GARANTIA'!$U57,2)</f>
        <v>2874403.59</v>
      </c>
      <c r="F57" s="282">
        <f t="shared" si="2"/>
        <v>0.56657431611938514</v>
      </c>
      <c r="G57" s="273">
        <f>ROUND(+'Art.14 Frac.III'!P55,2)</f>
        <v>1276956.42</v>
      </c>
      <c r="H57" s="282">
        <f t="shared" si="3"/>
        <v>0.33234797846412478</v>
      </c>
      <c r="I57" s="273">
        <f>ROUND('PART anual'!D$7*'CALCULO GARANTIA'!$U57,2)</f>
        <v>672241.18</v>
      </c>
      <c r="J57" s="282">
        <f t="shared" si="4"/>
        <v>0.33234798030994783</v>
      </c>
      <c r="K57" s="273">
        <f>ROUND('PART anual'!D$8*'CALCULO GARANTIA'!$U57,2)</f>
        <v>1003756.92</v>
      </c>
      <c r="L57" s="282">
        <f t="shared" si="5"/>
        <v>0.3323479854679281</v>
      </c>
      <c r="M57" s="273">
        <f>ROUND('PART anual'!D$9*'CALCULO GARANTIA'!$U57,2)</f>
        <v>75054.48</v>
      </c>
      <c r="N57" s="282">
        <f t="shared" si="6"/>
        <v>0.33234798063458509</v>
      </c>
      <c r="O57" s="273">
        <f>ROUND('PART anual'!D$10*'CALCULO GARANTIA'!$U57,2)</f>
        <v>606770.94999999995</v>
      </c>
      <c r="P57" s="282">
        <f t="shared" si="7"/>
        <v>0.3323479669433182</v>
      </c>
      <c r="Q57" s="273">
        <f>ROUND('PART anual'!D$11*'CALCULO GARANTIA'!$U57,2)</f>
        <v>121380.3</v>
      </c>
      <c r="R57" s="282">
        <f t="shared" si="8"/>
        <v>9.28813981001885E-2</v>
      </c>
      <c r="S57" s="273">
        <f>ROUND(+'PART anual'!D$12*'COEF Art 14 F II'!N58,2)</f>
        <v>200916.66</v>
      </c>
      <c r="T57" s="282">
        <f t="shared" si="9"/>
        <v>0.3324678915739514</v>
      </c>
      <c r="U57" s="312">
        <f t="shared" si="10"/>
        <v>27451845.07</v>
      </c>
    </row>
    <row r="58" spans="1:21" ht="14.25" thickTop="1" thickBot="1">
      <c r="A58" s="171" t="s">
        <v>52</v>
      </c>
      <c r="B58" s="300">
        <f t="shared" ref="B58:T58" si="11">SUM(B7:B57)</f>
        <v>100.00000000000001</v>
      </c>
      <c r="C58" s="274">
        <f t="shared" si="11"/>
        <v>6204450110.9099989</v>
      </c>
      <c r="D58" s="300">
        <f t="shared" si="11"/>
        <v>100</v>
      </c>
      <c r="E58" s="274">
        <f t="shared" si="11"/>
        <v>864877708.70000005</v>
      </c>
      <c r="F58" s="300">
        <f t="shared" si="11"/>
        <v>99.999999999999929</v>
      </c>
      <c r="G58" s="274">
        <f t="shared" si="11"/>
        <v>225381981.44000006</v>
      </c>
      <c r="H58" s="300">
        <f t="shared" si="11"/>
        <v>100.00000000000001</v>
      </c>
      <c r="I58" s="274">
        <f t="shared" si="11"/>
        <v>202270278.00999999</v>
      </c>
      <c r="J58" s="300">
        <f t="shared" si="11"/>
        <v>99.999999999999986</v>
      </c>
      <c r="K58" s="274">
        <f>SUM(K7:K57)</f>
        <v>302019864.56000006</v>
      </c>
      <c r="L58" s="300">
        <f t="shared" si="11"/>
        <v>99.999999999999972</v>
      </c>
      <c r="M58" s="274">
        <f t="shared" ref="M58:S58" si="12">SUM(M7:M57)</f>
        <v>22583100.630000006</v>
      </c>
      <c r="N58" s="300">
        <f t="shared" si="11"/>
        <v>100</v>
      </c>
      <c r="O58" s="274">
        <f t="shared" si="12"/>
        <v>182570975.41</v>
      </c>
      <c r="P58" s="300">
        <f t="shared" si="11"/>
        <v>99.999999999999986</v>
      </c>
      <c r="Q58" s="274">
        <f t="shared" si="12"/>
        <v>36522052.809999995</v>
      </c>
      <c r="R58" s="300">
        <f t="shared" si="11"/>
        <v>100.00000000000003</v>
      </c>
      <c r="S58" s="274">
        <f t="shared" si="12"/>
        <v>216315283.90999991</v>
      </c>
      <c r="T58" s="300">
        <f t="shared" si="11"/>
        <v>99.999999999999986</v>
      </c>
      <c r="U58" s="275">
        <f t="shared" ref="U58" si="13">SUM(U7:U57)</f>
        <v>8256991356.3800011</v>
      </c>
    </row>
    <row r="59" spans="1:21" ht="17.25" thickTop="1">
      <c r="A59" s="302" t="s">
        <v>269</v>
      </c>
      <c r="B59" s="172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</row>
    <row r="60" spans="1:21" ht="16.5" customHeight="1">
      <c r="A60" s="303" t="s">
        <v>146</v>
      </c>
      <c r="B60" s="166"/>
      <c r="C60" s="255"/>
      <c r="D60" s="255"/>
      <c r="E60" s="255"/>
      <c r="F60" s="255"/>
      <c r="G60" s="255"/>
      <c r="H60" s="255"/>
      <c r="I60" s="255"/>
      <c r="J60" s="255"/>
    </row>
    <row r="61" spans="1:21">
      <c r="A61" s="168"/>
      <c r="B61" s="168"/>
    </row>
    <row r="62" spans="1:21">
      <c r="A62" s="168"/>
      <c r="B62" s="168"/>
    </row>
    <row r="63" spans="1:21" ht="16.5" customHeight="1"/>
  </sheetData>
  <mergeCells count="15">
    <mergeCell ref="A1:U1"/>
    <mergeCell ref="A2:U2"/>
    <mergeCell ref="A3:U3"/>
    <mergeCell ref="J5:K5"/>
    <mergeCell ref="A4:U4"/>
    <mergeCell ref="A5:A6"/>
    <mergeCell ref="B5:C5"/>
    <mergeCell ref="D5:E5"/>
    <mergeCell ref="F5:G5"/>
    <mergeCell ref="H5:I5"/>
    <mergeCell ref="L5:M5"/>
    <mergeCell ref="N5:O5"/>
    <mergeCell ref="P5:Q5"/>
    <mergeCell ref="R5:S5"/>
    <mergeCell ref="T5:U5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showGridLines="0" tabSelected="1" zoomScale="96" zoomScaleNormal="96" zoomScaleSheetLayoutView="100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2.75"/>
  <cols>
    <col min="1" max="1" width="29" style="167" customWidth="1"/>
    <col min="2" max="2" width="17.42578125" style="167" customWidth="1"/>
    <col min="3" max="3" width="14.28515625" style="167" customWidth="1"/>
    <col min="4" max="4" width="16.7109375" style="167" customWidth="1"/>
    <col min="5" max="5" width="14.28515625" style="167" customWidth="1"/>
    <col min="6" max="6" width="17.28515625" style="167" customWidth="1"/>
    <col min="7" max="7" width="14.28515625" style="167" customWidth="1"/>
    <col min="8" max="8" width="19.7109375" style="167" customWidth="1"/>
    <col min="9" max="9" width="14.28515625" style="167" customWidth="1"/>
    <col min="10" max="10" width="20" style="167" customWidth="1"/>
    <col min="11" max="11" width="14.28515625" style="167" customWidth="1"/>
    <col min="12" max="12" width="16.85546875" style="167" customWidth="1"/>
    <col min="13" max="13" width="14.28515625" style="167" customWidth="1"/>
    <col min="14" max="14" width="18.140625" style="167" customWidth="1"/>
    <col min="15" max="15" width="14.28515625" style="167" customWidth="1"/>
    <col min="16" max="16" width="18.7109375" style="167" customWidth="1"/>
    <col min="17" max="17" width="14.28515625" style="167" customWidth="1"/>
    <col min="18" max="18" width="17.5703125" style="167" customWidth="1"/>
    <col min="19" max="19" width="14.28515625" style="167" customWidth="1"/>
    <col min="20" max="20" width="16.85546875" style="167" customWidth="1"/>
    <col min="21" max="21" width="14.28515625" style="167" customWidth="1"/>
    <col min="22" max="16384" width="11.42578125" style="167"/>
  </cols>
  <sheetData>
    <row r="1" spans="1:25">
      <c r="A1" s="319" t="s">
        <v>147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</row>
    <row r="2" spans="1:25">
      <c r="A2" s="319" t="s">
        <v>174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</row>
    <row r="3" spans="1:25">
      <c r="A3" s="319" t="s">
        <v>280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5" ht="13.5" customHeight="1" thickBot="1">
      <c r="A4" s="328" t="s">
        <v>281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05"/>
      <c r="W4" s="305"/>
      <c r="X4" s="305"/>
      <c r="Y4" s="305"/>
    </row>
    <row r="5" spans="1:25" ht="36.75" customHeight="1" thickTop="1" thickBot="1">
      <c r="A5" s="323" t="s">
        <v>0</v>
      </c>
      <c r="B5" s="324" t="s">
        <v>144</v>
      </c>
      <c r="C5" s="325"/>
      <c r="D5" s="324" t="s">
        <v>270</v>
      </c>
      <c r="E5" s="325"/>
      <c r="F5" s="324" t="s">
        <v>271</v>
      </c>
      <c r="G5" s="325"/>
      <c r="H5" s="329" t="s">
        <v>272</v>
      </c>
      <c r="I5" s="330"/>
      <c r="J5" s="329" t="s">
        <v>163</v>
      </c>
      <c r="K5" s="330"/>
      <c r="L5" s="329" t="s">
        <v>273</v>
      </c>
      <c r="M5" s="330"/>
      <c r="N5" s="329" t="s">
        <v>274</v>
      </c>
      <c r="O5" s="330"/>
      <c r="P5" s="329" t="s">
        <v>275</v>
      </c>
      <c r="Q5" s="330"/>
      <c r="R5" s="329" t="s">
        <v>276</v>
      </c>
      <c r="S5" s="330"/>
      <c r="T5" s="326" t="s">
        <v>53</v>
      </c>
      <c r="U5" s="327"/>
    </row>
    <row r="6" spans="1:25" ht="29.45" customHeight="1" thickTop="1" thickBot="1">
      <c r="A6" s="323"/>
      <c r="B6" s="299" t="s">
        <v>262</v>
      </c>
      <c r="C6" s="299" t="s">
        <v>263</v>
      </c>
      <c r="D6" s="299" t="s">
        <v>262</v>
      </c>
      <c r="E6" s="299" t="s">
        <v>263</v>
      </c>
      <c r="F6" s="299" t="s">
        <v>262</v>
      </c>
      <c r="G6" s="299" t="s">
        <v>263</v>
      </c>
      <c r="H6" s="299" t="s">
        <v>262</v>
      </c>
      <c r="I6" s="299" t="s">
        <v>263</v>
      </c>
      <c r="J6" s="299" t="s">
        <v>262</v>
      </c>
      <c r="K6" s="299" t="s">
        <v>263</v>
      </c>
      <c r="L6" s="299" t="s">
        <v>262</v>
      </c>
      <c r="M6" s="299" t="s">
        <v>263</v>
      </c>
      <c r="N6" s="299" t="s">
        <v>262</v>
      </c>
      <c r="O6" s="299" t="s">
        <v>263</v>
      </c>
      <c r="P6" s="299" t="s">
        <v>262</v>
      </c>
      <c r="Q6" s="299" t="s">
        <v>263</v>
      </c>
      <c r="R6" s="299" t="s">
        <v>262</v>
      </c>
      <c r="S6" s="299" t="s">
        <v>263</v>
      </c>
      <c r="T6" s="299" t="s">
        <v>262</v>
      </c>
      <c r="U6" s="299" t="s">
        <v>263</v>
      </c>
    </row>
    <row r="7" spans="1:25" ht="13.5" thickTop="1">
      <c r="A7" s="279" t="s">
        <v>1</v>
      </c>
      <c r="B7" s="280">
        <f>+C7/C$58</f>
        <v>1.2556116420004196E-3</v>
      </c>
      <c r="C7" s="281">
        <f>+[5]fgp!N7</f>
        <v>7790379.7915555127</v>
      </c>
      <c r="D7" s="282">
        <f>+E7/E$58</f>
        <v>1.2556116192691377E-3</v>
      </c>
      <c r="E7" s="283">
        <f>+'[5]ffm 70%'!N7</f>
        <v>1085950.5004203094</v>
      </c>
      <c r="F7" s="280">
        <f>+G7/G$58</f>
        <v>1.4136974805809673E-2</v>
      </c>
      <c r="G7" s="281">
        <f>+'[5]ffm 30%'!N7</f>
        <v>3186219.3945787787</v>
      </c>
      <c r="H7" s="282">
        <f>+I7/I$58</f>
        <v>1.2556117197384728E-3</v>
      </c>
      <c r="I7" s="283">
        <f>+[5]ieps!N7</f>
        <v>253972.93166308827</v>
      </c>
      <c r="J7" s="280">
        <f>+K7/K$58</f>
        <v>1.2556116814554038E-3</v>
      </c>
      <c r="K7" s="281">
        <f>+[5]fofir!N7</f>
        <v>379219.66995039175</v>
      </c>
      <c r="L7" s="284">
        <f>+M7/M$58</f>
        <v>1.2556119145609662E-3</v>
      </c>
      <c r="M7" s="285">
        <f>+[5]fexhi!N7</f>
        <v>28355.610172123994</v>
      </c>
      <c r="N7" s="280">
        <f>+O7/O$58</f>
        <v>1.2556115888673566E-3</v>
      </c>
      <c r="O7" s="281">
        <f>+[5]isan!N7</f>
        <v>229238.23257839374</v>
      </c>
      <c r="P7" s="282">
        <f>+Q7/Q$58</f>
        <v>1.2556110174768921E-3</v>
      </c>
      <c r="Q7" s="283">
        <f>+'[5]Comp isan'!N7</f>
        <v>45857.492002113882</v>
      </c>
      <c r="R7" s="280">
        <f>+S7/S$58</f>
        <v>5.1233903023681566E-4</v>
      </c>
      <c r="S7" s="281">
        <f>+[5]gasolinas!N7</f>
        <v>110826.76254230631</v>
      </c>
      <c r="T7" s="286">
        <f>+U7/U$58</f>
        <v>1.5877478635703546E-3</v>
      </c>
      <c r="U7" s="287">
        <f>+C7+E7+G7+I7+K7+M7+O7+Q7+S7</f>
        <v>13110020.38546302</v>
      </c>
    </row>
    <row r="8" spans="1:25">
      <c r="A8" s="279" t="s">
        <v>2</v>
      </c>
      <c r="B8" s="284">
        <f t="shared" ref="B8:D57" si="0">+C8/C$58</f>
        <v>2.4870871287537471E-3</v>
      </c>
      <c r="C8" s="285">
        <f>+[5]fgp!N8</f>
        <v>15431008.012009608</v>
      </c>
      <c r="D8" s="282">
        <f t="shared" si="0"/>
        <v>2.4870871409600854E-3</v>
      </c>
      <c r="E8" s="283">
        <f>+'[5]ffm 70%'!N8</f>
        <v>2151026.2280677403</v>
      </c>
      <c r="F8" s="284">
        <f t="shared" ref="F8:F57" si="1">+G8/G$58</f>
        <v>1.3572722660686579E-2</v>
      </c>
      <c r="G8" s="285">
        <f>+'[5]ffm 30%'!N8</f>
        <v>3059047.1280281548</v>
      </c>
      <c r="H8" s="282">
        <f t="shared" ref="H8:H57" si="2">+I8/I$58</f>
        <v>2.4870871955767278E-3</v>
      </c>
      <c r="I8" s="283">
        <f>+[5]ieps!N8</f>
        <v>503063.81856161309</v>
      </c>
      <c r="J8" s="284">
        <f t="shared" ref="J8:J57" si="3">+K8/K$58</f>
        <v>2.4870871515366819E-3</v>
      </c>
      <c r="K8" s="285">
        <f>+[5]fofir!N8</f>
        <v>751149.72461101529</v>
      </c>
      <c r="L8" s="284">
        <f t="shared" ref="L8:L57" si="4">+M8/M$58</f>
        <v>2.487086350161359E-3</v>
      </c>
      <c r="M8" s="285">
        <f>+[5]fexhi!N8</f>
        <v>56166.121228823315</v>
      </c>
      <c r="N8" s="284">
        <f t="shared" ref="N8:N57" si="5">+O8/O$58</f>
        <v>2.4870872255631825E-3</v>
      </c>
      <c r="O8" s="285">
        <f>+[5]isan!N8</f>
        <v>454069.94082517526</v>
      </c>
      <c r="P8" s="282">
        <f t="shared" ref="P8:P57" si="6">+Q8/Q$58</f>
        <v>2.4870865693752313E-3</v>
      </c>
      <c r="Q8" s="283">
        <f>+'[5]Comp isan'!N8</f>
        <v>90833.50725360174</v>
      </c>
      <c r="R8" s="284">
        <f t="shared" ref="R8:R57" si="7">+S8/S$58</f>
        <v>1.1275787768810154E-3</v>
      </c>
      <c r="S8" s="285">
        <f>+[5]gasolinas!N8</f>
        <v>243912.52272030531</v>
      </c>
      <c r="T8" s="286">
        <f t="shared" ref="T8:T57" si="8">+U8/U$58</f>
        <v>2.7540633170206955E-3</v>
      </c>
      <c r="U8" s="287">
        <f t="shared" ref="U8:U57" si="9">+C8+E8+G8+I8+K8+M8+O8+Q8+S8</f>
        <v>22740277.003306035</v>
      </c>
    </row>
    <row r="9" spans="1:25">
      <c r="A9" s="279" t="s">
        <v>3</v>
      </c>
      <c r="B9" s="284">
        <f t="shared" si="0"/>
        <v>2.5778880507106908E-3</v>
      </c>
      <c r="C9" s="285">
        <f>+[5]fgp!N9</f>
        <v>15994377.802322326</v>
      </c>
      <c r="D9" s="282">
        <f t="shared" si="0"/>
        <v>2.5778880381674705E-3</v>
      </c>
      <c r="E9" s="283">
        <f>+'[5]ffm 70%'!N9</f>
        <v>2229557.9000017489</v>
      </c>
      <c r="F9" s="284">
        <f t="shared" si="1"/>
        <v>0</v>
      </c>
      <c r="G9" s="285">
        <f>+'[5]ffm 30%'!N9</f>
        <v>0</v>
      </c>
      <c r="H9" s="282">
        <f t="shared" si="2"/>
        <v>2.5778881200778435E-3</v>
      </c>
      <c r="I9" s="283">
        <f>+[5]ieps!N9</f>
        <v>521430.14680683718</v>
      </c>
      <c r="J9" s="284">
        <f t="shared" si="3"/>
        <v>2.5778879783468428E-3</v>
      </c>
      <c r="K9" s="285">
        <f>+[5]fofir!N9</f>
        <v>778573.3780245129</v>
      </c>
      <c r="L9" s="284">
        <f t="shared" si="4"/>
        <v>2.5778887549817732E-3</v>
      </c>
      <c r="M9" s="285">
        <f>+[5]fexhi!N9</f>
        <v>58216.721070956337</v>
      </c>
      <c r="N9" s="284">
        <f t="shared" si="5"/>
        <v>2.5778879453555088E-3</v>
      </c>
      <c r="O9" s="285">
        <f>+[5]isan!N9</f>
        <v>470647.51681013033</v>
      </c>
      <c r="P9" s="282">
        <f t="shared" si="6"/>
        <v>2.5778873247005295E-3</v>
      </c>
      <c r="Q9" s="283">
        <f>+'[5]Comp isan'!N9</f>
        <v>94149.737242952237</v>
      </c>
      <c r="R9" s="284">
        <f t="shared" si="7"/>
        <v>9.671289339941195E-4</v>
      </c>
      <c r="S9" s="285">
        <f>+[5]gasolinas!N9</f>
        <v>209204.76947855632</v>
      </c>
      <c r="T9" s="286">
        <f t="shared" si="8"/>
        <v>2.4653238805027186E-3</v>
      </c>
      <c r="U9" s="287">
        <f t="shared" si="9"/>
        <v>20356157.971758019</v>
      </c>
    </row>
    <row r="10" spans="1:25">
      <c r="A10" s="279" t="s">
        <v>4</v>
      </c>
      <c r="B10" s="284">
        <f t="shared" si="0"/>
        <v>7.1316302277625847E-3</v>
      </c>
      <c r="C10" s="285">
        <f>+[5]fgp!N10</f>
        <v>44247843.958099835</v>
      </c>
      <c r="D10" s="282">
        <f t="shared" si="0"/>
        <v>7.1316302295168187E-3</v>
      </c>
      <c r="E10" s="283">
        <f>+'[5]ffm 70%'!N10</f>
        <v>6167988.0129369497</v>
      </c>
      <c r="F10" s="284">
        <f t="shared" si="1"/>
        <v>2.5799652209422718E-2</v>
      </c>
      <c r="G10" s="285">
        <f>+'[5]ffm 30%'!N10</f>
        <v>5814776.7377549512</v>
      </c>
      <c r="H10" s="282">
        <f t="shared" si="2"/>
        <v>7.1316303187471996E-3</v>
      </c>
      <c r="I10" s="283">
        <f>+[5]ieps!N10</f>
        <v>1442516.8474589009</v>
      </c>
      <c r="J10" s="284">
        <f t="shared" si="3"/>
        <v>7.1316303414092879E-3</v>
      </c>
      <c r="K10" s="285">
        <f>+[5]fofir!N10</f>
        <v>2153894.0296753566</v>
      </c>
      <c r="L10" s="284">
        <f t="shared" si="4"/>
        <v>7.1316303768014381E-3</v>
      </c>
      <c r="M10" s="285">
        <f>+[5]fexhi!N10</f>
        <v>161054.32619040384</v>
      </c>
      <c r="N10" s="284">
        <f t="shared" si="5"/>
        <v>7.1316303017863788E-3</v>
      </c>
      <c r="O10" s="285">
        <f>+[5]isan!N10</f>
        <v>1302028.7008172332</v>
      </c>
      <c r="P10" s="282">
        <f t="shared" si="6"/>
        <v>7.1316307782231169E-3</v>
      </c>
      <c r="Q10" s="283">
        <f>+'[5]Comp isan'!N10</f>
        <v>260461.79654553288</v>
      </c>
      <c r="R10" s="284">
        <f t="shared" si="7"/>
        <v>6.9569969563741865E-3</v>
      </c>
      <c r="S10" s="285">
        <f>+[5]gasolinas!N10</f>
        <v>1504904.7684991804</v>
      </c>
      <c r="T10" s="286">
        <f t="shared" si="8"/>
        <v>7.6366156214962705E-3</v>
      </c>
      <c r="U10" s="287">
        <f t="shared" si="9"/>
        <v>63055469.177978344</v>
      </c>
    </row>
    <row r="11" spans="1:25">
      <c r="A11" s="279" t="s">
        <v>5</v>
      </c>
      <c r="B11" s="284">
        <f t="shared" si="0"/>
        <v>9.0382544979522514E-3</v>
      </c>
      <c r="C11" s="285">
        <f>+[5]fgp!N11</f>
        <v>56077399.122872584</v>
      </c>
      <c r="D11" s="282">
        <f t="shared" si="0"/>
        <v>9.0382544980734166E-3</v>
      </c>
      <c r="E11" s="283">
        <f>+'[5]ffm 70%'!N11</f>
        <v>7816984.8418749729</v>
      </c>
      <c r="F11" s="284">
        <f t="shared" si="1"/>
        <v>8.6601093438600368E-3</v>
      </c>
      <c r="G11" s="285">
        <f>+'[5]ffm 30%'!N11</f>
        <v>1951832.6041891398</v>
      </c>
      <c r="H11" s="282">
        <f t="shared" si="2"/>
        <v>9.0382546013169675E-3</v>
      </c>
      <c r="I11" s="283">
        <f>+[5]ieps!N11</f>
        <v>1828170.2712140845</v>
      </c>
      <c r="J11" s="284">
        <f t="shared" si="3"/>
        <v>9.0382545300372371E-3</v>
      </c>
      <c r="K11" s="285">
        <f>+[5]fofir!N11</f>
        <v>2729732.4088570848</v>
      </c>
      <c r="L11" s="284">
        <f t="shared" si="4"/>
        <v>9.0382557200619964E-3</v>
      </c>
      <c r="M11" s="285">
        <f>+[5]fexhi!N11</f>
        <v>204111.83811015351</v>
      </c>
      <c r="N11" s="284">
        <f t="shared" si="5"/>
        <v>9.0382545722998767E-3</v>
      </c>
      <c r="O11" s="285">
        <f>+[5]isan!N11</f>
        <v>1650122.9537205934</v>
      </c>
      <c r="P11" s="282">
        <f t="shared" si="6"/>
        <v>9.038254181547958E-3</v>
      </c>
      <c r="Q11" s="283">
        <f>+'[5]Comp isan'!N11</f>
        <v>330095.5973421408</v>
      </c>
      <c r="R11" s="284">
        <f t="shared" si="7"/>
        <v>4.7357150276712721E-3</v>
      </c>
      <c r="S11" s="285">
        <f>+[5]gasolinas!N11</f>
        <v>1024407.5384948906</v>
      </c>
      <c r="T11" s="286">
        <f t="shared" si="8"/>
        <v>8.9152154822868708E-3</v>
      </c>
      <c r="U11" s="287">
        <f t="shared" si="9"/>
        <v>73612857.176675647</v>
      </c>
    </row>
    <row r="12" spans="1:25">
      <c r="A12" s="279" t="s">
        <v>6</v>
      </c>
      <c r="B12" s="284">
        <f t="shared" si="0"/>
        <v>6.1455033210588976E-2</v>
      </c>
      <c r="C12" s="285">
        <f>+[5]fgp!N12</f>
        <v>381294687.62363172</v>
      </c>
      <c r="D12" s="282">
        <f t="shared" si="0"/>
        <v>6.1455033205106653E-2</v>
      </c>
      <c r="E12" s="283">
        <f>+'[5]ffm 70%'!N12</f>
        <v>53151088.312864147</v>
      </c>
      <c r="F12" s="284">
        <f t="shared" si="1"/>
        <v>5.0127786882162413E-2</v>
      </c>
      <c r="G12" s="285">
        <f>+'[5]ffm 30%'!N12</f>
        <v>11297899.937235544</v>
      </c>
      <c r="H12" s="282">
        <f t="shared" si="2"/>
        <v>6.1455033216825057E-2</v>
      </c>
      <c r="I12" s="283">
        <f>+[5]ieps!N12</f>
        <v>12430526.655788502</v>
      </c>
      <c r="J12" s="284">
        <f t="shared" si="3"/>
        <v>6.1455033266548727E-2</v>
      </c>
      <c r="K12" s="285">
        <f>+[5]fofir!N12</f>
        <v>18560640.822581172</v>
      </c>
      <c r="L12" s="284">
        <f t="shared" si="4"/>
        <v>6.1455033249399882E-2</v>
      </c>
      <c r="M12" s="285">
        <f>+[5]fexhi!N12</f>
        <v>1387845.1978087611</v>
      </c>
      <c r="N12" s="284">
        <f t="shared" si="5"/>
        <v>6.1455033219225845E-2</v>
      </c>
      <c r="O12" s="285">
        <f>+[5]isan!N12</f>
        <v>11219905.361760765</v>
      </c>
      <c r="P12" s="282">
        <f t="shared" si="6"/>
        <v>6.1455032760593484E-2</v>
      </c>
      <c r="Q12" s="283">
        <f>+'[5]Comp isan'!N12</f>
        <v>2244463.9574536285</v>
      </c>
      <c r="R12" s="284">
        <f t="shared" si="7"/>
        <v>0.10174322720423727</v>
      </c>
      <c r="S12" s="285">
        <f>+[5]gasolinas!N12</f>
        <v>22008615.030636918</v>
      </c>
      <c r="T12" s="286">
        <f t="shared" si="8"/>
        <v>6.220130925881652E-2</v>
      </c>
      <c r="U12" s="287">
        <f t="shared" si="9"/>
        <v>513595672.89976108</v>
      </c>
    </row>
    <row r="13" spans="1:25">
      <c r="A13" s="279" t="s">
        <v>7</v>
      </c>
      <c r="B13" s="284">
        <f t="shared" si="0"/>
        <v>1.02894188858077E-2</v>
      </c>
      <c r="C13" s="285">
        <f>+[5]fgp!N13</f>
        <v>63840186.147954784</v>
      </c>
      <c r="D13" s="282">
        <f t="shared" si="0"/>
        <v>1.0289418890369361E-2</v>
      </c>
      <c r="E13" s="283">
        <f>+'[5]ffm 70%'!N13</f>
        <v>8899089.0348201785</v>
      </c>
      <c r="F13" s="284">
        <f t="shared" si="1"/>
        <v>0</v>
      </c>
      <c r="G13" s="285">
        <f>+'[5]ffm 30%'!N13</f>
        <v>0</v>
      </c>
      <c r="H13" s="282">
        <f t="shared" si="2"/>
        <v>1.0289418783083582E-2</v>
      </c>
      <c r="I13" s="283">
        <f>+[5]ieps!N13</f>
        <v>2081243.5981350071</v>
      </c>
      <c r="J13" s="284">
        <f t="shared" si="3"/>
        <v>1.0289418881202328E-2</v>
      </c>
      <c r="K13" s="285">
        <f>+[5]fofir!N13</f>
        <v>3107608.8967156233</v>
      </c>
      <c r="L13" s="284">
        <f t="shared" si="4"/>
        <v>1.0289418683817778E-2</v>
      </c>
      <c r="M13" s="285">
        <f>+[5]fexhi!N13</f>
        <v>232366.97717871133</v>
      </c>
      <c r="N13" s="284">
        <f t="shared" si="5"/>
        <v>1.028941889303739E-2</v>
      </c>
      <c r="O13" s="285">
        <f>+[5]isan!N13</f>
        <v>1878549.2442183895</v>
      </c>
      <c r="P13" s="282">
        <f t="shared" si="6"/>
        <v>1.0289418213924737E-2</v>
      </c>
      <c r="Q13" s="283">
        <f>+'[5]Comp isan'!N13</f>
        <v>375790.67631918285</v>
      </c>
      <c r="R13" s="284">
        <f t="shared" si="7"/>
        <v>5.3110385536165603E-3</v>
      </c>
      <c r="S13" s="285">
        <f>+[5]gasolinas!N13</f>
        <v>1148858.810078609</v>
      </c>
      <c r="T13" s="286">
        <f t="shared" si="8"/>
        <v>9.8781371889556414E-3</v>
      </c>
      <c r="U13" s="287">
        <f t="shared" si="9"/>
        <v>81563693.385420486</v>
      </c>
    </row>
    <row r="14" spans="1:25">
      <c r="A14" s="279" t="s">
        <v>8</v>
      </c>
      <c r="B14" s="284">
        <f t="shared" si="0"/>
        <v>1.640493595359006E-3</v>
      </c>
      <c r="C14" s="285">
        <f>+[5]fgp!N14</f>
        <v>10178360.669784851</v>
      </c>
      <c r="D14" s="282">
        <f t="shared" si="0"/>
        <v>1.640493603418066E-3</v>
      </c>
      <c r="E14" s="283">
        <f>+'[5]ffm 70%'!N14</f>
        <v>1418826.3490307073</v>
      </c>
      <c r="F14" s="284">
        <f t="shared" si="1"/>
        <v>1.2393835070623865E-2</v>
      </c>
      <c r="G14" s="285">
        <f>+'[5]ffm 30%'!N14</f>
        <v>2793347.1069782181</v>
      </c>
      <c r="H14" s="282">
        <f t="shared" si="2"/>
        <v>1.6404937251990556E-3</v>
      </c>
      <c r="I14" s="283">
        <f>+[5]ieps!N14</f>
        <v>331823.12192059308</v>
      </c>
      <c r="J14" s="284">
        <f t="shared" si="3"/>
        <v>1.6404934934131465E-3</v>
      </c>
      <c r="K14" s="285">
        <f>+[5]fofir!N14</f>
        <v>495461.6226625113</v>
      </c>
      <c r="L14" s="284">
        <f t="shared" si="4"/>
        <v>1.6404943018901161E-3</v>
      </c>
      <c r="M14" s="285">
        <f>+[5]fexhi!N14</f>
        <v>37047.447841598339</v>
      </c>
      <c r="N14" s="284">
        <f t="shared" si="5"/>
        <v>1.6404935646142007E-3</v>
      </c>
      <c r="O14" s="285">
        <f>+[5]isan!N14</f>
        <v>299506.51032746711</v>
      </c>
      <c r="P14" s="282">
        <f t="shared" si="6"/>
        <v>1.6404937634723379E-3</v>
      </c>
      <c r="Q14" s="283">
        <f>+'[5]Comp isan'!N14</f>
        <v>59914.200011656823</v>
      </c>
      <c r="R14" s="284">
        <f t="shared" si="7"/>
        <v>9.5768050941211691E-4</v>
      </c>
      <c r="S14" s="285">
        <f>+[5]gasolinas!N14</f>
        <v>207160.9308370527</v>
      </c>
      <c r="T14" s="286">
        <f t="shared" si="8"/>
        <v>1.9161274702496358E-3</v>
      </c>
      <c r="U14" s="287">
        <f t="shared" si="9"/>
        <v>15821447.959394656</v>
      </c>
    </row>
    <row r="15" spans="1:25">
      <c r="A15" s="279" t="s">
        <v>9</v>
      </c>
      <c r="B15" s="284">
        <f t="shared" si="0"/>
        <v>1.630682733819409E-2</v>
      </c>
      <c r="C15" s="285">
        <f>+[5]fgp!N15</f>
        <v>101174896.68816704</v>
      </c>
      <c r="D15" s="282">
        <f t="shared" si="0"/>
        <v>1.6306827323284406E-2</v>
      </c>
      <c r="E15" s="283">
        <f>+'[5]ffm 70%'!N15</f>
        <v>14103411.453213474</v>
      </c>
      <c r="F15" s="284">
        <f t="shared" si="1"/>
        <v>1.962902174152582E-2</v>
      </c>
      <c r="G15" s="285">
        <f>+'[5]ffm 30%'!N15</f>
        <v>4424027.815608466</v>
      </c>
      <c r="H15" s="282">
        <f t="shared" si="2"/>
        <v>1.6306827272351231E-2</v>
      </c>
      <c r="I15" s="283">
        <f>+[5]ieps!N15</f>
        <v>3298386.4863456837</v>
      </c>
      <c r="J15" s="284">
        <f t="shared" si="3"/>
        <v>1.6306827313439042E-2</v>
      </c>
      <c r="K15" s="285">
        <f>+[5]fofir!N15</f>
        <v>4924985.776313059</v>
      </c>
      <c r="L15" s="284">
        <f t="shared" si="4"/>
        <v>1.6306825585280117E-2</v>
      </c>
      <c r="M15" s="285">
        <f>+[5]fexhi!N15</f>
        <v>368258.68254260608</v>
      </c>
      <c r="N15" s="284">
        <f t="shared" si="5"/>
        <v>1.6306827246656708E-2</v>
      </c>
      <c r="O15" s="285">
        <f>+[5]isan!N15</f>
        <v>2977153.3570798207</v>
      </c>
      <c r="P15" s="282">
        <f t="shared" si="6"/>
        <v>1.6306826837788835E-2</v>
      </c>
      <c r="Q15" s="283">
        <f>+'[5]Comp isan'!N15</f>
        <v>595558.7924008636</v>
      </c>
      <c r="R15" s="284">
        <f t="shared" si="7"/>
        <v>1.6950590317508243E-2</v>
      </c>
      <c r="S15" s="285">
        <f>+[5]gasolinas!N15</f>
        <v>3666671.7489824602</v>
      </c>
      <c r="T15" s="286">
        <f t="shared" si="8"/>
        <v>1.6414374794938104E-2</v>
      </c>
      <c r="U15" s="287">
        <f t="shared" si="9"/>
        <v>135533350.80065346</v>
      </c>
    </row>
    <row r="16" spans="1:25">
      <c r="A16" s="279" t="s">
        <v>10</v>
      </c>
      <c r="B16" s="284">
        <f t="shared" si="0"/>
        <v>2.691662696150681E-3</v>
      </c>
      <c r="C16" s="285">
        <f>+[5]fgp!N16</f>
        <v>16700286.913849022</v>
      </c>
      <c r="D16" s="282">
        <f t="shared" si="0"/>
        <v>2.6916627113072146E-3</v>
      </c>
      <c r="E16" s="283">
        <f>+'[5]ffm 70%'!N16</f>
        <v>2327959.0786266965</v>
      </c>
      <c r="F16" s="284">
        <f t="shared" si="1"/>
        <v>1.2619061382780577E-2</v>
      </c>
      <c r="G16" s="285">
        <f>+'[5]ffm 30%'!N16</f>
        <v>2844109.0595048829</v>
      </c>
      <c r="H16" s="282">
        <f t="shared" si="2"/>
        <v>2.6916625183494108E-3</v>
      </c>
      <c r="I16" s="283">
        <f>+[5]ieps!N16</f>
        <v>544443.325979179</v>
      </c>
      <c r="J16" s="284">
        <f t="shared" si="3"/>
        <v>2.6916626551477993E-3</v>
      </c>
      <c r="K16" s="285">
        <f>+[5]fofir!N16</f>
        <v>812935.59050023661</v>
      </c>
      <c r="L16" s="284">
        <f t="shared" si="4"/>
        <v>2.691662763365204E-3</v>
      </c>
      <c r="M16" s="285">
        <f>+[5]fexhi!N16</f>
        <v>60786.090947132259</v>
      </c>
      <c r="N16" s="284">
        <f t="shared" si="5"/>
        <v>2.6916627747153757E-3</v>
      </c>
      <c r="O16" s="285">
        <f>+[5]isan!N16</f>
        <v>491419.4983891563</v>
      </c>
      <c r="P16" s="282">
        <f t="shared" si="6"/>
        <v>2.6916635960031535E-3</v>
      </c>
      <c r="Q16" s="283">
        <f>+'[5]Comp isan'!N16</f>
        <v>98305.080242231415</v>
      </c>
      <c r="R16" s="284">
        <f t="shared" si="7"/>
        <v>5.0256771025585061E-3</v>
      </c>
      <c r="S16" s="285">
        <f>+[5]gasolinas!N16</f>
        <v>1087130.7669105513</v>
      </c>
      <c r="T16" s="286">
        <f t="shared" si="8"/>
        <v>3.0237860653613969E-3</v>
      </c>
      <c r="U16" s="287">
        <f t="shared" si="9"/>
        <v>24967375.404949088</v>
      </c>
    </row>
    <row r="17" spans="1:21">
      <c r="A17" s="279" t="s">
        <v>11</v>
      </c>
      <c r="B17" s="284">
        <f t="shared" si="0"/>
        <v>3.911367340741591E-3</v>
      </c>
      <c r="C17" s="285">
        <f>+[5]fgp!N17</f>
        <v>24267883.531342197</v>
      </c>
      <c r="D17" s="282">
        <f t="shared" si="0"/>
        <v>3.911367366725706E-3</v>
      </c>
      <c r="E17" s="283">
        <f>+'[5]ffm 70%'!N17</f>
        <v>3382854.4464217755</v>
      </c>
      <c r="F17" s="284">
        <f t="shared" si="1"/>
        <v>4.8131149837962614E-2</v>
      </c>
      <c r="G17" s="285">
        <f>+'[5]ffm 30%'!N17</f>
        <v>10847893.923816785</v>
      </c>
      <c r="H17" s="282">
        <f t="shared" si="2"/>
        <v>3.9113672999026433E-3</v>
      </c>
      <c r="I17" s="283">
        <f>+[5]ieps!N17</f>
        <v>791153.35127193632</v>
      </c>
      <c r="J17" s="284">
        <f t="shared" si="3"/>
        <v>3.9113673701792031E-3</v>
      </c>
      <c r="K17" s="285">
        <f>+[5]fofir!N17</f>
        <v>1181310.6433151411</v>
      </c>
      <c r="L17" s="284">
        <f t="shared" si="4"/>
        <v>3.9113680760063645E-3</v>
      </c>
      <c r="M17" s="285">
        <f>+[5]fexhi!N17</f>
        <v>88330.818716153502</v>
      </c>
      <c r="N17" s="284">
        <f t="shared" si="5"/>
        <v>3.9113674595343904E-3</v>
      </c>
      <c r="O17" s="285">
        <f>+[5]isan!N17</f>
        <v>714102.17246969568</v>
      </c>
      <c r="P17" s="282">
        <f t="shared" si="6"/>
        <v>3.9113674338702607E-3</v>
      </c>
      <c r="Q17" s="283">
        <f>+'[5]Comp isan'!N17</f>
        <v>142851.16833114694</v>
      </c>
      <c r="R17" s="284">
        <f t="shared" si="7"/>
        <v>2.3340421289711373E-3</v>
      </c>
      <c r="S17" s="285">
        <f>+[5]gasolinas!N17</f>
        <v>504888.98468589771</v>
      </c>
      <c r="T17" s="286">
        <f t="shared" si="8"/>
        <v>5.0770634522286362E-3</v>
      </c>
      <c r="U17" s="287">
        <f t="shared" si="9"/>
        <v>41921269.040370733</v>
      </c>
    </row>
    <row r="18" spans="1:21">
      <c r="A18" s="279" t="s">
        <v>12</v>
      </c>
      <c r="B18" s="284">
        <f t="shared" si="0"/>
        <v>8.2786105489925169E-3</v>
      </c>
      <c r="C18" s="285">
        <f>+[5]fgp!N18</f>
        <v>51364226.139445148</v>
      </c>
      <c r="D18" s="282">
        <f t="shared" si="0"/>
        <v>8.2786105639524789E-3</v>
      </c>
      <c r="E18" s="283">
        <f>+'[5]ffm 70%'!N18</f>
        <v>7159985.7366261212</v>
      </c>
      <c r="F18" s="284">
        <f t="shared" si="1"/>
        <v>1.2218995538373545E-2</v>
      </c>
      <c r="G18" s="285">
        <f>+'[5]ffm 30%'!N18</f>
        <v>2753941.4267497919</v>
      </c>
      <c r="H18" s="282">
        <f t="shared" si="2"/>
        <v>8.2786104728929024E-3</v>
      </c>
      <c r="I18" s="283">
        <f>+[5]ieps!N18</f>
        <v>1674516.8421455061</v>
      </c>
      <c r="J18" s="284">
        <f t="shared" si="3"/>
        <v>8.2786105930044551E-3</v>
      </c>
      <c r="K18" s="285">
        <f>+[5]fofir!N18</f>
        <v>2500304.8498943662</v>
      </c>
      <c r="L18" s="284">
        <f t="shared" si="4"/>
        <v>8.278611515818636E-3</v>
      </c>
      <c r="M18" s="285">
        <f>+[5]fexhi!N18</f>
        <v>186956.71663094251</v>
      </c>
      <c r="N18" s="284">
        <f t="shared" si="5"/>
        <v>8.2786103877577621E-3</v>
      </c>
      <c r="O18" s="285">
        <f>+[5]isan!N18</f>
        <v>1511433.9739462233</v>
      </c>
      <c r="P18" s="282">
        <f t="shared" si="6"/>
        <v>8.2786113202372256E-3</v>
      </c>
      <c r="Q18" s="283">
        <f>+'[5]Comp isan'!N18</f>
        <v>302351.88057624287</v>
      </c>
      <c r="R18" s="284">
        <f t="shared" si="7"/>
        <v>3.6231854598232716E-3</v>
      </c>
      <c r="S18" s="285">
        <f>+[5]gasolinas!N18</f>
        <v>783750.38969208777</v>
      </c>
      <c r="T18" s="286">
        <f t="shared" si="8"/>
        <v>8.2642048430572983E-3</v>
      </c>
      <c r="U18" s="287">
        <f t="shared" si="9"/>
        <v>68237467.955706418</v>
      </c>
    </row>
    <row r="19" spans="1:21">
      <c r="A19" s="279" t="s">
        <v>13</v>
      </c>
      <c r="B19" s="284">
        <f t="shared" si="0"/>
        <v>4.2122361260537181E-3</v>
      </c>
      <c r="C19" s="285">
        <f>+[5]fgp!N19</f>
        <v>26134608.89976202</v>
      </c>
      <c r="D19" s="282">
        <f t="shared" si="0"/>
        <v>4.2122361172458366E-3</v>
      </c>
      <c r="E19" s="283">
        <f>+'[5]ffm 70%'!N19</f>
        <v>3643069.1220221412</v>
      </c>
      <c r="F19" s="284">
        <f t="shared" si="1"/>
        <v>1.5310733407618493E-2</v>
      </c>
      <c r="G19" s="285">
        <f>+'[5]ffm 30%'!N19</f>
        <v>3450763.4340928067</v>
      </c>
      <c r="H19" s="282">
        <f t="shared" si="2"/>
        <v>4.2122361632376728E-3</v>
      </c>
      <c r="I19" s="283">
        <f>+[5]ieps!N19</f>
        <v>852010.17991260404</v>
      </c>
      <c r="J19" s="284">
        <f t="shared" si="3"/>
        <v>4.2122360679052494E-3</v>
      </c>
      <c r="K19" s="285">
        <f>+[5]fofir!N19</f>
        <v>1272178.9666472604</v>
      </c>
      <c r="L19" s="284">
        <f t="shared" si="4"/>
        <v>4.2122354658555624E-3</v>
      </c>
      <c r="M19" s="285">
        <f>+[5]fexhi!N19</f>
        <v>95125.337246229203</v>
      </c>
      <c r="N19" s="284">
        <f t="shared" si="5"/>
        <v>4.2122361422485474E-3</v>
      </c>
      <c r="O19" s="285">
        <f>+[5]isan!N19</f>
        <v>769032.06135818455</v>
      </c>
      <c r="P19" s="282">
        <f t="shared" si="6"/>
        <v>4.2122360290817373E-3</v>
      </c>
      <c r="Q19" s="283">
        <f>+'[5]Comp isan'!N19</f>
        <v>153839.50708140919</v>
      </c>
      <c r="R19" s="284">
        <f t="shared" si="7"/>
        <v>6.3963667657994678E-3</v>
      </c>
      <c r="S19" s="285">
        <f>+[5]gasolinas!N19</f>
        <v>1383631.8899208044</v>
      </c>
      <c r="T19" s="286">
        <f t="shared" si="8"/>
        <v>4.5723990457248532E-3</v>
      </c>
      <c r="U19" s="287">
        <f t="shared" si="9"/>
        <v>37754259.398043461</v>
      </c>
    </row>
    <row r="20" spans="1:21">
      <c r="A20" s="279" t="s">
        <v>14</v>
      </c>
      <c r="B20" s="284">
        <f t="shared" si="0"/>
        <v>2.299414008124008E-2</v>
      </c>
      <c r="C20" s="285">
        <f>+[5]fgp!N20</f>
        <v>142665994.97890726</v>
      </c>
      <c r="D20" s="282">
        <f t="shared" si="0"/>
        <v>2.2994140065330747E-2</v>
      </c>
      <c r="E20" s="283">
        <f>+'[5]ffm 70%'!N20</f>
        <v>19887119.175605714</v>
      </c>
      <c r="F20" s="284">
        <f t="shared" si="1"/>
        <v>3.6623529503527676E-3</v>
      </c>
      <c r="G20" s="285">
        <f>+'[5]ffm 30%'!N20</f>
        <v>825428.36501422711</v>
      </c>
      <c r="H20" s="282">
        <f t="shared" si="2"/>
        <v>2.2994140080929638E-2</v>
      </c>
      <c r="I20" s="283">
        <f>+[5]ieps!N20</f>
        <v>4651031.107484241</v>
      </c>
      <c r="J20" s="284">
        <f t="shared" si="3"/>
        <v>2.2994139991371516E-2</v>
      </c>
      <c r="K20" s="285">
        <f>+[5]fofir!N20</f>
        <v>6944687.045451574</v>
      </c>
      <c r="L20" s="284">
        <f t="shared" si="4"/>
        <v>2.2994139616282099E-2</v>
      </c>
      <c r="M20" s="285">
        <f>+[5]fexhi!N20</f>
        <v>519278.96800076874</v>
      </c>
      <c r="N20" s="284">
        <f t="shared" si="5"/>
        <v>2.2994140032622692E-2</v>
      </c>
      <c r="O20" s="285">
        <f>+[5]isan!N20</f>
        <v>4198062.5756197609</v>
      </c>
      <c r="P20" s="282">
        <f t="shared" si="6"/>
        <v>2.2994139995456492E-2</v>
      </c>
      <c r="Q20" s="283">
        <f>+'[5]Comp isan'!N20</f>
        <v>839793.1973040679</v>
      </c>
      <c r="R20" s="284">
        <f t="shared" si="7"/>
        <v>1.1911876492846571E-2</v>
      </c>
      <c r="S20" s="285">
        <f>+[5]gasolinas!N20</f>
        <v>2576720.9398350534</v>
      </c>
      <c r="T20" s="286">
        <f t="shared" si="8"/>
        <v>2.2176130318195018E-2</v>
      </c>
      <c r="U20" s="287">
        <f t="shared" si="9"/>
        <v>183108116.35322267</v>
      </c>
    </row>
    <row r="21" spans="1:21">
      <c r="A21" s="279" t="s">
        <v>15</v>
      </c>
      <c r="B21" s="284">
        <f t="shared" si="0"/>
        <v>2.9344807912490508E-3</v>
      </c>
      <c r="C21" s="285">
        <f>+[5]fgp!N21</f>
        <v>18206839.670929715</v>
      </c>
      <c r="D21" s="282">
        <f t="shared" si="0"/>
        <v>2.9344808143970001E-3</v>
      </c>
      <c r="E21" s="283">
        <f>+'[5]ffm 70%'!N21</f>
        <v>2537967.0432829568</v>
      </c>
      <c r="F21" s="284">
        <f t="shared" si="1"/>
        <v>3.7139251933140799E-2</v>
      </c>
      <c r="G21" s="285">
        <f>+'[5]ffm 30%'!N21</f>
        <v>8370518.1932481509</v>
      </c>
      <c r="H21" s="282">
        <f t="shared" si="2"/>
        <v>2.9344807213240488E-3</v>
      </c>
      <c r="I21" s="283">
        <f>+[5]ieps!N21</f>
        <v>593558.23140828451</v>
      </c>
      <c r="J21" s="284">
        <f t="shared" si="3"/>
        <v>2.9344808164690644E-3</v>
      </c>
      <c r="K21" s="285">
        <f>+[5]fofir!N21</f>
        <v>886271.49869079888</v>
      </c>
      <c r="L21" s="284">
        <f t="shared" si="4"/>
        <v>2.9344814291971917E-3</v>
      </c>
      <c r="M21" s="285">
        <f>+[5]fexhi!N21</f>
        <v>66269.689303440129</v>
      </c>
      <c r="N21" s="284">
        <f t="shared" si="5"/>
        <v>2.9344808086919577E-3</v>
      </c>
      <c r="O21" s="285">
        <f>+[5]isan!N21</f>
        <v>535751.02371154027</v>
      </c>
      <c r="P21" s="282">
        <f t="shared" si="6"/>
        <v>2.934481978400994E-3</v>
      </c>
      <c r="Q21" s="283">
        <f>+'[5]Comp isan'!N21</f>
        <v>107173.30604925778</v>
      </c>
      <c r="R21" s="284">
        <f t="shared" si="7"/>
        <v>1.1395314942275903E-3</v>
      </c>
      <c r="S21" s="285">
        <f>+[5]gasolinas!N21</f>
        <v>246498.07816099047</v>
      </c>
      <c r="T21" s="286">
        <f t="shared" si="8"/>
        <v>3.8211069109044364E-3</v>
      </c>
      <c r="U21" s="287">
        <f t="shared" si="9"/>
        <v>31550846.734785132</v>
      </c>
    </row>
    <row r="22" spans="1:21">
      <c r="A22" s="279" t="s">
        <v>16</v>
      </c>
      <c r="B22" s="284">
        <f t="shared" si="0"/>
        <v>2.0510897094595626E-3</v>
      </c>
      <c r="C22" s="285">
        <f>+[5]fgp!N22</f>
        <v>12725883.775483426</v>
      </c>
      <c r="D22" s="282">
        <f t="shared" si="0"/>
        <v>2.0510896931784108E-3</v>
      </c>
      <c r="E22" s="283">
        <f>+'[5]ffm 70%'!N22</f>
        <v>1773941.7543862336</v>
      </c>
      <c r="F22" s="284">
        <f t="shared" si="1"/>
        <v>2.3779174810074449E-2</v>
      </c>
      <c r="G22" s="285">
        <f>+'[5]ffm 30%'!N22</f>
        <v>5359397.537852441</v>
      </c>
      <c r="H22" s="282">
        <f t="shared" si="2"/>
        <v>2.0510898203357081E-3</v>
      </c>
      <c r="I22" s="283">
        <f>+[5]ieps!N22</f>
        <v>414874.50824644876</v>
      </c>
      <c r="J22" s="284">
        <f t="shared" si="3"/>
        <v>2.051089794671195E-3</v>
      </c>
      <c r="K22" s="285">
        <f>+[5]fofir!N22</f>
        <v>619469.86194987339</v>
      </c>
      <c r="L22" s="284">
        <f t="shared" si="4"/>
        <v>2.0510884944179644E-3</v>
      </c>
      <c r="M22" s="285">
        <f>+[5]fexhi!N22</f>
        <v>46319.937794298916</v>
      </c>
      <c r="N22" s="284">
        <f t="shared" si="5"/>
        <v>2.0510898120420047E-3</v>
      </c>
      <c r="O22" s="285">
        <f>+[5]isan!N22</f>
        <v>374469.46774057677</v>
      </c>
      <c r="P22" s="282">
        <f t="shared" si="6"/>
        <v>2.0510903880614517E-3</v>
      </c>
      <c r="Q22" s="283">
        <f>+'[5]Comp isan'!N22</f>
        <v>74910.031655461877</v>
      </c>
      <c r="R22" s="284">
        <f t="shared" si="7"/>
        <v>7.7552347847375028E-4</v>
      </c>
      <c r="S22" s="285">
        <f>+[5]gasolinas!N22</f>
        <v>167757.58105929603</v>
      </c>
      <c r="T22" s="286">
        <f t="shared" si="8"/>
        <v>2.6107602062287621E-3</v>
      </c>
      <c r="U22" s="287">
        <f t="shared" si="9"/>
        <v>21557024.456168052</v>
      </c>
    </row>
    <row r="23" spans="1:21">
      <c r="A23" s="279" t="s">
        <v>17</v>
      </c>
      <c r="B23" s="284">
        <f t="shared" si="0"/>
        <v>1.7988331938902726E-2</v>
      </c>
      <c r="C23" s="285">
        <f>+[5]fgp!N23</f>
        <v>111607708.09464473</v>
      </c>
      <c r="D23" s="282">
        <f t="shared" si="0"/>
        <v>1.7988331963272916E-2</v>
      </c>
      <c r="E23" s="283">
        <f>+'[5]ffm 70%'!N23</f>
        <v>15557707.333588878</v>
      </c>
      <c r="F23" s="284">
        <f t="shared" si="1"/>
        <v>2.5081452037665097E-2</v>
      </c>
      <c r="G23" s="285">
        <f>+'[5]ffm 30%'!N23</f>
        <v>5652907.3599087419</v>
      </c>
      <c r="H23" s="282">
        <f t="shared" si="2"/>
        <v>1.7988331842502758E-2</v>
      </c>
      <c r="I23" s="283">
        <f>+[5]ieps!N23</f>
        <v>3638504.8832775112</v>
      </c>
      <c r="J23" s="284">
        <f t="shared" si="3"/>
        <v>1.7988331951456663E-2</v>
      </c>
      <c r="K23" s="285">
        <f>+[5]fofir!N23</f>
        <v>5432833.5793137224</v>
      </c>
      <c r="L23" s="284">
        <f t="shared" si="4"/>
        <v>1.7988331637537887E-2</v>
      </c>
      <c r="M23" s="285">
        <f>+[5]fexhi!N23</f>
        <v>406232.30286824639</v>
      </c>
      <c r="N23" s="284">
        <f t="shared" si="5"/>
        <v>1.7988332062607523E-2</v>
      </c>
      <c r="O23" s="285">
        <f>+[5]isan!N23</f>
        <v>3284147.331568649</v>
      </c>
      <c r="P23" s="282">
        <f t="shared" si="6"/>
        <v>1.7988332057134886E-2</v>
      </c>
      <c r="Q23" s="283">
        <f>+'[5]Comp isan'!N23</f>
        <v>656970.81497344631</v>
      </c>
      <c r="R23" s="284">
        <f t="shared" si="7"/>
        <v>1.0872359961160922E-2</v>
      </c>
      <c r="S23" s="285">
        <f>+[5]gasolinas!N23</f>
        <v>2351857.6266444181</v>
      </c>
      <c r="T23" s="286">
        <f t="shared" si="8"/>
        <v>1.7995521966201012E-2</v>
      </c>
      <c r="U23" s="287">
        <f t="shared" si="9"/>
        <v>148588869.32678837</v>
      </c>
    </row>
    <row r="24" spans="1:21">
      <c r="A24" s="279" t="s">
        <v>18</v>
      </c>
      <c r="B24" s="284">
        <f t="shared" si="0"/>
        <v>2.1932114211135181E-2</v>
      </c>
      <c r="C24" s="285">
        <f>+[5]fgp!N24</f>
        <v>136076708.45127279</v>
      </c>
      <c r="D24" s="282">
        <f t="shared" si="0"/>
        <v>2.1932114209900454E-2</v>
      </c>
      <c r="E24" s="283">
        <f>+'[5]ffm 70%'!N24</f>
        <v>18968596.687071282</v>
      </c>
      <c r="F24" s="284">
        <f t="shared" si="1"/>
        <v>3.3245169928418042E-2</v>
      </c>
      <c r="G24" s="285">
        <f>+'[5]ffm 30%'!N24</f>
        <v>7492862.2747818483</v>
      </c>
      <c r="H24" s="282">
        <f t="shared" si="2"/>
        <v>2.1932114168494388E-2</v>
      </c>
      <c r="I24" s="283">
        <f>+[5]ieps!N24</f>
        <v>4436214.8308891747</v>
      </c>
      <c r="J24" s="284">
        <f t="shared" si="3"/>
        <v>2.1932114101733409E-2</v>
      </c>
      <c r="K24" s="285">
        <f>+[5]fofir!N24</f>
        <v>6623934.1301230788</v>
      </c>
      <c r="L24" s="284">
        <f t="shared" si="4"/>
        <v>2.1932113339917906E-2</v>
      </c>
      <c r="M24" s="285">
        <f>+[5]fexhi!N24</f>
        <v>495295.12176937552</v>
      </c>
      <c r="N24" s="284">
        <f t="shared" si="5"/>
        <v>2.1932114199135658E-2</v>
      </c>
      <c r="O24" s="285">
        <f>+[5]isan!N24</f>
        <v>4004167.4832363133</v>
      </c>
      <c r="P24" s="282">
        <f t="shared" si="6"/>
        <v>2.1932114324446091E-2</v>
      </c>
      <c r="Q24" s="283">
        <f>+'[5]Comp isan'!N24</f>
        <v>801005.83956626803</v>
      </c>
      <c r="R24" s="284">
        <f t="shared" si="7"/>
        <v>3.7481931265124405E-2</v>
      </c>
      <c r="S24" s="285">
        <f>+[5]gasolinas!N24</f>
        <v>8107914.585439465</v>
      </c>
      <c r="T24" s="286">
        <f t="shared" si="8"/>
        <v>2.2648285717505039E-2</v>
      </c>
      <c r="U24" s="287">
        <f t="shared" si="9"/>
        <v>187006699.40414959</v>
      </c>
    </row>
    <row r="25" spans="1:21">
      <c r="A25" s="279" t="s">
        <v>19</v>
      </c>
      <c r="B25" s="284">
        <f t="shared" si="0"/>
        <v>3.4573636430162823E-3</v>
      </c>
      <c r="C25" s="285">
        <f>+[5]fgp!N25</f>
        <v>21451040.238605715</v>
      </c>
      <c r="D25" s="282">
        <f t="shared" si="0"/>
        <v>3.4573636642392241E-3</v>
      </c>
      <c r="E25" s="283">
        <f>+'[5]ffm 70%'!N25</f>
        <v>2990196.7644270463</v>
      </c>
      <c r="F25" s="284">
        <f t="shared" si="1"/>
        <v>1.7124177427009224E-2</v>
      </c>
      <c r="G25" s="285">
        <f>+'[5]ffm 30%'!N25</f>
        <v>3859481.0405775495</v>
      </c>
      <c r="H25" s="282">
        <f t="shared" si="2"/>
        <v>3.4573636330648399E-3</v>
      </c>
      <c r="I25" s="283">
        <f>+[5]ieps!N25</f>
        <v>699321.90334900247</v>
      </c>
      <c r="J25" s="284">
        <f t="shared" si="3"/>
        <v>3.4573636890200413E-3</v>
      </c>
      <c r="K25" s="285">
        <f>+[5]fofir!N25</f>
        <v>1044192.513029926</v>
      </c>
      <c r="L25" s="284">
        <f t="shared" si="4"/>
        <v>3.4573639000011792E-3</v>
      </c>
      <c r="M25" s="285">
        <f>+[5]fexhi!N25</f>
        <v>78077.996739849827</v>
      </c>
      <c r="N25" s="284">
        <f t="shared" si="5"/>
        <v>3.4573635833033316E-3</v>
      </c>
      <c r="O25" s="285">
        <f>+[5]isan!N25</f>
        <v>631214.24192357017</v>
      </c>
      <c r="P25" s="282">
        <f t="shared" si="6"/>
        <v>3.4573630592843419E-3</v>
      </c>
      <c r="Q25" s="283">
        <f>+'[5]Comp isan'!N25</f>
        <v>126269.9965456886</v>
      </c>
      <c r="R25" s="284">
        <f t="shared" si="7"/>
        <v>1.5768257560148887E-3</v>
      </c>
      <c r="S25" s="285">
        <f>+[5]gasolinas!N25</f>
        <v>341091.51034555945</v>
      </c>
      <c r="T25" s="286">
        <f t="shared" si="8"/>
        <v>3.7811455599712053E-3</v>
      </c>
      <c r="U25" s="287">
        <f t="shared" si="9"/>
        <v>31220886.205543905</v>
      </c>
    </row>
    <row r="26" spans="1:21">
      <c r="A26" s="279" t="s">
        <v>20</v>
      </c>
      <c r="B26" s="284">
        <f t="shared" si="0"/>
        <v>4.7260114734401164E-2</v>
      </c>
      <c r="C26" s="285">
        <f>+[5]fgp!N26</f>
        <v>293223024.10871619</v>
      </c>
      <c r="D26" s="282">
        <f t="shared" si="0"/>
        <v>4.7260114736637167E-2</v>
      </c>
      <c r="E26" s="283">
        <f>+'[5]ffm 70%'!N26</f>
        <v>40874219.751204431</v>
      </c>
      <c r="F26" s="284">
        <f t="shared" si="1"/>
        <v>3.6089384572502083E-2</v>
      </c>
      <c r="G26" s="285">
        <f>+'[5]ffm 30%'!N26</f>
        <v>8133897.0071633011</v>
      </c>
      <c r="H26" s="282">
        <f t="shared" si="2"/>
        <v>4.7260114689550804E-2</v>
      </c>
      <c r="I26" s="283">
        <f>+[5]ieps!N26</f>
        <v>9559316.5385068413</v>
      </c>
      <c r="J26" s="284">
        <f t="shared" si="3"/>
        <v>4.7260114636230623E-2</v>
      </c>
      <c r="K26" s="285">
        <f>+[5]fofir!N26</f>
        <v>14273493.420669166</v>
      </c>
      <c r="L26" s="284">
        <f t="shared" si="4"/>
        <v>4.7260115269530181E-2</v>
      </c>
      <c r="M26" s="285">
        <f>+[5]fexhi!N26</f>
        <v>1067279.9371619648</v>
      </c>
      <c r="N26" s="284">
        <f t="shared" si="5"/>
        <v>4.7260114634195376E-2</v>
      </c>
      <c r="O26" s="285">
        <f>+[5]isan!N26</f>
        <v>8628325.2291164696</v>
      </c>
      <c r="P26" s="282">
        <f t="shared" si="6"/>
        <v>4.7260115414526363E-2</v>
      </c>
      <c r="Q26" s="283">
        <f>+'[5]Comp isan'!N26</f>
        <v>1726036.4352294374</v>
      </c>
      <c r="R26" s="284">
        <f t="shared" si="7"/>
        <v>7.0902070213652871E-2</v>
      </c>
      <c r="S26" s="285">
        <f>+[5]gasolinas!N26</f>
        <v>15337201.414645974</v>
      </c>
      <c r="T26" s="286">
        <f t="shared" si="8"/>
        <v>4.7574567647249488E-2</v>
      </c>
      <c r="U26" s="287">
        <f t="shared" si="9"/>
        <v>392822793.84241372</v>
      </c>
    </row>
    <row r="27" spans="1:21">
      <c r="A27" s="279" t="s">
        <v>21</v>
      </c>
      <c r="B27" s="284">
        <f t="shared" si="0"/>
        <v>6.9777773257668823E-3</v>
      </c>
      <c r="C27" s="285">
        <f>+[5]fgp!N27</f>
        <v>43293271.303238221</v>
      </c>
      <c r="D27" s="282">
        <f t="shared" si="0"/>
        <v>6.9777773494585369E-3</v>
      </c>
      <c r="E27" s="283">
        <f>+'[5]ffm 70%'!N27</f>
        <v>6034924.0865393523</v>
      </c>
      <c r="F27" s="284">
        <f t="shared" si="1"/>
        <v>1.113951545060134E-2</v>
      </c>
      <c r="G27" s="285">
        <f>+'[5]ffm 30%'!N27</f>
        <v>2510646.0655450784</v>
      </c>
      <c r="H27" s="282">
        <f t="shared" si="2"/>
        <v>6.9777772895412739E-3</v>
      </c>
      <c r="I27" s="283">
        <f>+[5]ieps!N27</f>
        <v>1411396.9524639621</v>
      </c>
      <c r="J27" s="284">
        <f t="shared" si="3"/>
        <v>6.9777772804300465E-3</v>
      </c>
      <c r="K27" s="285">
        <f>+[5]fofir!N27</f>
        <v>2107427.3490390489</v>
      </c>
      <c r="L27" s="284">
        <f t="shared" si="4"/>
        <v>6.9777773112432769E-3</v>
      </c>
      <c r="M27" s="285">
        <f>+[5]fexhi!N27</f>
        <v>157579.84693438397</v>
      </c>
      <c r="N27" s="284">
        <f t="shared" si="5"/>
        <v>6.9777772116384968E-3</v>
      </c>
      <c r="O27" s="285">
        <f>+[5]isan!N27</f>
        <v>1273939.5920713991</v>
      </c>
      <c r="P27" s="282">
        <f t="shared" si="6"/>
        <v>6.9777780755614386E-3</v>
      </c>
      <c r="Q27" s="283">
        <f>+'[5]Comp isan'!N27</f>
        <v>254842.7800001151</v>
      </c>
      <c r="R27" s="284">
        <f t="shared" si="7"/>
        <v>3.9142435658169657E-3</v>
      </c>
      <c r="S27" s="285">
        <f>+[5]gasolinas!N27</f>
        <v>846710.70638719993</v>
      </c>
      <c r="T27" s="286">
        <f t="shared" si="8"/>
        <v>7.0111177527323295E-3</v>
      </c>
      <c r="U27" s="287">
        <f t="shared" si="9"/>
        <v>57890738.68221876</v>
      </c>
    </row>
    <row r="28" spans="1:21">
      <c r="A28" s="279" t="s">
        <v>22</v>
      </c>
      <c r="B28" s="284">
        <f t="shared" si="0"/>
        <v>1.1192384539081726E-3</v>
      </c>
      <c r="C28" s="285">
        <f>+[5]fgp!N28</f>
        <v>6944259.1495620664</v>
      </c>
      <c r="D28" s="282">
        <f t="shared" si="0"/>
        <v>1.1192384752286217E-3</v>
      </c>
      <c r="E28" s="283">
        <f>+'[5]ffm 70%'!N28</f>
        <v>968004.4080602437</v>
      </c>
      <c r="F28" s="284">
        <f t="shared" si="1"/>
        <v>1.4316134073195905E-2</v>
      </c>
      <c r="G28" s="285">
        <f>+'[5]ffm 30%'!N28</f>
        <v>3226598.6652718233</v>
      </c>
      <c r="H28" s="282">
        <f t="shared" si="2"/>
        <v>1.1192385784420038E-3</v>
      </c>
      <c r="I28" s="283">
        <f>+[5]ieps!N28</f>
        <v>226388.69845572155</v>
      </c>
      <c r="J28" s="284">
        <f t="shared" si="3"/>
        <v>1.1192384412754284E-3</v>
      </c>
      <c r="K28" s="285">
        <f>+[5]fofir!N28</f>
        <v>338032.24242409522</v>
      </c>
      <c r="L28" s="284">
        <f t="shared" si="4"/>
        <v>1.1192394132735158E-3</v>
      </c>
      <c r="M28" s="285">
        <f>+[5]fexhi!N28</f>
        <v>25275.896257449556</v>
      </c>
      <c r="N28" s="284">
        <f t="shared" si="5"/>
        <v>1.119238453442712E-3</v>
      </c>
      <c r="O28" s="285">
        <f>+[5]isan!N28</f>
        <v>204340.45621737771</v>
      </c>
      <c r="P28" s="282">
        <f t="shared" si="6"/>
        <v>1.1192392338590742E-3</v>
      </c>
      <c r="Q28" s="283">
        <f>+'[5]Comp isan'!N28</f>
        <v>40876.914506756584</v>
      </c>
      <c r="R28" s="284">
        <f t="shared" si="7"/>
        <v>3.1038498932104498E-4</v>
      </c>
      <c r="S28" s="285">
        <f>+[5]gasolinas!N28</f>
        <v>67141.016940051763</v>
      </c>
      <c r="T28" s="286">
        <f t="shared" si="8"/>
        <v>1.4582693535857886E-3</v>
      </c>
      <c r="U28" s="287">
        <f t="shared" si="9"/>
        <v>12040917.447695583</v>
      </c>
    </row>
    <row r="29" spans="1:21">
      <c r="A29" s="279" t="s">
        <v>23</v>
      </c>
      <c r="B29" s="284">
        <f t="shared" si="0"/>
        <v>5.171197574871945E-3</v>
      </c>
      <c r="C29" s="285">
        <f>+[5]fgp!N29</f>
        <v>32084437.367306456</v>
      </c>
      <c r="D29" s="282">
        <f t="shared" si="0"/>
        <v>5.1711975683279036E-3</v>
      </c>
      <c r="E29" s="283">
        <f>+'[5]ffm 70%'!N29</f>
        <v>4472453.5046646995</v>
      </c>
      <c r="F29" s="284">
        <f t="shared" si="1"/>
        <v>0</v>
      </c>
      <c r="G29" s="285">
        <f>+'[5]ffm 30%'!N29</f>
        <v>0</v>
      </c>
      <c r="H29" s="282">
        <f t="shared" si="2"/>
        <v>5.1711975547990719E-3</v>
      </c>
      <c r="I29" s="283">
        <f>+[5]ieps!N29</f>
        <v>1045979.5672143502</v>
      </c>
      <c r="J29" s="284">
        <f t="shared" si="3"/>
        <v>5.1711975855028135E-3</v>
      </c>
      <c r="K29" s="285">
        <f>+[5]fofir!N29</f>
        <v>1561804.3942929741</v>
      </c>
      <c r="L29" s="284">
        <f t="shared" si="4"/>
        <v>5.1711974368297293E-3</v>
      </c>
      <c r="M29" s="285">
        <f>+[5]fexhi!N29</f>
        <v>116781.67190146622</v>
      </c>
      <c r="N29" s="284">
        <f t="shared" si="5"/>
        <v>5.1711974815771737E-3</v>
      </c>
      <c r="O29" s="285">
        <f>+[5]isan!N29</f>
        <v>944110.56850783993</v>
      </c>
      <c r="P29" s="282">
        <f t="shared" si="6"/>
        <v>5.1711967658318097E-3</v>
      </c>
      <c r="Q29" s="283">
        <f>+'[5]Comp isan'!N29</f>
        <v>188862.7218380183</v>
      </c>
      <c r="R29" s="284">
        <f t="shared" si="7"/>
        <v>2.3919532946454617E-3</v>
      </c>
      <c r="S29" s="285">
        <f>+[5]gasolinas!N29</f>
        <v>517416.05490299576</v>
      </c>
      <c r="T29" s="286">
        <f t="shared" si="8"/>
        <v>4.9572349157740577E-3</v>
      </c>
      <c r="U29" s="287">
        <f t="shared" si="9"/>
        <v>40931845.850628793</v>
      </c>
    </row>
    <row r="30" spans="1:21">
      <c r="A30" s="279" t="s">
        <v>24</v>
      </c>
      <c r="B30" s="284">
        <f t="shared" si="0"/>
        <v>5.0368008319947666E-3</v>
      </c>
      <c r="C30" s="285">
        <f>+[5]fgp!N30</f>
        <v>31250579.481046986</v>
      </c>
      <c r="D30" s="282">
        <f t="shared" si="0"/>
        <v>5.0368008192006892E-3</v>
      </c>
      <c r="E30" s="283">
        <f>+'[5]ffm 70%'!N30</f>
        <v>4356216.7522089407</v>
      </c>
      <c r="F30" s="284">
        <f t="shared" si="1"/>
        <v>0</v>
      </c>
      <c r="G30" s="285">
        <f>+'[5]ffm 30%'!N30</f>
        <v>0</v>
      </c>
      <c r="H30" s="282">
        <f t="shared" si="2"/>
        <v>5.0368009269973289E-3</v>
      </c>
      <c r="I30" s="283">
        <f>+[5]ieps!N30</f>
        <v>1018795.1239411136</v>
      </c>
      <c r="J30" s="284">
        <f t="shared" si="3"/>
        <v>5.0368009026530956E-3</v>
      </c>
      <c r="K30" s="285">
        <f>+[5]fofir!N30</f>
        <v>1521213.9263438212</v>
      </c>
      <c r="L30" s="284">
        <f t="shared" si="4"/>
        <v>5.0368006558617591E-3</v>
      </c>
      <c r="M30" s="285">
        <f>+[5]fexhi!N30</f>
        <v>113746.57587750997</v>
      </c>
      <c r="N30" s="284">
        <f t="shared" si="5"/>
        <v>5.0368007537117026E-3</v>
      </c>
      <c r="O30" s="285">
        <f>+[5]isan!N30</f>
        <v>919573.62680280861</v>
      </c>
      <c r="P30" s="282">
        <f t="shared" si="6"/>
        <v>5.0368016986013422E-3</v>
      </c>
      <c r="Q30" s="283">
        <f>+'[5]Comp isan'!N30</f>
        <v>183954.3380831281</v>
      </c>
      <c r="R30" s="284">
        <f t="shared" si="7"/>
        <v>1.1588542181212441E-2</v>
      </c>
      <c r="S30" s="285">
        <f>+[5]gasolinas!N30</f>
        <v>2506778.7865685094</v>
      </c>
      <c r="T30" s="286">
        <f t="shared" si="8"/>
        <v>5.0709582708953005E-3</v>
      </c>
      <c r="U30" s="287">
        <f t="shared" si="9"/>
        <v>41870858.610872813</v>
      </c>
    </row>
    <row r="31" spans="1:21">
      <c r="A31" s="279" t="s">
        <v>25</v>
      </c>
      <c r="B31" s="284">
        <f t="shared" si="0"/>
        <v>8.0631999735614066E-2</v>
      </c>
      <c r="C31" s="285">
        <f>+[5]fgp!N31</f>
        <v>500277219.70805633</v>
      </c>
      <c r="D31" s="282">
        <f t="shared" si="0"/>
        <v>8.0631999709329549E-2</v>
      </c>
      <c r="E31" s="283">
        <f>+'[5]ffm 70%'!N31</f>
        <v>69736819.164834321</v>
      </c>
      <c r="F31" s="284">
        <f t="shared" si="1"/>
        <v>5.3940185558001057E-2</v>
      </c>
      <c r="G31" s="285">
        <f>+'[5]ffm 30%'!N31</f>
        <v>12157145.905179944</v>
      </c>
      <c r="H31" s="282">
        <f t="shared" si="2"/>
        <v>8.0631999657244366E-2</v>
      </c>
      <c r="I31" s="283">
        <f>+[5]ieps!N31</f>
        <v>16309456.989675794</v>
      </c>
      <c r="J31" s="284">
        <f t="shared" si="3"/>
        <v>8.0631999700350135E-2</v>
      </c>
      <c r="K31" s="285">
        <f>+[5]fofir!N31</f>
        <v>24352465.627242487</v>
      </c>
      <c r="L31" s="284">
        <f t="shared" si="4"/>
        <v>8.0632000141315954E-2</v>
      </c>
      <c r="M31" s="285">
        <f>+[5]fexhi!N31</f>
        <v>1820920.57019485</v>
      </c>
      <c r="N31" s="284">
        <f t="shared" si="5"/>
        <v>8.0631999759218836E-2</v>
      </c>
      <c r="O31" s="285">
        <f>+[5]isan!N31</f>
        <v>14721062.849331066</v>
      </c>
      <c r="P31" s="282">
        <f t="shared" si="6"/>
        <v>8.0632000264104567E-2</v>
      </c>
      <c r="Q31" s="283">
        <f>+'[5]Comp isan'!N31</f>
        <v>2944846.1790784416</v>
      </c>
      <c r="R31" s="284">
        <f t="shared" si="7"/>
        <v>0.1186660641289117</v>
      </c>
      <c r="S31" s="285">
        <f>+[5]gasolinas!N31</f>
        <v>25669283.296582151</v>
      </c>
      <c r="T31" s="286">
        <f t="shared" si="8"/>
        <v>8.0899832816415149E-2</v>
      </c>
      <c r="U31" s="287">
        <f t="shared" si="9"/>
        <v>667989220.29017532</v>
      </c>
    </row>
    <row r="32" spans="1:21">
      <c r="A32" s="279" t="s">
        <v>26</v>
      </c>
      <c r="B32" s="284">
        <f t="shared" si="0"/>
        <v>2.0813306959990428E-3</v>
      </c>
      <c r="C32" s="285">
        <f>+[5]fgp!N32</f>
        <v>12913512.467774406</v>
      </c>
      <c r="D32" s="282">
        <f t="shared" si="0"/>
        <v>2.0813307209402937E-3</v>
      </c>
      <c r="E32" s="283">
        <f>+'[5]ffm 70%'!N32</f>
        <v>1800096.5451887883</v>
      </c>
      <c r="F32" s="284">
        <f t="shared" si="1"/>
        <v>2.1973213646126175E-2</v>
      </c>
      <c r="G32" s="285">
        <f>+'[5]ffm 30%'!N32</f>
        <v>4952366.432154825</v>
      </c>
      <c r="H32" s="282">
        <f t="shared" si="2"/>
        <v>2.0813307117142398E-3</v>
      </c>
      <c r="I32" s="283">
        <f>+[5]ieps!N32</f>
        <v>420991.34175379324</v>
      </c>
      <c r="J32" s="284">
        <f t="shared" si="3"/>
        <v>2.0813306564947858E-3</v>
      </c>
      <c r="K32" s="285">
        <f>+[5]fofir!N32</f>
        <v>628603.20294146461</v>
      </c>
      <c r="L32" s="284">
        <f t="shared" si="4"/>
        <v>2.0813307766534136E-3</v>
      </c>
      <c r="M32" s="285">
        <f>+[5]fexhi!N32</f>
        <v>47002.902296179731</v>
      </c>
      <c r="N32" s="284">
        <f t="shared" si="5"/>
        <v>2.0813306360721309E-3</v>
      </c>
      <c r="O32" s="285">
        <f>+[5]isan!N32</f>
        <v>379990.56448247115</v>
      </c>
      <c r="P32" s="282">
        <f t="shared" si="6"/>
        <v>2.0813312925263036E-3</v>
      </c>
      <c r="Q32" s="283">
        <f>+'[5]Comp isan'!N32</f>
        <v>76014.49156807104</v>
      </c>
      <c r="R32" s="284">
        <f t="shared" si="7"/>
        <v>6.7284438965954413E-4</v>
      </c>
      <c r="S32" s="285">
        <f>+[5]gasolinas!N32</f>
        <v>145546.52485923943</v>
      </c>
      <c r="T32" s="286">
        <f t="shared" si="8"/>
        <v>2.5873981879311471E-3</v>
      </c>
      <c r="U32" s="287">
        <f t="shared" si="9"/>
        <v>21364124.473019235</v>
      </c>
    </row>
    <row r="33" spans="1:21">
      <c r="A33" s="279" t="s">
        <v>27</v>
      </c>
      <c r="B33" s="284">
        <f t="shared" si="0"/>
        <v>3.58268894991519E-3</v>
      </c>
      <c r="C33" s="285">
        <f>+[5]fgp!N33</f>
        <v>22228614.852903068</v>
      </c>
      <c r="D33" s="282">
        <f t="shared" si="0"/>
        <v>3.5826889334270653E-3</v>
      </c>
      <c r="E33" s="283">
        <f>+'[5]ffm 70%'!N33</f>
        <v>3098587.7960973848</v>
      </c>
      <c r="F33" s="284">
        <f t="shared" si="1"/>
        <v>9.4552662443623554E-3</v>
      </c>
      <c r="G33" s="285">
        <f>+'[5]ffm 30%'!N33</f>
        <v>2131046.6420519263</v>
      </c>
      <c r="H33" s="282">
        <f t="shared" si="2"/>
        <v>3.5826888223078179E-3</v>
      </c>
      <c r="I33" s="283">
        <f>+[5]ieps!N33</f>
        <v>724671.46422272548</v>
      </c>
      <c r="J33" s="284">
        <f t="shared" si="3"/>
        <v>3.5826889910361608E-3</v>
      </c>
      <c r="K33" s="285">
        <f>+[5]fofir!N33</f>
        <v>1082043.2437685074</v>
      </c>
      <c r="L33" s="284">
        <f t="shared" si="4"/>
        <v>3.5826895508010857E-3</v>
      </c>
      <c r="M33" s="285">
        <f>+[5]fexhi!N33</f>
        <v>80908.238518729777</v>
      </c>
      <c r="N33" s="284">
        <f t="shared" si="5"/>
        <v>3.5826890044905403E-3</v>
      </c>
      <c r="O33" s="285">
        <f>+[5]isan!N33</f>
        <v>654095.02631965419</v>
      </c>
      <c r="P33" s="282">
        <f t="shared" si="6"/>
        <v>3.5826883270424882E-3</v>
      </c>
      <c r="Q33" s="283">
        <f>+'[5]Comp isan'!N33</f>
        <v>130847.13260445828</v>
      </c>
      <c r="R33" s="284">
        <f t="shared" si="7"/>
        <v>3.1295960433918839E-3</v>
      </c>
      <c r="S33" s="285">
        <f>+[5]gasolinas!N33</f>
        <v>676979.4551744659</v>
      </c>
      <c r="T33" s="286">
        <f t="shared" si="8"/>
        <v>3.731116156274607E-3</v>
      </c>
      <c r="U33" s="287">
        <f t="shared" si="9"/>
        <v>30807793.851660915</v>
      </c>
    </row>
    <row r="34" spans="1:21">
      <c r="A34" s="279" t="s">
        <v>28</v>
      </c>
      <c r="B34" s="284">
        <f t="shared" si="0"/>
        <v>2.0489855975434072E-3</v>
      </c>
      <c r="C34" s="285">
        <f>+[5]fgp!N34</f>
        <v>12712828.918071726</v>
      </c>
      <c r="D34" s="282">
        <f t="shared" si="0"/>
        <v>2.0489856295297015E-3</v>
      </c>
      <c r="E34" s="283">
        <f>+'[5]ffm 70%'!N34</f>
        <v>1772121.9966385616</v>
      </c>
      <c r="F34" s="284">
        <f t="shared" si="1"/>
        <v>1.5302034228391952E-2</v>
      </c>
      <c r="G34" s="285">
        <f>+'[5]ffm 30%'!N34</f>
        <v>3448802.7958410406</v>
      </c>
      <c r="H34" s="282">
        <f t="shared" si="2"/>
        <v>2.0489856817376487E-3</v>
      </c>
      <c r="I34" s="283">
        <f>+[5]ieps!N34</f>
        <v>414448.90354718239</v>
      </c>
      <c r="J34" s="284">
        <f t="shared" si="3"/>
        <v>2.0489855162811451E-3</v>
      </c>
      <c r="K34" s="285">
        <f>+[5]fofir!N34</f>
        <v>618834.32807555213</v>
      </c>
      <c r="L34" s="284">
        <f t="shared" si="4"/>
        <v>2.048985447369419E-3</v>
      </c>
      <c r="M34" s="285">
        <f>+[5]fexhi!N34</f>
        <v>46272.444471250099</v>
      </c>
      <c r="N34" s="284">
        <f t="shared" si="5"/>
        <v>2.0489856428162583E-3</v>
      </c>
      <c r="O34" s="285">
        <f>+[5]isan!N34</f>
        <v>374085.30751249933</v>
      </c>
      <c r="P34" s="282">
        <f t="shared" si="6"/>
        <v>2.0489866197961277E-3</v>
      </c>
      <c r="Q34" s="283">
        <f>+'[5]Comp isan'!N34</f>
        <v>74833.197719586373</v>
      </c>
      <c r="R34" s="284">
        <f t="shared" si="7"/>
        <v>8.5270983480472784E-4</v>
      </c>
      <c r="S34" s="285">
        <f>+[5]gasolinas!N34</f>
        <v>184454.16960662001</v>
      </c>
      <c r="T34" s="286">
        <f t="shared" si="8"/>
        <v>2.3793996158813406E-3</v>
      </c>
      <c r="U34" s="287">
        <f t="shared" si="9"/>
        <v>19646682.061484016</v>
      </c>
    </row>
    <row r="35" spans="1:21">
      <c r="A35" s="279" t="s">
        <v>29</v>
      </c>
      <c r="B35" s="284">
        <f t="shared" si="0"/>
        <v>2.8681590140341986E-3</v>
      </c>
      <c r="C35" s="285">
        <f>+[5]fgp!N35</f>
        <v>17795349.512928728</v>
      </c>
      <c r="D35" s="282">
        <f t="shared" si="0"/>
        <v>2.8681590155297406E-3</v>
      </c>
      <c r="E35" s="283">
        <f>+'[5]ffm 70%'!N35</f>
        <v>2480606.7978349272</v>
      </c>
      <c r="F35" s="284">
        <f t="shared" si="1"/>
        <v>1.9144540747925223E-2</v>
      </c>
      <c r="G35" s="285">
        <f>+'[5]ffm 30%'!N35</f>
        <v>4314834.5292569445</v>
      </c>
      <c r="H35" s="282">
        <f t="shared" si="2"/>
        <v>2.8681591317087861E-3</v>
      </c>
      <c r="I35" s="283">
        <f>+[5]ieps!N35</f>
        <v>580143.34503668163</v>
      </c>
      <c r="J35" s="284">
        <f t="shared" si="3"/>
        <v>2.8681590003915864E-3</v>
      </c>
      <c r="K35" s="285">
        <f>+[5]fofir!N35</f>
        <v>866240.99278290605</v>
      </c>
      <c r="L35" s="284">
        <f t="shared" si="4"/>
        <v>2.8681590422123151E-3</v>
      </c>
      <c r="M35" s="285">
        <f>+[5]fexhi!N35</f>
        <v>64771.924166602061</v>
      </c>
      <c r="N35" s="284">
        <f t="shared" si="5"/>
        <v>2.8681591177820154E-3</v>
      </c>
      <c r="O35" s="285">
        <f>+[5]isan!N35</f>
        <v>523642.60790795553</v>
      </c>
      <c r="P35" s="282">
        <f t="shared" si="6"/>
        <v>2.868158167418968E-3</v>
      </c>
      <c r="Q35" s="283">
        <f>+'[5]Comp isan'!N35</f>
        <v>104751.02431604262</v>
      </c>
      <c r="R35" s="284">
        <f t="shared" si="7"/>
        <v>1.6629623876112103E-3</v>
      </c>
      <c r="S35" s="285">
        <f>+[5]gasolinas!N35</f>
        <v>359724.18022375932</v>
      </c>
      <c r="T35" s="286">
        <f t="shared" si="8"/>
        <v>3.2808639061767805E-3</v>
      </c>
      <c r="U35" s="287">
        <f t="shared" si="9"/>
        <v>27090064.914454546</v>
      </c>
    </row>
    <row r="36" spans="1:21">
      <c r="A36" s="279" t="s">
        <v>30</v>
      </c>
      <c r="B36" s="284">
        <f t="shared" si="0"/>
        <v>2.6923792314285486E-3</v>
      </c>
      <c r="C36" s="285">
        <f>+[5]fgp!N36</f>
        <v>16704732.621233309</v>
      </c>
      <c r="D36" s="282">
        <f t="shared" si="0"/>
        <v>2.6923792350651344E-3</v>
      </c>
      <c r="E36" s="283">
        <f>+'[5]ffm 70%'!N36</f>
        <v>2328578.7840527492</v>
      </c>
      <c r="F36" s="284">
        <f t="shared" si="1"/>
        <v>6.9810827699572586E-2</v>
      </c>
      <c r="G36" s="285">
        <f>+'[5]ffm 30%'!N36</f>
        <v>15734102.679207265</v>
      </c>
      <c r="H36" s="282">
        <f t="shared" si="2"/>
        <v>2.6923790908306663E-3</v>
      </c>
      <c r="I36" s="283">
        <f>+[5]ieps!N36</f>
        <v>544588.26729419909</v>
      </c>
      <c r="J36" s="284">
        <f t="shared" si="3"/>
        <v>2.6923791597545871E-3</v>
      </c>
      <c r="K36" s="285">
        <f>+[5]fofir!N36</f>
        <v>813151.98912452231</v>
      </c>
      <c r="L36" s="284">
        <f t="shared" si="4"/>
        <v>2.6923785837495583E-3</v>
      </c>
      <c r="M36" s="285">
        <f>+[5]fexhi!N36</f>
        <v>60802.256390878552</v>
      </c>
      <c r="N36" s="284">
        <f t="shared" si="5"/>
        <v>2.6923791667290511E-3</v>
      </c>
      <c r="O36" s="285">
        <f>+[5]isan!N36</f>
        <v>491550.29077790474</v>
      </c>
      <c r="P36" s="282">
        <f t="shared" si="6"/>
        <v>2.6923800339970858E-3</v>
      </c>
      <c r="Q36" s="283">
        <f>+'[5]Comp isan'!N36</f>
        <v>98331.246028545385</v>
      </c>
      <c r="R36" s="284">
        <f t="shared" si="7"/>
        <v>1.307527013614663E-3</v>
      </c>
      <c r="S36" s="285">
        <f>+[5]gasolinas!N36</f>
        <v>282838.07655361074</v>
      </c>
      <c r="T36" s="286">
        <f t="shared" si="8"/>
        <v>4.4881573216674726E-3</v>
      </c>
      <c r="U36" s="287">
        <f t="shared" si="9"/>
        <v>37058676.210662983</v>
      </c>
    </row>
    <row r="37" spans="1:21">
      <c r="A37" s="279" t="s">
        <v>31</v>
      </c>
      <c r="B37" s="284">
        <f t="shared" si="0"/>
        <v>2.5077858389940515E-2</v>
      </c>
      <c r="C37" s="285">
        <f>+[5]fgp!N37</f>
        <v>155594321.2705718</v>
      </c>
      <c r="D37" s="282">
        <f t="shared" si="0"/>
        <v>2.5077858397558404E-2</v>
      </c>
      <c r="E37" s="283">
        <f>+'[5]ffm 70%'!N37</f>
        <v>21689280.712574229</v>
      </c>
      <c r="F37" s="284">
        <f t="shared" si="1"/>
        <v>0</v>
      </c>
      <c r="G37" s="285">
        <f>+'[5]ffm 30%'!N37</f>
        <v>0</v>
      </c>
      <c r="H37" s="282">
        <f t="shared" si="2"/>
        <v>2.5077858366168628E-2</v>
      </c>
      <c r="I37" s="283">
        <f>+[5]ieps!N37</f>
        <v>5072505.3843987286</v>
      </c>
      <c r="J37" s="284">
        <f t="shared" si="3"/>
        <v>2.5077858429899642E-2</v>
      </c>
      <c r="K37" s="285">
        <f>+[5]fofir!N37</f>
        <v>7574011.4059993029</v>
      </c>
      <c r="L37" s="284">
        <f t="shared" si="4"/>
        <v>2.5077858996570782E-2</v>
      </c>
      <c r="M37" s="285">
        <f>+[5]fexhi!N37</f>
        <v>566335.81237312022</v>
      </c>
      <c r="N37" s="284">
        <f t="shared" si="5"/>
        <v>2.5077858576977332E-2</v>
      </c>
      <c r="O37" s="285">
        <f>+[5]isan!N37</f>
        <v>4578489.1028466783</v>
      </c>
      <c r="P37" s="282">
        <f t="shared" si="6"/>
        <v>2.5077858404503731E-2</v>
      </c>
      <c r="Q37" s="283">
        <f>+'[5]Comp isan'!N37</f>
        <v>915894.87126799498</v>
      </c>
      <c r="R37" s="284">
        <f t="shared" si="7"/>
        <v>5.4185892329786503E-2</v>
      </c>
      <c r="S37" s="285">
        <f>+[5]gasolinas!N37</f>
        <v>11721236.657688275</v>
      </c>
      <c r="T37" s="286">
        <f t="shared" si="8"/>
        <v>2.5155903192217062E-2</v>
      </c>
      <c r="U37" s="287">
        <f t="shared" si="9"/>
        <v>207712075.21772015</v>
      </c>
    </row>
    <row r="38" spans="1:21">
      <c r="A38" s="279" t="s">
        <v>32</v>
      </c>
      <c r="B38" s="284">
        <f t="shared" si="0"/>
        <v>4.8871056611207477E-3</v>
      </c>
      <c r="C38" s="285">
        <f>+[5]fgp!N38</f>
        <v>30321803.261504717</v>
      </c>
      <c r="D38" s="282">
        <f t="shared" si="0"/>
        <v>4.887105683249183E-3</v>
      </c>
      <c r="E38" s="283">
        <f>+'[5]ffm 70%'!N38</f>
        <v>4226748.766008202</v>
      </c>
      <c r="F38" s="284">
        <f t="shared" si="1"/>
        <v>1.1515659597472975E-2</v>
      </c>
      <c r="G38" s="285">
        <f>+'[5]ffm 30%'!N38</f>
        <v>2595422.1787080704</v>
      </c>
      <c r="H38" s="282">
        <f t="shared" si="2"/>
        <v>4.8871057582897158E-3</v>
      </c>
      <c r="I38" s="283">
        <f>+[5]ieps!N38</f>
        <v>988516.2405452244</v>
      </c>
      <c r="J38" s="284">
        <f t="shared" si="3"/>
        <v>4.8871056398883204E-3</v>
      </c>
      <c r="K38" s="285">
        <f>+[5]fofir!N38</f>
        <v>1476002.9833610393</v>
      </c>
      <c r="L38" s="284">
        <f t="shared" si="4"/>
        <v>4.8871062661732939E-3</v>
      </c>
      <c r="M38" s="285">
        <f>+[5]fexhi!N38</f>
        <v>110366.01241698854</v>
      </c>
      <c r="N38" s="284">
        <f t="shared" si="5"/>
        <v>4.887105627395384E-3</v>
      </c>
      <c r="O38" s="285">
        <f>+[5]isan!N38</f>
        <v>892243.64156963048</v>
      </c>
      <c r="P38" s="282">
        <f t="shared" si="6"/>
        <v>4.8871057419963638E-3</v>
      </c>
      <c r="Q38" s="283">
        <f>+'[5]Comp isan'!N38</f>
        <v>178487.13443708498</v>
      </c>
      <c r="R38" s="284">
        <f t="shared" si="7"/>
        <v>2.0982257120104675E-3</v>
      </c>
      <c r="S38" s="285">
        <f>+[5]gasolinas!N38</f>
        <v>453878.28961158823</v>
      </c>
      <c r="T38" s="286">
        <f t="shared" si="8"/>
        <v>4.9949753764439693E-3</v>
      </c>
      <c r="U38" s="287">
        <f t="shared" si="9"/>
        <v>41243468.508162536</v>
      </c>
    </row>
    <row r="39" spans="1:21">
      <c r="A39" s="279" t="s">
        <v>33</v>
      </c>
      <c r="B39" s="284">
        <f t="shared" si="0"/>
        <v>1.7918120027837027E-2</v>
      </c>
      <c r="C39" s="285">
        <f>+[5]fgp!N39</f>
        <v>111172081.79524115</v>
      </c>
      <c r="D39" s="282">
        <f t="shared" si="0"/>
        <v>1.7918120035399349E-2</v>
      </c>
      <c r="E39" s="283">
        <f>+'[5]ffm 70%'!N39</f>
        <v>15496982.602278924</v>
      </c>
      <c r="F39" s="284">
        <f t="shared" si="1"/>
        <v>1.0639307379569652E-2</v>
      </c>
      <c r="G39" s="285">
        <f>+'[5]ffm 30%'!N39</f>
        <v>2397908.1793184555</v>
      </c>
      <c r="H39" s="282">
        <f t="shared" si="2"/>
        <v>1.7918120020511925E-2</v>
      </c>
      <c r="I39" s="283">
        <f>+[5]ieps!N39</f>
        <v>3624303.1185216578</v>
      </c>
      <c r="J39" s="284">
        <f t="shared" si="3"/>
        <v>1.7918120015447587E-2</v>
      </c>
      <c r="K39" s="285">
        <f>+[5]fofir!N39</f>
        <v>5411628.179911036</v>
      </c>
      <c r="L39" s="284">
        <f t="shared" si="4"/>
        <v>1.7918119579574492E-2</v>
      </c>
      <c r="M39" s="285">
        <f>+[5]fexhi!N39</f>
        <v>404646.69690042734</v>
      </c>
      <c r="N39" s="284">
        <f t="shared" si="5"/>
        <v>1.7918120104224201E-2</v>
      </c>
      <c r="O39" s="285">
        <f>+[5]isan!N39</f>
        <v>3271328.6658376488</v>
      </c>
      <c r="P39" s="282">
        <f t="shared" si="6"/>
        <v>1.7918120332786475E-2</v>
      </c>
      <c r="Q39" s="283">
        <f>+'[5]Comp isan'!N39</f>
        <v>654406.53866259335</v>
      </c>
      <c r="R39" s="284">
        <f t="shared" si="7"/>
        <v>1.6401893329651779E-2</v>
      </c>
      <c r="S39" s="285">
        <f>+[5]gasolinas!N39</f>
        <v>3547980.2045324133</v>
      </c>
      <c r="T39" s="286">
        <f t="shared" si="8"/>
        <v>1.7679716458714474E-2</v>
      </c>
      <c r="U39" s="287">
        <f t="shared" si="9"/>
        <v>145981265.9812043</v>
      </c>
    </row>
    <row r="40" spans="1:21">
      <c r="A40" s="279" t="s">
        <v>34</v>
      </c>
      <c r="B40" s="284">
        <f t="shared" si="0"/>
        <v>3.8090117600402939E-3</v>
      </c>
      <c r="C40" s="285">
        <f>+[5]fgp!N40</f>
        <v>23632823.437300757</v>
      </c>
      <c r="D40" s="282">
        <f t="shared" si="0"/>
        <v>3.8090117312305528E-3</v>
      </c>
      <c r="E40" s="283">
        <f>+'[5]ffm 70%'!N40</f>
        <v>3294329.3389116204</v>
      </c>
      <c r="F40" s="284">
        <f t="shared" si="1"/>
        <v>0</v>
      </c>
      <c r="G40" s="285">
        <f>+'[5]ffm 30%'!N40</f>
        <v>0</v>
      </c>
      <c r="H40" s="282">
        <f t="shared" si="2"/>
        <v>3.8090118459962038E-3</v>
      </c>
      <c r="I40" s="283">
        <f>+[5]ieps!N40</f>
        <v>770449.88515126402</v>
      </c>
      <c r="J40" s="284">
        <f t="shared" si="3"/>
        <v>3.8090118593502383E-3</v>
      </c>
      <c r="K40" s="285">
        <f>+[5]fofir!N40</f>
        <v>1150397.24579946</v>
      </c>
      <c r="L40" s="284">
        <f t="shared" si="4"/>
        <v>3.809011778405441E-3</v>
      </c>
      <c r="M40" s="285">
        <f>+[5]fexhi!N40</f>
        <v>86019.29615111911</v>
      </c>
      <c r="N40" s="284">
        <f t="shared" si="5"/>
        <v>3.8090118686654809E-3</v>
      </c>
      <c r="O40" s="285">
        <f>+[5]isan!N40</f>
        <v>695415.01240097417</v>
      </c>
      <c r="P40" s="282">
        <f t="shared" si="6"/>
        <v>3.809010754394283E-3</v>
      </c>
      <c r="Q40" s="283">
        <f>+'[5]Comp isan'!N40</f>
        <v>139112.89226865693</v>
      </c>
      <c r="R40" s="284">
        <f t="shared" si="7"/>
        <v>1.9530267780445225E-3</v>
      </c>
      <c r="S40" s="285">
        <f>+[5]gasolinas!N40</f>
        <v>422469.54105577018</v>
      </c>
      <c r="T40" s="286">
        <f t="shared" si="8"/>
        <v>3.6564185847249289E-3</v>
      </c>
      <c r="U40" s="287">
        <f t="shared" si="9"/>
        <v>30191016.649039619</v>
      </c>
    </row>
    <row r="41" spans="1:21">
      <c r="A41" s="279" t="s">
        <v>35</v>
      </c>
      <c r="B41" s="284">
        <f t="shared" si="0"/>
        <v>3.6591441857286152E-3</v>
      </c>
      <c r="C41" s="285">
        <f>+[5]fgp!N41</f>
        <v>22702977.549230568</v>
      </c>
      <c r="D41" s="282">
        <f t="shared" si="0"/>
        <v>3.6591441746323264E-3</v>
      </c>
      <c r="E41" s="283">
        <f>+'[5]ffm 70%'!N41</f>
        <v>3164712.2299369955</v>
      </c>
      <c r="F41" s="284">
        <f t="shared" si="1"/>
        <v>2.90791905579065E-2</v>
      </c>
      <c r="G41" s="285">
        <f>+'[5]ffm 30%'!N41</f>
        <v>6553925.5892411731</v>
      </c>
      <c r="H41" s="282">
        <f t="shared" si="2"/>
        <v>3.659144251170485E-3</v>
      </c>
      <c r="I41" s="283">
        <f>+[5]ieps!N41</f>
        <v>740136.1250765241</v>
      </c>
      <c r="J41" s="284">
        <f t="shared" si="3"/>
        <v>3.6591442515248405E-3</v>
      </c>
      <c r="K41" s="285">
        <f>+[5]fofir!N41</f>
        <v>1105134.2511848144</v>
      </c>
      <c r="L41" s="284">
        <f t="shared" si="4"/>
        <v>3.6591434370851195E-3</v>
      </c>
      <c r="M41" s="285">
        <f>+[5]fexhi!N41</f>
        <v>82634.804323397198</v>
      </c>
      <c r="N41" s="284">
        <f t="shared" si="5"/>
        <v>3.659144360017106E-3</v>
      </c>
      <c r="O41" s="285">
        <f>+[5]isan!N41</f>
        <v>668053.55515728041</v>
      </c>
      <c r="P41" s="282">
        <f t="shared" si="6"/>
        <v>3.6591435749767534E-3</v>
      </c>
      <c r="Q41" s="283">
        <f>+'[5]Comp isan'!N41</f>
        <v>133639.43521399613</v>
      </c>
      <c r="R41" s="284">
        <f t="shared" si="7"/>
        <v>1.2614353083736539E-3</v>
      </c>
      <c r="S41" s="285">
        <f>+[5]gasolinas!N41</f>
        <v>272867.73627023597</v>
      </c>
      <c r="T41" s="286">
        <f t="shared" si="8"/>
        <v>4.2901923651238938E-3</v>
      </c>
      <c r="U41" s="287">
        <f t="shared" si="9"/>
        <v>35424081.275634989</v>
      </c>
    </row>
    <row r="42" spans="1:21">
      <c r="A42" s="279" t="s">
        <v>36</v>
      </c>
      <c r="B42" s="284">
        <f t="shared" si="0"/>
        <v>3.8584929360664872E-3</v>
      </c>
      <c r="C42" s="285">
        <f>+[5]fgp!N42</f>
        <v>23939826.925387822</v>
      </c>
      <c r="D42" s="282">
        <f t="shared" si="0"/>
        <v>3.8584929660413158E-3</v>
      </c>
      <c r="E42" s="283">
        <f>+'[5]ffm 70%'!N42</f>
        <v>3337124.5559035116</v>
      </c>
      <c r="F42" s="284">
        <f t="shared" si="1"/>
        <v>1.5763516787346159E-2</v>
      </c>
      <c r="G42" s="285">
        <f>+'[5]ffm 30%'!N42</f>
        <v>3552812.6494198609</v>
      </c>
      <c r="H42" s="282">
        <f t="shared" si="2"/>
        <v>3.8584928929849991E-3</v>
      </c>
      <c r="I42" s="283">
        <f>+[5]ieps!N42</f>
        <v>780458.43028344936</v>
      </c>
      <c r="J42" s="284">
        <f t="shared" si="3"/>
        <v>3.8584930581588316E-3</v>
      </c>
      <c r="K42" s="285">
        <f>+[5]fofir!N42</f>
        <v>1165341.5507610023</v>
      </c>
      <c r="L42" s="284">
        <f t="shared" si="4"/>
        <v>3.8584937027867795E-3</v>
      </c>
      <c r="M42" s="285">
        <f>+[5]fexhi!N42</f>
        <v>87136.751426951174</v>
      </c>
      <c r="N42" s="284">
        <f t="shared" si="5"/>
        <v>3.8584928751873881E-3</v>
      </c>
      <c r="O42" s="285">
        <f>+[5]isan!N42</f>
        <v>704448.80802842136</v>
      </c>
      <c r="P42" s="282">
        <f t="shared" si="6"/>
        <v>3.8584928448580176E-3</v>
      </c>
      <c r="Q42" s="283">
        <f>+'[5]Comp isan'!N42</f>
        <v>140920.07979417604</v>
      </c>
      <c r="R42" s="284">
        <f t="shared" si="7"/>
        <v>2.1224696365255416E-3</v>
      </c>
      <c r="S42" s="285">
        <f>+[5]gasolinas!N42</f>
        <v>459122.62101472914</v>
      </c>
      <c r="T42" s="286">
        <f t="shared" si="8"/>
        <v>4.1379711928614202E-3</v>
      </c>
      <c r="U42" s="287">
        <f t="shared" si="9"/>
        <v>34167192.372019924</v>
      </c>
    </row>
    <row r="43" spans="1:21">
      <c r="A43" s="279" t="s">
        <v>37</v>
      </c>
      <c r="B43" s="284">
        <f t="shared" si="0"/>
        <v>5.4348545694007291E-3</v>
      </c>
      <c r="C43" s="285">
        <f>+[5]fgp!N43</f>
        <v>33720284.036270849</v>
      </c>
      <c r="D43" s="282">
        <f t="shared" si="0"/>
        <v>5.4348546092913112E-3</v>
      </c>
      <c r="E43" s="283">
        <f>+'[5]ffm 70%'!N43</f>
        <v>4700484.6021629926</v>
      </c>
      <c r="F43" s="284">
        <f t="shared" si="1"/>
        <v>5.1089362180147171E-3</v>
      </c>
      <c r="G43" s="285">
        <f>+'[5]ffm 30%'!N43</f>
        <v>1151462.1683286037</v>
      </c>
      <c r="H43" s="282">
        <f t="shared" si="2"/>
        <v>5.4348545523772761E-3</v>
      </c>
      <c r="I43" s="283">
        <f>+[5]ieps!N43</f>
        <v>1099309.5414219592</v>
      </c>
      <c r="J43" s="284">
        <f t="shared" si="3"/>
        <v>5.4348545988797455E-3</v>
      </c>
      <c r="K43" s="285">
        <f>+[5]fofir!N43</f>
        <v>1641434.0497585977</v>
      </c>
      <c r="L43" s="284">
        <f t="shared" si="4"/>
        <v>5.4348539978648315E-3</v>
      </c>
      <c r="M43" s="285">
        <f>+[5]fexhi!N43</f>
        <v>122735.8545412895</v>
      </c>
      <c r="N43" s="284">
        <f t="shared" si="5"/>
        <v>5.4348545288437234E-3</v>
      </c>
      <c r="O43" s="285">
        <f>+[5]isan!N43</f>
        <v>992246.69281419716</v>
      </c>
      <c r="P43" s="282">
        <f t="shared" si="6"/>
        <v>5.4348543987368268E-3</v>
      </c>
      <c r="Q43" s="283">
        <f>+'[5]Comp isan'!N43</f>
        <v>198492.03985446412</v>
      </c>
      <c r="R43" s="284">
        <f t="shared" si="7"/>
        <v>2.2053283051748931E-3</v>
      </c>
      <c r="S43" s="285">
        <f>+[5]gasolinas!N43</f>
        <v>477046.21740895417</v>
      </c>
      <c r="T43" s="286">
        <f t="shared" si="8"/>
        <v>5.3413517465998889E-3</v>
      </c>
      <c r="U43" s="287">
        <f t="shared" si="9"/>
        <v>44103495.202561907</v>
      </c>
    </row>
    <row r="44" spans="1:21">
      <c r="A44" s="279" t="s">
        <v>38</v>
      </c>
      <c r="B44" s="284">
        <f t="shared" si="0"/>
        <v>1.2750670703233795E-2</v>
      </c>
      <c r="C44" s="285">
        <f>+[5]fgp!N44</f>
        <v>79110900.259730369</v>
      </c>
      <c r="D44" s="282">
        <f t="shared" si="0"/>
        <v>1.2750670699992066E-2</v>
      </c>
      <c r="E44" s="283">
        <f>+'[5]ffm 70%'!N44</f>
        <v>11027770.86071467</v>
      </c>
      <c r="F44" s="284">
        <f t="shared" si="1"/>
        <v>1.6503691017139655E-2</v>
      </c>
      <c r="G44" s="285">
        <f>+'[5]ffm 30%'!N44</f>
        <v>3719634.5840084595</v>
      </c>
      <c r="H44" s="282">
        <f t="shared" si="2"/>
        <v>1.2750670801121008E-2</v>
      </c>
      <c r="I44" s="283">
        <f>+[5]ieps!N44</f>
        <v>2579081.7281525061</v>
      </c>
      <c r="J44" s="284">
        <f t="shared" si="3"/>
        <v>1.2750670721133265E-2</v>
      </c>
      <c r="K44" s="285">
        <f>+[5]fofir!N44</f>
        <v>3850955.8440150735</v>
      </c>
      <c r="L44" s="284">
        <f t="shared" si="4"/>
        <v>1.2750670652251873E-2</v>
      </c>
      <c r="M44" s="285">
        <f>+[5]fexhi!N44</f>
        <v>287949.67796623346</v>
      </c>
      <c r="N44" s="284">
        <f t="shared" si="5"/>
        <v>1.2750670750767702E-2</v>
      </c>
      <c r="O44" s="285">
        <f>+[5]isan!N44</f>
        <v>2327902.3967369497</v>
      </c>
      <c r="P44" s="282">
        <f t="shared" si="6"/>
        <v>1.2750670025157581E-2</v>
      </c>
      <c r="Q44" s="283">
        <f>+'[5]Comp isan'!N44</f>
        <v>465680.64516924962</v>
      </c>
      <c r="R44" s="284">
        <f t="shared" si="7"/>
        <v>1.2124519896261059E-2</v>
      </c>
      <c r="S44" s="285">
        <f>+[5]gasolinas!N44</f>
        <v>2622718.9579159953</v>
      </c>
      <c r="T44" s="286">
        <f t="shared" si="8"/>
        <v>1.2836708963454293E-2</v>
      </c>
      <c r="U44" s="287">
        <f t="shared" si="9"/>
        <v>105992594.95440951</v>
      </c>
    </row>
    <row r="45" spans="1:21">
      <c r="A45" s="279" t="s">
        <v>39</v>
      </c>
      <c r="B45" s="284">
        <f t="shared" si="0"/>
        <v>0.26255875147697355</v>
      </c>
      <c r="C45" s="285">
        <f>+[5]fgp!N45</f>
        <v>1629032674.7397087</v>
      </c>
      <c r="D45" s="282">
        <f t="shared" si="0"/>
        <v>0.26255875143016821</v>
      </c>
      <c r="E45" s="283">
        <f>+'[5]ffm 70%'!N45</f>
        <v>227081211.36318243</v>
      </c>
      <c r="F45" s="284">
        <f t="shared" si="1"/>
        <v>0</v>
      </c>
      <c r="G45" s="285">
        <f>+'[5]ffm 30%'!N45</f>
        <v>0</v>
      </c>
      <c r="H45" s="282">
        <f t="shared" si="2"/>
        <v>0.2625587513080988</v>
      </c>
      <c r="I45" s="283">
        <f>+[5]ieps!N45</f>
        <v>53107831.629197203</v>
      </c>
      <c r="J45" s="284">
        <f t="shared" si="3"/>
        <v>0.26255875148287522</v>
      </c>
      <c r="K45" s="285">
        <f>+[5]fofir!N45</f>
        <v>79297958.557149068</v>
      </c>
      <c r="L45" s="284">
        <f t="shared" si="4"/>
        <v>0.26255875127089734</v>
      </c>
      <c r="M45" s="285">
        <f>+[5]fexhi!N45</f>
        <v>5929390.6914864164</v>
      </c>
      <c r="N45" s="284">
        <f t="shared" si="5"/>
        <v>0.26255875138291862</v>
      </c>
      <c r="O45" s="285">
        <f>+[5]isan!N45</f>
        <v>47935607.355539069</v>
      </c>
      <c r="P45" s="282">
        <f t="shared" si="6"/>
        <v>0.26255875170567805</v>
      </c>
      <c r="Q45" s="283">
        <f>+'[5]Comp isan'!N45</f>
        <v>9589184.6191527396</v>
      </c>
      <c r="R45" s="284">
        <f t="shared" si="7"/>
        <v>0.23920319877257581</v>
      </c>
      <c r="S45" s="285">
        <f>+[5]gasolinas!N45</f>
        <v>51743307.741896473</v>
      </c>
      <c r="T45" s="286">
        <f t="shared" si="8"/>
        <v>0.25478011008157314</v>
      </c>
      <c r="U45" s="287">
        <f t="shared" si="9"/>
        <v>2103717166.6973119</v>
      </c>
    </row>
    <row r="46" spans="1:21">
      <c r="A46" s="279" t="s">
        <v>40</v>
      </c>
      <c r="B46" s="284">
        <f t="shared" si="0"/>
        <v>1.3628239704073606E-3</v>
      </c>
      <c r="C46" s="285">
        <f>+[5]fgp!N46</f>
        <v>8455573.3344382308</v>
      </c>
      <c r="D46" s="282">
        <f t="shared" si="0"/>
        <v>1.36282397662931E-3</v>
      </c>
      <c r="E46" s="283">
        <f>+'[5]ffm 70%'!N46</f>
        <v>1178676.078409377</v>
      </c>
      <c r="F46" s="284">
        <f t="shared" si="1"/>
        <v>1.3663636302269964E-2</v>
      </c>
      <c r="G46" s="285">
        <f>+'[5]ffm 30%'!N46</f>
        <v>3079537.4247163632</v>
      </c>
      <c r="H46" s="282">
        <f t="shared" si="2"/>
        <v>1.3628239559206974E-3</v>
      </c>
      <c r="I46" s="283">
        <f>+[5]ieps!N46</f>
        <v>275658.78048506839</v>
      </c>
      <c r="J46" s="284">
        <f t="shared" si="3"/>
        <v>1.3628239665126967E-3</v>
      </c>
      <c r="K46" s="285">
        <f>+[5]fofir!N46</f>
        <v>411599.90976062324</v>
      </c>
      <c r="L46" s="284">
        <f t="shared" si="4"/>
        <v>1.3628235284571396E-3</v>
      </c>
      <c r="M46" s="285">
        <f>+[5]fexhi!N46</f>
        <v>30776.780833464156</v>
      </c>
      <c r="N46" s="284">
        <f t="shared" si="5"/>
        <v>1.3628239826996157E-3</v>
      </c>
      <c r="O46" s="285">
        <f>+[5]isan!N46</f>
        <v>248812.10390175096</v>
      </c>
      <c r="P46" s="282">
        <f t="shared" si="6"/>
        <v>1.3628239735828829E-3</v>
      </c>
      <c r="Q46" s="283">
        <f>+'[5]Comp isan'!N46</f>
        <v>49773.129256582259</v>
      </c>
      <c r="R46" s="284">
        <f t="shared" si="7"/>
        <v>4.5216207448531439E-4</v>
      </c>
      <c r="S46" s="285">
        <f>+[5]gasolinas!N46</f>
        <v>97809.567302451498</v>
      </c>
      <c r="T46" s="286">
        <f t="shared" si="8"/>
        <v>1.6747283014382076E-3</v>
      </c>
      <c r="U46" s="287">
        <f t="shared" si="9"/>
        <v>13828217.109103911</v>
      </c>
    </row>
    <row r="47" spans="1:21">
      <c r="A47" s="279" t="s">
        <v>41</v>
      </c>
      <c r="B47" s="284">
        <f t="shared" si="0"/>
        <v>5.6618204913773265E-3</v>
      </c>
      <c r="C47" s="285">
        <f>+[5]fgp!N47</f>
        <v>35128482.776066907</v>
      </c>
      <c r="D47" s="282">
        <f t="shared" si="0"/>
        <v>5.661820462197425E-3</v>
      </c>
      <c r="E47" s="283">
        <f>+'[5]ffm 70%'!N47</f>
        <v>4896782.309001022</v>
      </c>
      <c r="F47" s="284">
        <f t="shared" si="1"/>
        <v>0</v>
      </c>
      <c r="G47" s="285">
        <f>+'[5]ffm 30%'!N47</f>
        <v>0</v>
      </c>
      <c r="H47" s="282">
        <f t="shared" si="2"/>
        <v>5.6618203694871281E-3</v>
      </c>
      <c r="I47" s="283">
        <f>+[5]ieps!N47</f>
        <v>1145217.9803545806</v>
      </c>
      <c r="J47" s="284">
        <f t="shared" si="3"/>
        <v>5.6618205595166064E-3</v>
      </c>
      <c r="K47" s="285">
        <f>+[5]fofir!N47</f>
        <v>1709982.2784457654</v>
      </c>
      <c r="L47" s="284">
        <f t="shared" si="4"/>
        <v>5.6618192111508661E-3</v>
      </c>
      <c r="M47" s="285">
        <f>+[5]fexhi!N47</f>
        <v>127861.43278400796</v>
      </c>
      <c r="N47" s="284">
        <f t="shared" si="5"/>
        <v>5.6618205465242821E-3</v>
      </c>
      <c r="O47" s="285">
        <f>+[5]isan!N47</f>
        <v>1033684.1000584085</v>
      </c>
      <c r="P47" s="282">
        <f t="shared" si="6"/>
        <v>5.6618204136633541E-3</v>
      </c>
      <c r="Q47" s="283">
        <f>+'[5]Comp isan'!N47</f>
        <v>206781.30465811293</v>
      </c>
      <c r="R47" s="284">
        <f t="shared" si="7"/>
        <v>9.9942458865747152E-3</v>
      </c>
      <c r="S47" s="285">
        <f>+[5]gasolinas!N47</f>
        <v>2161908.131708927</v>
      </c>
      <c r="T47" s="286">
        <f t="shared" si="8"/>
        <v>5.620776177480415E-3</v>
      </c>
      <c r="U47" s="287">
        <f t="shared" si="9"/>
        <v>46410700.313077725</v>
      </c>
    </row>
    <row r="48" spans="1:21">
      <c r="A48" s="279" t="s">
        <v>42</v>
      </c>
      <c r="B48" s="284">
        <f t="shared" si="0"/>
        <v>2.8905082126075557E-3</v>
      </c>
      <c r="C48" s="285">
        <f>+[5]fgp!N48</f>
        <v>17934014.000497475</v>
      </c>
      <c r="D48" s="282">
        <f t="shared" si="0"/>
        <v>2.8905081889838095E-3</v>
      </c>
      <c r="E48" s="283">
        <f>+'[5]ffm 70%'!N48</f>
        <v>2499936.0997655303</v>
      </c>
      <c r="F48" s="284">
        <f t="shared" si="1"/>
        <v>4.378139003855557E-3</v>
      </c>
      <c r="G48" s="285">
        <f>+'[5]ffm 30%'!N48</f>
        <v>986753.64410451334</v>
      </c>
      <c r="H48" s="282">
        <f t="shared" si="2"/>
        <v>2.8905082087285561E-3</v>
      </c>
      <c r="I48" s="283">
        <f>+[5]ieps!N48</f>
        <v>584663.89905943116</v>
      </c>
      <c r="J48" s="284">
        <f t="shared" si="3"/>
        <v>2.8905081587524907E-3</v>
      </c>
      <c r="K48" s="285">
        <f>+[5]fofir!N48</f>
        <v>872990.88256369194</v>
      </c>
      <c r="L48" s="284">
        <f t="shared" si="4"/>
        <v>2.8905071576905E-3</v>
      </c>
      <c r="M48" s="285">
        <f>+[5]fexhi!N48</f>
        <v>65276.613906506769</v>
      </c>
      <c r="N48" s="284">
        <f t="shared" si="5"/>
        <v>2.8905080407605707E-3</v>
      </c>
      <c r="O48" s="285">
        <f>+[5]isan!N48</f>
        <v>527722.87257663079</v>
      </c>
      <c r="P48" s="282">
        <f t="shared" si="6"/>
        <v>2.8905075128972009E-3</v>
      </c>
      <c r="Q48" s="283">
        <f>+'[5]Comp isan'!N48</f>
        <v>105567.26829387902</v>
      </c>
      <c r="R48" s="284">
        <f t="shared" si="7"/>
        <v>1.2087576016843492E-3</v>
      </c>
      <c r="S48" s="285">
        <f>+[5]gasolinas!N48</f>
        <v>261472.74321684649</v>
      </c>
      <c r="T48" s="286">
        <f t="shared" si="8"/>
        <v>2.8870561921848911E-3</v>
      </c>
      <c r="U48" s="287">
        <f t="shared" si="9"/>
        <v>23838398.023984507</v>
      </c>
    </row>
    <row r="49" spans="1:21">
      <c r="A49" s="279" t="s">
        <v>43</v>
      </c>
      <c r="B49" s="284">
        <f t="shared" si="0"/>
        <v>3.2291043083777409E-3</v>
      </c>
      <c r="C49" s="285">
        <f>+[5]fgp!N49</f>
        <v>20034816.584475718</v>
      </c>
      <c r="D49" s="282">
        <f t="shared" si="0"/>
        <v>3.2291042829735721E-3</v>
      </c>
      <c r="E49" s="283">
        <f>+'[5]ffm 70%'!N49</f>
        <v>2792780.3137451471</v>
      </c>
      <c r="F49" s="284">
        <f t="shared" si="1"/>
        <v>4.1221458538237728E-2</v>
      </c>
      <c r="G49" s="285">
        <f>+'[5]ffm 30%'!N49</f>
        <v>9290574.0069213994</v>
      </c>
      <c r="H49" s="282">
        <f t="shared" si="2"/>
        <v>3.2291044923904184E-3</v>
      </c>
      <c r="I49" s="283">
        <f>+[5]ieps!N49</f>
        <v>653151.86349937855</v>
      </c>
      <c r="J49" s="284">
        <f t="shared" si="3"/>
        <v>3.2291043566626838E-3</v>
      </c>
      <c r="K49" s="285">
        <f>+[5]fofir!N49</f>
        <v>975253.66039093165</v>
      </c>
      <c r="L49" s="284">
        <f t="shared" si="4"/>
        <v>3.2291032696237874E-3</v>
      </c>
      <c r="M49" s="285">
        <f>+[5]fexhi!N49</f>
        <v>72923.163962647523</v>
      </c>
      <c r="N49" s="284">
        <f t="shared" si="5"/>
        <v>3.2291043957156443E-3</v>
      </c>
      <c r="O49" s="285">
        <f>+[5]isan!N49</f>
        <v>589540.73938797892</v>
      </c>
      <c r="P49" s="282">
        <f t="shared" si="6"/>
        <v>3.2291041576609728E-3</v>
      </c>
      <c r="Q49" s="283">
        <f>+'[5]Comp isan'!N49</f>
        <v>117933.512865704</v>
      </c>
      <c r="R49" s="284">
        <f t="shared" si="7"/>
        <v>1.3514260178479471E-3</v>
      </c>
      <c r="S49" s="285">
        <f>+[5]gasolinas!N49</f>
        <v>292334.10209700349</v>
      </c>
      <c r="T49" s="286">
        <f t="shared" si="8"/>
        <v>4.2169485766550326E-3</v>
      </c>
      <c r="U49" s="287">
        <f t="shared" si="9"/>
        <v>34819307.947345912</v>
      </c>
    </row>
    <row r="50" spans="1:21">
      <c r="A50" s="279" t="s">
        <v>44</v>
      </c>
      <c r="B50" s="284">
        <f t="shared" si="0"/>
        <v>9.319195251541906E-3</v>
      </c>
      <c r="C50" s="285">
        <f>+[5]fgp!N50</f>
        <v>57820482.012660332</v>
      </c>
      <c r="D50" s="282">
        <f t="shared" si="0"/>
        <v>9.3191952331520278E-3</v>
      </c>
      <c r="E50" s="283">
        <f>+'[5]ffm 70%'!N50</f>
        <v>8059964.2211392801</v>
      </c>
      <c r="F50" s="284">
        <f t="shared" si="1"/>
        <v>1.306465850200654E-2</v>
      </c>
      <c r="G50" s="285">
        <f>+'[5]ffm 30%'!N50</f>
        <v>2944538.62120027</v>
      </c>
      <c r="H50" s="282">
        <f t="shared" si="2"/>
        <v>9.319195248065076E-3</v>
      </c>
      <c r="I50" s="283">
        <f>+[5]ieps!N50</f>
        <v>1884996.2139448537</v>
      </c>
      <c r="J50" s="284">
        <f t="shared" si="3"/>
        <v>9.3191952336800811E-3</v>
      </c>
      <c r="K50" s="285">
        <f>+[5]fofir!N50</f>
        <v>2814582.0821156036</v>
      </c>
      <c r="L50" s="284">
        <f t="shared" si="4"/>
        <v>9.3191958100593674E-3</v>
      </c>
      <c r="M50" s="285">
        <f>+[5]fexhi!N50</f>
        <v>210456.33642313129</v>
      </c>
      <c r="N50" s="284">
        <f t="shared" si="5"/>
        <v>9.319195164578388E-3</v>
      </c>
      <c r="O50" s="285">
        <f>+[5]isan!N50</f>
        <v>1701414.5516991913</v>
      </c>
      <c r="P50" s="282">
        <f t="shared" si="6"/>
        <v>9.3191954586890665E-3</v>
      </c>
      <c r="Q50" s="283">
        <f>+'[5]Comp isan'!N50</f>
        <v>340356.14952768193</v>
      </c>
      <c r="R50" s="284">
        <f t="shared" si="7"/>
        <v>6.6374318122259237E-3</v>
      </c>
      <c r="S50" s="285">
        <f>+[5]gasolinas!N50</f>
        <v>1435777.9437656694</v>
      </c>
      <c r="T50" s="286">
        <f t="shared" si="8"/>
        <v>9.3511746350186508E-3</v>
      </c>
      <c r="U50" s="287">
        <f t="shared" si="9"/>
        <v>77212568.132476017</v>
      </c>
    </row>
    <row r="51" spans="1:21">
      <c r="A51" s="279" t="s">
        <v>45</v>
      </c>
      <c r="B51" s="284">
        <f t="shared" si="0"/>
        <v>8.0196560945421484E-3</v>
      </c>
      <c r="C51" s="285">
        <f>+[5]fgp!N51</f>
        <v>49757556.145792156</v>
      </c>
      <c r="D51" s="282">
        <f t="shared" si="0"/>
        <v>8.0196560801634054E-3</v>
      </c>
      <c r="E51" s="283">
        <f>+'[5]ffm 70%'!N51</f>
        <v>6936021.7760022823</v>
      </c>
      <c r="F51" s="284">
        <f t="shared" si="1"/>
        <v>4.0349613839926147E-3</v>
      </c>
      <c r="G51" s="285">
        <f>+'[5]ffm 30%'!N51</f>
        <v>909407.59212291578</v>
      </c>
      <c r="H51" s="282">
        <f t="shared" si="2"/>
        <v>8.0196560416451457E-3</v>
      </c>
      <c r="I51" s="283">
        <f>+[5]ieps!N51</f>
        <v>1622138.0573370634</v>
      </c>
      <c r="J51" s="284">
        <f t="shared" si="3"/>
        <v>8.019656087291065E-3</v>
      </c>
      <c r="K51" s="285">
        <f>+[5]fofir!N51</f>
        <v>2422095.445156293</v>
      </c>
      <c r="L51" s="284">
        <f t="shared" si="4"/>
        <v>8.0196567654773135E-3</v>
      </c>
      <c r="M51" s="285">
        <f>+[5]fexhi!N51</f>
        <v>181108.71545498542</v>
      </c>
      <c r="N51" s="284">
        <f t="shared" si="5"/>
        <v>8.0196561401545685E-3</v>
      </c>
      <c r="O51" s="285">
        <f>+[5]isan!N51</f>
        <v>1464156.444361798</v>
      </c>
      <c r="P51" s="282">
        <f t="shared" si="6"/>
        <v>8.0196563031006158E-3</v>
      </c>
      <c r="Q51" s="283">
        <f>+'[5]Comp isan'!N51</f>
        <v>292894.31174165918</v>
      </c>
      <c r="R51" s="284">
        <f t="shared" si="7"/>
        <v>8.6106703096891449E-3</v>
      </c>
      <c r="S51" s="285">
        <f>+[5]gasolinas!N51</f>
        <v>1862619.5886362758</v>
      </c>
      <c r="T51" s="286">
        <f t="shared" si="8"/>
        <v>7.926373572714843E-3</v>
      </c>
      <c r="U51" s="287">
        <f t="shared" si="9"/>
        <v>65447998.076605424</v>
      </c>
    </row>
    <row r="52" spans="1:21">
      <c r="A52" s="279" t="s">
        <v>46</v>
      </c>
      <c r="B52" s="284">
        <f t="shared" si="0"/>
        <v>7.2566260866508928E-2</v>
      </c>
      <c r="C52" s="285">
        <f>+[5]fgp!N52</f>
        <v>450233745.28651261</v>
      </c>
      <c r="D52" s="282">
        <f t="shared" si="0"/>
        <v>7.2566260865053328E-2</v>
      </c>
      <c r="E52" s="283">
        <f>+'[5]ffm 70%'!N52</f>
        <v>62760941.433390819</v>
      </c>
      <c r="F52" s="284">
        <f t="shared" si="1"/>
        <v>5.2206805802130621E-2</v>
      </c>
      <c r="G52" s="285">
        <f>+'[5]ffm 30%'!N52</f>
        <v>11766473.341057178</v>
      </c>
      <c r="H52" s="282">
        <f t="shared" si="2"/>
        <v>7.2566260766673024E-2</v>
      </c>
      <c r="I52" s="283">
        <f>+[5]ieps!N52</f>
        <v>14677997.741673505</v>
      </c>
      <c r="J52" s="284">
        <f t="shared" si="3"/>
        <v>7.2566260913954989E-2</v>
      </c>
      <c r="K52" s="285">
        <f>+[5]fofir!N52</f>
        <v>21916452.291545056</v>
      </c>
      <c r="L52" s="284">
        <f t="shared" si="4"/>
        <v>7.2566261052163503E-2</v>
      </c>
      <c r="M52" s="285">
        <f>+[5]fexhi!N52</f>
        <v>1638771.1729887563</v>
      </c>
      <c r="N52" s="284">
        <f t="shared" si="5"/>
        <v>7.256626084962059E-2</v>
      </c>
      <c r="O52" s="285">
        <f>+[5]isan!N52</f>
        <v>13248493.028800037</v>
      </c>
      <c r="P52" s="282">
        <f t="shared" si="6"/>
        <v>7.2566260756336459E-2</v>
      </c>
      <c r="Q52" s="283">
        <f>+'[5]Comp isan'!N52</f>
        <v>2650268.8140981146</v>
      </c>
      <c r="R52" s="284">
        <f t="shared" si="7"/>
        <v>8.0380773188295812E-2</v>
      </c>
      <c r="S52" s="285">
        <f>+[5]gasolinas!N52</f>
        <v>17387589.735235646</v>
      </c>
      <c r="T52" s="286">
        <f t="shared" si="8"/>
        <v>7.2215254578328877E-2</v>
      </c>
      <c r="U52" s="287">
        <f t="shared" si="9"/>
        <v>596280732.84530175</v>
      </c>
    </row>
    <row r="53" spans="1:21">
      <c r="A53" s="279" t="s">
        <v>47</v>
      </c>
      <c r="B53" s="284">
        <f t="shared" si="0"/>
        <v>0.13939989901643862</v>
      </c>
      <c r="C53" s="285">
        <f>+[5]fgp!N53</f>
        <v>864899718.92294693</v>
      </c>
      <c r="D53" s="282">
        <f t="shared" si="0"/>
        <v>0.1393998989902335</v>
      </c>
      <c r="E53" s="283">
        <f>+'[5]ffm 70%'!N53</f>
        <v>120563865.24608637</v>
      </c>
      <c r="F53" s="284">
        <f t="shared" si="1"/>
        <v>9.9461756515663677E-2</v>
      </c>
      <c r="G53" s="285">
        <f>+'[5]ffm 30%'!N53</f>
        <v>22416887.769994825</v>
      </c>
      <c r="H53" s="282">
        <f t="shared" si="2"/>
        <v>0.13939989898040667</v>
      </c>
      <c r="I53" s="283">
        <f>+[5]ieps!N53</f>
        <v>28196456.325659629</v>
      </c>
      <c r="J53" s="284">
        <f t="shared" si="3"/>
        <v>0.13939989904140584</v>
      </c>
      <c r="K53" s="285">
        <f>+[5]fofir!N53</f>
        <v>42101538.62564031</v>
      </c>
      <c r="L53" s="284">
        <f t="shared" si="4"/>
        <v>0.13939989910184122</v>
      </c>
      <c r="M53" s="285">
        <f>+[5]fexhi!N53</f>
        <v>3148081.9440514324</v>
      </c>
      <c r="N53" s="284">
        <f t="shared" si="5"/>
        <v>0.13939989897153238</v>
      </c>
      <c r="O53" s="285">
        <f>+[5]isan!N53</f>
        <v>25450375.534258112</v>
      </c>
      <c r="P53" s="282">
        <f t="shared" si="6"/>
        <v>0.13939989848238224</v>
      </c>
      <c r="Q53" s="283">
        <f>+'[5]Comp isan'!N53</f>
        <v>5091170.4666281948</v>
      </c>
      <c r="R53" s="284">
        <f t="shared" si="7"/>
        <v>6.2082636217153223E-2</v>
      </c>
      <c r="S53" s="285">
        <f>+[5]gasolinas!N53</f>
        <v>13429423.049925609</v>
      </c>
      <c r="T53" s="286">
        <f t="shared" si="8"/>
        <v>0.13628420684108139</v>
      </c>
      <c r="U53" s="287">
        <f t="shared" si="9"/>
        <v>1125297517.8851917</v>
      </c>
    </row>
    <row r="54" spans="1:21">
      <c r="A54" s="279" t="s">
        <v>48</v>
      </c>
      <c r="B54" s="284">
        <f t="shared" si="0"/>
        <v>3.7783416768108202E-2</v>
      </c>
      <c r="C54" s="285">
        <f>+[5]fgp!N54</f>
        <v>234425324.36003923</v>
      </c>
      <c r="D54" s="282">
        <f t="shared" si="0"/>
        <v>3.7783416753083908E-2</v>
      </c>
      <c r="E54" s="283">
        <f>+'[5]ffm 70%'!N54</f>
        <v>32678034.912167914</v>
      </c>
      <c r="F54" s="284">
        <f t="shared" si="1"/>
        <v>2.5961429808195196E-2</v>
      </c>
      <c r="G54" s="285">
        <f>+'[5]ffm 30%'!N54</f>
        <v>5851238.4935335228</v>
      </c>
      <c r="H54" s="282">
        <f t="shared" si="2"/>
        <v>3.778341682507691E-2</v>
      </c>
      <c r="I54" s="283">
        <f>+[5]ieps!N54</f>
        <v>7642462.2265487844</v>
      </c>
      <c r="J54" s="284">
        <f t="shared" si="3"/>
        <v>3.7783416798639301E-2</v>
      </c>
      <c r="K54" s="285">
        <f>+[5]fofir!N54</f>
        <v>11411342.423455292</v>
      </c>
      <c r="L54" s="284">
        <f t="shared" si="4"/>
        <v>3.7783417227075185E-2</v>
      </c>
      <c r="M54" s="285">
        <f>+[5]fexhi!N54</f>
        <v>853266.71198104299</v>
      </c>
      <c r="N54" s="284">
        <f t="shared" si="5"/>
        <v>3.7783416862090739E-2</v>
      </c>
      <c r="O54" s="285">
        <f>+[5]isan!N54</f>
        <v>6898155.2727237176</v>
      </c>
      <c r="P54" s="282">
        <f t="shared" si="6"/>
        <v>3.7783416858163159E-2</v>
      </c>
      <c r="Q54" s="283">
        <f>+'[5]Comp isan'!N54</f>
        <v>1379927.9492365869</v>
      </c>
      <c r="R54" s="284">
        <f t="shared" si="7"/>
        <v>5.0444573463244054E-2</v>
      </c>
      <c r="S54" s="285">
        <f>+[5]gasolinas!N54</f>
        <v>10911932.206638169</v>
      </c>
      <c r="T54" s="286">
        <f t="shared" si="8"/>
        <v>3.7792419913185014E-2</v>
      </c>
      <c r="U54" s="287">
        <f t="shared" si="9"/>
        <v>312051684.5563243</v>
      </c>
    </row>
    <row r="55" spans="1:21">
      <c r="A55" s="279" t="s">
        <v>49</v>
      </c>
      <c r="B55" s="284">
        <f t="shared" si="0"/>
        <v>1.195535716773998E-2</v>
      </c>
      <c r="C55" s="285">
        <f>+[5]fgp!N55</f>
        <v>74176417.106172994</v>
      </c>
      <c r="D55" s="282">
        <f t="shared" si="0"/>
        <v>1.1955357163750726E-2</v>
      </c>
      <c r="E55" s="283">
        <f>+'[5]ffm 70%'!N55</f>
        <v>10339921.91171</v>
      </c>
      <c r="F55" s="284">
        <f t="shared" si="1"/>
        <v>2.7928385248935022E-2</v>
      </c>
      <c r="G55" s="285">
        <f>+'[5]ffm 30%'!N55</f>
        <v>6294554.8083494734</v>
      </c>
      <c r="H55" s="282">
        <f t="shared" si="2"/>
        <v>1.1955357287529344E-2</v>
      </c>
      <c r="I55" s="283">
        <f>+[5]ieps!N55</f>
        <v>2418213.4426285243</v>
      </c>
      <c r="J55" s="284">
        <f t="shared" si="3"/>
        <v>1.1955357081849742E-2</v>
      </c>
      <c r="K55" s="285">
        <f>+[5]fofir!N55</f>
        <v>3610755.3264103364</v>
      </c>
      <c r="L55" s="284">
        <f t="shared" si="4"/>
        <v>1.1955357570090339E-2</v>
      </c>
      <c r="M55" s="285">
        <f>+[5]fexhi!N55</f>
        <v>269989.04262896191</v>
      </c>
      <c r="N55" s="284">
        <f t="shared" si="5"/>
        <v>1.1955357237906332E-2</v>
      </c>
      <c r="O55" s="285">
        <f>+[5]isan!N55</f>
        <v>2182701.2328973301</v>
      </c>
      <c r="P55" s="282">
        <f t="shared" si="6"/>
        <v>1.1955356399336245E-2</v>
      </c>
      <c r="Q55" s="283">
        <f>+'[5]Comp isan'!N55</f>
        <v>436634.15885491192</v>
      </c>
      <c r="R55" s="284">
        <f t="shared" si="7"/>
        <v>9.7749224129951174E-3</v>
      </c>
      <c r="S55" s="285">
        <f>+[5]gasolinas!N55</f>
        <v>2114465.1123568299</v>
      </c>
      <c r="T55" s="286">
        <f t="shared" si="8"/>
        <v>1.2334232621482435E-2</v>
      </c>
      <c r="U55" s="287">
        <f t="shared" si="9"/>
        <v>101843652.14200935</v>
      </c>
    </row>
    <row r="56" spans="1:21">
      <c r="A56" s="279" t="s">
        <v>50</v>
      </c>
      <c r="B56" s="284">
        <f t="shared" si="0"/>
        <v>2.4198206404186535E-3</v>
      </c>
      <c r="C56" s="285">
        <f>+[5]fgp!N56</f>
        <v>15013656.440993797</v>
      </c>
      <c r="D56" s="282">
        <f t="shared" si="0"/>
        <v>2.4198206427824285E-3</v>
      </c>
      <c r="E56" s="283">
        <f>+'[5]ffm 70%'!N56</f>
        <v>2092848.9332446263</v>
      </c>
      <c r="F56" s="284">
        <f t="shared" si="1"/>
        <v>0</v>
      </c>
      <c r="G56" s="285">
        <f>+'[5]ffm 30%'!N56</f>
        <v>0</v>
      </c>
      <c r="H56" s="282">
        <f t="shared" si="2"/>
        <v>2.4198206802353343E-3</v>
      </c>
      <c r="I56" s="283">
        <f>+[5]ieps!N56</f>
        <v>489457.80180065759</v>
      </c>
      <c r="J56" s="284">
        <f t="shared" si="3"/>
        <v>2.4198205182537572E-3</v>
      </c>
      <c r="K56" s="285">
        <f>+[5]fofir!N56</f>
        <v>730833.86513871665</v>
      </c>
      <c r="L56" s="284">
        <f t="shared" si="4"/>
        <v>2.4198212519213002E-3</v>
      </c>
      <c r="M56" s="285">
        <f>+[5]fexhi!N56</f>
        <v>54647.066748879442</v>
      </c>
      <c r="N56" s="284">
        <f t="shared" si="5"/>
        <v>2.4198204912418792E-3</v>
      </c>
      <c r="O56" s="285">
        <f>+[5]isan!N56</f>
        <v>441788.98752412619</v>
      </c>
      <c r="P56" s="282">
        <f t="shared" si="6"/>
        <v>2.4198201011111009E-3</v>
      </c>
      <c r="Q56" s="283">
        <f>+'[5]Comp isan'!N56</f>
        <v>88376.797741262984</v>
      </c>
      <c r="R56" s="284">
        <f t="shared" si="7"/>
        <v>7.7908364992824823E-4</v>
      </c>
      <c r="S56" s="285">
        <f>+[5]gasolinas!N56</f>
        <v>168527.70055656557</v>
      </c>
      <c r="T56" s="286">
        <f t="shared" si="8"/>
        <v>2.3107857051614233E-3</v>
      </c>
      <c r="U56" s="287">
        <f t="shared" si="9"/>
        <v>19080137.593748633</v>
      </c>
    </row>
    <row r="57" spans="1:21" ht="13.5" thickBot="1">
      <c r="A57" s="279" t="s">
        <v>51</v>
      </c>
      <c r="B57" s="284">
        <f t="shared" si="0"/>
        <v>3.3338136920415874E-3</v>
      </c>
      <c r="C57" s="285">
        <f>+[5]fgp!N57</f>
        <v>20684480.731569368</v>
      </c>
      <c r="D57" s="282">
        <f t="shared" si="0"/>
        <v>3.3338137230438858E-3</v>
      </c>
      <c r="E57" s="283">
        <f>+'[5]ffm 70%'!N57</f>
        <v>2883341.1743632378</v>
      </c>
      <c r="F57" s="284">
        <f t="shared" si="1"/>
        <v>5.6657431490981331E-3</v>
      </c>
      <c r="G57" s="285">
        <f>+'[5]ffm 30%'!N57</f>
        <v>1276956.4177860469</v>
      </c>
      <c r="H57" s="282">
        <f t="shared" si="2"/>
        <v>3.3338135382982768E-3</v>
      </c>
      <c r="I57" s="283">
        <f>+[5]ieps!N57</f>
        <v>674331.39132857299</v>
      </c>
      <c r="J57" s="284">
        <f t="shared" si="3"/>
        <v>3.3338136875750548E-3</v>
      </c>
      <c r="K57" s="285">
        <f>+[5]fofir!N57</f>
        <v>1006877.9583293592</v>
      </c>
      <c r="L57" s="284">
        <f t="shared" si="4"/>
        <v>3.3338135686438019E-3</v>
      </c>
      <c r="M57" s="285">
        <f>+[5]fexhi!N57</f>
        <v>75287.847178524971</v>
      </c>
      <c r="N57" s="284">
        <f t="shared" si="5"/>
        <v>3.3338135604382775E-3</v>
      </c>
      <c r="O57" s="285">
        <f>+[5]isan!N57</f>
        <v>608657.59373099194</v>
      </c>
      <c r="P57" s="282">
        <f t="shared" si="6"/>
        <v>3.3338142776435258E-3</v>
      </c>
      <c r="Q57" s="283">
        <f>+'[5]Comp isan'!N57</f>
        <v>121757.74140687216</v>
      </c>
      <c r="R57" s="284">
        <f t="shared" si="7"/>
        <v>9.2881403989722715E-4</v>
      </c>
      <c r="S57" s="285">
        <f>+[5]gasolinas!N57</f>
        <v>200916.6723020692</v>
      </c>
      <c r="T57" s="286">
        <f t="shared" si="8"/>
        <v>3.3344600157577315E-3</v>
      </c>
      <c r="U57" s="287">
        <f t="shared" si="9"/>
        <v>27532607.52799505</v>
      </c>
    </row>
    <row r="58" spans="1:21" ht="14.25" thickTop="1" thickBot="1">
      <c r="A58" s="290" t="s">
        <v>52</v>
      </c>
      <c r="B58" s="291">
        <f>SUM(B7:B57)</f>
        <v>1</v>
      </c>
      <c r="C58" s="292">
        <f t="shared" ref="C58:S58" si="10">SUM(C7:C57)</f>
        <v>6204450110.97859</v>
      </c>
      <c r="D58" s="293">
        <f>SUM(D7:D57)</f>
        <v>1.0000000000000002</v>
      </c>
      <c r="E58" s="294">
        <f t="shared" si="10"/>
        <v>864877708.80331278</v>
      </c>
      <c r="F58" s="291">
        <f>SUM(F7:F57)</f>
        <v>1.0000000000000002</v>
      </c>
      <c r="G58" s="292">
        <f t="shared" si="10"/>
        <v>225381981.53040373</v>
      </c>
      <c r="H58" s="293">
        <f t="shared" si="10"/>
        <v>1</v>
      </c>
      <c r="I58" s="294">
        <f t="shared" si="10"/>
        <v>202270278.04103917</v>
      </c>
      <c r="J58" s="291">
        <f t="shared" si="10"/>
        <v>0.99999999999999933</v>
      </c>
      <c r="K58" s="292">
        <f t="shared" si="10"/>
        <v>302019864.54190272</v>
      </c>
      <c r="L58" s="291">
        <f t="shared" si="10"/>
        <v>1</v>
      </c>
      <c r="M58" s="292">
        <f t="shared" si="10"/>
        <v>22583100.592860125</v>
      </c>
      <c r="N58" s="291">
        <f t="shared" si="10"/>
        <v>1.0000000000000002</v>
      </c>
      <c r="O58" s="292">
        <f t="shared" si="10"/>
        <v>182570975.45999998</v>
      </c>
      <c r="P58" s="293">
        <f>SUM(P7:P57)</f>
        <v>1</v>
      </c>
      <c r="Q58" s="294">
        <f t="shared" si="10"/>
        <v>36522052.900000006</v>
      </c>
      <c r="R58" s="291">
        <f>SUM(R7:R57)</f>
        <v>1</v>
      </c>
      <c r="S58" s="292">
        <f t="shared" si="10"/>
        <v>216315283.4385455</v>
      </c>
      <c r="T58" s="293">
        <f>SUM(T7:T57)</f>
        <v>0.99999999999999989</v>
      </c>
      <c r="U58" s="295">
        <f>SUM(U7:U57)</f>
        <v>8256991356.2866545</v>
      </c>
    </row>
    <row r="59" spans="1:21" ht="17.25" thickTop="1">
      <c r="A59" s="302" t="s">
        <v>269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</row>
    <row r="60" spans="1:21" ht="16.5">
      <c r="A60" s="303" t="s">
        <v>146</v>
      </c>
      <c r="B60" s="168"/>
    </row>
    <row r="61" spans="1:21" ht="16.5">
      <c r="A61" s="304" t="s">
        <v>277</v>
      </c>
    </row>
    <row r="62" spans="1:21" ht="16.5" customHeight="1"/>
  </sheetData>
  <mergeCells count="15">
    <mergeCell ref="A1:U1"/>
    <mergeCell ref="A2:U2"/>
    <mergeCell ref="A3:U3"/>
    <mergeCell ref="A4:U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19685039370078741" right="0.19685039370078741" top="0.11811023622047245" bottom="0.19685039370078741" header="0.15748031496062992" footer="0.15748031496062992"/>
  <pageSetup scale="70" orientation="landscape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zoomScaleNormal="100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B61" sqref="B61:F61"/>
    </sheetView>
  </sheetViews>
  <sheetFormatPr baseColWidth="10" defaultColWidth="9.7109375" defaultRowHeight="12.75"/>
  <cols>
    <col min="1" max="1" width="28.85546875" style="14" customWidth="1"/>
    <col min="2" max="6" width="15.7109375" style="14" customWidth="1"/>
    <col min="7" max="7" width="12.42578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7.7109375" style="81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9" customWidth="1"/>
    <col min="33" max="33" width="18.42578125" style="14" bestFit="1" customWidth="1"/>
    <col min="34" max="34" width="16.85546875" style="14" bestFit="1" customWidth="1"/>
    <col min="35" max="35" width="13.85546875" style="79" customWidth="1"/>
    <col min="36" max="36" width="15.140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33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</row>
    <row r="2" spans="1:43" ht="26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.75" thickBot="1">
      <c r="B3" s="332" t="s">
        <v>137</v>
      </c>
      <c r="C3" s="332"/>
      <c r="D3" s="332"/>
      <c r="E3" s="332"/>
      <c r="F3" s="332"/>
      <c r="G3" s="333" t="s">
        <v>69</v>
      </c>
      <c r="H3" s="333"/>
      <c r="I3" s="333"/>
      <c r="J3" s="333"/>
      <c r="K3" s="333"/>
      <c r="L3" s="333"/>
      <c r="M3" s="333"/>
      <c r="N3" s="333" t="s">
        <v>123</v>
      </c>
      <c r="O3" s="333"/>
      <c r="P3" s="333"/>
      <c r="Q3" s="333"/>
      <c r="R3" s="333"/>
      <c r="S3" s="333"/>
      <c r="T3" s="333" t="s">
        <v>123</v>
      </c>
      <c r="U3" s="333"/>
      <c r="V3" s="333"/>
      <c r="W3" s="333"/>
      <c r="X3" s="333"/>
      <c r="Y3" s="333"/>
      <c r="Z3" s="136"/>
      <c r="AA3" s="333" t="s">
        <v>123</v>
      </c>
      <c r="AB3" s="333"/>
      <c r="AC3" s="333"/>
      <c r="AD3" s="333"/>
      <c r="AE3" s="333"/>
      <c r="AF3" s="333"/>
      <c r="AG3" s="332" t="s">
        <v>123</v>
      </c>
      <c r="AH3" s="332"/>
      <c r="AI3" s="332"/>
      <c r="AJ3" s="332"/>
      <c r="AK3" s="332"/>
      <c r="AM3" s="332" t="s">
        <v>159</v>
      </c>
      <c r="AN3" s="332"/>
      <c r="AO3" s="332"/>
      <c r="AP3" s="332"/>
      <c r="AQ3" s="332"/>
    </row>
    <row r="4" spans="1:43" ht="64.5" thickBot="1">
      <c r="A4" s="8" t="s">
        <v>0</v>
      </c>
      <c r="B4" s="9" t="s">
        <v>217</v>
      </c>
      <c r="C4" s="8" t="s">
        <v>210</v>
      </c>
      <c r="D4" s="9" t="s">
        <v>157</v>
      </c>
      <c r="E4" s="12" t="s">
        <v>158</v>
      </c>
      <c r="F4" s="133" t="s">
        <v>113</v>
      </c>
      <c r="G4" s="8" t="s">
        <v>175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28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28" t="s">
        <v>103</v>
      </c>
      <c r="AM4" s="135" t="s">
        <v>126</v>
      </c>
      <c r="AN4" s="135" t="s">
        <v>124</v>
      </c>
      <c r="AO4" s="135" t="s">
        <v>125</v>
      </c>
      <c r="AP4" s="135" t="s">
        <v>167</v>
      </c>
      <c r="AQ4" s="135" t="s">
        <v>114</v>
      </c>
    </row>
    <row r="5" spans="1:43">
      <c r="A5" s="99"/>
      <c r="B5" s="100" t="s">
        <v>130</v>
      </c>
      <c r="C5" s="253" t="s">
        <v>130</v>
      </c>
      <c r="D5" s="100"/>
      <c r="E5" s="103"/>
      <c r="F5" s="106"/>
      <c r="G5" s="99"/>
      <c r="H5" s="100"/>
      <c r="I5" s="101"/>
      <c r="J5" s="102"/>
      <c r="K5" s="100"/>
      <c r="L5" s="101"/>
      <c r="M5" s="105"/>
      <c r="N5" s="102"/>
      <c r="O5" s="102"/>
      <c r="P5" s="102"/>
      <c r="Q5" s="102"/>
      <c r="R5" s="102"/>
      <c r="S5" s="102"/>
      <c r="T5" s="102"/>
      <c r="U5" s="102"/>
      <c r="V5" s="99"/>
      <c r="W5" s="102"/>
      <c r="X5" s="102"/>
      <c r="Y5" s="102"/>
      <c r="Z5" s="102"/>
      <c r="AA5" s="102"/>
      <c r="AB5" s="102"/>
      <c r="AC5" s="102"/>
      <c r="AD5" s="102"/>
      <c r="AE5" s="99"/>
      <c r="AF5" s="101"/>
      <c r="AG5" s="99"/>
      <c r="AH5" s="103"/>
      <c r="AI5" s="104"/>
      <c r="AJ5" s="101"/>
      <c r="AK5" s="105"/>
      <c r="AL5" s="114"/>
      <c r="AM5" s="107" t="s">
        <v>130</v>
      </c>
      <c r="AN5" s="107" t="s">
        <v>130</v>
      </c>
      <c r="AO5" s="107" t="s">
        <v>130</v>
      </c>
      <c r="AP5" s="107" t="s">
        <v>130</v>
      </c>
      <c r="AQ5" s="107"/>
    </row>
    <row r="6" spans="1:43" s="17" customFormat="1" ht="22.5">
      <c r="A6" s="108"/>
      <c r="B6" s="112" t="s">
        <v>218</v>
      </c>
      <c r="C6" s="94" t="s">
        <v>219</v>
      </c>
      <c r="D6" s="94" t="s">
        <v>54</v>
      </c>
      <c r="E6" s="94" t="s">
        <v>55</v>
      </c>
      <c r="F6" s="113" t="s">
        <v>77</v>
      </c>
      <c r="G6" s="108" t="s">
        <v>57</v>
      </c>
      <c r="H6" s="94" t="s">
        <v>75</v>
      </c>
      <c r="I6" s="109" t="s">
        <v>78</v>
      </c>
      <c r="J6" s="15" t="s">
        <v>68</v>
      </c>
      <c r="K6" s="94" t="s">
        <v>79</v>
      </c>
      <c r="L6" s="109" t="s">
        <v>80</v>
      </c>
      <c r="M6" s="110" t="s">
        <v>70</v>
      </c>
      <c r="N6" s="15" t="s">
        <v>87</v>
      </c>
      <c r="O6" s="15" t="s">
        <v>88</v>
      </c>
      <c r="P6" s="15" t="s">
        <v>89</v>
      </c>
      <c r="Q6" s="15" t="s">
        <v>90</v>
      </c>
      <c r="R6" s="15" t="s">
        <v>91</v>
      </c>
      <c r="S6" s="15" t="s">
        <v>92</v>
      </c>
      <c r="T6" s="15" t="s">
        <v>93</v>
      </c>
      <c r="U6" s="15" t="s">
        <v>94</v>
      </c>
      <c r="V6" s="108" t="s">
        <v>60</v>
      </c>
      <c r="W6" s="15" t="s">
        <v>87</v>
      </c>
      <c r="X6" s="15" t="s">
        <v>88</v>
      </c>
      <c r="Y6" s="15" t="s">
        <v>89</v>
      </c>
      <c r="Z6" s="15" t="s">
        <v>90</v>
      </c>
      <c r="AA6" s="15" t="s">
        <v>91</v>
      </c>
      <c r="AB6" s="15" t="s">
        <v>92</v>
      </c>
      <c r="AC6" s="15" t="s">
        <v>93</v>
      </c>
      <c r="AD6" s="15" t="s">
        <v>94</v>
      </c>
      <c r="AE6" s="94" t="s">
        <v>59</v>
      </c>
      <c r="AF6" s="109" t="s">
        <v>81</v>
      </c>
      <c r="AG6" s="94" t="s">
        <v>65</v>
      </c>
      <c r="AH6" s="94" t="s">
        <v>61</v>
      </c>
      <c r="AI6" s="109" t="s">
        <v>82</v>
      </c>
      <c r="AJ6" s="109" t="s">
        <v>83</v>
      </c>
      <c r="AK6" s="111" t="s">
        <v>67</v>
      </c>
      <c r="AL6" s="16"/>
      <c r="AM6" s="15">
        <f>+AP6*0.5</f>
        <v>3907647045.4776268</v>
      </c>
      <c r="AN6" s="15">
        <f>+AP6*0.25</f>
        <v>1953823522.7388134</v>
      </c>
      <c r="AO6" s="15">
        <f>+AP6*0.25</f>
        <v>1953823522.7388134</v>
      </c>
      <c r="AP6" s="15">
        <f>+'PART PEF2019'!AC4+'PART PEF2019'!AC5+'PART PEF2019'!AC7+'PART PEF2019'!AC8+'PART PEF2019'!AC9+'PART PEF2019'!AC10+'PART PEF2019'!AC11</f>
        <v>7815294090.9552536</v>
      </c>
    </row>
    <row r="7" spans="1:43" s="25" customFormat="1" ht="23.25" customHeight="1" thickBot="1">
      <c r="A7" s="18"/>
      <c r="B7" s="19"/>
      <c r="C7" s="19"/>
      <c r="D7" s="19"/>
      <c r="E7" s="19"/>
      <c r="F7" s="23"/>
      <c r="G7" s="18"/>
      <c r="H7" s="19"/>
      <c r="I7" s="20"/>
      <c r="J7" s="19"/>
      <c r="K7" s="19"/>
      <c r="L7" s="20"/>
      <c r="M7" s="21"/>
      <c r="N7" s="15"/>
      <c r="O7" s="15"/>
      <c r="P7" s="15"/>
      <c r="Q7" s="15"/>
      <c r="R7" s="15"/>
      <c r="S7" s="15"/>
      <c r="T7" s="15"/>
      <c r="U7" s="15"/>
      <c r="V7" s="18"/>
      <c r="W7" s="15"/>
      <c r="X7" s="15"/>
      <c r="Y7" s="15"/>
      <c r="Z7" s="15"/>
      <c r="AA7" s="15"/>
      <c r="AB7" s="15"/>
      <c r="AC7" s="15"/>
      <c r="AD7" s="15"/>
      <c r="AE7" s="19"/>
      <c r="AF7" s="22"/>
      <c r="AG7" s="19"/>
      <c r="AH7" s="19"/>
      <c r="AI7" s="20"/>
      <c r="AJ7" s="20"/>
      <c r="AK7" s="21"/>
      <c r="AL7" s="19"/>
      <c r="AM7" s="15" t="s">
        <v>138</v>
      </c>
      <c r="AN7" s="15" t="s">
        <v>139</v>
      </c>
      <c r="AO7" s="15" t="s">
        <v>74</v>
      </c>
      <c r="AP7" s="24" t="s">
        <v>140</v>
      </c>
      <c r="AQ7" s="24" t="s">
        <v>72</v>
      </c>
    </row>
    <row r="8" spans="1:43" ht="15" thickTop="1">
      <c r="A8" s="2" t="s">
        <v>1</v>
      </c>
      <c r="B8" s="29">
        <v>488739</v>
      </c>
      <c r="C8" s="29">
        <v>121403</v>
      </c>
      <c r="D8" s="38">
        <f t="shared" ref="D8:D39" si="0">+C8/B8</f>
        <v>0.24840047550942324</v>
      </c>
      <c r="E8" s="39">
        <f>+D8*C8</f>
        <v>30156.562928270509</v>
      </c>
      <c r="F8" s="129">
        <f t="shared" ref="F8:F39" si="1">+E8/E$59</f>
        <v>1.7803291101215055E-5</v>
      </c>
      <c r="G8" s="26">
        <v>2639</v>
      </c>
      <c r="H8" s="118">
        <f t="shared" ref="H8:H39" si="2">+G8/$G$59</f>
        <v>5.1547962458863201E-4</v>
      </c>
      <c r="I8" s="28">
        <f>+H8*I$4</f>
        <v>4.381576809003372E-4</v>
      </c>
      <c r="J8" s="29">
        <v>47.45</v>
      </c>
      <c r="K8" s="115">
        <f t="shared" ref="K8:K39" si="3">+J8/$J$59</f>
        <v>7.3886478603129777E-4</v>
      </c>
      <c r="L8" s="30">
        <f>+K8*L$4</f>
        <v>1.1082971790469465E-4</v>
      </c>
      <c r="M8" s="129">
        <f>+L8+I8</f>
        <v>5.4898739880503188E-4</v>
      </c>
      <c r="N8" s="31">
        <v>334</v>
      </c>
      <c r="O8" s="32">
        <v>78</v>
      </c>
      <c r="P8" s="32">
        <v>539</v>
      </c>
      <c r="Q8" s="32">
        <v>28</v>
      </c>
      <c r="R8" s="33">
        <f>+N8/N$59*0.25</f>
        <v>1.9531661173630621E-4</v>
      </c>
      <c r="S8" s="33">
        <f t="shared" ref="S8:U23" si="4">+O8/O$59*0.25</f>
        <v>2.2168411718563488E-4</v>
      </c>
      <c r="T8" s="33">
        <f t="shared" si="4"/>
        <v>4.0332477297080497E-4</v>
      </c>
      <c r="U8" s="33">
        <f t="shared" si="4"/>
        <v>1.788314641187441E-4</v>
      </c>
      <c r="V8" s="34">
        <f>SUM(R8:U8)</f>
        <v>9.9915696601149016E-4</v>
      </c>
      <c r="W8" s="35">
        <v>194.999999997044</v>
      </c>
      <c r="X8" s="35">
        <v>51</v>
      </c>
      <c r="Y8" s="35">
        <v>69</v>
      </c>
      <c r="Z8" s="35">
        <v>52</v>
      </c>
      <c r="AA8" s="36">
        <f>+W8/W$59*0.25</f>
        <v>1.5336072329640257E-4</v>
      </c>
      <c r="AB8" s="36">
        <f t="shared" ref="AB8:AD58" si="5">+X8/X$59*0.25</f>
        <v>1.7408044564594084E-4</v>
      </c>
      <c r="AC8" s="36">
        <f t="shared" si="5"/>
        <v>1.4011176451476657E-4</v>
      </c>
      <c r="AD8" s="36">
        <f t="shared" si="5"/>
        <v>9.4710767885764239E-4</v>
      </c>
      <c r="AE8" s="27">
        <f>SUM(AA8:AD8)</f>
        <v>1.4146606123147524E-3</v>
      </c>
      <c r="AF8" s="37">
        <f t="shared" ref="AF8:AF39" si="6">+AE8*AF$4</f>
        <v>1.2024615204675394E-3</v>
      </c>
      <c r="AG8" s="27">
        <f t="shared" ref="AG8:AG58" si="7">+(AE8-V8)/V8</f>
        <v>0.415854225549666</v>
      </c>
      <c r="AH8" s="27">
        <f t="shared" ref="AH8:AH58" si="8">IF(AG8&gt;0,0,AG8)</f>
        <v>0</v>
      </c>
      <c r="AI8" s="28">
        <f>+AH8/AH$59</f>
        <v>0</v>
      </c>
      <c r="AJ8" s="28">
        <f t="shared" ref="AJ8:AJ39" si="9">+AI8*AJ$4</f>
        <v>0</v>
      </c>
      <c r="AK8" s="129">
        <f t="shared" ref="AK8:AK58" si="10">+AJ8+AF8</f>
        <v>1.2024615204675394E-3</v>
      </c>
      <c r="AM8" s="40">
        <f t="shared" ref="AM8:AM39" si="11">+F8*AM$6</f>
        <v>69568.977871441137</v>
      </c>
      <c r="AN8" s="41">
        <f t="shared" ref="AN8:AN39" si="12">+M8*AN$6</f>
        <v>1072624.4934724653</v>
      </c>
      <c r="AO8" s="41">
        <f t="shared" ref="AO8:AO39" si="13">+AK8*AO$6</f>
        <v>2349397.6038777577</v>
      </c>
      <c r="AP8" s="41">
        <f>SUM(AM8:AO8)</f>
        <v>3491591.0752216643</v>
      </c>
      <c r="AQ8" s="42">
        <f>+AP8/AP$59</f>
        <v>4.4676387536875039E-4</v>
      </c>
    </row>
    <row r="9" spans="1:43" ht="14.25">
      <c r="A9" s="4" t="s">
        <v>2</v>
      </c>
      <c r="B9" s="46">
        <v>2324910</v>
      </c>
      <c r="C9" s="46">
        <v>836482</v>
      </c>
      <c r="D9" s="55">
        <f t="shared" si="0"/>
        <v>0.35979113169972171</v>
      </c>
      <c r="E9" s="56">
        <f t="shared" ref="E9:E58" si="14">+D9*C9</f>
        <v>300958.8054264466</v>
      </c>
      <c r="F9" s="130">
        <f t="shared" si="1"/>
        <v>1.7767466522048561E-4</v>
      </c>
      <c r="G9" s="43">
        <v>2439</v>
      </c>
      <c r="H9" s="119">
        <f t="shared" si="2"/>
        <v>4.7641334004231659E-4</v>
      </c>
      <c r="I9" s="45">
        <f t="shared" ref="I9:I58" si="15">+H9*I$4</f>
        <v>4.0495133903596908E-4</v>
      </c>
      <c r="J9" s="46">
        <v>978.99</v>
      </c>
      <c r="K9" s="116">
        <f t="shared" si="3"/>
        <v>1.524428317970032E-2</v>
      </c>
      <c r="L9" s="47">
        <f t="shared" ref="L9:L58" si="16">+K9*L$4</f>
        <v>2.2866424769550477E-3</v>
      </c>
      <c r="M9" s="130">
        <f t="shared" ref="M9:M58" si="17">+L9+I9</f>
        <v>2.6915938159910169E-3</v>
      </c>
      <c r="N9" s="48">
        <v>768</v>
      </c>
      <c r="O9" s="49">
        <v>191</v>
      </c>
      <c r="P9" s="49">
        <v>961</v>
      </c>
      <c r="Q9" s="49">
        <v>102</v>
      </c>
      <c r="R9" s="50">
        <f t="shared" ref="R9:U58" si="18">+N9/N$59*0.25</f>
        <v>4.4911125093857236E-4</v>
      </c>
      <c r="S9" s="50">
        <f t="shared" si="4"/>
        <v>5.4284187669815717E-4</v>
      </c>
      <c r="T9" s="50">
        <f t="shared" si="4"/>
        <v>7.1910038371974692E-4</v>
      </c>
      <c r="U9" s="50">
        <f t="shared" si="4"/>
        <v>6.514574764325678E-4</v>
      </c>
      <c r="V9" s="51">
        <f t="shared" ref="V9:V58" si="19">SUM(R9:U9)</f>
        <v>2.3625109877890441E-3</v>
      </c>
      <c r="W9" s="52">
        <v>468.99999999269994</v>
      </c>
      <c r="X9" s="52">
        <v>120</v>
      </c>
      <c r="Y9" s="52">
        <v>175</v>
      </c>
      <c r="Z9" s="52">
        <v>44</v>
      </c>
      <c r="AA9" s="53">
        <f t="shared" ref="AA9:AA58" si="20">+W9/W$59*0.25</f>
        <v>3.6885220115889019E-4</v>
      </c>
      <c r="AB9" s="53">
        <f t="shared" si="5"/>
        <v>4.0960104857868437E-4</v>
      </c>
      <c r="AC9" s="53">
        <f t="shared" si="5"/>
        <v>3.5535592449397314E-4</v>
      </c>
      <c r="AD9" s="53">
        <f t="shared" si="5"/>
        <v>8.0139880518723594E-4</v>
      </c>
      <c r="AE9" s="44">
        <f t="shared" ref="AE9:AE58" si="21">SUM(AA9:AD9)</f>
        <v>1.9352079794187835E-3</v>
      </c>
      <c r="AF9" s="54">
        <f t="shared" si="6"/>
        <v>1.644926782505966E-3</v>
      </c>
      <c r="AG9" s="44">
        <f t="shared" si="7"/>
        <v>-0.1808681570493571</v>
      </c>
      <c r="AH9" s="44">
        <f t="shared" si="8"/>
        <v>-0.1808681570493571</v>
      </c>
      <c r="AI9" s="45">
        <f t="shared" ref="AI9:AI58" si="22">+AH9/AH$59</f>
        <v>3.3703048799913031E-2</v>
      </c>
      <c r="AJ9" s="45">
        <f t="shared" si="9"/>
        <v>5.0554573199869546E-3</v>
      </c>
      <c r="AK9" s="130">
        <f t="shared" si="10"/>
        <v>6.7003841024929206E-3</v>
      </c>
      <c r="AM9" s="57">
        <f t="shared" si="11"/>
        <v>694289.880605057</v>
      </c>
      <c r="AN9" s="58">
        <f t="shared" si="12"/>
        <v>5258899.3113415744</v>
      </c>
      <c r="AO9" s="58">
        <f t="shared" si="13"/>
        <v>13091368.07083586</v>
      </c>
      <c r="AP9" s="58">
        <f t="shared" ref="AP9:AP58" si="23">SUM(AM9:AO9)</f>
        <v>19044557.262782492</v>
      </c>
      <c r="AQ9" s="59">
        <f t="shared" ref="AQ9:AQ58" si="24">+AP9/AP$59</f>
        <v>2.4368318122312271E-3</v>
      </c>
    </row>
    <row r="10" spans="1:43" ht="14.25">
      <c r="A10" s="4" t="s">
        <v>3</v>
      </c>
      <c r="B10" s="46">
        <v>1013386</v>
      </c>
      <c r="C10" s="46">
        <v>248385</v>
      </c>
      <c r="D10" s="55">
        <f t="shared" si="0"/>
        <v>0.24510403735595321</v>
      </c>
      <c r="E10" s="56">
        <f t="shared" si="14"/>
        <v>60880.166318658441</v>
      </c>
      <c r="F10" s="130">
        <f t="shared" si="1"/>
        <v>3.5941341386931874E-5</v>
      </c>
      <c r="G10" s="43">
        <v>1292</v>
      </c>
      <c r="H10" s="119">
        <f t="shared" si="2"/>
        <v>2.5236819816919762E-4</v>
      </c>
      <c r="I10" s="45">
        <f t="shared" si="15"/>
        <v>2.1451296844381799E-4</v>
      </c>
      <c r="J10" s="46">
        <v>696.75</v>
      </c>
      <c r="K10" s="116">
        <f t="shared" si="3"/>
        <v>1.0849400203736705E-2</v>
      </c>
      <c r="L10" s="47">
        <f t="shared" si="16"/>
        <v>1.6274100305605057E-3</v>
      </c>
      <c r="M10" s="130">
        <f t="shared" si="17"/>
        <v>1.8419229990043237E-3</v>
      </c>
      <c r="N10" s="48">
        <v>363</v>
      </c>
      <c r="O10" s="49">
        <v>91</v>
      </c>
      <c r="P10" s="49">
        <v>728</v>
      </c>
      <c r="Q10" s="49">
        <v>81</v>
      </c>
      <c r="R10" s="50">
        <f t="shared" si="18"/>
        <v>2.1227523970143459E-4</v>
      </c>
      <c r="S10" s="50">
        <f t="shared" si="4"/>
        <v>2.5863147004990736E-4</v>
      </c>
      <c r="T10" s="50">
        <f t="shared" si="4"/>
        <v>5.4475034271381456E-4</v>
      </c>
      <c r="U10" s="50">
        <f t="shared" si="4"/>
        <v>5.1733387834350972E-4</v>
      </c>
      <c r="V10" s="51">
        <f t="shared" si="19"/>
        <v>1.5329909308086662E-3</v>
      </c>
      <c r="W10" s="52">
        <v>209.00000000199</v>
      </c>
      <c r="X10" s="52">
        <v>60</v>
      </c>
      <c r="Y10" s="52">
        <v>193</v>
      </c>
      <c r="Z10" s="52">
        <v>19</v>
      </c>
      <c r="AA10" s="53">
        <f t="shared" si="20"/>
        <v>1.6437123676789337E-4</v>
      </c>
      <c r="AB10" s="53">
        <f t="shared" si="5"/>
        <v>2.0480052428934218E-4</v>
      </c>
      <c r="AC10" s="53">
        <f t="shared" si="5"/>
        <v>3.9190681958478185E-4</v>
      </c>
      <c r="AD10" s="53">
        <f t="shared" si="5"/>
        <v>3.4605857496721549E-4</v>
      </c>
      <c r="AE10" s="44">
        <f t="shared" si="21"/>
        <v>1.107137155609233E-3</v>
      </c>
      <c r="AF10" s="54">
        <f t="shared" si="6"/>
        <v>9.4106658226784804E-4</v>
      </c>
      <c r="AG10" s="44">
        <f t="shared" si="7"/>
        <v>-0.27779275574369616</v>
      </c>
      <c r="AH10" s="44">
        <f t="shared" si="8"/>
        <v>-0.27779275574369616</v>
      </c>
      <c r="AI10" s="45">
        <f t="shared" si="22"/>
        <v>5.1764019470476444E-2</v>
      </c>
      <c r="AJ10" s="45">
        <f t="shared" si="9"/>
        <v>7.7646029205714661E-3</v>
      </c>
      <c r="AK10" s="130">
        <f t="shared" si="10"/>
        <v>8.7056695028393145E-3</v>
      </c>
      <c r="AM10" s="57">
        <f t="shared" si="11"/>
        <v>140446.07648114709</v>
      </c>
      <c r="AN10" s="58">
        <f t="shared" si="12"/>
        <v>3598792.4825282674</v>
      </c>
      <c r="AO10" s="58">
        <f t="shared" si="13"/>
        <v>17009341.855837364</v>
      </c>
      <c r="AP10" s="58">
        <f t="shared" si="23"/>
        <v>20748580.414846778</v>
      </c>
      <c r="AQ10" s="59">
        <f t="shared" si="24"/>
        <v>2.6548687961543754E-3</v>
      </c>
    </row>
    <row r="11" spans="1:43" ht="13.5" customHeight="1">
      <c r="A11" s="4" t="s">
        <v>4</v>
      </c>
      <c r="B11" s="46">
        <v>34542045</v>
      </c>
      <c r="C11" s="46">
        <v>15242673</v>
      </c>
      <c r="D11" s="55">
        <f t="shared" si="0"/>
        <v>0.44127882411131131</v>
      </c>
      <c r="E11" s="56">
        <f t="shared" si="14"/>
        <v>6726268.8177532339</v>
      </c>
      <c r="F11" s="130">
        <f t="shared" si="1"/>
        <v>3.9709340242891581E-3</v>
      </c>
      <c r="G11" s="43">
        <v>34353</v>
      </c>
      <c r="H11" s="119">
        <f t="shared" si="2"/>
        <v>6.7102203650978689E-3</v>
      </c>
      <c r="I11" s="45">
        <f t="shared" si="15"/>
        <v>5.7036873103331887E-3</v>
      </c>
      <c r="J11" s="46">
        <v>190.52</v>
      </c>
      <c r="K11" s="116">
        <f t="shared" si="3"/>
        <v>2.9666705802883636E-3</v>
      </c>
      <c r="L11" s="47">
        <f t="shared" si="16"/>
        <v>4.4500058704325453E-4</v>
      </c>
      <c r="M11" s="130">
        <f t="shared" si="17"/>
        <v>6.148687897376443E-3</v>
      </c>
      <c r="N11" s="48">
        <v>3420</v>
      </c>
      <c r="O11" s="49">
        <v>773</v>
      </c>
      <c r="P11" s="49">
        <v>6993</v>
      </c>
      <c r="Q11" s="49">
        <v>216</v>
      </c>
      <c r="R11" s="50">
        <f t="shared" si="18"/>
        <v>1.99994853933583E-3</v>
      </c>
      <c r="S11" s="50">
        <f t="shared" si="4"/>
        <v>2.196946443390971E-3</v>
      </c>
      <c r="T11" s="50">
        <f t="shared" si="4"/>
        <v>5.2327460804913531E-3</v>
      </c>
      <c r="U11" s="50">
        <f t="shared" si="4"/>
        <v>1.3795570089160259E-3</v>
      </c>
      <c r="V11" s="51">
        <f t="shared" si="19"/>
        <v>1.080919807213418E-2</v>
      </c>
      <c r="W11" s="52">
        <v>2055.0000000045479</v>
      </c>
      <c r="X11" s="52">
        <v>629</v>
      </c>
      <c r="Y11" s="52">
        <v>1238</v>
      </c>
      <c r="Z11" s="52">
        <v>59</v>
      </c>
      <c r="AA11" s="53">
        <f t="shared" si="20"/>
        <v>1.6161860839978574E-3</v>
      </c>
      <c r="AB11" s="53">
        <f t="shared" si="5"/>
        <v>2.1469921629666037E-3</v>
      </c>
      <c r="AC11" s="53">
        <f t="shared" si="5"/>
        <v>2.5138893401345074E-3</v>
      </c>
      <c r="AD11" s="53">
        <f t="shared" si="5"/>
        <v>1.074602943319248E-3</v>
      </c>
      <c r="AE11" s="44">
        <f t="shared" si="21"/>
        <v>7.3516705304182165E-3</v>
      </c>
      <c r="AF11" s="54">
        <f t="shared" si="6"/>
        <v>6.2489199508554841E-3</v>
      </c>
      <c r="AG11" s="44">
        <f t="shared" si="7"/>
        <v>-0.31986901513345156</v>
      </c>
      <c r="AH11" s="44">
        <f t="shared" si="8"/>
        <v>-0.31986901513345156</v>
      </c>
      <c r="AI11" s="45">
        <f t="shared" si="22"/>
        <v>5.9604527422043294E-2</v>
      </c>
      <c r="AJ11" s="45">
        <f t="shared" si="9"/>
        <v>8.9406791133064944E-3</v>
      </c>
      <c r="AK11" s="130">
        <f t="shared" si="10"/>
        <v>1.5189599064161979E-2</v>
      </c>
      <c r="AM11" s="57">
        <f t="shared" si="11"/>
        <v>15517008.607800111</v>
      </c>
      <c r="AN11" s="58">
        <f t="shared" si="12"/>
        <v>12013451.047873549</v>
      </c>
      <c r="AO11" s="58">
        <f t="shared" si="13"/>
        <v>29677795.95253114</v>
      </c>
      <c r="AP11" s="58">
        <f t="shared" si="23"/>
        <v>57208255.608204797</v>
      </c>
      <c r="AQ11" s="59">
        <f t="shared" si="24"/>
        <v>7.320038752529184E-3</v>
      </c>
    </row>
    <row r="12" spans="1:43" ht="14.25">
      <c r="A12" s="4" t="s">
        <v>5</v>
      </c>
      <c r="B12" s="46">
        <v>11838883</v>
      </c>
      <c r="C12" s="46">
        <v>2322895</v>
      </c>
      <c r="D12" s="55">
        <f t="shared" si="0"/>
        <v>0.19620896667362961</v>
      </c>
      <c r="E12" s="56">
        <f t="shared" si="14"/>
        <v>455772.82764134085</v>
      </c>
      <c r="F12" s="130">
        <f t="shared" si="1"/>
        <v>2.6907099279924678E-4</v>
      </c>
      <c r="G12" s="43">
        <v>18194</v>
      </c>
      <c r="H12" s="119">
        <f t="shared" si="2"/>
        <v>3.5538599051783142E-3</v>
      </c>
      <c r="I12" s="45">
        <f t="shared" si="15"/>
        <v>3.0207809194015669E-3</v>
      </c>
      <c r="J12" s="46">
        <v>4572.87</v>
      </c>
      <c r="K12" s="116">
        <f t="shared" si="3"/>
        <v>7.1206166788175776E-2</v>
      </c>
      <c r="L12" s="47">
        <f t="shared" si="16"/>
        <v>1.0680925018226366E-2</v>
      </c>
      <c r="M12" s="130">
        <f t="shared" si="17"/>
        <v>1.3701705937627932E-2</v>
      </c>
      <c r="N12" s="48">
        <v>3207</v>
      </c>
      <c r="O12" s="49">
        <v>706</v>
      </c>
      <c r="P12" s="49">
        <v>5696</v>
      </c>
      <c r="Q12" s="49">
        <v>1464</v>
      </c>
      <c r="R12" s="50">
        <f t="shared" si="18"/>
        <v>1.8753903408333353E-3</v>
      </c>
      <c r="S12" s="50">
        <f t="shared" si="4"/>
        <v>2.0065254709366437E-3</v>
      </c>
      <c r="T12" s="50">
        <f t="shared" si="4"/>
        <v>4.2622224616729225E-3</v>
      </c>
      <c r="U12" s="50">
        <f t="shared" si="4"/>
        <v>9.3503308382086193E-3</v>
      </c>
      <c r="V12" s="51">
        <f t="shared" si="19"/>
        <v>1.749446911165152E-2</v>
      </c>
      <c r="W12" s="52">
        <v>2802.0000000077798</v>
      </c>
      <c r="X12" s="52">
        <v>510</v>
      </c>
      <c r="Y12" s="52">
        <v>1865</v>
      </c>
      <c r="Z12" s="52">
        <v>534</v>
      </c>
      <c r="AA12" s="53">
        <f t="shared" si="20"/>
        <v>2.2036756240216781E-3</v>
      </c>
      <c r="AB12" s="53">
        <f t="shared" si="5"/>
        <v>1.7408044564594086E-3</v>
      </c>
      <c r="AC12" s="53">
        <f t="shared" si="5"/>
        <v>3.7870788524643428E-3</v>
      </c>
      <c r="AD12" s="53">
        <f t="shared" si="5"/>
        <v>9.7260673174996357E-3</v>
      </c>
      <c r="AE12" s="44">
        <f t="shared" si="21"/>
        <v>1.7457626250445064E-2</v>
      </c>
      <c r="AF12" s="54">
        <f t="shared" si="6"/>
        <v>1.4838982312878304E-2</v>
      </c>
      <c r="AG12" s="44">
        <f t="shared" si="7"/>
        <v>-2.1059719486953626E-3</v>
      </c>
      <c r="AH12" s="44">
        <f t="shared" si="8"/>
        <v>-2.1059719486953626E-3</v>
      </c>
      <c r="AI12" s="45">
        <f t="shared" si="22"/>
        <v>3.9242770267603632E-4</v>
      </c>
      <c r="AJ12" s="45">
        <f t="shared" si="9"/>
        <v>5.8864155401405446E-5</v>
      </c>
      <c r="AK12" s="130">
        <f t="shared" si="10"/>
        <v>1.4897846468279709E-2</v>
      </c>
      <c r="AM12" s="57">
        <f t="shared" si="11"/>
        <v>1051434.4700357085</v>
      </c>
      <c r="AN12" s="58">
        <f t="shared" si="12"/>
        <v>26770715.362587523</v>
      </c>
      <c r="AO12" s="58">
        <f t="shared" si="13"/>
        <v>29107762.86787625</v>
      </c>
      <c r="AP12" s="58">
        <f t="shared" si="23"/>
        <v>56929912.700499482</v>
      </c>
      <c r="AQ12" s="59">
        <f t="shared" si="24"/>
        <v>7.2844235978765338E-3</v>
      </c>
    </row>
    <row r="13" spans="1:43" ht="14.25">
      <c r="A13" s="4" t="s">
        <v>6</v>
      </c>
      <c r="B13" s="46">
        <v>732483979</v>
      </c>
      <c r="C13" s="46">
        <v>263928665.28</v>
      </c>
      <c r="D13" s="55">
        <f t="shared" si="0"/>
        <v>0.36032005183283333</v>
      </c>
      <c r="E13" s="56">
        <f t="shared" si="14"/>
        <v>95098790.353860125</v>
      </c>
      <c r="F13" s="130">
        <f t="shared" si="1"/>
        <v>5.6142719316862558E-2</v>
      </c>
      <c r="G13" s="43">
        <v>597207</v>
      </c>
      <c r="H13" s="119">
        <f t="shared" si="2"/>
        <v>0.11665329297525698</v>
      </c>
      <c r="I13" s="45">
        <f t="shared" si="15"/>
        <v>9.9155299028968427E-2</v>
      </c>
      <c r="J13" s="46">
        <v>238.03</v>
      </c>
      <c r="K13" s="116">
        <f t="shared" si="3"/>
        <v>3.7064696526665922E-3</v>
      </c>
      <c r="L13" s="47">
        <f t="shared" si="16"/>
        <v>5.5597044789998883E-4</v>
      </c>
      <c r="M13" s="130">
        <f t="shared" si="17"/>
        <v>9.9711269476868411E-2</v>
      </c>
      <c r="N13" s="48">
        <v>27572</v>
      </c>
      <c r="O13" s="49">
        <v>4134</v>
      </c>
      <c r="P13" s="49">
        <v>4960</v>
      </c>
      <c r="Q13" s="49">
        <v>1244</v>
      </c>
      <c r="R13" s="50">
        <f t="shared" si="18"/>
        <v>1.6123561732914474E-2</v>
      </c>
      <c r="S13" s="50">
        <f t="shared" si="4"/>
        <v>1.1749258210838649E-2</v>
      </c>
      <c r="T13" s="50">
        <f t="shared" si="4"/>
        <v>3.711485851456758E-3</v>
      </c>
      <c r="U13" s="50">
        <f t="shared" si="4"/>
        <v>7.9452264772756302E-3</v>
      </c>
      <c r="V13" s="51">
        <f t="shared" si="19"/>
        <v>3.9529532272485512E-2</v>
      </c>
      <c r="W13" s="52">
        <v>34239.000000084088</v>
      </c>
      <c r="X13" s="52">
        <v>3826</v>
      </c>
      <c r="Y13" s="52">
        <v>1071</v>
      </c>
      <c r="Z13" s="52">
        <v>267</v>
      </c>
      <c r="AA13" s="53">
        <f t="shared" si="20"/>
        <v>2.6927783615579601E-2</v>
      </c>
      <c r="AB13" s="53">
        <f t="shared" si="5"/>
        <v>1.3059446765517053E-2</v>
      </c>
      <c r="AC13" s="53">
        <f t="shared" si="5"/>
        <v>2.1747782579031156E-3</v>
      </c>
      <c r="AD13" s="53">
        <f t="shared" si="5"/>
        <v>4.8630336587498178E-3</v>
      </c>
      <c r="AE13" s="44">
        <f t="shared" si="21"/>
        <v>4.7025042297749592E-2</v>
      </c>
      <c r="AF13" s="54">
        <f t="shared" si="6"/>
        <v>3.9971285953087153E-2</v>
      </c>
      <c r="AG13" s="44">
        <f t="shared" si="7"/>
        <v>0.18961797912497236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30">
        <f t="shared" si="10"/>
        <v>3.9971285953087153E-2</v>
      </c>
      <c r="AM13" s="57">
        <f t="shared" si="11"/>
        <v>219385931.26361766</v>
      </c>
      <c r="AN13" s="58">
        <f t="shared" si="12"/>
        <v>194818223.78605416</v>
      </c>
      <c r="AO13" s="58">
        <f t="shared" si="13"/>
        <v>78096838.72926119</v>
      </c>
      <c r="AP13" s="58">
        <f t="shared" si="23"/>
        <v>492300993.77893305</v>
      </c>
      <c r="AQ13" s="59">
        <f t="shared" si="24"/>
        <v>6.2991998515920175E-2</v>
      </c>
    </row>
    <row r="14" spans="1:43" ht="14.25">
      <c r="A14" s="4" t="s">
        <v>7</v>
      </c>
      <c r="B14" s="46">
        <v>1419381</v>
      </c>
      <c r="C14" s="46">
        <v>282007</v>
      </c>
      <c r="D14" s="55">
        <f t="shared" si="0"/>
        <v>0.19868308790944786</v>
      </c>
      <c r="E14" s="56">
        <f t="shared" si="14"/>
        <v>56030.021572079662</v>
      </c>
      <c r="F14" s="130">
        <f t="shared" si="1"/>
        <v>3.3077999864499195E-5</v>
      </c>
      <c r="G14" s="43">
        <v>16152</v>
      </c>
      <c r="H14" s="119">
        <f t="shared" si="2"/>
        <v>3.1549931399604335E-3</v>
      </c>
      <c r="I14" s="45">
        <f t="shared" si="15"/>
        <v>2.6817441689663685E-3</v>
      </c>
      <c r="J14" s="46">
        <v>2664.8</v>
      </c>
      <c r="K14" s="116">
        <f t="shared" si="3"/>
        <v>4.149477095503061E-2</v>
      </c>
      <c r="L14" s="47">
        <f t="shared" si="16"/>
        <v>6.224215643254591E-3</v>
      </c>
      <c r="M14" s="130">
        <f t="shared" si="17"/>
        <v>8.9059598122209586E-3</v>
      </c>
      <c r="N14" s="48">
        <v>3888</v>
      </c>
      <c r="O14" s="49">
        <v>1372</v>
      </c>
      <c r="P14" s="49">
        <v>11340</v>
      </c>
      <c r="Q14" s="49">
        <v>3122</v>
      </c>
      <c r="R14" s="50">
        <f t="shared" si="18"/>
        <v>2.2736257078765226E-3</v>
      </c>
      <c r="S14" s="50">
        <f t="shared" si="4"/>
        <v>3.8993667792139876E-3</v>
      </c>
      <c r="T14" s="50">
        <f t="shared" si="4"/>
        <v>8.4855341845805725E-3</v>
      </c>
      <c r="U14" s="50">
        <f t="shared" si="4"/>
        <v>1.9939708249239966E-2</v>
      </c>
      <c r="V14" s="51">
        <f t="shared" si="19"/>
        <v>3.4598234920911047E-2</v>
      </c>
      <c r="W14" s="52">
        <v>3560.0000000065597</v>
      </c>
      <c r="X14" s="52">
        <v>1140</v>
      </c>
      <c r="Y14" s="52">
        <v>7405</v>
      </c>
      <c r="Z14" s="52">
        <v>920</v>
      </c>
      <c r="AA14" s="53">
        <f t="shared" si="20"/>
        <v>2.7998162817665408E-3</v>
      </c>
      <c r="AB14" s="53">
        <f t="shared" si="5"/>
        <v>3.8912099614975015E-3</v>
      </c>
      <c r="AC14" s="53">
        <f t="shared" si="5"/>
        <v>1.5036632119302121E-2</v>
      </c>
      <c r="AD14" s="53">
        <f t="shared" si="5"/>
        <v>1.6756520472096751E-2</v>
      </c>
      <c r="AE14" s="44">
        <f t="shared" si="21"/>
        <v>3.8484178834662916E-2</v>
      </c>
      <c r="AF14" s="54">
        <f t="shared" si="6"/>
        <v>3.2711552009463477E-2</v>
      </c>
      <c r="AG14" s="44">
        <f t="shared" si="7"/>
        <v>0.11231624742229894</v>
      </c>
      <c r="AH14" s="44">
        <f t="shared" si="8"/>
        <v>0</v>
      </c>
      <c r="AI14" s="45">
        <f t="shared" si="22"/>
        <v>0</v>
      </c>
      <c r="AJ14" s="45">
        <f t="shared" si="9"/>
        <v>0</v>
      </c>
      <c r="AK14" s="130">
        <f t="shared" si="10"/>
        <v>3.2711552009463477E-2</v>
      </c>
      <c r="AM14" s="57">
        <f t="shared" si="11"/>
        <v>129257.14844081961</v>
      </c>
      <c r="AN14" s="58">
        <f t="shared" si="12"/>
        <v>17400673.773683853</v>
      </c>
      <c r="AO14" s="58">
        <f t="shared" si="13"/>
        <v>63912599.781383842</v>
      </c>
      <c r="AP14" s="58">
        <f t="shared" si="23"/>
        <v>81442530.703508511</v>
      </c>
      <c r="AQ14" s="59">
        <f t="shared" si="24"/>
        <v>1.0420916955353358E-2</v>
      </c>
    </row>
    <row r="15" spans="1:43" ht="14.25">
      <c r="A15" s="4" t="s">
        <v>8</v>
      </c>
      <c r="B15" s="46">
        <v>2557126</v>
      </c>
      <c r="C15" s="46">
        <v>721021</v>
      </c>
      <c r="D15" s="55">
        <f t="shared" si="0"/>
        <v>0.28196537831925372</v>
      </c>
      <c r="E15" s="56">
        <f t="shared" si="14"/>
        <v>203302.95904112663</v>
      </c>
      <c r="F15" s="130">
        <f t="shared" si="1"/>
        <v>1.2002235699594548E-4</v>
      </c>
      <c r="G15" s="43">
        <v>3977</v>
      </c>
      <c r="H15" s="119">
        <f t="shared" si="2"/>
        <v>7.7683306820348224E-4</v>
      </c>
      <c r="I15" s="45">
        <f t="shared" si="15"/>
        <v>6.6030810797295986E-4</v>
      </c>
      <c r="J15" s="46">
        <v>465.62</v>
      </c>
      <c r="K15" s="116">
        <f t="shared" si="3"/>
        <v>7.2503734809671837E-3</v>
      </c>
      <c r="L15" s="47">
        <f t="shared" si="16"/>
        <v>1.0875560221450776E-3</v>
      </c>
      <c r="M15" s="130">
        <f t="shared" si="17"/>
        <v>1.7478641301180375E-3</v>
      </c>
      <c r="N15" s="48">
        <v>739</v>
      </c>
      <c r="O15" s="49">
        <v>153</v>
      </c>
      <c r="P15" s="49">
        <v>789</v>
      </c>
      <c r="Q15" s="49">
        <v>57</v>
      </c>
      <c r="R15" s="50">
        <f t="shared" si="18"/>
        <v>4.3215262297344398E-4</v>
      </c>
      <c r="S15" s="50">
        <f t="shared" si="4"/>
        <v>4.3484192217182224E-4</v>
      </c>
      <c r="T15" s="50">
        <f t="shared" si="4"/>
        <v>5.9039563241923033E-4</v>
      </c>
      <c r="U15" s="50">
        <f t="shared" si="4"/>
        <v>3.6404976624172905E-4</v>
      </c>
      <c r="V15" s="51">
        <f t="shared" si="19"/>
        <v>1.8214399438062257E-3</v>
      </c>
      <c r="W15" s="52">
        <v>518.99999999744</v>
      </c>
      <c r="X15" s="52">
        <v>104</v>
      </c>
      <c r="Y15" s="52">
        <v>89</v>
      </c>
      <c r="Z15" s="52">
        <v>41</v>
      </c>
      <c r="AA15" s="53">
        <f t="shared" si="20"/>
        <v>4.0817546354690717E-4</v>
      </c>
      <c r="AB15" s="53">
        <f t="shared" si="5"/>
        <v>3.5498757543485978E-4</v>
      </c>
      <c r="AC15" s="53">
        <f t="shared" si="5"/>
        <v>1.8072387017122063E-4</v>
      </c>
      <c r="AD15" s="53">
        <f t="shared" si="5"/>
        <v>7.4675797756083341E-4</v>
      </c>
      <c r="AE15" s="44">
        <f t="shared" si="21"/>
        <v>1.6906448867138209E-3</v>
      </c>
      <c r="AF15" s="54">
        <f t="shared" si="6"/>
        <v>1.4370481537067476E-3</v>
      </c>
      <c r="AG15" s="44">
        <f t="shared" si="7"/>
        <v>-7.1808602604313709E-2</v>
      </c>
      <c r="AH15" s="44">
        <f t="shared" si="8"/>
        <v>-7.1808602604313709E-2</v>
      </c>
      <c r="AI15" s="45">
        <f t="shared" si="22"/>
        <v>1.3380845347842557E-2</v>
      </c>
      <c r="AJ15" s="45">
        <f t="shared" si="9"/>
        <v>2.0071268021763836E-3</v>
      </c>
      <c r="AK15" s="130">
        <f t="shared" si="10"/>
        <v>3.4441749558831313E-3</v>
      </c>
      <c r="AM15" s="57">
        <f t="shared" si="11"/>
        <v>469005.00870646734</v>
      </c>
      <c r="AN15" s="58">
        <f t="shared" si="12"/>
        <v>3415018.0519760358</v>
      </c>
      <c r="AO15" s="58">
        <f t="shared" si="13"/>
        <v>6729310.045232377</v>
      </c>
      <c r="AP15" s="58">
        <f t="shared" si="23"/>
        <v>10613333.10591488</v>
      </c>
      <c r="AQ15" s="59">
        <f t="shared" si="24"/>
        <v>1.3580209499982649E-3</v>
      </c>
    </row>
    <row r="16" spans="1:43" ht="14.25">
      <c r="A16" s="4" t="s">
        <v>9</v>
      </c>
      <c r="B16" s="46">
        <v>90630328</v>
      </c>
      <c r="C16" s="46">
        <v>28310880.329999998</v>
      </c>
      <c r="D16" s="55">
        <f t="shared" si="0"/>
        <v>0.31237755566767889</v>
      </c>
      <c r="E16" s="56">
        <f t="shared" si="14"/>
        <v>8843683.5962855704</v>
      </c>
      <c r="F16" s="130">
        <f t="shared" si="1"/>
        <v>5.2209754091078068E-3</v>
      </c>
      <c r="G16" s="43">
        <v>95534</v>
      </c>
      <c r="H16" s="119">
        <f t="shared" si="2"/>
        <v>1.8660792139238488E-2</v>
      </c>
      <c r="I16" s="45">
        <f t="shared" si="15"/>
        <v>1.5861673318352715E-2</v>
      </c>
      <c r="J16" s="46">
        <v>1140.97</v>
      </c>
      <c r="K16" s="116">
        <f t="shared" si="3"/>
        <v>1.7766544887631817E-2</v>
      </c>
      <c r="L16" s="47">
        <f t="shared" si="16"/>
        <v>2.6649817331447726E-3</v>
      </c>
      <c r="M16" s="130">
        <f t="shared" si="17"/>
        <v>1.852665505149749E-2</v>
      </c>
      <c r="N16" s="48">
        <v>6662</v>
      </c>
      <c r="O16" s="49">
        <v>2055</v>
      </c>
      <c r="P16" s="49">
        <v>14558</v>
      </c>
      <c r="Q16" s="49">
        <v>683</v>
      </c>
      <c r="R16" s="50">
        <f t="shared" si="18"/>
        <v>3.895806189782251E-3</v>
      </c>
      <c r="S16" s="50">
        <f t="shared" si="4"/>
        <v>5.8405238566215344E-3</v>
      </c>
      <c r="T16" s="50">
        <f t="shared" si="4"/>
        <v>1.0893510287400703E-2</v>
      </c>
      <c r="U16" s="50">
        <f t="shared" si="4"/>
        <v>4.3622103568965081E-3</v>
      </c>
      <c r="V16" s="51">
        <f t="shared" si="19"/>
        <v>2.4992050690700995E-2</v>
      </c>
      <c r="W16" s="52">
        <v>5056.9999999440479</v>
      </c>
      <c r="X16" s="52">
        <v>1587</v>
      </c>
      <c r="Y16" s="52">
        <v>3489</v>
      </c>
      <c r="Z16" s="52">
        <v>461</v>
      </c>
      <c r="AA16" s="53">
        <f t="shared" si="20"/>
        <v>3.9771547575029919E-3</v>
      </c>
      <c r="AB16" s="53">
        <f t="shared" si="5"/>
        <v>5.4169738674531009E-3</v>
      </c>
      <c r="AC16" s="53">
        <f t="shared" si="5"/>
        <v>7.0847818317684138E-3</v>
      </c>
      <c r="AD16" s="53">
        <f t="shared" si="5"/>
        <v>8.3964738452571765E-3</v>
      </c>
      <c r="AE16" s="44">
        <f t="shared" si="21"/>
        <v>2.4875384301981683E-2</v>
      </c>
      <c r="AF16" s="54">
        <f t="shared" si="6"/>
        <v>2.114407665668443E-2</v>
      </c>
      <c r="AG16" s="44">
        <f t="shared" si="7"/>
        <v>-4.6681398882853836E-3</v>
      </c>
      <c r="AH16" s="44">
        <f t="shared" si="8"/>
        <v>-4.6681398882853836E-3</v>
      </c>
      <c r="AI16" s="45">
        <f t="shared" si="22"/>
        <v>8.6986315903450563E-4</v>
      </c>
      <c r="AJ16" s="45">
        <f t="shared" si="9"/>
        <v>1.3047947385517585E-4</v>
      </c>
      <c r="AK16" s="130">
        <f t="shared" si="10"/>
        <v>2.1274556130539607E-2</v>
      </c>
      <c r="AM16" s="57">
        <f t="shared" si="11"/>
        <v>20401729.131911464</v>
      </c>
      <c r="AN16" s="58">
        <f t="shared" si="12"/>
        <v>36197814.437283657</v>
      </c>
      <c r="AO16" s="58">
        <f t="shared" si="13"/>
        <v>41566728.203675516</v>
      </c>
      <c r="AP16" s="58">
        <f t="shared" si="23"/>
        <v>98166271.77287063</v>
      </c>
      <c r="AQ16" s="59">
        <f t="shared" si="24"/>
        <v>1.2560790500063177E-2</v>
      </c>
    </row>
    <row r="17" spans="1:43" ht="14.25">
      <c r="A17" s="4" t="s">
        <v>10</v>
      </c>
      <c r="B17" s="46">
        <v>20836701</v>
      </c>
      <c r="C17" s="46">
        <v>4203660</v>
      </c>
      <c r="D17" s="55">
        <f t="shared" si="0"/>
        <v>0.20174306863644106</v>
      </c>
      <c r="E17" s="56">
        <f t="shared" si="14"/>
        <v>848059.26790426183</v>
      </c>
      <c r="F17" s="130">
        <f t="shared" si="1"/>
        <v>5.0066203013569984E-4</v>
      </c>
      <c r="G17" s="43">
        <v>38306</v>
      </c>
      <c r="H17" s="119">
        <f t="shared" si="2"/>
        <v>7.4823654791557935E-3</v>
      </c>
      <c r="I17" s="45">
        <f t="shared" si="15"/>
        <v>6.3600106572824239E-3</v>
      </c>
      <c r="J17" s="46">
        <v>102.38</v>
      </c>
      <c r="K17" s="116">
        <f t="shared" si="3"/>
        <v>1.5942039366466652E-3</v>
      </c>
      <c r="L17" s="47">
        <f t="shared" si="16"/>
        <v>2.3913059049699976E-4</v>
      </c>
      <c r="M17" s="130">
        <f t="shared" si="17"/>
        <v>6.5991412477794239E-3</v>
      </c>
      <c r="N17" s="48">
        <v>981</v>
      </c>
      <c r="O17" s="49">
        <v>219</v>
      </c>
      <c r="P17" s="49">
        <v>1075</v>
      </c>
      <c r="Q17" s="49">
        <v>108</v>
      </c>
      <c r="R17" s="50">
        <f t="shared" si="18"/>
        <v>5.73669449441067E-4</v>
      </c>
      <c r="S17" s="50">
        <f t="shared" si="4"/>
        <v>6.2242079055966715E-4</v>
      </c>
      <c r="T17" s="50">
        <f t="shared" si="4"/>
        <v>8.0440469562822884E-4</v>
      </c>
      <c r="U17" s="50">
        <f t="shared" si="4"/>
        <v>6.8977850445801295E-4</v>
      </c>
      <c r="V17" s="51">
        <f t="shared" si="19"/>
        <v>2.6902734400869759E-3</v>
      </c>
      <c r="W17" s="52">
        <v>716.99999998365001</v>
      </c>
      <c r="X17" s="52">
        <v>253</v>
      </c>
      <c r="Y17" s="52">
        <v>273</v>
      </c>
      <c r="Z17" s="52">
        <v>153</v>
      </c>
      <c r="AA17" s="53">
        <f t="shared" si="20"/>
        <v>5.6389558257784655E-4</v>
      </c>
      <c r="AB17" s="53">
        <f t="shared" si="5"/>
        <v>8.6357554408672619E-4</v>
      </c>
      <c r="AC17" s="53">
        <f t="shared" si="5"/>
        <v>5.5435524221059812E-4</v>
      </c>
      <c r="AD17" s="53">
        <f t="shared" si="5"/>
        <v>2.786682208946525E-3</v>
      </c>
      <c r="AE17" s="44">
        <f t="shared" si="21"/>
        <v>4.7685085778216962E-3</v>
      </c>
      <c r="AF17" s="54">
        <f t="shared" si="6"/>
        <v>4.0532322911484417E-3</v>
      </c>
      <c r="AG17" s="44">
        <f t="shared" si="7"/>
        <v>0.77249959307762084</v>
      </c>
      <c r="AH17" s="44">
        <f t="shared" si="8"/>
        <v>0</v>
      </c>
      <c r="AI17" s="45">
        <f t="shared" si="22"/>
        <v>0</v>
      </c>
      <c r="AJ17" s="45">
        <f t="shared" si="9"/>
        <v>0</v>
      </c>
      <c r="AK17" s="130">
        <f t="shared" si="10"/>
        <v>4.0532322911484417E-3</v>
      </c>
      <c r="AM17" s="57">
        <f t="shared" si="11"/>
        <v>1956410.5028425981</v>
      </c>
      <c r="AN17" s="58">
        <f t="shared" si="12"/>
        <v>12893557.399787404</v>
      </c>
      <c r="AO17" s="58">
        <f t="shared" si="13"/>
        <v>7919300.59357036</v>
      </c>
      <c r="AP17" s="58">
        <f t="shared" si="23"/>
        <v>22769268.49620036</v>
      </c>
      <c r="AQ17" s="59">
        <f t="shared" si="24"/>
        <v>2.913424399799816E-3</v>
      </c>
    </row>
    <row r="18" spans="1:43" ht="14.25">
      <c r="A18" s="4" t="s">
        <v>11</v>
      </c>
      <c r="B18" s="46">
        <v>3698336</v>
      </c>
      <c r="C18" s="46">
        <v>3866062</v>
      </c>
      <c r="D18" s="55">
        <f t="shared" si="0"/>
        <v>1.0453517473804435</v>
      </c>
      <c r="E18" s="56">
        <f t="shared" si="14"/>
        <v>4041394.6671811319</v>
      </c>
      <c r="F18" s="130">
        <f t="shared" si="1"/>
        <v>2.3858861464372523E-3</v>
      </c>
      <c r="G18" s="43">
        <v>7757</v>
      </c>
      <c r="H18" s="119">
        <f t="shared" si="2"/>
        <v>1.5151858461288437E-3</v>
      </c>
      <c r="I18" s="45">
        <f t="shared" si="15"/>
        <v>1.2879079692095171E-3</v>
      </c>
      <c r="J18" s="46">
        <v>1006.89</v>
      </c>
      <c r="K18" s="116">
        <f t="shared" si="3"/>
        <v>1.5678726331023254E-2</v>
      </c>
      <c r="L18" s="47">
        <f t="shared" si="16"/>
        <v>2.3518089496534882E-3</v>
      </c>
      <c r="M18" s="130">
        <f t="shared" si="17"/>
        <v>3.6397169188630051E-3</v>
      </c>
      <c r="N18" s="48">
        <v>1343</v>
      </c>
      <c r="O18" s="49">
        <v>344</v>
      </c>
      <c r="P18" s="49">
        <v>1532</v>
      </c>
      <c r="Q18" s="49">
        <v>359</v>
      </c>
      <c r="R18" s="50">
        <f t="shared" si="18"/>
        <v>7.85359908867842E-4</v>
      </c>
      <c r="S18" s="50">
        <f t="shared" si="4"/>
        <v>9.7768379886997952E-4</v>
      </c>
      <c r="T18" s="50">
        <f t="shared" si="4"/>
        <v>1.1463702266999503E-3</v>
      </c>
      <c r="U18" s="50">
        <f t="shared" si="4"/>
        <v>2.2928748435224688E-3</v>
      </c>
      <c r="V18" s="51">
        <f t="shared" si="19"/>
        <v>5.2022887779602407E-3</v>
      </c>
      <c r="W18" s="52">
        <v>655.00000000354908</v>
      </c>
      <c r="X18" s="52">
        <v>319</v>
      </c>
      <c r="Y18" s="52">
        <v>345</v>
      </c>
      <c r="Z18" s="52">
        <v>110</v>
      </c>
      <c r="AA18" s="53">
        <f t="shared" si="20"/>
        <v>5.1513473723697805E-4</v>
      </c>
      <c r="AB18" s="53">
        <f t="shared" si="5"/>
        <v>1.0888561208050025E-3</v>
      </c>
      <c r="AC18" s="53">
        <f t="shared" si="5"/>
        <v>7.0055882257383283E-4</v>
      </c>
      <c r="AD18" s="53">
        <f t="shared" si="5"/>
        <v>2.0034970129680896E-3</v>
      </c>
      <c r="AE18" s="44">
        <f t="shared" si="21"/>
        <v>4.3080466935839033E-3</v>
      </c>
      <c r="AF18" s="54">
        <f t="shared" si="6"/>
        <v>3.6618396895463177E-3</v>
      </c>
      <c r="AG18" s="44">
        <f t="shared" si="7"/>
        <v>-0.17189397254624528</v>
      </c>
      <c r="AH18" s="44">
        <f t="shared" si="8"/>
        <v>-0.17189397254624528</v>
      </c>
      <c r="AI18" s="45">
        <f t="shared" si="22"/>
        <v>3.2030795468082691E-2</v>
      </c>
      <c r="AJ18" s="45">
        <f t="shared" si="9"/>
        <v>4.8046193202124039E-3</v>
      </c>
      <c r="AK18" s="130">
        <f t="shared" si="10"/>
        <v>8.4664590097587207E-3</v>
      </c>
      <c r="AM18" s="57">
        <f t="shared" si="11"/>
        <v>9323200.9509715289</v>
      </c>
      <c r="AN18" s="58">
        <f t="shared" si="12"/>
        <v>7111364.5321849762</v>
      </c>
      <c r="AO18" s="58">
        <f t="shared" si="13"/>
        <v>16541966.76757055</v>
      </c>
      <c r="AP18" s="58">
        <f t="shared" si="23"/>
        <v>32976532.250727057</v>
      </c>
      <c r="AQ18" s="59">
        <f t="shared" si="24"/>
        <v>4.2194870553740578E-3</v>
      </c>
    </row>
    <row r="19" spans="1:43" ht="14.25">
      <c r="A19" s="4" t="s">
        <v>12</v>
      </c>
      <c r="B19" s="46">
        <v>4117036</v>
      </c>
      <c r="C19" s="46">
        <v>1407462</v>
      </c>
      <c r="D19" s="55">
        <f t="shared" si="0"/>
        <v>0.34186293245917693</v>
      </c>
      <c r="E19" s="56">
        <f t="shared" si="14"/>
        <v>481159.08664485806</v>
      </c>
      <c r="F19" s="130">
        <f t="shared" si="1"/>
        <v>2.8405807737136708E-4</v>
      </c>
      <c r="G19" s="43">
        <v>10835</v>
      </c>
      <c r="H19" s="119">
        <f t="shared" si="2"/>
        <v>2.1164159652966382E-3</v>
      </c>
      <c r="I19" s="45">
        <f t="shared" si="15"/>
        <v>1.7989535705021423E-3</v>
      </c>
      <c r="J19" s="46">
        <v>4292.05</v>
      </c>
      <c r="K19" s="116">
        <f t="shared" si="3"/>
        <v>6.6833395255756198E-2</v>
      </c>
      <c r="L19" s="47">
        <f t="shared" si="16"/>
        <v>1.002500928836343E-2</v>
      </c>
      <c r="M19" s="130">
        <f t="shared" si="17"/>
        <v>1.1823962858865573E-2</v>
      </c>
      <c r="N19" s="48">
        <v>2046</v>
      </c>
      <c r="O19" s="49">
        <v>494</v>
      </c>
      <c r="P19" s="49">
        <v>4758</v>
      </c>
      <c r="Q19" s="49">
        <v>898</v>
      </c>
      <c r="R19" s="50">
        <f t="shared" si="18"/>
        <v>1.1964604419535403E-3</v>
      </c>
      <c r="S19" s="50">
        <f t="shared" si="4"/>
        <v>1.4039994088423542E-3</v>
      </c>
      <c r="T19" s="50">
        <f t="shared" si="4"/>
        <v>3.5603325970224304E-3</v>
      </c>
      <c r="U19" s="50">
        <f t="shared" si="4"/>
        <v>5.7353805278082927E-3</v>
      </c>
      <c r="V19" s="51">
        <f t="shared" si="19"/>
        <v>1.1896172975626618E-2</v>
      </c>
      <c r="W19" s="52">
        <v>787.99999998764804</v>
      </c>
      <c r="X19" s="52">
        <v>378</v>
      </c>
      <c r="Y19" s="52">
        <v>1925</v>
      </c>
      <c r="Z19" s="52">
        <v>123</v>
      </c>
      <c r="AA19" s="53">
        <f t="shared" si="20"/>
        <v>6.1973461516668131E-4</v>
      </c>
      <c r="AB19" s="53">
        <f t="shared" si="5"/>
        <v>1.2902433030228557E-3</v>
      </c>
      <c r="AC19" s="53">
        <f t="shared" si="5"/>
        <v>3.9089151694337047E-3</v>
      </c>
      <c r="AD19" s="53">
        <f t="shared" si="5"/>
        <v>2.2402739326825003E-3</v>
      </c>
      <c r="AE19" s="44">
        <f t="shared" si="21"/>
        <v>8.0591670203057422E-3</v>
      </c>
      <c r="AF19" s="54">
        <f t="shared" si="6"/>
        <v>6.8502919672598804E-3</v>
      </c>
      <c r="AG19" s="44">
        <f t="shared" si="7"/>
        <v>-0.32254120406472697</v>
      </c>
      <c r="AH19" s="44">
        <f t="shared" si="8"/>
        <v>-0.32254120406472697</v>
      </c>
      <c r="AI19" s="45">
        <f t="shared" si="22"/>
        <v>6.0102464236475396E-2</v>
      </c>
      <c r="AJ19" s="45">
        <f t="shared" si="9"/>
        <v>9.0153696354713098E-3</v>
      </c>
      <c r="AK19" s="130">
        <f t="shared" si="10"/>
        <v>1.5865661602731191E-2</v>
      </c>
      <c r="AM19" s="57">
        <f t="shared" si="11"/>
        <v>1109998.7067842777</v>
      </c>
      <c r="AN19" s="58">
        <f t="shared" si="12"/>
        <v>23101936.765641626</v>
      </c>
      <c r="AO19" s="58">
        <f t="shared" si="13"/>
        <v>30998702.843230184</v>
      </c>
      <c r="AP19" s="58">
        <f t="shared" si="23"/>
        <v>55210638.315656088</v>
      </c>
      <c r="AQ19" s="59">
        <f t="shared" si="24"/>
        <v>7.0644351540848751E-3</v>
      </c>
    </row>
    <row r="20" spans="1:43" ht="14.25">
      <c r="A20" s="4" t="s">
        <v>13</v>
      </c>
      <c r="B20" s="46">
        <v>39602103</v>
      </c>
      <c r="C20" s="46">
        <v>12855566</v>
      </c>
      <c r="D20" s="55">
        <f t="shared" si="0"/>
        <v>0.3246182658532048</v>
      </c>
      <c r="E20" s="56">
        <f t="shared" si="14"/>
        <v>4173151.5414814209</v>
      </c>
      <c r="F20" s="130">
        <f t="shared" si="1"/>
        <v>2.46367040830203E-3</v>
      </c>
      <c r="G20" s="43">
        <v>42715</v>
      </c>
      <c r="H20" s="119">
        <f t="shared" si="2"/>
        <v>8.3435817219793176E-3</v>
      </c>
      <c r="I20" s="45">
        <f t="shared" si="15"/>
        <v>7.0920444636824193E-3</v>
      </c>
      <c r="J20" s="46">
        <v>146.56</v>
      </c>
      <c r="K20" s="116">
        <f t="shared" si="3"/>
        <v>2.2821501167702212E-3</v>
      </c>
      <c r="L20" s="47">
        <f t="shared" si="16"/>
        <v>3.4232251751553319E-4</v>
      </c>
      <c r="M20" s="130">
        <f t="shared" si="17"/>
        <v>7.4343669811979523E-3</v>
      </c>
      <c r="N20" s="48">
        <v>1162</v>
      </c>
      <c r="O20" s="49">
        <v>349</v>
      </c>
      <c r="P20" s="49">
        <v>489</v>
      </c>
      <c r="Q20" s="49">
        <v>43</v>
      </c>
      <c r="R20" s="50">
        <f t="shared" si="18"/>
        <v>6.7951467915445456E-4</v>
      </c>
      <c r="S20" s="50">
        <f t="shared" si="4"/>
        <v>9.9189431920239184E-4</v>
      </c>
      <c r="T20" s="50">
        <f t="shared" si="4"/>
        <v>3.6591060108111993E-4</v>
      </c>
      <c r="U20" s="50">
        <f t="shared" si="4"/>
        <v>2.7463403418235698E-4</v>
      </c>
      <c r="V20" s="51">
        <f t="shared" si="19"/>
        <v>2.3119536336203231E-3</v>
      </c>
      <c r="W20" s="52">
        <v>2032.9999999577099</v>
      </c>
      <c r="X20" s="52">
        <v>358</v>
      </c>
      <c r="Y20" s="52">
        <v>131</v>
      </c>
      <c r="Z20" s="52">
        <v>31</v>
      </c>
      <c r="AA20" s="53">
        <f t="shared" si="20"/>
        <v>1.5988838485119338E-3</v>
      </c>
      <c r="AB20" s="53">
        <f t="shared" si="5"/>
        <v>1.221976461593075E-3</v>
      </c>
      <c r="AC20" s="53">
        <f t="shared" si="5"/>
        <v>2.6600929204977422E-4</v>
      </c>
      <c r="AD20" s="53">
        <f t="shared" si="5"/>
        <v>5.6462188547282534E-4</v>
      </c>
      <c r="AE20" s="44">
        <f t="shared" si="21"/>
        <v>3.6514914876276086E-3</v>
      </c>
      <c r="AF20" s="54">
        <f t="shared" si="6"/>
        <v>3.1037677644834673E-3</v>
      </c>
      <c r="AG20" s="44">
        <f t="shared" si="7"/>
        <v>0.57939650455259473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30">
        <f t="shared" si="10"/>
        <v>3.1037677644834673E-3</v>
      </c>
      <c r="AM20" s="57">
        <f t="shared" si="11"/>
        <v>9627154.3920320868</v>
      </c>
      <c r="AN20" s="58">
        <f t="shared" si="12"/>
        <v>14525441.084537301</v>
      </c>
      <c r="AO20" s="58">
        <f t="shared" si="13"/>
        <v>6064214.4673662595</v>
      </c>
      <c r="AP20" s="58">
        <f t="shared" si="23"/>
        <v>30216809.943935648</v>
      </c>
      <c r="AQ20" s="59">
        <f t="shared" si="24"/>
        <v>3.8663688905713699E-3</v>
      </c>
    </row>
    <row r="21" spans="1:43" ht="14.25">
      <c r="A21" s="4" t="s">
        <v>14</v>
      </c>
      <c r="B21" s="46">
        <v>5850772</v>
      </c>
      <c r="C21" s="46">
        <v>602897</v>
      </c>
      <c r="D21" s="55">
        <f t="shared" si="0"/>
        <v>0.10304571772750673</v>
      </c>
      <c r="E21" s="56">
        <f t="shared" si="14"/>
        <v>62125.954080760624</v>
      </c>
      <c r="F21" s="130">
        <f t="shared" si="1"/>
        <v>3.6676807236663852E-5</v>
      </c>
      <c r="G21" s="43">
        <v>34110</v>
      </c>
      <c r="H21" s="119">
        <f t="shared" si="2"/>
        <v>6.6627548293740953E-3</v>
      </c>
      <c r="I21" s="45">
        <f t="shared" si="15"/>
        <v>5.6633416049679808E-3</v>
      </c>
      <c r="J21" s="46">
        <v>5091.18</v>
      </c>
      <c r="K21" s="116">
        <f t="shared" si="3"/>
        <v>7.9276999396139566E-2</v>
      </c>
      <c r="L21" s="47">
        <f t="shared" si="16"/>
        <v>1.1891549909420934E-2</v>
      </c>
      <c r="M21" s="130">
        <f t="shared" si="17"/>
        <v>1.7554891514388916E-2</v>
      </c>
      <c r="N21" s="48">
        <v>7369</v>
      </c>
      <c r="O21" s="49">
        <v>3474</v>
      </c>
      <c r="P21" s="49">
        <v>27910</v>
      </c>
      <c r="Q21" s="49">
        <v>2988</v>
      </c>
      <c r="R21" s="50">
        <f t="shared" si="18"/>
        <v>4.3092458439665882E-3</v>
      </c>
      <c r="S21" s="50">
        <f t="shared" si="4"/>
        <v>9.8734695269601987E-3</v>
      </c>
      <c r="T21" s="50">
        <f t="shared" si="4"/>
        <v>2.08845907488222E-2</v>
      </c>
      <c r="U21" s="50">
        <f t="shared" si="4"/>
        <v>1.9083871956671692E-2</v>
      </c>
      <c r="V21" s="51">
        <f t="shared" si="19"/>
        <v>5.4151178076420683E-2</v>
      </c>
      <c r="W21" s="52">
        <v>7387.0000000238397</v>
      </c>
      <c r="X21" s="52">
        <v>3170</v>
      </c>
      <c r="Y21" s="52">
        <v>23798</v>
      </c>
      <c r="Z21" s="52">
        <v>1385</v>
      </c>
      <c r="AA21" s="53">
        <f t="shared" si="20"/>
        <v>5.8096187846736159E-3</v>
      </c>
      <c r="AB21" s="53">
        <f t="shared" si="5"/>
        <v>1.0820294366620246E-2</v>
      </c>
      <c r="AC21" s="53">
        <f t="shared" si="5"/>
        <v>4.8324344520614702E-2</v>
      </c>
      <c r="AD21" s="53">
        <f t="shared" si="5"/>
        <v>2.522584875418913E-2</v>
      </c>
      <c r="AE21" s="44">
        <f t="shared" si="21"/>
        <v>9.0180106426097695E-2</v>
      </c>
      <c r="AF21" s="54">
        <f t="shared" si="6"/>
        <v>7.6653090462183035E-2</v>
      </c>
      <c r="AG21" s="44">
        <f t="shared" si="7"/>
        <v>0.66533969582030694</v>
      </c>
      <c r="AH21" s="44">
        <f t="shared" si="8"/>
        <v>0</v>
      </c>
      <c r="AI21" s="45">
        <f t="shared" si="22"/>
        <v>0</v>
      </c>
      <c r="AJ21" s="45">
        <f t="shared" si="9"/>
        <v>0</v>
      </c>
      <c r="AK21" s="130">
        <f t="shared" si="10"/>
        <v>7.6653090462183035E-2</v>
      </c>
      <c r="AM21" s="57">
        <f t="shared" si="11"/>
        <v>143320.01743590194</v>
      </c>
      <c r="AN21" s="58">
        <f t="shared" si="12"/>
        <v>34299159.979941055</v>
      </c>
      <c r="AO21" s="58">
        <f t="shared" si="13"/>
        <v>149766611.23563939</v>
      </c>
      <c r="AP21" s="58">
        <f t="shared" si="23"/>
        <v>184209091.23301634</v>
      </c>
      <c r="AQ21" s="59">
        <f t="shared" si="24"/>
        <v>2.3570333897761319E-2</v>
      </c>
    </row>
    <row r="22" spans="1:43" ht="14.25">
      <c r="A22" s="4" t="s">
        <v>15</v>
      </c>
      <c r="B22" s="46">
        <v>1363300</v>
      </c>
      <c r="C22" s="46">
        <v>363371</v>
      </c>
      <c r="D22" s="55">
        <f t="shared" si="0"/>
        <v>0.26653781266045623</v>
      </c>
      <c r="E22" s="56">
        <f t="shared" si="14"/>
        <v>96852.111524242646</v>
      </c>
      <c r="F22" s="130">
        <f t="shared" si="1"/>
        <v>5.7177813643244839E-5</v>
      </c>
      <c r="G22" s="43">
        <v>1632</v>
      </c>
      <c r="H22" s="119">
        <f t="shared" si="2"/>
        <v>3.1878088189793386E-4</v>
      </c>
      <c r="I22" s="45">
        <f t="shared" si="15"/>
        <v>2.7096374961324375E-4</v>
      </c>
      <c r="J22" s="46">
        <v>720.74</v>
      </c>
      <c r="K22" s="116">
        <f t="shared" si="3"/>
        <v>1.1222959028117967E-2</v>
      </c>
      <c r="L22" s="47">
        <f t="shared" si="16"/>
        <v>1.683443854217695E-3</v>
      </c>
      <c r="M22" s="130">
        <f t="shared" si="17"/>
        <v>1.9544076038309388E-3</v>
      </c>
      <c r="N22" s="48">
        <v>381</v>
      </c>
      <c r="O22" s="49">
        <v>111</v>
      </c>
      <c r="P22" s="49">
        <v>881</v>
      </c>
      <c r="Q22" s="49">
        <v>100</v>
      </c>
      <c r="R22" s="50">
        <f t="shared" si="18"/>
        <v>2.2280128464530736E-4</v>
      </c>
      <c r="S22" s="50">
        <f t="shared" si="4"/>
        <v>3.1547355137955733E-4</v>
      </c>
      <c r="T22" s="50">
        <f t="shared" si="4"/>
        <v>6.5923770869625079E-4</v>
      </c>
      <c r="U22" s="50">
        <f t="shared" si="4"/>
        <v>6.3868380042408609E-4</v>
      </c>
      <c r="V22" s="51">
        <f t="shared" si="19"/>
        <v>1.8361963451452015E-3</v>
      </c>
      <c r="W22" s="52">
        <v>157.99999999728001</v>
      </c>
      <c r="X22" s="52">
        <v>83</v>
      </c>
      <c r="Y22" s="52">
        <v>189</v>
      </c>
      <c r="Z22" s="52">
        <v>25</v>
      </c>
      <c r="AA22" s="53">
        <f t="shared" si="20"/>
        <v>1.2426150913221427E-4</v>
      </c>
      <c r="AB22" s="53">
        <f t="shared" si="5"/>
        <v>2.8330739193359002E-4</v>
      </c>
      <c r="AC22" s="53">
        <f t="shared" si="5"/>
        <v>3.8378439845349104E-4</v>
      </c>
      <c r="AD22" s="53">
        <f t="shared" si="5"/>
        <v>4.5534023022002039E-4</v>
      </c>
      <c r="AE22" s="44">
        <f t="shared" si="21"/>
        <v>1.2466935297393157E-3</v>
      </c>
      <c r="AF22" s="54">
        <f t="shared" si="6"/>
        <v>1.0596895002784182E-3</v>
      </c>
      <c r="AG22" s="44">
        <f t="shared" si="7"/>
        <v>-0.32104563162022282</v>
      </c>
      <c r="AH22" s="44">
        <f t="shared" si="8"/>
        <v>-0.32104563162022282</v>
      </c>
      <c r="AI22" s="45">
        <f t="shared" si="22"/>
        <v>5.982377863529921E-2</v>
      </c>
      <c r="AJ22" s="45">
        <f t="shared" si="9"/>
        <v>8.9735667952948808E-3</v>
      </c>
      <c r="AK22" s="130">
        <f t="shared" si="10"/>
        <v>1.0033256295573299E-2</v>
      </c>
      <c r="AM22" s="57">
        <f t="shared" si="11"/>
        <v>223430.71454989605</v>
      </c>
      <c r="AN22" s="58">
        <f t="shared" si="12"/>
        <v>3818567.5493844883</v>
      </c>
      <c r="AO22" s="58">
        <f t="shared" si="13"/>
        <v>19603212.1599584</v>
      </c>
      <c r="AP22" s="58">
        <f t="shared" si="23"/>
        <v>23645210.423892785</v>
      </c>
      <c r="AQ22" s="59">
        <f t="shared" si="24"/>
        <v>3.025504881672682E-3</v>
      </c>
    </row>
    <row r="23" spans="1:43" ht="14.25">
      <c r="A23" s="4" t="s">
        <v>16</v>
      </c>
      <c r="B23" s="46">
        <v>1906532</v>
      </c>
      <c r="C23" s="46">
        <v>531178</v>
      </c>
      <c r="D23" s="55">
        <f t="shared" si="0"/>
        <v>0.27860953815619144</v>
      </c>
      <c r="E23" s="56">
        <f t="shared" si="14"/>
        <v>147991.25725872946</v>
      </c>
      <c r="F23" s="130">
        <f t="shared" si="1"/>
        <v>8.7368425893854628E-5</v>
      </c>
      <c r="G23" s="43">
        <v>2861</v>
      </c>
      <c r="H23" s="119">
        <f t="shared" si="2"/>
        <v>5.588432004350421E-4</v>
      </c>
      <c r="I23" s="45">
        <f t="shared" si="15"/>
        <v>4.7501672036978578E-4</v>
      </c>
      <c r="J23" s="46">
        <v>615.78</v>
      </c>
      <c r="K23" s="116">
        <f t="shared" si="3"/>
        <v>9.5885807785532663E-3</v>
      </c>
      <c r="L23" s="47">
        <f t="shared" si="16"/>
        <v>1.4382871167829899E-3</v>
      </c>
      <c r="M23" s="130">
        <f t="shared" si="17"/>
        <v>1.9133038371527756E-3</v>
      </c>
      <c r="N23" s="48">
        <v>519</v>
      </c>
      <c r="O23" s="49">
        <v>176</v>
      </c>
      <c r="P23" s="49">
        <v>1034</v>
      </c>
      <c r="Q23" s="49">
        <v>145</v>
      </c>
      <c r="R23" s="50">
        <f t="shared" si="18"/>
        <v>3.0350096254833211E-4</v>
      </c>
      <c r="S23" s="50">
        <f t="shared" si="4"/>
        <v>5.0021031570091968E-4</v>
      </c>
      <c r="T23" s="50">
        <f t="shared" si="4"/>
        <v>7.7372507467868713E-4</v>
      </c>
      <c r="U23" s="50">
        <f t="shared" si="4"/>
        <v>9.2609151061492478E-4</v>
      </c>
      <c r="V23" s="51">
        <f t="shared" si="19"/>
        <v>2.5035278635428637E-3</v>
      </c>
      <c r="W23" s="52">
        <v>277.00000000287605</v>
      </c>
      <c r="X23" s="52">
        <v>136</v>
      </c>
      <c r="Y23" s="52">
        <v>317</v>
      </c>
      <c r="Z23" s="52">
        <v>84</v>
      </c>
      <c r="AA23" s="53">
        <f t="shared" si="20"/>
        <v>2.1785087361122336E-4</v>
      </c>
      <c r="AB23" s="53">
        <f t="shared" si="5"/>
        <v>4.6421452172250896E-4</v>
      </c>
      <c r="AC23" s="53">
        <f t="shared" si="5"/>
        <v>6.4370187465479715E-4</v>
      </c>
      <c r="AD23" s="53">
        <f t="shared" si="5"/>
        <v>1.5299431735392686E-3</v>
      </c>
      <c r="AE23" s="44">
        <f t="shared" si="21"/>
        <v>2.8557104435277978E-3</v>
      </c>
      <c r="AF23" s="54">
        <f t="shared" si="6"/>
        <v>2.4273538769986279E-3</v>
      </c>
      <c r="AG23" s="44">
        <f t="shared" si="7"/>
        <v>0.14067451979006276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30">
        <f t="shared" si="10"/>
        <v>2.4273538769986279E-3</v>
      </c>
      <c r="AM23" s="57">
        <f t="shared" si="11"/>
        <v>341404.97131215205</v>
      </c>
      <c r="AN23" s="58">
        <f t="shared" si="12"/>
        <v>3738258.043175525</v>
      </c>
      <c r="AO23" s="58">
        <f t="shared" si="13"/>
        <v>4742621.102891176</v>
      </c>
      <c r="AP23" s="58">
        <f t="shared" si="23"/>
        <v>8822284.1173788533</v>
      </c>
      <c r="AQ23" s="59">
        <f t="shared" si="24"/>
        <v>1.1288486414847783E-3</v>
      </c>
    </row>
    <row r="24" spans="1:43" ht="14.25">
      <c r="A24" s="4" t="s">
        <v>17</v>
      </c>
      <c r="B24" s="46">
        <v>9322136</v>
      </c>
      <c r="C24" s="46">
        <v>1058773</v>
      </c>
      <c r="D24" s="55">
        <f t="shared" si="0"/>
        <v>0.11357622330332877</v>
      </c>
      <c r="E24" s="56">
        <f t="shared" si="14"/>
        <v>120251.4386755353</v>
      </c>
      <c r="F24" s="130">
        <f t="shared" si="1"/>
        <v>7.0991889001829466E-5</v>
      </c>
      <c r="G24" s="43">
        <v>41130</v>
      </c>
      <c r="H24" s="119">
        <f t="shared" si="2"/>
        <v>8.0339814169497672E-3</v>
      </c>
      <c r="I24" s="45">
        <f t="shared" si="15"/>
        <v>6.8288842044073022E-3</v>
      </c>
      <c r="J24" s="46">
        <v>7010.79</v>
      </c>
      <c r="K24" s="116">
        <f t="shared" si="3"/>
        <v>0.1091680896366778</v>
      </c>
      <c r="L24" s="47">
        <f t="shared" si="16"/>
        <v>1.637521344550167E-2</v>
      </c>
      <c r="M24" s="130">
        <f t="shared" si="17"/>
        <v>2.3204097649908974E-2</v>
      </c>
      <c r="N24" s="48">
        <v>6824</v>
      </c>
      <c r="O24" s="49">
        <v>2866</v>
      </c>
      <c r="P24" s="49">
        <v>26645</v>
      </c>
      <c r="Q24" s="49">
        <v>2369</v>
      </c>
      <c r="R24" s="50">
        <f t="shared" si="18"/>
        <v>3.9905405942771066E-3</v>
      </c>
      <c r="S24" s="50">
        <f t="shared" si="18"/>
        <v>8.1454702545388398E-3</v>
      </c>
      <c r="T24" s="50">
        <f t="shared" si="18"/>
        <v>1.9938012200013171E-2</v>
      </c>
      <c r="U24" s="50">
        <f t="shared" si="18"/>
        <v>1.5130419232046598E-2</v>
      </c>
      <c r="V24" s="51">
        <f t="shared" si="19"/>
        <v>4.7204442280875711E-2</v>
      </c>
      <c r="W24" s="52">
        <v>7532.9999999958</v>
      </c>
      <c r="X24" s="52">
        <v>2466</v>
      </c>
      <c r="Y24" s="52">
        <v>13627</v>
      </c>
      <c r="Z24" s="52">
        <v>715</v>
      </c>
      <c r="AA24" s="53">
        <f t="shared" si="20"/>
        <v>5.9244427108136877E-3</v>
      </c>
      <c r="AB24" s="53">
        <f t="shared" si="5"/>
        <v>8.4173015482919642E-3</v>
      </c>
      <c r="AC24" s="53">
        <f t="shared" si="5"/>
        <v>2.7671058189024985E-2</v>
      </c>
      <c r="AD24" s="53">
        <f t="shared" si="5"/>
        <v>1.3022730584292583E-2</v>
      </c>
      <c r="AE24" s="44">
        <f t="shared" si="21"/>
        <v>5.5035533032423221E-2</v>
      </c>
      <c r="AF24" s="54">
        <f t="shared" si="6"/>
        <v>4.6780203077559736E-2</v>
      </c>
      <c r="AG24" s="44">
        <f t="shared" si="7"/>
        <v>0.16589732603874402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30">
        <f t="shared" si="10"/>
        <v>4.6780203077559736E-2</v>
      </c>
      <c r="AM24" s="57">
        <f t="shared" si="11"/>
        <v>277411.24531087454</v>
      </c>
      <c r="AN24" s="58">
        <f t="shared" si="12"/>
        <v>45336711.812320575</v>
      </c>
      <c r="AO24" s="58">
        <f t="shared" si="13"/>
        <v>91400261.17143485</v>
      </c>
      <c r="AP24" s="58">
        <f t="shared" si="23"/>
        <v>137014384.22906631</v>
      </c>
      <c r="AQ24" s="59">
        <f t="shared" si="24"/>
        <v>1.7531571126368096E-2</v>
      </c>
    </row>
    <row r="25" spans="1:43" ht="14.25">
      <c r="A25" s="4" t="s">
        <v>18</v>
      </c>
      <c r="B25" s="46">
        <v>365298177</v>
      </c>
      <c r="C25" s="46">
        <v>84817135</v>
      </c>
      <c r="D25" s="55">
        <f t="shared" si="0"/>
        <v>0.23218603415039762</v>
      </c>
      <c r="E25" s="56">
        <f t="shared" si="14"/>
        <v>19693354.203648884</v>
      </c>
      <c r="F25" s="130">
        <f t="shared" si="1"/>
        <v>1.1626209474894083E-2</v>
      </c>
      <c r="G25" s="43">
        <v>247370</v>
      </c>
      <c r="H25" s="119">
        <f t="shared" si="2"/>
        <v>4.8319134041110233E-2</v>
      </c>
      <c r="I25" s="45">
        <f t="shared" si="15"/>
        <v>4.1071263934943696E-2</v>
      </c>
      <c r="J25" s="46">
        <v>1040.01</v>
      </c>
      <c r="K25" s="116">
        <f t="shared" si="3"/>
        <v>1.6194452394529189E-2</v>
      </c>
      <c r="L25" s="47">
        <f t="shared" si="16"/>
        <v>2.4291678591793781E-3</v>
      </c>
      <c r="M25" s="130">
        <f t="shared" si="17"/>
        <v>4.3500431794123072E-2</v>
      </c>
      <c r="N25" s="48">
        <v>3671</v>
      </c>
      <c r="O25" s="49">
        <v>1263</v>
      </c>
      <c r="P25" s="49">
        <v>9334</v>
      </c>
      <c r="Q25" s="49">
        <v>932</v>
      </c>
      <c r="R25" s="50">
        <f t="shared" si="18"/>
        <v>2.1467283882753894E-3</v>
      </c>
      <c r="S25" s="50">
        <f t="shared" si="18"/>
        <v>3.5895774359673955E-3</v>
      </c>
      <c r="T25" s="50">
        <f t="shared" si="18"/>
        <v>6.9844776083664078E-3</v>
      </c>
      <c r="U25" s="50">
        <f t="shared" si="18"/>
        <v>5.9525330199524818E-3</v>
      </c>
      <c r="V25" s="51">
        <f t="shared" si="19"/>
        <v>1.8673316452561674E-2</v>
      </c>
      <c r="W25" s="52">
        <v>8688.9999999445354</v>
      </c>
      <c r="X25" s="52">
        <v>1809</v>
      </c>
      <c r="Y25" s="52">
        <v>2369</v>
      </c>
      <c r="Z25" s="52">
        <v>783</v>
      </c>
      <c r="AA25" s="53">
        <f t="shared" si="20"/>
        <v>6.8335965370981333E-3</v>
      </c>
      <c r="AB25" s="53">
        <f t="shared" si="5"/>
        <v>6.1747358073236669E-3</v>
      </c>
      <c r="AC25" s="53">
        <f t="shared" si="5"/>
        <v>4.8105039150069849E-3</v>
      </c>
      <c r="AD25" s="53">
        <f t="shared" si="5"/>
        <v>1.4261256010491039E-2</v>
      </c>
      <c r="AE25" s="44">
        <f t="shared" si="21"/>
        <v>3.2080092269919827E-2</v>
      </c>
      <c r="AF25" s="54">
        <f t="shared" si="6"/>
        <v>2.7268078429431852E-2</v>
      </c>
      <c r="AG25" s="44">
        <f t="shared" si="7"/>
        <v>0.71796436650217865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30">
        <f t="shared" si="10"/>
        <v>2.7268078429431852E-2</v>
      </c>
      <c r="AM25" s="57">
        <f t="shared" si="11"/>
        <v>45431123.104673855</v>
      </c>
      <c r="AN25" s="58">
        <f t="shared" si="12"/>
        <v>84992166.888653025</v>
      </c>
      <c r="AO25" s="58">
        <f t="shared" si="13"/>
        <v>53277013.055310793</v>
      </c>
      <c r="AP25" s="58">
        <f t="shared" si="23"/>
        <v>183700303.04863766</v>
      </c>
      <c r="AQ25" s="59">
        <f t="shared" si="24"/>
        <v>2.350523229333577E-2</v>
      </c>
    </row>
    <row r="26" spans="1:43" ht="14.25">
      <c r="A26" s="4" t="s">
        <v>19</v>
      </c>
      <c r="B26" s="46">
        <v>4487790</v>
      </c>
      <c r="C26" s="46">
        <v>1347671</v>
      </c>
      <c r="D26" s="55">
        <f t="shared" si="0"/>
        <v>0.30029725098545162</v>
      </c>
      <c r="E26" s="56">
        <f t="shared" si="14"/>
        <v>404701.8965328146</v>
      </c>
      <c r="F26" s="130">
        <f t="shared" si="1"/>
        <v>2.3892065187684585E-4</v>
      </c>
      <c r="G26" s="43">
        <v>5479</v>
      </c>
      <c r="H26" s="119">
        <f t="shared" si="2"/>
        <v>1.0702208651463111E-3</v>
      </c>
      <c r="I26" s="45">
        <f t="shared" si="15"/>
        <v>9.0968773537436444E-4</v>
      </c>
      <c r="J26" s="46">
        <v>1894.8</v>
      </c>
      <c r="K26" s="116">
        <f t="shared" si="3"/>
        <v>2.9504762836082252E-2</v>
      </c>
      <c r="L26" s="47">
        <f t="shared" si="16"/>
        <v>4.425714425412338E-3</v>
      </c>
      <c r="M26" s="130">
        <f t="shared" si="17"/>
        <v>5.3354021607867029E-3</v>
      </c>
      <c r="N26" s="48">
        <v>814</v>
      </c>
      <c r="O26" s="49">
        <v>270</v>
      </c>
      <c r="P26" s="49">
        <v>1738</v>
      </c>
      <c r="Q26" s="49">
        <v>531</v>
      </c>
      <c r="R26" s="50">
        <f t="shared" si="18"/>
        <v>4.760111435729139E-4</v>
      </c>
      <c r="S26" s="50">
        <f t="shared" si="18"/>
        <v>7.6736809795027456E-4</v>
      </c>
      <c r="T26" s="50">
        <f t="shared" si="18"/>
        <v>1.3005166148854527E-3</v>
      </c>
      <c r="U26" s="50">
        <f t="shared" si="18"/>
        <v>3.3914109802518971E-3</v>
      </c>
      <c r="V26" s="51">
        <f t="shared" si="19"/>
        <v>5.9353068366605382E-3</v>
      </c>
      <c r="W26" s="52">
        <v>320.00000000721394</v>
      </c>
      <c r="X26" s="52">
        <v>216</v>
      </c>
      <c r="Y26" s="52">
        <v>671</v>
      </c>
      <c r="Z26" s="52">
        <v>199</v>
      </c>
      <c r="AA26" s="53">
        <f t="shared" si="20"/>
        <v>2.5166887926512352E-4</v>
      </c>
      <c r="AB26" s="53">
        <f t="shared" si="5"/>
        <v>7.372818874416319E-4</v>
      </c>
      <c r="AC26" s="53">
        <f t="shared" si="5"/>
        <v>1.3625361447740343E-3</v>
      </c>
      <c r="AD26" s="53">
        <f t="shared" si="5"/>
        <v>3.6245082325513625E-3</v>
      </c>
      <c r="AE26" s="44">
        <f t="shared" si="21"/>
        <v>5.9759951440321521E-3</v>
      </c>
      <c r="AF26" s="54">
        <f t="shared" si="6"/>
        <v>5.0795958724273293E-3</v>
      </c>
      <c r="AG26" s="44">
        <f t="shared" si="7"/>
        <v>6.8552997328284624E-3</v>
      </c>
      <c r="AH26" s="44">
        <f t="shared" si="8"/>
        <v>0</v>
      </c>
      <c r="AI26" s="45">
        <f t="shared" si="22"/>
        <v>0</v>
      </c>
      <c r="AJ26" s="45">
        <f t="shared" si="9"/>
        <v>0</v>
      </c>
      <c r="AK26" s="130">
        <f t="shared" si="10"/>
        <v>5.0795958724273293E-3</v>
      </c>
      <c r="AM26" s="57">
        <f t="shared" si="11"/>
        <v>933617.57941014529</v>
      </c>
      <c r="AN26" s="58">
        <f t="shared" si="12"/>
        <v>10424434.245016553</v>
      </c>
      <c r="AO26" s="58">
        <f t="shared" si="13"/>
        <v>9924633.9015555009</v>
      </c>
      <c r="AP26" s="58">
        <f t="shared" si="23"/>
        <v>21282685.725982197</v>
      </c>
      <c r="AQ26" s="59">
        <f t="shared" si="24"/>
        <v>2.7232098342419306E-3</v>
      </c>
    </row>
    <row r="27" spans="1:43" ht="14.25">
      <c r="A27" s="4" t="s">
        <v>20</v>
      </c>
      <c r="B27" s="46">
        <v>440191999</v>
      </c>
      <c r="C27" s="46">
        <v>139338983</v>
      </c>
      <c r="D27" s="55">
        <f t="shared" si="0"/>
        <v>0.31654138038978757</v>
      </c>
      <c r="E27" s="56">
        <f t="shared" si="14"/>
        <v>44106554.020929143</v>
      </c>
      <c r="F27" s="130">
        <f t="shared" si="1"/>
        <v>2.6038836805567709E-2</v>
      </c>
      <c r="G27" s="43">
        <v>425148</v>
      </c>
      <c r="H27" s="119">
        <f t="shared" si="2"/>
        <v>8.3044763711484545E-2</v>
      </c>
      <c r="I27" s="45">
        <f t="shared" si="15"/>
        <v>7.0588049154761856E-2</v>
      </c>
      <c r="J27" s="46">
        <v>151.27000000000001</v>
      </c>
      <c r="K27" s="116">
        <f t="shared" si="3"/>
        <v>2.3554915950043079E-3</v>
      </c>
      <c r="L27" s="47">
        <f t="shared" si="16"/>
        <v>3.5332373925064616E-4</v>
      </c>
      <c r="M27" s="130">
        <f t="shared" si="17"/>
        <v>7.0941372894012505E-2</v>
      </c>
      <c r="N27" s="48">
        <v>25525</v>
      </c>
      <c r="O27" s="49">
        <v>4815</v>
      </c>
      <c r="P27" s="49">
        <v>33044</v>
      </c>
      <c r="Q27" s="49">
        <v>5258</v>
      </c>
      <c r="R27" s="50">
        <f t="shared" si="18"/>
        <v>1.4926516510686275E-2</v>
      </c>
      <c r="S27" s="50">
        <f t="shared" si="18"/>
        <v>1.3684731080113229E-2</v>
      </c>
      <c r="T27" s="50">
        <f t="shared" si="18"/>
        <v>2.4726277918455063E-2</v>
      </c>
      <c r="U27" s="50">
        <f t="shared" si="18"/>
        <v>3.3581994226298442E-2</v>
      </c>
      <c r="V27" s="51">
        <f t="shared" si="19"/>
        <v>8.6919519735553008E-2</v>
      </c>
      <c r="W27" s="52">
        <v>20136.00000070727</v>
      </c>
      <c r="X27" s="52">
        <v>4791</v>
      </c>
      <c r="Y27" s="52">
        <v>5994</v>
      </c>
      <c r="Z27" s="52">
        <v>875</v>
      </c>
      <c r="AA27" s="53">
        <f t="shared" si="20"/>
        <v>1.5836264227957138E-2</v>
      </c>
      <c r="AB27" s="53">
        <f t="shared" si="5"/>
        <v>1.6353321864503972E-2</v>
      </c>
      <c r="AC27" s="53">
        <f t="shared" si="5"/>
        <v>1.2171448065239286E-2</v>
      </c>
      <c r="AD27" s="53">
        <f t="shared" si="5"/>
        <v>1.5936908057700715E-2</v>
      </c>
      <c r="AE27" s="44">
        <f t="shared" si="21"/>
        <v>6.0297942215401121E-2</v>
      </c>
      <c r="AF27" s="54">
        <f t="shared" si="6"/>
        <v>5.1253250883090955E-2</v>
      </c>
      <c r="AG27" s="44">
        <f t="shared" si="7"/>
        <v>-0.30627847002774872</v>
      </c>
      <c r="AH27" s="44">
        <f t="shared" si="8"/>
        <v>-0.30627847002774872</v>
      </c>
      <c r="AI27" s="45">
        <f t="shared" si="22"/>
        <v>5.7072059505151061E-2</v>
      </c>
      <c r="AJ27" s="45">
        <f t="shared" si="9"/>
        <v>8.5608089257726595E-3</v>
      </c>
      <c r="AK27" s="130">
        <f t="shared" si="10"/>
        <v>5.9814059808863618E-2</v>
      </c>
      <c r="AM27" s="57">
        <f t="shared" si="11"/>
        <v>101750583.71095075</v>
      </c>
      <c r="AN27" s="58">
        <f t="shared" si="12"/>
        <v>138606923.0957073</v>
      </c>
      <c r="AO27" s="58">
        <f t="shared" si="13"/>
        <v>116866117.04506399</v>
      </c>
      <c r="AP27" s="58">
        <f t="shared" si="23"/>
        <v>357223623.851722</v>
      </c>
      <c r="AQ27" s="59">
        <f t="shared" si="24"/>
        <v>4.5708276578502884E-2</v>
      </c>
    </row>
    <row r="28" spans="1:43" ht="14.25">
      <c r="A28" s="4" t="s">
        <v>21</v>
      </c>
      <c r="B28" s="46">
        <v>12991620</v>
      </c>
      <c r="C28" s="46">
        <v>3647488</v>
      </c>
      <c r="D28" s="55">
        <f t="shared" si="0"/>
        <v>0.28075698026881946</v>
      </c>
      <c r="E28" s="56">
        <f t="shared" si="14"/>
        <v>1024057.7164467557</v>
      </c>
      <c r="F28" s="130">
        <f t="shared" si="1"/>
        <v>6.0456483962420592E-4</v>
      </c>
      <c r="G28" s="43">
        <v>14795</v>
      </c>
      <c r="H28" s="119">
        <f t="shared" si="2"/>
        <v>2.8899283993136836E-3</v>
      </c>
      <c r="I28" s="45">
        <f t="shared" si="15"/>
        <v>2.4564391394166309E-3</v>
      </c>
      <c r="J28" s="46">
        <v>2479.16</v>
      </c>
      <c r="K28" s="116">
        <f t="shared" si="3"/>
        <v>3.8604088997625963E-2</v>
      </c>
      <c r="L28" s="47">
        <f t="shared" si="16"/>
        <v>5.7906133496438946E-3</v>
      </c>
      <c r="M28" s="130">
        <f t="shared" si="17"/>
        <v>8.247052489060526E-3</v>
      </c>
      <c r="N28" s="48">
        <v>3166</v>
      </c>
      <c r="O28" s="49">
        <v>724</v>
      </c>
      <c r="P28" s="49">
        <v>6502</v>
      </c>
      <c r="Q28" s="49">
        <v>971</v>
      </c>
      <c r="R28" s="50">
        <f t="shared" si="18"/>
        <v>1.8514143495722917E-3</v>
      </c>
      <c r="S28" s="50">
        <f t="shared" si="18"/>
        <v>2.0576833441333289E-3</v>
      </c>
      <c r="T28" s="50">
        <f t="shared" si="18"/>
        <v>4.8653389125346454E-3</v>
      </c>
      <c r="U28" s="50">
        <f t="shared" si="18"/>
        <v>6.2016197021178754E-3</v>
      </c>
      <c r="V28" s="51">
        <f t="shared" si="19"/>
        <v>1.4976056308358143E-2</v>
      </c>
      <c r="W28" s="52">
        <v>1684.0000000044001</v>
      </c>
      <c r="X28" s="52">
        <v>572</v>
      </c>
      <c r="Y28" s="52">
        <v>3480</v>
      </c>
      <c r="Z28" s="52">
        <v>459</v>
      </c>
      <c r="AA28" s="53">
        <f t="shared" si="20"/>
        <v>1.3244074771063164E-3</v>
      </c>
      <c r="AB28" s="53">
        <f t="shared" si="5"/>
        <v>1.9524316648917288E-3</v>
      </c>
      <c r="AC28" s="53">
        <f t="shared" si="5"/>
        <v>7.0665063842230095E-3</v>
      </c>
      <c r="AD28" s="53">
        <f t="shared" si="5"/>
        <v>8.3600466268395745E-3</v>
      </c>
      <c r="AE28" s="44">
        <f t="shared" si="21"/>
        <v>1.8703392153060629E-2</v>
      </c>
      <c r="AF28" s="54">
        <f t="shared" si="6"/>
        <v>1.5897883330101534E-2</v>
      </c>
      <c r="AG28" s="44">
        <f t="shared" si="7"/>
        <v>0.24888634016568562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30">
        <f t="shared" si="10"/>
        <v>1.5897883330101534E-2</v>
      </c>
      <c r="AM28" s="57">
        <f t="shared" si="11"/>
        <v>2362426.0093571837</v>
      </c>
      <c r="AN28" s="58">
        <f t="shared" si="12"/>
        <v>16113285.146388136</v>
      </c>
      <c r="AO28" s="58">
        <f t="shared" si="13"/>
        <v>31061658.412109639</v>
      </c>
      <c r="AP28" s="58">
        <f t="shared" si="23"/>
        <v>49537369.567854956</v>
      </c>
      <c r="AQ28" s="59">
        <f t="shared" si="24"/>
        <v>6.3385163746026178E-3</v>
      </c>
    </row>
    <row r="29" spans="1:43" ht="14.25">
      <c r="A29" s="4" t="s">
        <v>22</v>
      </c>
      <c r="B29" s="46">
        <v>1015315</v>
      </c>
      <c r="C29" s="46">
        <v>228955</v>
      </c>
      <c r="D29" s="55">
        <f t="shared" si="0"/>
        <v>0.22550144536424657</v>
      </c>
      <c r="E29" s="56">
        <f t="shared" si="14"/>
        <v>51629.683423371076</v>
      </c>
      <c r="F29" s="130">
        <f t="shared" si="1"/>
        <v>3.0480207099071019E-5</v>
      </c>
      <c r="G29" s="43">
        <v>1044</v>
      </c>
      <c r="H29" s="119">
        <f t="shared" si="2"/>
        <v>2.0392600533176652E-4</v>
      </c>
      <c r="I29" s="45">
        <f t="shared" si="15"/>
        <v>1.7333710453200154E-4</v>
      </c>
      <c r="J29" s="46">
        <v>388.05</v>
      </c>
      <c r="K29" s="116">
        <f t="shared" si="3"/>
        <v>6.0424969487765032E-3</v>
      </c>
      <c r="L29" s="47">
        <f t="shared" si="16"/>
        <v>9.0637454231647541E-4</v>
      </c>
      <c r="M29" s="130">
        <f t="shared" si="17"/>
        <v>1.079711646848477E-3</v>
      </c>
      <c r="N29" s="48">
        <v>248</v>
      </c>
      <c r="O29" s="49">
        <v>63</v>
      </c>
      <c r="P29" s="49">
        <v>357</v>
      </c>
      <c r="Q29" s="49">
        <v>74</v>
      </c>
      <c r="R29" s="50">
        <f t="shared" si="18"/>
        <v>1.4502550811558066E-4</v>
      </c>
      <c r="S29" s="50">
        <f t="shared" si="18"/>
        <v>1.7905255618839739E-4</v>
      </c>
      <c r="T29" s="50">
        <f t="shared" si="18"/>
        <v>2.6713718729235136E-4</v>
      </c>
      <c r="U29" s="50">
        <f t="shared" si="18"/>
        <v>4.7262601231382365E-4</v>
      </c>
      <c r="V29" s="51">
        <f t="shared" si="19"/>
        <v>1.0638412639101531E-3</v>
      </c>
      <c r="W29" s="52">
        <v>138</v>
      </c>
      <c r="X29" s="52">
        <v>45</v>
      </c>
      <c r="Y29" s="52">
        <v>165</v>
      </c>
      <c r="Z29" s="52">
        <v>30</v>
      </c>
      <c r="AA29" s="53">
        <f t="shared" si="20"/>
        <v>1.0853220418063782E-4</v>
      </c>
      <c r="AB29" s="53">
        <f t="shared" si="5"/>
        <v>1.5360039321700664E-4</v>
      </c>
      <c r="AC29" s="53">
        <f t="shared" si="5"/>
        <v>3.3504987166574612E-4</v>
      </c>
      <c r="AD29" s="53">
        <f t="shared" si="5"/>
        <v>5.4640827626402453E-4</v>
      </c>
      <c r="AE29" s="44">
        <f t="shared" si="21"/>
        <v>1.1435907453274151E-3</v>
      </c>
      <c r="AF29" s="54">
        <f t="shared" si="6"/>
        <v>9.7205213352830283E-4</v>
      </c>
      <c r="AG29" s="44">
        <f t="shared" si="7"/>
        <v>7.4963703818126448E-2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30">
        <f t="shared" si="10"/>
        <v>9.7205213352830283E-4</v>
      </c>
      <c r="AM29" s="57">
        <f t="shared" si="11"/>
        <v>119105.89121623106</v>
      </c>
      <c r="AN29" s="58">
        <f t="shared" si="12"/>
        <v>2109566.0133876172</v>
      </c>
      <c r="AO29" s="58">
        <f t="shared" si="13"/>
        <v>1899218.323816048</v>
      </c>
      <c r="AP29" s="58">
        <f t="shared" si="23"/>
        <v>4127890.2284198962</v>
      </c>
      <c r="AQ29" s="59">
        <f t="shared" si="24"/>
        <v>5.281810486437305E-4</v>
      </c>
    </row>
    <row r="30" spans="1:43" ht="14.25">
      <c r="A30" s="4" t="s">
        <v>23</v>
      </c>
      <c r="B30" s="46">
        <v>1284958</v>
      </c>
      <c r="C30" s="46">
        <v>194795</v>
      </c>
      <c r="D30" s="55">
        <f t="shared" si="0"/>
        <v>0.15159639459032903</v>
      </c>
      <c r="E30" s="56">
        <f t="shared" si="14"/>
        <v>29530.219684223142</v>
      </c>
      <c r="F30" s="130">
        <f t="shared" si="1"/>
        <v>1.7433521803249034E-5</v>
      </c>
      <c r="G30" s="43">
        <v>6011</v>
      </c>
      <c r="H30" s="119">
        <f t="shared" si="2"/>
        <v>1.17413718203951E-3</v>
      </c>
      <c r="I30" s="45">
        <f t="shared" si="15"/>
        <v>9.9801660473358353E-4</v>
      </c>
      <c r="J30" s="46">
        <v>1314.52</v>
      </c>
      <c r="K30" s="116">
        <f t="shared" si="3"/>
        <v>2.0468968146129852E-2</v>
      </c>
      <c r="L30" s="47">
        <f t="shared" si="16"/>
        <v>3.0703452219194775E-3</v>
      </c>
      <c r="M30" s="130">
        <f t="shared" si="17"/>
        <v>4.0683618266530615E-3</v>
      </c>
      <c r="N30" s="48">
        <v>1391</v>
      </c>
      <c r="O30" s="49">
        <v>407</v>
      </c>
      <c r="P30" s="49">
        <v>3581</v>
      </c>
      <c r="Q30" s="49">
        <v>1264</v>
      </c>
      <c r="R30" s="50">
        <f t="shared" si="18"/>
        <v>8.1342936205150277E-4</v>
      </c>
      <c r="S30" s="50">
        <f t="shared" si="18"/>
        <v>1.1567363550583768E-3</v>
      </c>
      <c r="T30" s="50">
        <f t="shared" si="18"/>
        <v>2.6796029907392442E-3</v>
      </c>
      <c r="U30" s="50">
        <f t="shared" si="18"/>
        <v>8.072963237360448E-3</v>
      </c>
      <c r="V30" s="51">
        <f t="shared" si="19"/>
        <v>1.2722731945209571E-2</v>
      </c>
      <c r="W30" s="52">
        <v>1108.99999999377</v>
      </c>
      <c r="X30" s="52">
        <v>288</v>
      </c>
      <c r="Y30" s="52">
        <v>3319</v>
      </c>
      <c r="Z30" s="52">
        <v>607</v>
      </c>
      <c r="AA30" s="53">
        <f t="shared" si="20"/>
        <v>8.721899596786318E-4</v>
      </c>
      <c r="AB30" s="53">
        <f t="shared" si="5"/>
        <v>9.8304251658884239E-4</v>
      </c>
      <c r="AC30" s="53">
        <f t="shared" si="5"/>
        <v>6.739578933688554E-3</v>
      </c>
      <c r="AD30" s="53">
        <f t="shared" si="5"/>
        <v>1.1055660789742095E-2</v>
      </c>
      <c r="AE30" s="44">
        <f t="shared" si="21"/>
        <v>1.9650472199698121E-2</v>
      </c>
      <c r="AF30" s="54">
        <f t="shared" si="6"/>
        <v>1.6702901369743402E-2</v>
      </c>
      <c r="AG30" s="44">
        <f t="shared" si="7"/>
        <v>0.54451671891877107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30">
        <f t="shared" si="10"/>
        <v>1.6702901369743402E-2</v>
      </c>
      <c r="AM30" s="57">
        <f t="shared" si="11"/>
        <v>68124.049966735882</v>
      </c>
      <c r="AN30" s="58">
        <f t="shared" si="12"/>
        <v>7948861.0359273981</v>
      </c>
      <c r="AO30" s="58">
        <f t="shared" si="13"/>
        <v>32634521.594191004</v>
      </c>
      <c r="AP30" s="58">
        <f t="shared" si="23"/>
        <v>40651506.680085137</v>
      </c>
      <c r="AQ30" s="59">
        <f t="shared" si="24"/>
        <v>5.2015325600007403E-3</v>
      </c>
    </row>
    <row r="31" spans="1:43" ht="14.25">
      <c r="A31" s="4" t="s">
        <v>24</v>
      </c>
      <c r="B31" s="46">
        <v>54721037</v>
      </c>
      <c r="C31" s="46">
        <v>11872386</v>
      </c>
      <c r="D31" s="55">
        <f t="shared" si="0"/>
        <v>0.21696200676898722</v>
      </c>
      <c r="E31" s="56">
        <f t="shared" si="14"/>
        <v>2575856.6916960292</v>
      </c>
      <c r="F31" s="130">
        <f t="shared" si="1"/>
        <v>1.5206881044884111E-3</v>
      </c>
      <c r="G31" s="43">
        <v>67294</v>
      </c>
      <c r="H31" s="119">
        <f t="shared" si="2"/>
        <v>1.3144632761298751E-2</v>
      </c>
      <c r="I31" s="45">
        <f t="shared" si="15"/>
        <v>1.1172937847103938E-2</v>
      </c>
      <c r="J31" s="46">
        <v>184.87</v>
      </c>
      <c r="K31" s="116">
        <f t="shared" si="3"/>
        <v>2.8786919492856905E-3</v>
      </c>
      <c r="L31" s="47">
        <f t="shared" si="16"/>
        <v>4.3180379239285356E-4</v>
      </c>
      <c r="M31" s="130">
        <f t="shared" si="17"/>
        <v>1.1604741639496792E-2</v>
      </c>
      <c r="N31" s="48">
        <v>870</v>
      </c>
      <c r="O31" s="49">
        <v>295</v>
      </c>
      <c r="P31" s="49">
        <v>1873</v>
      </c>
      <c r="Q31" s="49">
        <v>57</v>
      </c>
      <c r="R31" s="50">
        <f t="shared" si="18"/>
        <v>5.0875883895385148E-4</v>
      </c>
      <c r="S31" s="50">
        <f t="shared" si="18"/>
        <v>8.3842069961233702E-4</v>
      </c>
      <c r="T31" s="50">
        <f t="shared" si="18"/>
        <v>1.4015348789876024E-3</v>
      </c>
      <c r="U31" s="50">
        <f t="shared" si="18"/>
        <v>3.6404976624172905E-4</v>
      </c>
      <c r="V31" s="51">
        <f t="shared" si="19"/>
        <v>3.1127641837955201E-3</v>
      </c>
      <c r="W31" s="52">
        <v>2629.9999999954803</v>
      </c>
      <c r="X31" s="52">
        <v>513</v>
      </c>
      <c r="Y31" s="52">
        <v>350</v>
      </c>
      <c r="Z31" s="52">
        <v>123</v>
      </c>
      <c r="AA31" s="53">
        <f t="shared" si="20"/>
        <v>2.0684036014100501E-3</v>
      </c>
      <c r="AB31" s="53">
        <f t="shared" si="5"/>
        <v>1.7510444826738757E-3</v>
      </c>
      <c r="AC31" s="53">
        <f t="shared" si="5"/>
        <v>7.1071184898794629E-4</v>
      </c>
      <c r="AD31" s="53">
        <f t="shared" si="5"/>
        <v>2.2402739326825003E-3</v>
      </c>
      <c r="AE31" s="44">
        <f t="shared" si="21"/>
        <v>6.770433865754372E-3</v>
      </c>
      <c r="AF31" s="54">
        <f t="shared" si="6"/>
        <v>5.7548687858912165E-3</v>
      </c>
      <c r="AG31" s="44">
        <f t="shared" si="7"/>
        <v>1.1750551811794834</v>
      </c>
      <c r="AH31" s="44">
        <f t="shared" si="8"/>
        <v>0</v>
      </c>
      <c r="AI31" s="45">
        <f t="shared" si="22"/>
        <v>0</v>
      </c>
      <c r="AJ31" s="45">
        <f t="shared" si="9"/>
        <v>0</v>
      </c>
      <c r="AK31" s="130">
        <f t="shared" si="10"/>
        <v>5.7548687858912165E-3</v>
      </c>
      <c r="AM31" s="57">
        <f t="shared" si="11"/>
        <v>5942312.3785971124</v>
      </c>
      <c r="AN31" s="58">
        <f t="shared" si="12"/>
        <v>22673617.190555416</v>
      </c>
      <c r="AO31" s="58">
        <f t="shared" si="13"/>
        <v>11243998.004149614</v>
      </c>
      <c r="AP31" s="58">
        <f t="shared" si="23"/>
        <v>39859927.573302142</v>
      </c>
      <c r="AQ31" s="59">
        <f t="shared" si="24"/>
        <v>5.1002466585912077E-3</v>
      </c>
    </row>
    <row r="32" spans="1:43" ht="14.25">
      <c r="A32" s="4" t="s">
        <v>25</v>
      </c>
      <c r="B32" s="46">
        <v>522388961</v>
      </c>
      <c r="C32" s="46">
        <v>252087113.56999999</v>
      </c>
      <c r="D32" s="55">
        <f t="shared" si="0"/>
        <v>0.48256592767089501</v>
      </c>
      <c r="E32" s="56">
        <f t="shared" si="14"/>
        <v>121648651.81378531</v>
      </c>
      <c r="F32" s="130">
        <f t="shared" si="1"/>
        <v>7.1816750651012576E-2</v>
      </c>
      <c r="G32" s="43">
        <v>682880</v>
      </c>
      <c r="H32" s="119">
        <f t="shared" si="2"/>
        <v>0.1333879219549394</v>
      </c>
      <c r="I32" s="45">
        <f t="shared" si="15"/>
        <v>0.11337973366169848</v>
      </c>
      <c r="J32" s="46">
        <v>117.79</v>
      </c>
      <c r="K32" s="116">
        <f t="shared" si="3"/>
        <v>1.8341598134167874E-3</v>
      </c>
      <c r="L32" s="47">
        <f t="shared" si="16"/>
        <v>2.7512397201251811E-4</v>
      </c>
      <c r="M32" s="130">
        <f t="shared" si="17"/>
        <v>0.113654857633711</v>
      </c>
      <c r="N32" s="48">
        <v>69698</v>
      </c>
      <c r="O32" s="49">
        <v>12447</v>
      </c>
      <c r="P32" s="49">
        <v>14729</v>
      </c>
      <c r="Q32" s="49">
        <v>1417</v>
      </c>
      <c r="R32" s="50">
        <f t="shared" si="18"/>
        <v>4.0758015583224762E-2</v>
      </c>
      <c r="S32" s="50">
        <f t="shared" si="18"/>
        <v>3.5375669315507653E-2</v>
      </c>
      <c r="T32" s="50">
        <f t="shared" si="18"/>
        <v>1.1021466755263425E-2</v>
      </c>
      <c r="U32" s="50">
        <f t="shared" si="18"/>
        <v>9.0501494520092984E-3</v>
      </c>
      <c r="V32" s="51">
        <f t="shared" si="19"/>
        <v>9.6205301106005142E-2</v>
      </c>
      <c r="W32" s="52">
        <v>32769.999999791457</v>
      </c>
      <c r="X32" s="52">
        <v>9468</v>
      </c>
      <c r="Y32" s="52">
        <v>3881</v>
      </c>
      <c r="Z32" s="52">
        <v>299</v>
      </c>
      <c r="AA32" s="53">
        <f t="shared" si="20"/>
        <v>2.5772466166499041E-2</v>
      </c>
      <c r="AB32" s="53">
        <f t="shared" si="5"/>
        <v>3.2317522732858199E-2</v>
      </c>
      <c r="AC32" s="53">
        <f t="shared" si="5"/>
        <v>7.8807791026349137E-3</v>
      </c>
      <c r="AD32" s="53">
        <f t="shared" si="5"/>
        <v>5.4458691534314436E-3</v>
      </c>
      <c r="AE32" s="44">
        <f t="shared" si="21"/>
        <v>7.1416637155423596E-2</v>
      </c>
      <c r="AF32" s="54">
        <f t="shared" si="6"/>
        <v>6.0704141582110058E-2</v>
      </c>
      <c r="AG32" s="44">
        <f t="shared" si="7"/>
        <v>-0.25766422084441909</v>
      </c>
      <c r="AH32" s="44">
        <f t="shared" si="8"/>
        <v>-0.25766422084441909</v>
      </c>
      <c r="AI32" s="45">
        <f t="shared" si="22"/>
        <v>4.80132597732017E-2</v>
      </c>
      <c r="AJ32" s="45">
        <f t="shared" si="9"/>
        <v>7.2019889659802544E-3</v>
      </c>
      <c r="AK32" s="130">
        <f t="shared" si="10"/>
        <v>6.7906130548090318E-2</v>
      </c>
      <c r="AM32" s="57">
        <f t="shared" si="11"/>
        <v>280634513.49723274</v>
      </c>
      <c r="AN32" s="58">
        <f t="shared" si="12"/>
        <v>222061534.31827554</v>
      </c>
      <c r="AO32" s="58">
        <f t="shared" si="13"/>
        <v>132676595.20303157</v>
      </c>
      <c r="AP32" s="58">
        <f t="shared" si="23"/>
        <v>635372643.01853979</v>
      </c>
      <c r="AQ32" s="59">
        <f t="shared" si="24"/>
        <v>8.1298622370956614E-2</v>
      </c>
    </row>
    <row r="33" spans="1:43" ht="14.25">
      <c r="A33" s="4" t="s">
        <v>26</v>
      </c>
      <c r="B33" s="46">
        <v>800042</v>
      </c>
      <c r="C33" s="46">
        <v>228664</v>
      </c>
      <c r="D33" s="55">
        <f t="shared" si="0"/>
        <v>0.2858149947127776</v>
      </c>
      <c r="E33" s="56">
        <f t="shared" si="14"/>
        <v>65355.599951002579</v>
      </c>
      <c r="F33" s="130">
        <f t="shared" si="1"/>
        <v>3.8583467677991941E-5</v>
      </c>
      <c r="G33" s="43">
        <v>1764</v>
      </c>
      <c r="H33" s="119">
        <f t="shared" si="2"/>
        <v>3.4456462969850206E-4</v>
      </c>
      <c r="I33" s="45">
        <f t="shared" si="15"/>
        <v>2.9287993524372677E-4</v>
      </c>
      <c r="J33" s="46">
        <v>497.27</v>
      </c>
      <c r="K33" s="116">
        <f t="shared" si="3"/>
        <v>7.743209528973307E-3</v>
      </c>
      <c r="L33" s="47">
        <f t="shared" si="16"/>
        <v>1.1614814293459961E-3</v>
      </c>
      <c r="M33" s="130">
        <f t="shared" si="17"/>
        <v>1.4543613645897229E-3</v>
      </c>
      <c r="N33" s="48">
        <v>525</v>
      </c>
      <c r="O33" s="49">
        <v>111</v>
      </c>
      <c r="P33" s="49">
        <v>654</v>
      </c>
      <c r="Q33" s="49">
        <v>69</v>
      </c>
      <c r="R33" s="50">
        <f t="shared" si="18"/>
        <v>3.070096441962897E-4</v>
      </c>
      <c r="S33" s="50">
        <f t="shared" si="18"/>
        <v>3.1547355137955733E-4</v>
      </c>
      <c r="T33" s="50">
        <f t="shared" si="18"/>
        <v>4.8937736831708065E-4</v>
      </c>
      <c r="U33" s="50">
        <f t="shared" si="18"/>
        <v>4.4069182229261936E-4</v>
      </c>
      <c r="V33" s="51">
        <f t="shared" si="19"/>
        <v>1.5525523861855471E-3</v>
      </c>
      <c r="W33" s="52">
        <v>374.99999999594002</v>
      </c>
      <c r="X33" s="52">
        <v>98</v>
      </c>
      <c r="Y33" s="52">
        <v>163</v>
      </c>
      <c r="Z33" s="52">
        <v>24</v>
      </c>
      <c r="AA33" s="53">
        <f t="shared" si="20"/>
        <v>2.9492446787897499E-4</v>
      </c>
      <c r="AB33" s="53">
        <f t="shared" si="5"/>
        <v>3.3450752300592557E-4</v>
      </c>
      <c r="AC33" s="53">
        <f t="shared" si="5"/>
        <v>3.3098866110010071E-4</v>
      </c>
      <c r="AD33" s="53">
        <f t="shared" si="5"/>
        <v>4.3712662101121958E-4</v>
      </c>
      <c r="AE33" s="44">
        <f t="shared" si="21"/>
        <v>1.397547272996221E-3</v>
      </c>
      <c r="AF33" s="54">
        <f t="shared" si="6"/>
        <v>1.1879151820467877E-3</v>
      </c>
      <c r="AG33" s="44">
        <f t="shared" si="7"/>
        <v>-9.983889404862975E-2</v>
      </c>
      <c r="AH33" s="44">
        <f t="shared" si="8"/>
        <v>-9.983889404862975E-2</v>
      </c>
      <c r="AI33" s="45">
        <f t="shared" si="22"/>
        <v>1.8604021698148197E-2</v>
      </c>
      <c r="AJ33" s="45">
        <f t="shared" si="9"/>
        <v>2.7906032547222294E-3</v>
      </c>
      <c r="AK33" s="130">
        <f t="shared" si="10"/>
        <v>3.9785184367690171E-3</v>
      </c>
      <c r="AM33" s="57">
        <f t="shared" si="11"/>
        <v>150770.57347618672</v>
      </c>
      <c r="AN33" s="58">
        <f t="shared" si="12"/>
        <v>2841565.4446979202</v>
      </c>
      <c r="AO33" s="58">
        <f t="shared" si="13"/>
        <v>7773322.9074093578</v>
      </c>
      <c r="AP33" s="58">
        <f t="shared" si="23"/>
        <v>10765658.925583465</v>
      </c>
      <c r="AQ33" s="59">
        <f t="shared" si="24"/>
        <v>1.377511684178681E-3</v>
      </c>
    </row>
    <row r="34" spans="1:43" ht="14.25">
      <c r="A34" s="4" t="s">
        <v>27</v>
      </c>
      <c r="B34" s="46">
        <v>2151970</v>
      </c>
      <c r="C34" s="46">
        <v>558660</v>
      </c>
      <c r="D34" s="55">
        <f t="shared" si="0"/>
        <v>0.25960399076195301</v>
      </c>
      <c r="E34" s="56">
        <f t="shared" si="14"/>
        <v>145030.36547907267</v>
      </c>
      <c r="F34" s="130">
        <f t="shared" si="1"/>
        <v>8.5620427675430088E-5</v>
      </c>
      <c r="G34" s="43">
        <v>13836</v>
      </c>
      <c r="H34" s="119">
        <f t="shared" si="2"/>
        <v>2.702605564914101E-3</v>
      </c>
      <c r="I34" s="45">
        <f t="shared" si="15"/>
        <v>2.2972147301769858E-3</v>
      </c>
      <c r="J34" s="46">
        <v>170.12</v>
      </c>
      <c r="K34" s="116">
        <f t="shared" si="3"/>
        <v>2.6490132223318096E-3</v>
      </c>
      <c r="L34" s="47">
        <f t="shared" si="16"/>
        <v>3.9735198334977145E-4</v>
      </c>
      <c r="M34" s="130">
        <f t="shared" si="17"/>
        <v>2.6945667135267574E-3</v>
      </c>
      <c r="N34" s="48">
        <v>1777</v>
      </c>
      <c r="O34" s="49">
        <v>482</v>
      </c>
      <c r="P34" s="49">
        <v>1571</v>
      </c>
      <c r="Q34" s="49">
        <v>193</v>
      </c>
      <c r="R34" s="50">
        <f t="shared" si="18"/>
        <v>1.0391545480701082E-3</v>
      </c>
      <c r="S34" s="50">
        <f t="shared" si="18"/>
        <v>1.3698941600445642E-3</v>
      </c>
      <c r="T34" s="50">
        <f t="shared" si="18"/>
        <v>1.1755532807739047E-3</v>
      </c>
      <c r="U34" s="50">
        <f t="shared" si="18"/>
        <v>1.2326597348184861E-3</v>
      </c>
      <c r="V34" s="51">
        <f t="shared" si="19"/>
        <v>4.8172617237070628E-3</v>
      </c>
      <c r="W34" s="52">
        <v>887.9999999826681</v>
      </c>
      <c r="X34" s="52">
        <v>349</v>
      </c>
      <c r="Y34" s="52">
        <v>145</v>
      </c>
      <c r="Z34" s="52">
        <v>79</v>
      </c>
      <c r="AA34" s="53">
        <f t="shared" si="20"/>
        <v>6.9838113993134286E-4</v>
      </c>
      <c r="AB34" s="53">
        <f t="shared" si="5"/>
        <v>1.1912563829496736E-3</v>
      </c>
      <c r="AC34" s="53">
        <f t="shared" si="5"/>
        <v>2.9443776600929206E-4</v>
      </c>
      <c r="AD34" s="53">
        <f t="shared" si="5"/>
        <v>1.4388751274952644E-3</v>
      </c>
      <c r="AE34" s="44">
        <f t="shared" si="21"/>
        <v>3.6229504163855729E-3</v>
      </c>
      <c r="AF34" s="54">
        <f t="shared" si="6"/>
        <v>3.0795078539277371E-3</v>
      </c>
      <c r="AG34" s="44">
        <f t="shared" si="7"/>
        <v>-0.24792327588180588</v>
      </c>
      <c r="AH34" s="44">
        <f t="shared" si="8"/>
        <v>-0.24792327588180588</v>
      </c>
      <c r="AI34" s="45">
        <f t="shared" si="22"/>
        <v>4.6198127973397771E-2</v>
      </c>
      <c r="AJ34" s="45">
        <f t="shared" si="9"/>
        <v>6.9297191960096651E-3</v>
      </c>
      <c r="AK34" s="130">
        <f t="shared" si="10"/>
        <v>1.0009227049937402E-2</v>
      </c>
      <c r="AM34" s="57">
        <f t="shared" si="11"/>
        <v>334574.41123842524</v>
      </c>
      <c r="AN34" s="58">
        <f t="shared" si="12"/>
        <v>5264707.8284775959</v>
      </c>
      <c r="AO34" s="58">
        <f t="shared" si="13"/>
        <v>19556263.254601315</v>
      </c>
      <c r="AP34" s="58">
        <f t="shared" si="23"/>
        <v>25155545.494317338</v>
      </c>
      <c r="AQ34" s="59">
        <f t="shared" si="24"/>
        <v>3.2187586547037551E-3</v>
      </c>
    </row>
    <row r="35" spans="1:43" ht="14.25">
      <c r="A35" s="4" t="s">
        <v>28</v>
      </c>
      <c r="B35" s="46">
        <v>716675</v>
      </c>
      <c r="C35" s="46">
        <v>282361</v>
      </c>
      <c r="D35" s="55">
        <f t="shared" si="0"/>
        <v>0.39398751177311891</v>
      </c>
      <c r="E35" s="56">
        <f t="shared" si="14"/>
        <v>111246.70781176964</v>
      </c>
      <c r="F35" s="130">
        <f t="shared" si="1"/>
        <v>6.567583739352671E-5</v>
      </c>
      <c r="G35" s="43">
        <v>1511</v>
      </c>
      <c r="H35" s="119">
        <f t="shared" si="2"/>
        <v>2.9514577974741303E-4</v>
      </c>
      <c r="I35" s="45">
        <f t="shared" si="15"/>
        <v>2.5087391278530105E-4</v>
      </c>
      <c r="J35" s="46">
        <v>444.11</v>
      </c>
      <c r="K35" s="116">
        <f t="shared" si="3"/>
        <v>6.9154318255924057E-3</v>
      </c>
      <c r="L35" s="47">
        <f t="shared" si="16"/>
        <v>1.0373147738388607E-3</v>
      </c>
      <c r="M35" s="130">
        <f t="shared" si="17"/>
        <v>1.2881886866241618E-3</v>
      </c>
      <c r="N35" s="48">
        <v>236</v>
      </c>
      <c r="O35" s="49">
        <v>70</v>
      </c>
      <c r="P35" s="49">
        <v>392</v>
      </c>
      <c r="Q35" s="49">
        <v>106</v>
      </c>
      <c r="R35" s="50">
        <f t="shared" si="18"/>
        <v>1.3800814481966547E-4</v>
      </c>
      <c r="S35" s="50">
        <f t="shared" si="18"/>
        <v>1.9894728465377488E-4</v>
      </c>
      <c r="T35" s="50">
        <f t="shared" si="18"/>
        <v>2.9332710761513091E-4</v>
      </c>
      <c r="U35" s="50">
        <f t="shared" si="18"/>
        <v>6.7700482844953124E-4</v>
      </c>
      <c r="V35" s="51">
        <f t="shared" si="19"/>
        <v>1.3072873655381025E-3</v>
      </c>
      <c r="W35" s="52">
        <v>156.00000000186</v>
      </c>
      <c r="X35" s="52">
        <v>60</v>
      </c>
      <c r="Y35" s="52">
        <v>117</v>
      </c>
      <c r="Z35" s="52">
        <v>25</v>
      </c>
      <c r="AA35" s="53">
        <f t="shared" si="20"/>
        <v>1.2268857864044472E-4</v>
      </c>
      <c r="AB35" s="53">
        <f t="shared" si="5"/>
        <v>2.0480052428934218E-4</v>
      </c>
      <c r="AC35" s="53">
        <f t="shared" si="5"/>
        <v>2.3758081809025633E-4</v>
      </c>
      <c r="AD35" s="53">
        <f t="shared" si="5"/>
        <v>4.5534023022002039E-4</v>
      </c>
      <c r="AE35" s="44">
        <f t="shared" si="21"/>
        <v>1.0204101512400637E-3</v>
      </c>
      <c r="AF35" s="54">
        <f t="shared" si="6"/>
        <v>8.6734862855405406E-4</v>
      </c>
      <c r="AG35" s="44">
        <f t="shared" si="7"/>
        <v>-0.21944464687758616</v>
      </c>
      <c r="AH35" s="44">
        <f t="shared" si="8"/>
        <v>-0.21944464687758616</v>
      </c>
      <c r="AI35" s="45">
        <f t="shared" si="22"/>
        <v>4.0891408212760681E-2</v>
      </c>
      <c r="AJ35" s="45">
        <f t="shared" si="9"/>
        <v>6.1337112319141017E-3</v>
      </c>
      <c r="AK35" s="130">
        <f t="shared" si="10"/>
        <v>7.0010598604681555E-3</v>
      </c>
      <c r="AM35" s="57">
        <f t="shared" si="11"/>
        <v>256637.9919500837</v>
      </c>
      <c r="AN35" s="58">
        <f t="shared" si="12"/>
        <v>2516893.3576523052</v>
      </c>
      <c r="AO35" s="58">
        <f t="shared" si="13"/>
        <v>13678835.439485198</v>
      </c>
      <c r="AP35" s="58">
        <f t="shared" si="23"/>
        <v>16452366.789087586</v>
      </c>
      <c r="AQ35" s="59">
        <f t="shared" si="24"/>
        <v>2.1051500554698428E-3</v>
      </c>
    </row>
    <row r="36" spans="1:43" ht="14.25">
      <c r="A36" s="4" t="s">
        <v>29</v>
      </c>
      <c r="B36" s="46">
        <v>1688489</v>
      </c>
      <c r="C36" s="46">
        <v>494360</v>
      </c>
      <c r="D36" s="55">
        <f t="shared" si="0"/>
        <v>0.29278248185211747</v>
      </c>
      <c r="E36" s="56">
        <f t="shared" si="14"/>
        <v>144739.94772841278</v>
      </c>
      <c r="F36" s="130">
        <f t="shared" si="1"/>
        <v>8.5448976049186867E-5</v>
      </c>
      <c r="G36" s="43">
        <v>6921</v>
      </c>
      <c r="H36" s="119">
        <f t="shared" si="2"/>
        <v>1.3518887767252452E-3</v>
      </c>
      <c r="I36" s="45">
        <f t="shared" si="15"/>
        <v>1.1491054602164583E-3</v>
      </c>
      <c r="J36" s="46">
        <v>127.8</v>
      </c>
      <c r="K36" s="116">
        <f t="shared" si="3"/>
        <v>1.990029918963116E-3</v>
      </c>
      <c r="L36" s="47">
        <f t="shared" si="16"/>
        <v>2.9850448784446741E-4</v>
      </c>
      <c r="M36" s="130">
        <f t="shared" si="17"/>
        <v>1.4476099480609256E-3</v>
      </c>
      <c r="N36" s="48">
        <v>1201</v>
      </c>
      <c r="O36" s="49">
        <v>234</v>
      </c>
      <c r="P36" s="49">
        <v>2745</v>
      </c>
      <c r="Q36" s="49">
        <v>176</v>
      </c>
      <c r="R36" s="50">
        <f t="shared" si="18"/>
        <v>7.0232110986617887E-4</v>
      </c>
      <c r="S36" s="50">
        <f t="shared" si="18"/>
        <v>6.6505235155690464E-4</v>
      </c>
      <c r="T36" s="50">
        <f t="shared" si="18"/>
        <v>2.0540380367437099E-3</v>
      </c>
      <c r="U36" s="50">
        <f t="shared" si="18"/>
        <v>1.1240834887463913E-3</v>
      </c>
      <c r="V36" s="51">
        <f t="shared" si="19"/>
        <v>4.5454949869131846E-3</v>
      </c>
      <c r="W36" s="52">
        <v>649.99999999475995</v>
      </c>
      <c r="X36" s="52">
        <v>185</v>
      </c>
      <c r="Y36" s="52">
        <v>941</v>
      </c>
      <c r="Z36" s="52">
        <v>42</v>
      </c>
      <c r="AA36" s="53">
        <f t="shared" si="20"/>
        <v>5.1120241099163676E-4</v>
      </c>
      <c r="AB36" s="53">
        <f t="shared" si="5"/>
        <v>6.3146828322547177E-4</v>
      </c>
      <c r="AC36" s="53">
        <f t="shared" si="5"/>
        <v>1.9107995711361643E-3</v>
      </c>
      <c r="AD36" s="53">
        <f t="shared" si="5"/>
        <v>7.6497158676963432E-4</v>
      </c>
      <c r="AE36" s="44">
        <f t="shared" si="21"/>
        <v>3.8184418521229071E-3</v>
      </c>
      <c r="AF36" s="54">
        <f t="shared" si="6"/>
        <v>3.2456755743044711E-3</v>
      </c>
      <c r="AG36" s="44">
        <f t="shared" si="7"/>
        <v>-0.15995026655700142</v>
      </c>
      <c r="AH36" s="44">
        <f t="shared" si="8"/>
        <v>-0.15995026655700142</v>
      </c>
      <c r="AI36" s="45">
        <f t="shared" si="22"/>
        <v>2.9805200247927655E-2</v>
      </c>
      <c r="AJ36" s="45">
        <f t="shared" si="9"/>
        <v>4.4707800371891482E-3</v>
      </c>
      <c r="AK36" s="130">
        <f t="shared" si="10"/>
        <v>7.7164556114936193E-3</v>
      </c>
      <c r="AM36" s="57">
        <f t="shared" si="11"/>
        <v>333904.43879769358</v>
      </c>
      <c r="AN36" s="58">
        <f t="shared" si="12"/>
        <v>2828374.3682721485</v>
      </c>
      <c r="AO36" s="58">
        <f t="shared" si="13"/>
        <v>15076592.485906148</v>
      </c>
      <c r="AP36" s="58">
        <f t="shared" si="23"/>
        <v>18238871.292975992</v>
      </c>
      <c r="AQ36" s="59">
        <f t="shared" si="24"/>
        <v>2.3337408779132299E-3</v>
      </c>
    </row>
    <row r="37" spans="1:43" ht="14.25">
      <c r="A37" s="4" t="s">
        <v>30</v>
      </c>
      <c r="B37" s="46">
        <v>519940</v>
      </c>
      <c r="C37" s="46">
        <v>111314</v>
      </c>
      <c r="D37" s="55">
        <f t="shared" si="0"/>
        <v>0.21409008731776744</v>
      </c>
      <c r="E37" s="56">
        <f t="shared" si="14"/>
        <v>23831.223979689963</v>
      </c>
      <c r="F37" s="130">
        <f t="shared" si="1"/>
        <v>1.4069050866898955E-5</v>
      </c>
      <c r="G37" s="43">
        <v>3571</v>
      </c>
      <c r="H37" s="119">
        <f t="shared" si="2"/>
        <v>6.9752851057446193E-4</v>
      </c>
      <c r="I37" s="45">
        <f t="shared" si="15"/>
        <v>5.9289923398829264E-4</v>
      </c>
      <c r="J37" s="46">
        <v>561.88</v>
      </c>
      <c r="K37" s="116">
        <f t="shared" si="3"/>
        <v>8.7492802102268827E-3</v>
      </c>
      <c r="L37" s="47">
        <f t="shared" si="16"/>
        <v>1.3123920315340324E-3</v>
      </c>
      <c r="M37" s="130">
        <f t="shared" si="17"/>
        <v>1.905291265522325E-3</v>
      </c>
      <c r="N37" s="48">
        <v>779</v>
      </c>
      <c r="O37" s="49">
        <v>226</v>
      </c>
      <c r="P37" s="49">
        <v>2400</v>
      </c>
      <c r="Q37" s="49">
        <v>462</v>
      </c>
      <c r="R37" s="50">
        <f t="shared" si="18"/>
        <v>4.5554383395982794E-4</v>
      </c>
      <c r="S37" s="50">
        <f t="shared" si="18"/>
        <v>6.4231551902504459E-4</v>
      </c>
      <c r="T37" s="50">
        <f t="shared" si="18"/>
        <v>1.795880250704883E-3</v>
      </c>
      <c r="U37" s="50">
        <f t="shared" si="18"/>
        <v>2.9507191579592777E-3</v>
      </c>
      <c r="V37" s="51">
        <f t="shared" si="19"/>
        <v>5.8444587616490332E-3</v>
      </c>
      <c r="W37" s="52">
        <v>671.99999999645991</v>
      </c>
      <c r="X37" s="52">
        <v>188</v>
      </c>
      <c r="Y37" s="52">
        <v>1437</v>
      </c>
      <c r="Z37" s="52">
        <v>355</v>
      </c>
      <c r="AA37" s="53">
        <f t="shared" si="20"/>
        <v>5.2850464644206086E-4</v>
      </c>
      <c r="AB37" s="53">
        <f t="shared" si="5"/>
        <v>6.4170830943993879E-4</v>
      </c>
      <c r="AC37" s="53">
        <f t="shared" si="5"/>
        <v>2.9179797914162253E-3</v>
      </c>
      <c r="AD37" s="53">
        <f t="shared" si="5"/>
        <v>6.4658312691242897E-3</v>
      </c>
      <c r="AE37" s="44">
        <f t="shared" si="21"/>
        <v>1.0554024016422515E-2</v>
      </c>
      <c r="AF37" s="54">
        <f t="shared" si="6"/>
        <v>8.9709204139591381E-3</v>
      </c>
      <c r="AG37" s="44">
        <f t="shared" si="7"/>
        <v>0.80581717603644487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30">
        <f t="shared" si="10"/>
        <v>8.9709204139591381E-3</v>
      </c>
      <c r="AM37" s="57">
        <f t="shared" si="11"/>
        <v>54976.885052712147</v>
      </c>
      <c r="AN37" s="58">
        <f t="shared" si="12"/>
        <v>3722602.8922463208</v>
      </c>
      <c r="AO37" s="58">
        <f t="shared" si="13"/>
        <v>17527595.325411178</v>
      </c>
      <c r="AP37" s="58">
        <f t="shared" si="23"/>
        <v>21305175.10271021</v>
      </c>
      <c r="AQ37" s="59">
        <f t="shared" si="24"/>
        <v>2.726087445303815E-3</v>
      </c>
    </row>
    <row r="38" spans="1:43" ht="14.25">
      <c r="A38" s="4" t="s">
        <v>31</v>
      </c>
      <c r="B38" s="46">
        <v>210468335</v>
      </c>
      <c r="C38" s="46">
        <v>48969965.200000003</v>
      </c>
      <c r="D38" s="55">
        <f t="shared" si="0"/>
        <v>0.23267141444341261</v>
      </c>
      <c r="E38" s="56">
        <f t="shared" si="14"/>
        <v>11393911.068328694</v>
      </c>
      <c r="F38" s="130">
        <f t="shared" si="1"/>
        <v>6.7265329942706904E-3</v>
      </c>
      <c r="G38" s="43">
        <v>333481</v>
      </c>
      <c r="H38" s="119">
        <f t="shared" si="2"/>
        <v>6.5139318183949066E-2</v>
      </c>
      <c r="I38" s="45">
        <f t="shared" si="15"/>
        <v>5.5368420456356704E-2</v>
      </c>
      <c r="J38" s="46">
        <v>247</v>
      </c>
      <c r="K38" s="116">
        <f t="shared" si="3"/>
        <v>3.8461454615327825E-3</v>
      </c>
      <c r="L38" s="47">
        <f t="shared" si="16"/>
        <v>5.769218192299174E-4</v>
      </c>
      <c r="M38" s="130">
        <f t="shared" si="17"/>
        <v>5.5945342275586618E-2</v>
      </c>
      <c r="N38" s="48">
        <v>7826</v>
      </c>
      <c r="O38" s="49">
        <v>1628</v>
      </c>
      <c r="P38" s="49">
        <v>22499</v>
      </c>
      <c r="Q38" s="49">
        <v>705</v>
      </c>
      <c r="R38" s="50">
        <f t="shared" si="18"/>
        <v>4.5764904294860248E-3</v>
      </c>
      <c r="S38" s="50">
        <f t="shared" si="18"/>
        <v>4.6269454202335072E-3</v>
      </c>
      <c r="T38" s="50">
        <f t="shared" si="18"/>
        <v>1.6835629066920484E-2</v>
      </c>
      <c r="U38" s="50">
        <f t="shared" si="18"/>
        <v>4.5027207929898066E-3</v>
      </c>
      <c r="V38" s="51">
        <f t="shared" si="19"/>
        <v>3.0541785709629822E-2</v>
      </c>
      <c r="W38" s="52">
        <v>16068.000000124277</v>
      </c>
      <c r="X38" s="52">
        <v>2619</v>
      </c>
      <c r="Y38" s="52">
        <v>3702</v>
      </c>
      <c r="Z38" s="52">
        <v>260</v>
      </c>
      <c r="AA38" s="53">
        <f t="shared" si="20"/>
        <v>1.2636923599912874E-2</v>
      </c>
      <c r="AB38" s="53">
        <f t="shared" si="5"/>
        <v>8.939542885229787E-3</v>
      </c>
      <c r="AC38" s="53">
        <f t="shared" si="5"/>
        <v>7.5173007570096496E-3</v>
      </c>
      <c r="AD38" s="53">
        <f t="shared" si="5"/>
        <v>4.7355383942882124E-3</v>
      </c>
      <c r="AE38" s="44">
        <f t="shared" si="21"/>
        <v>3.3829305636440522E-2</v>
      </c>
      <c r="AF38" s="54">
        <f t="shared" si="6"/>
        <v>2.8754909790974444E-2</v>
      </c>
      <c r="AG38" s="44">
        <f t="shared" si="7"/>
        <v>0.10764006918476104</v>
      </c>
      <c r="AH38" s="44">
        <f t="shared" si="8"/>
        <v>0</v>
      </c>
      <c r="AI38" s="45">
        <f t="shared" si="22"/>
        <v>0</v>
      </c>
      <c r="AJ38" s="45">
        <f t="shared" si="9"/>
        <v>0</v>
      </c>
      <c r="AK38" s="130">
        <f t="shared" si="10"/>
        <v>2.8754909790974444E-2</v>
      </c>
      <c r="AM38" s="57">
        <f t="shared" si="11"/>
        <v>26284916.781369638</v>
      </c>
      <c r="AN38" s="58">
        <f t="shared" si="12"/>
        <v>109307325.72571531</v>
      </c>
      <c r="AO38" s="58">
        <f t="shared" si="13"/>
        <v>56182019.143838488</v>
      </c>
      <c r="AP38" s="58">
        <f t="shared" si="23"/>
        <v>191774261.65092343</v>
      </c>
      <c r="AQ38" s="59">
        <f t="shared" si="24"/>
        <v>2.453832951377561E-2</v>
      </c>
    </row>
    <row r="39" spans="1:43" ht="14.25">
      <c r="A39" s="4" t="s">
        <v>32</v>
      </c>
      <c r="B39" s="46">
        <v>3655474</v>
      </c>
      <c r="C39" s="46">
        <v>1144646</v>
      </c>
      <c r="D39" s="55">
        <f t="shared" si="0"/>
        <v>0.31313203157784736</v>
      </c>
      <c r="E39" s="56">
        <f t="shared" si="14"/>
        <v>358425.32741745666</v>
      </c>
      <c r="F39" s="130">
        <f t="shared" si="1"/>
        <v>2.116007204547584E-4</v>
      </c>
      <c r="G39" s="43">
        <v>5238</v>
      </c>
      <c r="H39" s="119">
        <f t="shared" si="2"/>
        <v>1.0231459922680009E-3</v>
      </c>
      <c r="I39" s="45">
        <f t="shared" si="15"/>
        <v>8.6967409342780073E-4</v>
      </c>
      <c r="J39" s="46">
        <v>3428.68</v>
      </c>
      <c r="K39" s="116">
        <f t="shared" si="3"/>
        <v>5.3389481866591988E-2</v>
      </c>
      <c r="L39" s="47">
        <f t="shared" si="16"/>
        <v>8.0084222799887972E-3</v>
      </c>
      <c r="M39" s="130">
        <f t="shared" si="17"/>
        <v>8.8780963734165982E-3</v>
      </c>
      <c r="N39" s="48">
        <v>900</v>
      </c>
      <c r="O39" s="49">
        <v>209</v>
      </c>
      <c r="P39" s="49">
        <v>2198</v>
      </c>
      <c r="Q39" s="49">
        <v>203</v>
      </c>
      <c r="R39" s="50">
        <f t="shared" si="18"/>
        <v>5.2630224719363945E-4</v>
      </c>
      <c r="S39" s="50">
        <f t="shared" si="18"/>
        <v>5.9399974989484219E-4</v>
      </c>
      <c r="T39" s="50">
        <f t="shared" si="18"/>
        <v>1.6447269962705554E-3</v>
      </c>
      <c r="U39" s="50">
        <f t="shared" si="18"/>
        <v>1.2965281148608946E-3</v>
      </c>
      <c r="V39" s="51">
        <f t="shared" si="19"/>
        <v>4.0615571082199316E-3</v>
      </c>
      <c r="W39" s="52">
        <v>711.99999999240003</v>
      </c>
      <c r="X39" s="52">
        <v>170</v>
      </c>
      <c r="Y39" s="52">
        <v>749</v>
      </c>
      <c r="Z39" s="52">
        <v>32</v>
      </c>
      <c r="AA39" s="53">
        <f t="shared" si="20"/>
        <v>5.5996325634629924E-4</v>
      </c>
      <c r="AB39" s="53">
        <f t="shared" si="5"/>
        <v>5.8026815215313622E-4</v>
      </c>
      <c r="AC39" s="53">
        <f t="shared" si="5"/>
        <v>1.5209233568342052E-3</v>
      </c>
      <c r="AD39" s="53">
        <f t="shared" si="5"/>
        <v>5.8283549468162615E-4</v>
      </c>
      <c r="AE39" s="44">
        <f t="shared" si="21"/>
        <v>3.2439902600152671E-3</v>
      </c>
      <c r="AF39" s="54">
        <f t="shared" si="6"/>
        <v>2.7573917210129768E-3</v>
      </c>
      <c r="AG39" s="44">
        <f t="shared" si="7"/>
        <v>-0.20129394378083273</v>
      </c>
      <c r="AH39" s="44">
        <f t="shared" si="8"/>
        <v>-0.20129394378083273</v>
      </c>
      <c r="AI39" s="45">
        <f t="shared" si="22"/>
        <v>3.7509198529186154E-2</v>
      </c>
      <c r="AJ39" s="45">
        <f t="shared" si="9"/>
        <v>5.6263797793779232E-3</v>
      </c>
      <c r="AK39" s="130">
        <f t="shared" si="10"/>
        <v>8.3837715003909005E-3</v>
      </c>
      <c r="AM39" s="57">
        <f t="shared" si="11"/>
        <v>826860.93010597385</v>
      </c>
      <c r="AN39" s="58">
        <f t="shared" si="12"/>
        <v>17346233.531523503</v>
      </c>
      <c r="AO39" s="58">
        <f t="shared" si="13"/>
        <v>16380409.966731016</v>
      </c>
      <c r="AP39" s="58">
        <f t="shared" si="23"/>
        <v>34553504.428360492</v>
      </c>
      <c r="AQ39" s="59">
        <f t="shared" si="24"/>
        <v>4.4212673286792535E-3</v>
      </c>
    </row>
    <row r="40" spans="1:43" ht="14.25">
      <c r="A40" s="4" t="s">
        <v>33</v>
      </c>
      <c r="B40" s="46">
        <v>36642593</v>
      </c>
      <c r="C40" s="46">
        <v>10001944</v>
      </c>
      <c r="D40" s="55">
        <f t="shared" ref="D40:D59" si="25">+C40/B40</f>
        <v>0.27295950371197802</v>
      </c>
      <c r="E40" s="56">
        <f t="shared" si="14"/>
        <v>2730125.6703949962</v>
      </c>
      <c r="F40" s="130">
        <f t="shared" ref="F40:F58" si="26">+E40/E$59</f>
        <v>1.6117626590454932E-3</v>
      </c>
      <c r="G40" s="43">
        <v>79853</v>
      </c>
      <c r="H40" s="119">
        <f t="shared" ref="H40:H58" si="27">+G40/$G$59</f>
        <v>1.5597800099384627E-2</v>
      </c>
      <c r="I40" s="45">
        <f t="shared" si="15"/>
        <v>1.3258130084476932E-2</v>
      </c>
      <c r="J40" s="46">
        <v>2539.67</v>
      </c>
      <c r="K40" s="116">
        <f t="shared" ref="K40:K59" si="28">+J40/$J$59</f>
        <v>3.9546316778505917E-2</v>
      </c>
      <c r="L40" s="47">
        <f t="shared" si="16"/>
        <v>5.9319475167758876E-3</v>
      </c>
      <c r="M40" s="130">
        <f t="shared" si="17"/>
        <v>1.9190077601252818E-2</v>
      </c>
      <c r="N40" s="48">
        <v>12929</v>
      </c>
      <c r="O40" s="49">
        <v>2053</v>
      </c>
      <c r="P40" s="49">
        <v>23315</v>
      </c>
      <c r="Q40" s="49">
        <v>2592</v>
      </c>
      <c r="R40" s="50">
        <f t="shared" si="18"/>
        <v>7.5606241710739607E-3</v>
      </c>
      <c r="S40" s="50">
        <f t="shared" si="18"/>
        <v>5.8348396484885689E-3</v>
      </c>
      <c r="T40" s="50">
        <f t="shared" si="18"/>
        <v>1.7446228352160146E-2</v>
      </c>
      <c r="U40" s="50">
        <f t="shared" si="18"/>
        <v>1.6554684106992311E-2</v>
      </c>
      <c r="V40" s="51">
        <f t="shared" si="19"/>
        <v>4.7396376278714986E-2</v>
      </c>
      <c r="W40" s="52">
        <v>10671.999999957041</v>
      </c>
      <c r="X40" s="52">
        <v>1702</v>
      </c>
      <c r="Y40" s="52">
        <v>11424</v>
      </c>
      <c r="Z40" s="52">
        <v>888</v>
      </c>
      <c r="AA40" s="53">
        <f t="shared" si="20"/>
        <v>8.3931571232688726E-3</v>
      </c>
      <c r="AB40" s="53">
        <f t="shared" si="5"/>
        <v>5.8095082056743401E-3</v>
      </c>
      <c r="AC40" s="53">
        <f t="shared" si="5"/>
        <v>2.3197634750966568E-2</v>
      </c>
      <c r="AD40" s="53">
        <f t="shared" si="5"/>
        <v>1.6173684977415125E-2</v>
      </c>
      <c r="AE40" s="44">
        <f t="shared" si="21"/>
        <v>5.3573985057324913E-2</v>
      </c>
      <c r="AF40" s="54">
        <f t="shared" ref="AF40:AF58" si="29">+AE40*AF$4</f>
        <v>4.5537887298726175E-2</v>
      </c>
      <c r="AG40" s="44">
        <f t="shared" si="7"/>
        <v>0.13033926353952507</v>
      </c>
      <c r="AH40" s="44">
        <f t="shared" si="8"/>
        <v>0</v>
      </c>
      <c r="AI40" s="45">
        <f t="shared" si="22"/>
        <v>0</v>
      </c>
      <c r="AJ40" s="45">
        <f t="shared" ref="AJ40:AJ58" si="30">+AI40*AJ$4</f>
        <v>0</v>
      </c>
      <c r="AK40" s="130">
        <f t="shared" si="10"/>
        <v>4.5537887298726175E-2</v>
      </c>
      <c r="AM40" s="57">
        <f t="shared" ref="AM40:AM58" si="31">+F40*AM$6</f>
        <v>6298199.5926302848</v>
      </c>
      <c r="AN40" s="58">
        <f t="shared" ref="AN40:AN58" si="32">+M40*AN$6</f>
        <v>37494025.020510979</v>
      </c>
      <c r="AO40" s="58">
        <f t="shared" ref="AO40:AO58" si="33">+AK40*AO$6</f>
        <v>88972995.380080238</v>
      </c>
      <c r="AP40" s="58">
        <f t="shared" si="23"/>
        <v>132765219.99322149</v>
      </c>
      <c r="AQ40" s="59">
        <f t="shared" si="24"/>
        <v>1.6987872554517492E-2</v>
      </c>
    </row>
    <row r="41" spans="1:43" ht="14.25">
      <c r="A41" s="4" t="s">
        <v>34</v>
      </c>
      <c r="B41" s="46">
        <v>1511371</v>
      </c>
      <c r="C41" s="46">
        <v>491980</v>
      </c>
      <c r="D41" s="55">
        <f t="shared" si="25"/>
        <v>0.32551901551637552</v>
      </c>
      <c r="E41" s="56">
        <f t="shared" si="14"/>
        <v>160148.84525374643</v>
      </c>
      <c r="F41" s="130">
        <f t="shared" si="26"/>
        <v>9.4545804784106635E-5</v>
      </c>
      <c r="G41" s="43">
        <v>5630</v>
      </c>
      <c r="H41" s="119">
        <f t="shared" si="27"/>
        <v>1.0997159099787792E-3</v>
      </c>
      <c r="I41" s="45">
        <f t="shared" si="15"/>
        <v>9.3475852348196226E-4</v>
      </c>
      <c r="J41" s="46">
        <v>264.23</v>
      </c>
      <c r="K41" s="116">
        <f t="shared" si="28"/>
        <v>4.114441357493147E-3</v>
      </c>
      <c r="L41" s="47">
        <f t="shared" si="16"/>
        <v>6.1716620362397201E-4</v>
      </c>
      <c r="M41" s="130">
        <f t="shared" si="17"/>
        <v>1.5519247271059342E-3</v>
      </c>
      <c r="N41" s="48">
        <v>549</v>
      </c>
      <c r="O41" s="49">
        <v>170</v>
      </c>
      <c r="P41" s="49">
        <v>368</v>
      </c>
      <c r="Q41" s="49">
        <v>141</v>
      </c>
      <c r="R41" s="50">
        <f t="shared" si="18"/>
        <v>3.2104437078812008E-4</v>
      </c>
      <c r="S41" s="50">
        <f t="shared" si="18"/>
        <v>4.8315769130202469E-4</v>
      </c>
      <c r="T41" s="50">
        <f t="shared" si="18"/>
        <v>2.7536830510808204E-4</v>
      </c>
      <c r="U41" s="50">
        <f t="shared" si="18"/>
        <v>9.0054415859796135E-4</v>
      </c>
      <c r="V41" s="51">
        <f t="shared" si="19"/>
        <v>1.9801145257961881E-3</v>
      </c>
      <c r="W41" s="52">
        <v>273.99999999933596</v>
      </c>
      <c r="X41" s="52">
        <v>118</v>
      </c>
      <c r="Y41" s="52">
        <v>143</v>
      </c>
      <c r="Z41" s="52">
        <v>8</v>
      </c>
      <c r="AA41" s="53">
        <f t="shared" si="20"/>
        <v>2.1549147786538184E-4</v>
      </c>
      <c r="AB41" s="53">
        <f t="shared" si="5"/>
        <v>4.0277436443570628E-4</v>
      </c>
      <c r="AC41" s="53">
        <f t="shared" si="5"/>
        <v>2.9037655544364666E-4</v>
      </c>
      <c r="AD41" s="53">
        <f t="shared" si="5"/>
        <v>1.4570887367040654E-4</v>
      </c>
      <c r="AE41" s="44">
        <f t="shared" si="21"/>
        <v>1.0543512714151413E-3</v>
      </c>
      <c r="AF41" s="54">
        <f t="shared" si="29"/>
        <v>8.9619858070287008E-4</v>
      </c>
      <c r="AG41" s="44">
        <f t="shared" si="7"/>
        <v>-0.46753015662505931</v>
      </c>
      <c r="AH41" s="44">
        <f t="shared" si="8"/>
        <v>-0.46753015662505931</v>
      </c>
      <c r="AI41" s="45">
        <f t="shared" si="22"/>
        <v>8.7119766913229382E-2</v>
      </c>
      <c r="AJ41" s="45">
        <f t="shared" si="30"/>
        <v>1.3067965036984408E-2</v>
      </c>
      <c r="AK41" s="130">
        <f t="shared" si="10"/>
        <v>1.3964163617687278E-2</v>
      </c>
      <c r="AM41" s="57">
        <f t="shared" si="31"/>
        <v>369451.63472691877</v>
      </c>
      <c r="AN41" s="58">
        <f t="shared" si="32"/>
        <v>3032187.0373395877</v>
      </c>
      <c r="AO41" s="58">
        <f t="shared" si="33"/>
        <v>27283511.351610929</v>
      </c>
      <c r="AP41" s="58">
        <f t="shared" si="23"/>
        <v>30685150.023677435</v>
      </c>
      <c r="AQ41" s="59">
        <f t="shared" si="24"/>
        <v>3.9262949885903557E-3</v>
      </c>
    </row>
    <row r="42" spans="1:43" ht="14.25">
      <c r="A42" s="4" t="s">
        <v>35</v>
      </c>
      <c r="B42" s="46">
        <v>713650</v>
      </c>
      <c r="C42" s="46">
        <v>296444</v>
      </c>
      <c r="D42" s="55">
        <f t="shared" si="25"/>
        <v>0.41539129825544735</v>
      </c>
      <c r="E42" s="56">
        <f t="shared" si="14"/>
        <v>123140.25802003783</v>
      </c>
      <c r="F42" s="130">
        <f t="shared" si="26"/>
        <v>7.2697338387799971E-5</v>
      </c>
      <c r="G42" s="43">
        <v>955</v>
      </c>
      <c r="H42" s="119">
        <f t="shared" si="27"/>
        <v>1.8654150870865615E-4</v>
      </c>
      <c r="I42" s="45">
        <f t="shared" si="15"/>
        <v>1.5856028240235771E-4</v>
      </c>
      <c r="J42" s="46">
        <v>207.92</v>
      </c>
      <c r="K42" s="116">
        <f t="shared" si="28"/>
        <v>3.2376136208983647E-3</v>
      </c>
      <c r="L42" s="47">
        <f t="shared" si="16"/>
        <v>4.8564204313475466E-4</v>
      </c>
      <c r="M42" s="130">
        <f t="shared" si="17"/>
        <v>6.4420232553711243E-4</v>
      </c>
      <c r="N42" s="48">
        <v>166</v>
      </c>
      <c r="O42" s="49">
        <v>24</v>
      </c>
      <c r="P42" s="49">
        <v>127</v>
      </c>
      <c r="Q42" s="49">
        <v>48</v>
      </c>
      <c r="R42" s="50">
        <f t="shared" si="18"/>
        <v>9.7073525593493502E-5</v>
      </c>
      <c r="S42" s="50">
        <f t="shared" si="18"/>
        <v>6.821049759557996E-5</v>
      </c>
      <c r="T42" s="50">
        <f t="shared" si="18"/>
        <v>9.5031996599800059E-5</v>
      </c>
      <c r="U42" s="50">
        <f t="shared" si="18"/>
        <v>3.0656822420356133E-4</v>
      </c>
      <c r="V42" s="51">
        <f t="shared" si="19"/>
        <v>5.668842439924349E-4</v>
      </c>
      <c r="W42" s="52">
        <v>122.00000000265999</v>
      </c>
      <c r="X42" s="52">
        <v>28</v>
      </c>
      <c r="Y42" s="52">
        <v>16</v>
      </c>
      <c r="Z42" s="52">
        <v>3</v>
      </c>
      <c r="AA42" s="53">
        <f t="shared" si="20"/>
        <v>9.5948760219757314E-5</v>
      </c>
      <c r="AB42" s="53">
        <f t="shared" si="5"/>
        <v>9.5573578001693018E-5</v>
      </c>
      <c r="AC42" s="53">
        <f t="shared" si="5"/>
        <v>3.2489684525163258E-5</v>
      </c>
      <c r="AD42" s="53">
        <f t="shared" si="5"/>
        <v>5.4640827626402448E-5</v>
      </c>
      <c r="AE42" s="44">
        <f t="shared" si="21"/>
        <v>2.7865285037301604E-4</v>
      </c>
      <c r="AF42" s="54">
        <f t="shared" si="29"/>
        <v>2.3685492281706362E-4</v>
      </c>
      <c r="AG42" s="44">
        <f t="shared" si="7"/>
        <v>-0.50844841195350865</v>
      </c>
      <c r="AH42" s="44">
        <f t="shared" si="8"/>
        <v>-0.50844841195350865</v>
      </c>
      <c r="AI42" s="45">
        <f t="shared" si="22"/>
        <v>9.474449189876509E-2</v>
      </c>
      <c r="AJ42" s="45">
        <f t="shared" si="30"/>
        <v>1.4211673784814763E-2</v>
      </c>
      <c r="AK42" s="130">
        <f t="shared" si="10"/>
        <v>1.4448528707631827E-2</v>
      </c>
      <c r="AM42" s="57">
        <f t="shared" si="31"/>
        <v>284075.53956517379</v>
      </c>
      <c r="AN42" s="58">
        <f t="shared" si="32"/>
        <v>1258657.6570374568</v>
      </c>
      <c r="AO42" s="58">
        <f t="shared" si="33"/>
        <v>28229875.257938091</v>
      </c>
      <c r="AP42" s="58">
        <f t="shared" si="23"/>
        <v>29772608.454540722</v>
      </c>
      <c r="AQ42" s="59">
        <f t="shared" si="24"/>
        <v>3.8095314274861347E-3</v>
      </c>
    </row>
    <row r="43" spans="1:43" ht="14.25">
      <c r="A43" s="4" t="s">
        <v>36</v>
      </c>
      <c r="B43" s="46">
        <v>721640</v>
      </c>
      <c r="C43" s="46">
        <v>94052</v>
      </c>
      <c r="D43" s="55">
        <f t="shared" si="25"/>
        <v>0.13033091292056981</v>
      </c>
      <c r="E43" s="56">
        <f t="shared" si="14"/>
        <v>12257.883022005431</v>
      </c>
      <c r="F43" s="130">
        <f t="shared" si="26"/>
        <v>7.2365892706168557E-6</v>
      </c>
      <c r="G43" s="43">
        <v>6996</v>
      </c>
      <c r="H43" s="119">
        <f t="shared" si="27"/>
        <v>1.3665386334301135E-3</v>
      </c>
      <c r="I43" s="45">
        <f t="shared" si="15"/>
        <v>1.1615578384155964E-3</v>
      </c>
      <c r="J43" s="46">
        <v>1006.78</v>
      </c>
      <c r="K43" s="116">
        <f t="shared" si="28"/>
        <v>1.5677013472720547E-2</v>
      </c>
      <c r="L43" s="47">
        <f t="shared" si="16"/>
        <v>2.3515520209080819E-3</v>
      </c>
      <c r="M43" s="130">
        <f t="shared" si="17"/>
        <v>3.5131098593236786E-3</v>
      </c>
      <c r="N43" s="48">
        <v>1457</v>
      </c>
      <c r="O43" s="49">
        <v>857</v>
      </c>
      <c r="P43" s="49">
        <v>6591</v>
      </c>
      <c r="Q43" s="49">
        <v>540</v>
      </c>
      <c r="R43" s="50">
        <f t="shared" si="18"/>
        <v>8.5202486017903634E-4</v>
      </c>
      <c r="S43" s="50">
        <f t="shared" si="18"/>
        <v>2.4356831849755012E-3</v>
      </c>
      <c r="T43" s="50">
        <f t="shared" si="18"/>
        <v>4.9319361384982845E-3</v>
      </c>
      <c r="U43" s="50">
        <f t="shared" si="18"/>
        <v>3.4488925222900648E-3</v>
      </c>
      <c r="V43" s="51">
        <f t="shared" si="19"/>
        <v>1.1668536705942888E-2</v>
      </c>
      <c r="W43" s="52">
        <v>1103.9999999949041</v>
      </c>
      <c r="X43" s="52">
        <v>656</v>
      </c>
      <c r="Y43" s="52">
        <v>3161</v>
      </c>
      <c r="Z43" s="52">
        <v>242</v>
      </c>
      <c r="AA43" s="53">
        <f t="shared" si="20"/>
        <v>8.6825763344109482E-4</v>
      </c>
      <c r="AB43" s="53">
        <f t="shared" si="5"/>
        <v>2.2391523988968078E-3</v>
      </c>
      <c r="AC43" s="53">
        <f t="shared" si="5"/>
        <v>6.4187432990025668E-3</v>
      </c>
      <c r="AD43" s="53">
        <f t="shared" si="5"/>
        <v>4.4076934285297974E-3</v>
      </c>
      <c r="AE43" s="44">
        <f t="shared" si="21"/>
        <v>1.3933846759870267E-2</v>
      </c>
      <c r="AF43" s="54">
        <f t="shared" si="29"/>
        <v>1.1843769745889727E-2</v>
      </c>
      <c r="AG43" s="44">
        <f t="shared" si="7"/>
        <v>0.19413831494172162</v>
      </c>
      <c r="AH43" s="44">
        <f t="shared" si="8"/>
        <v>0</v>
      </c>
      <c r="AI43" s="45">
        <f t="shared" si="22"/>
        <v>0</v>
      </c>
      <c r="AJ43" s="45">
        <f t="shared" si="30"/>
        <v>0</v>
      </c>
      <c r="AK43" s="130">
        <f t="shared" si="10"/>
        <v>1.1843769745889727E-2</v>
      </c>
      <c r="AM43" s="57">
        <f t="shared" si="31"/>
        <v>28278.036682661052</v>
      </c>
      <c r="AN43" s="58">
        <f t="shared" si="32"/>
        <v>6863996.6811122466</v>
      </c>
      <c r="AO43" s="58">
        <f t="shared" si="33"/>
        <v>23140635.927421648</v>
      </c>
      <c r="AP43" s="58">
        <f t="shared" si="23"/>
        <v>30032910.645216554</v>
      </c>
      <c r="AQ43" s="59">
        <f t="shared" si="24"/>
        <v>3.8428381959386597E-3</v>
      </c>
    </row>
    <row r="44" spans="1:43" ht="14.25">
      <c r="A44" s="4" t="s">
        <v>37</v>
      </c>
      <c r="B44" s="46">
        <v>4192006</v>
      </c>
      <c r="C44" s="46">
        <v>601205</v>
      </c>
      <c r="D44" s="55">
        <f t="shared" si="25"/>
        <v>0.14341701800999332</v>
      </c>
      <c r="E44" s="56">
        <f t="shared" si="14"/>
        <v>86223.028312698036</v>
      </c>
      <c r="F44" s="130">
        <f t="shared" si="26"/>
        <v>5.0902806010436367E-5</v>
      </c>
      <c r="G44" s="43">
        <v>5326</v>
      </c>
      <c r="H44" s="119">
        <f t="shared" si="27"/>
        <v>1.0403351574683798E-3</v>
      </c>
      <c r="I44" s="45">
        <f t="shared" si="15"/>
        <v>8.8428488384812277E-4</v>
      </c>
      <c r="J44" s="46">
        <v>3872.26</v>
      </c>
      <c r="K44" s="116">
        <f t="shared" si="28"/>
        <v>6.0296660829453175E-2</v>
      </c>
      <c r="L44" s="47">
        <f t="shared" si="16"/>
        <v>9.0444991244179752E-3</v>
      </c>
      <c r="M44" s="130">
        <f t="shared" si="17"/>
        <v>9.9287840082660974E-3</v>
      </c>
      <c r="N44" s="48">
        <v>871</v>
      </c>
      <c r="O44" s="49">
        <v>298</v>
      </c>
      <c r="P44" s="49">
        <v>2364</v>
      </c>
      <c r="Q44" s="49">
        <v>407</v>
      </c>
      <c r="R44" s="50">
        <f t="shared" si="18"/>
        <v>5.0934361922851112E-4</v>
      </c>
      <c r="S44" s="50">
        <f t="shared" si="18"/>
        <v>8.4694701181178454E-4</v>
      </c>
      <c r="T44" s="50">
        <f t="shared" si="18"/>
        <v>1.7689420469443097E-3</v>
      </c>
      <c r="U44" s="50">
        <f t="shared" si="18"/>
        <v>2.5994430677260304E-3</v>
      </c>
      <c r="V44" s="51">
        <f t="shared" si="19"/>
        <v>5.7246757457106359E-3</v>
      </c>
      <c r="W44" s="52">
        <v>541.99999999184001</v>
      </c>
      <c r="X44" s="52">
        <v>247</v>
      </c>
      <c r="Y44" s="52">
        <v>493</v>
      </c>
      <c r="Z44" s="52">
        <v>128</v>
      </c>
      <c r="AA44" s="53">
        <f t="shared" si="20"/>
        <v>4.2626416423927597E-4</v>
      </c>
      <c r="AB44" s="53">
        <f t="shared" si="5"/>
        <v>8.4309549165779193E-4</v>
      </c>
      <c r="AC44" s="53">
        <f t="shared" si="5"/>
        <v>1.0010884044315931E-3</v>
      </c>
      <c r="AD44" s="53">
        <f t="shared" si="5"/>
        <v>2.3313419787265046E-3</v>
      </c>
      <c r="AE44" s="44">
        <f t="shared" si="21"/>
        <v>4.6017900390551651E-3</v>
      </c>
      <c r="AF44" s="54">
        <f t="shared" si="29"/>
        <v>3.9115215331968906E-3</v>
      </c>
      <c r="AG44" s="44">
        <f t="shared" si="7"/>
        <v>-0.19614835084708904</v>
      </c>
      <c r="AH44" s="44">
        <f t="shared" si="8"/>
        <v>-0.19614835084708904</v>
      </c>
      <c r="AI44" s="45">
        <f t="shared" si="22"/>
        <v>3.655036656794089E-2</v>
      </c>
      <c r="AJ44" s="45">
        <f t="shared" si="30"/>
        <v>5.4825549851911333E-3</v>
      </c>
      <c r="AK44" s="130">
        <f t="shared" si="10"/>
        <v>9.3940765183880247E-3</v>
      </c>
      <c r="AM44" s="57">
        <f t="shared" si="31"/>
        <v>198910.19951320245</v>
      </c>
      <c r="AN44" s="58">
        <f t="shared" si="32"/>
        <v>19399091.74754326</v>
      </c>
      <c r="AO44" s="58">
        <f t="shared" si="33"/>
        <v>18354367.676034857</v>
      </c>
      <c r="AP44" s="58">
        <f t="shared" si="23"/>
        <v>37952369.623091318</v>
      </c>
      <c r="AQ44" s="59">
        <f t="shared" si="24"/>
        <v>4.8561665346687479E-3</v>
      </c>
    </row>
    <row r="45" spans="1:43" ht="14.25">
      <c r="A45" s="4" t="s">
        <v>38</v>
      </c>
      <c r="B45" s="46">
        <v>68064400</v>
      </c>
      <c r="C45" s="46">
        <v>16720965.199999999</v>
      </c>
      <c r="D45" s="55">
        <f t="shared" si="25"/>
        <v>0.24566388890521329</v>
      </c>
      <c r="E45" s="56">
        <f t="shared" si="14"/>
        <v>4107737.3372807372</v>
      </c>
      <c r="F45" s="130">
        <f t="shared" si="26"/>
        <v>2.4250523428975225E-3</v>
      </c>
      <c r="G45" s="43">
        <v>60829</v>
      </c>
      <c r="H45" s="119">
        <f t="shared" si="27"/>
        <v>1.1881815113339104E-2</v>
      </c>
      <c r="I45" s="45">
        <f t="shared" si="15"/>
        <v>1.0099542846338239E-2</v>
      </c>
      <c r="J45" s="46">
        <v>1869.3</v>
      </c>
      <c r="K45" s="116">
        <f t="shared" si="28"/>
        <v>2.9107691138636562E-2</v>
      </c>
      <c r="L45" s="47">
        <f t="shared" si="16"/>
        <v>4.3661536707954845E-3</v>
      </c>
      <c r="M45" s="130">
        <f t="shared" si="17"/>
        <v>1.4465696517133723E-2</v>
      </c>
      <c r="N45" s="48">
        <v>9097</v>
      </c>
      <c r="O45" s="49">
        <v>1608</v>
      </c>
      <c r="P45" s="49">
        <v>18077</v>
      </c>
      <c r="Q45" s="49">
        <v>1611</v>
      </c>
      <c r="R45" s="50">
        <f t="shared" si="18"/>
        <v>5.3197461585783755E-3</v>
      </c>
      <c r="S45" s="50">
        <f t="shared" si="18"/>
        <v>4.5701033389038571E-3</v>
      </c>
      <c r="T45" s="50">
        <f t="shared" si="18"/>
        <v>1.3526719704996738E-2</v>
      </c>
      <c r="U45" s="50">
        <f t="shared" si="18"/>
        <v>1.0289196024832026E-2</v>
      </c>
      <c r="V45" s="51">
        <f t="shared" si="19"/>
        <v>3.3705765227310995E-2</v>
      </c>
      <c r="W45" s="52">
        <v>5867.9999999965466</v>
      </c>
      <c r="X45" s="52">
        <v>1434</v>
      </c>
      <c r="Y45" s="52">
        <v>7372</v>
      </c>
      <c r="Z45" s="52">
        <v>494</v>
      </c>
      <c r="AA45" s="53">
        <f t="shared" si="20"/>
        <v>4.6149780734174488E-3</v>
      </c>
      <c r="AB45" s="53">
        <f t="shared" si="5"/>
        <v>4.8947325305152781E-3</v>
      </c>
      <c r="AC45" s="53">
        <f t="shared" si="5"/>
        <v>1.4969622144968973E-2</v>
      </c>
      <c r="AD45" s="53">
        <f t="shared" si="5"/>
        <v>8.9975229491476034E-3</v>
      </c>
      <c r="AE45" s="44">
        <f t="shared" si="21"/>
        <v>3.3476855698049306E-2</v>
      </c>
      <c r="AF45" s="54">
        <f t="shared" si="29"/>
        <v>2.8455327343341909E-2</v>
      </c>
      <c r="AG45" s="44">
        <f t="shared" si="7"/>
        <v>-6.7914057941698752E-3</v>
      </c>
      <c r="AH45" s="44">
        <f t="shared" si="8"/>
        <v>-6.7914057941698752E-3</v>
      </c>
      <c r="AI45" s="45">
        <f t="shared" si="22"/>
        <v>1.2655134249997214E-3</v>
      </c>
      <c r="AJ45" s="45">
        <f t="shared" si="30"/>
        <v>1.898270137499582E-4</v>
      </c>
      <c r="AK45" s="130">
        <f t="shared" si="10"/>
        <v>2.8645154357091869E-2</v>
      </c>
      <c r="AM45" s="57">
        <f t="shared" si="31"/>
        <v>9476248.6228521001</v>
      </c>
      <c r="AN45" s="58">
        <f t="shared" si="32"/>
        <v>28263418.127976794</v>
      </c>
      <c r="AO45" s="58">
        <f t="shared" si="33"/>
        <v>55967576.395370305</v>
      </c>
      <c r="AP45" s="58">
        <f t="shared" si="23"/>
        <v>93707243.146199197</v>
      </c>
      <c r="AQ45" s="59">
        <f t="shared" si="24"/>
        <v>1.1990238890005158E-2</v>
      </c>
    </row>
    <row r="46" spans="1:43" ht="14.25">
      <c r="A46" s="4" t="s">
        <v>39</v>
      </c>
      <c r="B46" s="46">
        <v>2173533369</v>
      </c>
      <c r="C46" s="46">
        <v>1201710192.6199999</v>
      </c>
      <c r="D46" s="55">
        <f t="shared" si="25"/>
        <v>0.55288324980852865</v>
      </c>
      <c r="E46" s="56">
        <f t="shared" si="14"/>
        <v>664405436.62377846</v>
      </c>
      <c r="F46" s="130">
        <f t="shared" si="26"/>
        <v>0.39223977299993296</v>
      </c>
      <c r="G46" s="43">
        <v>1109171</v>
      </c>
      <c r="H46" s="119">
        <f t="shared" si="27"/>
        <v>0.21665594948260614</v>
      </c>
      <c r="I46" s="45">
        <f t="shared" si="15"/>
        <v>0.18415755706021522</v>
      </c>
      <c r="J46" s="46">
        <v>323.60000000000002</v>
      </c>
      <c r="K46" s="116">
        <f t="shared" si="28"/>
        <v>5.0389176977814112E-3</v>
      </c>
      <c r="L46" s="47">
        <f t="shared" si="16"/>
        <v>7.558376546672117E-4</v>
      </c>
      <c r="M46" s="130">
        <f t="shared" si="17"/>
        <v>0.18491339471488244</v>
      </c>
      <c r="N46" s="48">
        <v>123398</v>
      </c>
      <c r="O46" s="49">
        <v>25536</v>
      </c>
      <c r="P46" s="49">
        <v>28126</v>
      </c>
      <c r="Q46" s="49">
        <v>2378</v>
      </c>
      <c r="R46" s="50">
        <f t="shared" si="18"/>
        <v>7.2160716332445252E-2</v>
      </c>
      <c r="S46" s="50">
        <f t="shared" si="18"/>
        <v>7.2575969441697072E-2</v>
      </c>
      <c r="T46" s="50">
        <f t="shared" si="18"/>
        <v>2.104621997138564E-2</v>
      </c>
      <c r="U46" s="50">
        <f t="shared" si="18"/>
        <v>1.5187900774084766E-2</v>
      </c>
      <c r="V46" s="51">
        <f t="shared" si="19"/>
        <v>0.18097080651961275</v>
      </c>
      <c r="W46" s="52">
        <v>88873.999998769097</v>
      </c>
      <c r="X46" s="52">
        <v>19246</v>
      </c>
      <c r="Y46" s="52">
        <v>4982</v>
      </c>
      <c r="Z46" s="52">
        <v>694</v>
      </c>
      <c r="AA46" s="53">
        <f t="shared" si="20"/>
        <v>6.9896312421858064E-2</v>
      </c>
      <c r="AB46" s="53">
        <f t="shared" si="5"/>
        <v>6.5693181507877993E-2</v>
      </c>
      <c r="AC46" s="53">
        <f t="shared" si="5"/>
        <v>1.011647551902271E-2</v>
      </c>
      <c r="AD46" s="53">
        <f t="shared" si="5"/>
        <v>1.2640244790907766E-2</v>
      </c>
      <c r="AE46" s="44">
        <f t="shared" si="21"/>
        <v>0.15834621423966655</v>
      </c>
      <c r="AF46" s="54">
        <f t="shared" si="29"/>
        <v>0.13459428210371657</v>
      </c>
      <c r="AG46" s="44">
        <f t="shared" si="7"/>
        <v>-0.12501791153532965</v>
      </c>
      <c r="AH46" s="44">
        <f t="shared" si="8"/>
        <v>-0.12501791153532965</v>
      </c>
      <c r="AI46" s="45">
        <f t="shared" si="22"/>
        <v>2.329589045455142E-2</v>
      </c>
      <c r="AJ46" s="45">
        <f t="shared" si="30"/>
        <v>3.4943835681827129E-3</v>
      </c>
      <c r="AK46" s="130">
        <f t="shared" si="10"/>
        <v>0.13808866567189929</v>
      </c>
      <c r="AM46" s="57">
        <f t="shared" si="31"/>
        <v>1532734590.0820031</v>
      </c>
      <c r="AN46" s="58">
        <f t="shared" si="32"/>
        <v>361288140.26342428</v>
      </c>
      <c r="AO46" s="58">
        <f t="shared" si="33"/>
        <v>269800883.21337253</v>
      </c>
      <c r="AP46" s="58">
        <f t="shared" si="23"/>
        <v>2163823613.5588002</v>
      </c>
      <c r="AQ46" s="59">
        <f t="shared" si="24"/>
        <v>0.27687040159666199</v>
      </c>
    </row>
    <row r="47" spans="1:43" ht="14.25">
      <c r="A47" s="4" t="s">
        <v>40</v>
      </c>
      <c r="B47" s="46">
        <v>1324127</v>
      </c>
      <c r="C47" s="46">
        <v>476354</v>
      </c>
      <c r="D47" s="55">
        <f t="shared" si="25"/>
        <v>0.35974948022357373</v>
      </c>
      <c r="E47" s="56">
        <f t="shared" si="14"/>
        <v>171368.10390242023</v>
      </c>
      <c r="F47" s="130">
        <f t="shared" si="26"/>
        <v>1.0116922961329751E-4</v>
      </c>
      <c r="G47" s="43">
        <v>971</v>
      </c>
      <c r="H47" s="119">
        <f t="shared" si="27"/>
        <v>1.8966681147236138E-4</v>
      </c>
      <c r="I47" s="45">
        <f t="shared" si="15"/>
        <v>1.6121678975150716E-4</v>
      </c>
      <c r="J47" s="46">
        <v>1172.6600000000001</v>
      </c>
      <c r="K47" s="116">
        <f t="shared" si="28"/>
        <v>1.8260003793202563E-2</v>
      </c>
      <c r="L47" s="47">
        <f t="shared" si="16"/>
        <v>2.7390005689803842E-3</v>
      </c>
      <c r="M47" s="130">
        <f t="shared" si="17"/>
        <v>2.9002173587318915E-3</v>
      </c>
      <c r="N47" s="48">
        <v>244</v>
      </c>
      <c r="O47" s="49">
        <v>60</v>
      </c>
      <c r="P47" s="49">
        <v>375</v>
      </c>
      <c r="Q47" s="49">
        <v>47</v>
      </c>
      <c r="R47" s="50">
        <f t="shared" si="18"/>
        <v>1.4268638701694225E-4</v>
      </c>
      <c r="S47" s="50">
        <f t="shared" si="18"/>
        <v>1.7052624398894989E-4</v>
      </c>
      <c r="T47" s="50">
        <f t="shared" si="18"/>
        <v>2.8060628917263796E-4</v>
      </c>
      <c r="U47" s="50">
        <f t="shared" si="18"/>
        <v>3.0018138619932047E-4</v>
      </c>
      <c r="V47" s="51">
        <f t="shared" si="19"/>
        <v>8.9400030637785065E-4</v>
      </c>
      <c r="W47" s="52">
        <v>95.999999999399989</v>
      </c>
      <c r="X47" s="52">
        <v>43</v>
      </c>
      <c r="Y47" s="52">
        <v>84</v>
      </c>
      <c r="Z47" s="52">
        <v>27</v>
      </c>
      <c r="AA47" s="53">
        <f t="shared" si="20"/>
        <v>7.5500663777363118E-5</v>
      </c>
      <c r="AB47" s="53">
        <f t="shared" si="5"/>
        <v>1.4677370907402855E-4</v>
      </c>
      <c r="AC47" s="53">
        <f t="shared" si="5"/>
        <v>1.7057084375710711E-4</v>
      </c>
      <c r="AD47" s="53">
        <f t="shared" si="5"/>
        <v>4.91767448637622E-4</v>
      </c>
      <c r="AE47" s="44">
        <f t="shared" si="21"/>
        <v>8.8461266524612078E-4</v>
      </c>
      <c r="AF47" s="54">
        <f t="shared" si="29"/>
        <v>7.5192076545920264E-4</v>
      </c>
      <c r="AG47" s="44">
        <f t="shared" si="7"/>
        <v>-1.0500713550943872E-2</v>
      </c>
      <c r="AH47" s="44">
        <f t="shared" si="8"/>
        <v>-1.0500713550943872E-2</v>
      </c>
      <c r="AI47" s="45">
        <f t="shared" si="22"/>
        <v>1.9567073995495625E-3</v>
      </c>
      <c r="AJ47" s="45">
        <f t="shared" si="30"/>
        <v>2.9350610993243438E-4</v>
      </c>
      <c r="AK47" s="130">
        <f t="shared" si="10"/>
        <v>1.0454268753916371E-3</v>
      </c>
      <c r="AM47" s="57">
        <f t="shared" si="31"/>
        <v>395333.64119164966</v>
      </c>
      <c r="AN47" s="58">
        <f t="shared" si="32"/>
        <v>5666512.8965458013</v>
      </c>
      <c r="AO47" s="58">
        <f t="shared" si="33"/>
        <v>2042579.620443519</v>
      </c>
      <c r="AP47" s="58">
        <f t="shared" si="23"/>
        <v>8104426.1581809698</v>
      </c>
      <c r="AQ47" s="59">
        <f t="shared" si="24"/>
        <v>1.0369956733375309E-3</v>
      </c>
    </row>
    <row r="48" spans="1:43" ht="14.25">
      <c r="A48" s="4" t="s">
        <v>41</v>
      </c>
      <c r="B48" s="46">
        <v>69874178</v>
      </c>
      <c r="C48" s="46">
        <v>16886302</v>
      </c>
      <c r="D48" s="55">
        <f t="shared" si="25"/>
        <v>0.24166727227903848</v>
      </c>
      <c r="E48" s="56">
        <f t="shared" si="14"/>
        <v>4080866.5432200721</v>
      </c>
      <c r="F48" s="130">
        <f t="shared" si="26"/>
        <v>2.4091888451268813E-3</v>
      </c>
      <c r="G48" s="43">
        <v>87168</v>
      </c>
      <c r="H48" s="119">
        <f t="shared" si="27"/>
        <v>1.7026649456666116E-2</v>
      </c>
      <c r="I48" s="45">
        <f t="shared" si="15"/>
        <v>1.4472652038166198E-2</v>
      </c>
      <c r="J48" s="46">
        <v>308.89</v>
      </c>
      <c r="K48" s="116">
        <f t="shared" si="28"/>
        <v>4.8098618283921504E-3</v>
      </c>
      <c r="L48" s="47">
        <f t="shared" si="16"/>
        <v>7.2147927425882249E-4</v>
      </c>
      <c r="M48" s="130">
        <f t="shared" si="17"/>
        <v>1.5194131312425021E-2</v>
      </c>
      <c r="N48" s="48">
        <v>1423</v>
      </c>
      <c r="O48" s="49">
        <v>462</v>
      </c>
      <c r="P48" s="49">
        <v>3867</v>
      </c>
      <c r="Q48" s="49">
        <v>358</v>
      </c>
      <c r="R48" s="50">
        <f t="shared" si="18"/>
        <v>8.3214233084060992E-4</v>
      </c>
      <c r="S48" s="50">
        <f t="shared" si="18"/>
        <v>1.3130520787149142E-3</v>
      </c>
      <c r="T48" s="50">
        <f t="shared" si="18"/>
        <v>2.8936120539482428E-3</v>
      </c>
      <c r="U48" s="50">
        <f t="shared" si="18"/>
        <v>2.286488005518228E-3</v>
      </c>
      <c r="V48" s="51">
        <f t="shared" si="19"/>
        <v>7.3252944690219944E-3</v>
      </c>
      <c r="W48" s="52">
        <v>502.9999955589883</v>
      </c>
      <c r="X48" s="52">
        <v>435</v>
      </c>
      <c r="Y48" s="52">
        <v>1115</v>
      </c>
      <c r="Z48" s="52">
        <v>155</v>
      </c>
      <c r="AA48" s="53">
        <f t="shared" si="20"/>
        <v>3.9559201609324664E-4</v>
      </c>
      <c r="AB48" s="53">
        <f t="shared" si="5"/>
        <v>1.4848038010977307E-3</v>
      </c>
      <c r="AC48" s="53">
        <f t="shared" si="5"/>
        <v>2.2641248903473147E-3</v>
      </c>
      <c r="AD48" s="53">
        <f t="shared" si="5"/>
        <v>2.8231094273641266E-3</v>
      </c>
      <c r="AE48" s="44">
        <f t="shared" si="21"/>
        <v>6.9676301349024189E-3</v>
      </c>
      <c r="AF48" s="54">
        <f t="shared" si="29"/>
        <v>5.9224856146670559E-3</v>
      </c>
      <c r="AG48" s="44">
        <f t="shared" si="7"/>
        <v>-4.8825932613645158E-2</v>
      </c>
      <c r="AH48" s="44">
        <f t="shared" si="8"/>
        <v>-4.8825932613645158E-2</v>
      </c>
      <c r="AI48" s="45">
        <f t="shared" si="22"/>
        <v>9.0982449117888945E-3</v>
      </c>
      <c r="AJ48" s="45">
        <f t="shared" si="30"/>
        <v>1.3647367367683341E-3</v>
      </c>
      <c r="AK48" s="130">
        <f t="shared" si="10"/>
        <v>7.2872223514353898E-3</v>
      </c>
      <c r="AM48" s="57">
        <f t="shared" si="31"/>
        <v>9414259.6726577133</v>
      </c>
      <c r="AN48" s="58">
        <f t="shared" si="32"/>
        <v>29686651.165798366</v>
      </c>
      <c r="AO48" s="58">
        <f t="shared" si="33"/>
        <v>14237946.445662513</v>
      </c>
      <c r="AP48" s="58">
        <f t="shared" si="23"/>
        <v>53338857.284118593</v>
      </c>
      <c r="AQ48" s="59">
        <f t="shared" si="24"/>
        <v>6.8249328385285432E-3</v>
      </c>
    </row>
    <row r="49" spans="1:43" ht="14.25">
      <c r="A49" s="4" t="s">
        <v>42</v>
      </c>
      <c r="B49" s="46">
        <v>5011351</v>
      </c>
      <c r="C49" s="46">
        <v>704593</v>
      </c>
      <c r="D49" s="55">
        <f t="shared" si="25"/>
        <v>0.14059941121665595</v>
      </c>
      <c r="E49" s="56">
        <f t="shared" si="14"/>
        <v>99065.360947377267</v>
      </c>
      <c r="F49" s="130">
        <f t="shared" si="26"/>
        <v>5.8484432167822231E-5</v>
      </c>
      <c r="G49" s="43">
        <v>4469</v>
      </c>
      <c r="H49" s="119">
        <f t="shared" si="27"/>
        <v>8.7293612818741819E-4</v>
      </c>
      <c r="I49" s="45">
        <f t="shared" si="15"/>
        <v>7.4199570895930539E-4</v>
      </c>
      <c r="J49" s="46">
        <v>1341.58</v>
      </c>
      <c r="K49" s="116">
        <f t="shared" si="28"/>
        <v>2.089033128859575E-2</v>
      </c>
      <c r="L49" s="47">
        <f t="shared" si="16"/>
        <v>3.1335496932893623E-3</v>
      </c>
      <c r="M49" s="130">
        <f t="shared" si="17"/>
        <v>3.8755454022486677E-3</v>
      </c>
      <c r="N49" s="48">
        <v>1104</v>
      </c>
      <c r="O49" s="49">
        <v>274</v>
      </c>
      <c r="P49" s="49">
        <v>2326</v>
      </c>
      <c r="Q49" s="49">
        <v>140</v>
      </c>
      <c r="R49" s="50">
        <f t="shared" si="18"/>
        <v>6.4559742322419769E-4</v>
      </c>
      <c r="S49" s="50">
        <f t="shared" si="18"/>
        <v>7.7873651421620459E-4</v>
      </c>
      <c r="T49" s="50">
        <f t="shared" si="18"/>
        <v>1.7405072763081492E-3</v>
      </c>
      <c r="U49" s="50">
        <f t="shared" si="18"/>
        <v>8.9415732059372043E-4</v>
      </c>
      <c r="V49" s="51">
        <f t="shared" si="19"/>
        <v>4.0589985343422721E-3</v>
      </c>
      <c r="W49" s="52">
        <v>511.00000000414997</v>
      </c>
      <c r="X49" s="52">
        <v>264</v>
      </c>
      <c r="Y49" s="52">
        <v>999</v>
      </c>
      <c r="Z49" s="52">
        <v>49</v>
      </c>
      <c r="AA49" s="53">
        <f t="shared" si="20"/>
        <v>4.0188374157069809E-4</v>
      </c>
      <c r="AB49" s="53">
        <f t="shared" si="5"/>
        <v>9.0112230687310556E-4</v>
      </c>
      <c r="AC49" s="53">
        <f t="shared" si="5"/>
        <v>2.028574677539881E-3</v>
      </c>
      <c r="AD49" s="53">
        <f t="shared" si="5"/>
        <v>8.9246685123123997E-4</v>
      </c>
      <c r="AE49" s="44">
        <f t="shared" si="21"/>
        <v>4.2240475772149242E-3</v>
      </c>
      <c r="AF49" s="54">
        <f t="shared" si="29"/>
        <v>3.5904404406326856E-3</v>
      </c>
      <c r="AG49" s="44">
        <f t="shared" si="7"/>
        <v>4.066250368809185E-2</v>
      </c>
      <c r="AH49" s="44">
        <f t="shared" si="8"/>
        <v>0</v>
      </c>
      <c r="AI49" s="45">
        <f t="shared" si="22"/>
        <v>0</v>
      </c>
      <c r="AJ49" s="45">
        <f t="shared" si="30"/>
        <v>0</v>
      </c>
      <c r="AK49" s="130">
        <f t="shared" si="10"/>
        <v>3.5904404406326856E-3</v>
      </c>
      <c r="AM49" s="57">
        <f t="shared" si="31"/>
        <v>228536.5185670272</v>
      </c>
      <c r="AN49" s="58">
        <f t="shared" si="32"/>
        <v>7572131.7703557033</v>
      </c>
      <c r="AO49" s="58">
        <f t="shared" si="33"/>
        <v>7015086.9899008516</v>
      </c>
      <c r="AP49" s="58">
        <f t="shared" si="23"/>
        <v>14815755.278823582</v>
      </c>
      <c r="AQ49" s="59">
        <f t="shared" si="24"/>
        <v>1.8957386768042495E-3</v>
      </c>
    </row>
    <row r="50" spans="1:43" ht="14.25">
      <c r="A50" s="4" t="s">
        <v>43</v>
      </c>
      <c r="B50" s="46">
        <v>1007011</v>
      </c>
      <c r="C50" s="46">
        <v>625255</v>
      </c>
      <c r="D50" s="55">
        <f t="shared" si="25"/>
        <v>0.620901857080012</v>
      </c>
      <c r="E50" s="56">
        <f t="shared" si="14"/>
        <v>388221.9906485629</v>
      </c>
      <c r="F50" s="130">
        <f t="shared" si="26"/>
        <v>2.2919154042353389E-4</v>
      </c>
      <c r="G50" s="43">
        <v>2640</v>
      </c>
      <c r="H50" s="119">
        <f t="shared" si="27"/>
        <v>5.1567495601136364E-4</v>
      </c>
      <c r="I50" s="45">
        <f t="shared" si="15"/>
        <v>4.3832371260965906E-4</v>
      </c>
      <c r="J50" s="46">
        <v>673.76</v>
      </c>
      <c r="K50" s="116">
        <f t="shared" si="28"/>
        <v>1.0491412818470961E-2</v>
      </c>
      <c r="L50" s="47">
        <f t="shared" si="16"/>
        <v>1.5737119227706442E-3</v>
      </c>
      <c r="M50" s="130">
        <f t="shared" si="17"/>
        <v>2.0120356353803032E-3</v>
      </c>
      <c r="N50" s="48">
        <v>671</v>
      </c>
      <c r="O50" s="49">
        <v>247</v>
      </c>
      <c r="P50" s="49">
        <v>1766</v>
      </c>
      <c r="Q50" s="49">
        <v>574</v>
      </c>
      <c r="R50" s="50">
        <f t="shared" si="18"/>
        <v>3.9238756429659118E-4</v>
      </c>
      <c r="S50" s="50">
        <f t="shared" si="18"/>
        <v>7.0199970442117712E-4</v>
      </c>
      <c r="T50" s="50">
        <f t="shared" si="18"/>
        <v>1.3214685511436764E-3</v>
      </c>
      <c r="U50" s="50">
        <f t="shared" si="18"/>
        <v>3.6660450144342539E-3</v>
      </c>
      <c r="V50" s="51">
        <f t="shared" si="19"/>
        <v>6.0819008342956988E-3</v>
      </c>
      <c r="W50" s="52">
        <v>600.99999999995009</v>
      </c>
      <c r="X50" s="52">
        <v>212</v>
      </c>
      <c r="Y50" s="52">
        <v>872</v>
      </c>
      <c r="Z50" s="52">
        <v>90</v>
      </c>
      <c r="AA50" s="53">
        <f t="shared" si="20"/>
        <v>4.7266561385911533E-4</v>
      </c>
      <c r="AB50" s="53">
        <f t="shared" si="5"/>
        <v>7.2362851915567573E-4</v>
      </c>
      <c r="AC50" s="53">
        <f t="shared" si="5"/>
        <v>1.7706878066213977E-3</v>
      </c>
      <c r="AD50" s="53">
        <f t="shared" si="5"/>
        <v>1.6392248287920735E-3</v>
      </c>
      <c r="AE50" s="44">
        <f t="shared" si="21"/>
        <v>4.6062067684282618E-3</v>
      </c>
      <c r="AF50" s="54">
        <f t="shared" si="29"/>
        <v>3.9152757531640226E-3</v>
      </c>
      <c r="AG50" s="44">
        <f t="shared" si="7"/>
        <v>-0.24263698242924844</v>
      </c>
      <c r="AH50" s="44">
        <f t="shared" si="8"/>
        <v>-0.24263698242924844</v>
      </c>
      <c r="AI50" s="45">
        <f t="shared" si="22"/>
        <v>4.5213077818031917E-2</v>
      </c>
      <c r="AJ50" s="45">
        <f t="shared" si="30"/>
        <v>6.7819616727047873E-3</v>
      </c>
      <c r="AK50" s="130">
        <f t="shared" si="10"/>
        <v>1.0697237425868811E-2</v>
      </c>
      <c r="AM50" s="57">
        <f t="shared" si="31"/>
        <v>895599.6457844883</v>
      </c>
      <c r="AN50" s="58">
        <f t="shared" si="32"/>
        <v>3931162.5529947705</v>
      </c>
      <c r="AO50" s="58">
        <f t="shared" si="33"/>
        <v>20900514.110984474</v>
      </c>
      <c r="AP50" s="58">
        <f t="shared" si="23"/>
        <v>25727276.309763733</v>
      </c>
      <c r="AQ50" s="59">
        <f t="shared" si="24"/>
        <v>3.291914035524045E-3</v>
      </c>
    </row>
    <row r="51" spans="1:43" ht="14.25">
      <c r="A51" s="4" t="s">
        <v>44</v>
      </c>
      <c r="B51" s="46">
        <v>18112141</v>
      </c>
      <c r="C51" s="46">
        <v>6249012</v>
      </c>
      <c r="D51" s="55">
        <f t="shared" si="25"/>
        <v>0.34501785294184711</v>
      </c>
      <c r="E51" s="56">
        <f t="shared" si="14"/>
        <v>2156020.7032478377</v>
      </c>
      <c r="F51" s="130">
        <f t="shared" si="26"/>
        <v>1.2728328586870893E-3</v>
      </c>
      <c r="G51" s="43">
        <v>35456</v>
      </c>
      <c r="H51" s="119">
        <f t="shared" si="27"/>
        <v>6.9256709243707987E-3</v>
      </c>
      <c r="I51" s="45">
        <f t="shared" si="15"/>
        <v>5.886820285715179E-3</v>
      </c>
      <c r="J51" s="46">
        <v>1542.15</v>
      </c>
      <c r="K51" s="116">
        <f t="shared" si="28"/>
        <v>2.4013494831995066E-2</v>
      </c>
      <c r="L51" s="47">
        <f t="shared" si="16"/>
        <v>3.6020242247992596E-3</v>
      </c>
      <c r="M51" s="130">
        <f t="shared" si="17"/>
        <v>9.4888445105144395E-3</v>
      </c>
      <c r="N51" s="48">
        <v>4789</v>
      </c>
      <c r="O51" s="49">
        <v>909</v>
      </c>
      <c r="P51" s="49">
        <v>4749</v>
      </c>
      <c r="Q51" s="49">
        <v>258</v>
      </c>
      <c r="R51" s="50">
        <f t="shared" si="18"/>
        <v>2.8005127353448217E-3</v>
      </c>
      <c r="S51" s="50">
        <f t="shared" si="18"/>
        <v>2.5834725964325911E-3</v>
      </c>
      <c r="T51" s="50">
        <f t="shared" si="18"/>
        <v>3.5535980460822871E-3</v>
      </c>
      <c r="U51" s="50">
        <f t="shared" si="18"/>
        <v>1.6478042050941421E-3</v>
      </c>
      <c r="V51" s="51">
        <f t="shared" si="19"/>
        <v>1.0585387582953843E-2</v>
      </c>
      <c r="W51" s="52">
        <v>3480.0000000606401</v>
      </c>
      <c r="X51" s="52">
        <v>841</v>
      </c>
      <c r="Y51" s="52">
        <v>1534</v>
      </c>
      <c r="Z51" s="52">
        <v>182</v>
      </c>
      <c r="AA51" s="53">
        <f t="shared" si="20"/>
        <v>2.7368990619942106E-3</v>
      </c>
      <c r="AB51" s="53">
        <f t="shared" si="5"/>
        <v>2.8706206821222796E-3</v>
      </c>
      <c r="AC51" s="53">
        <f t="shared" si="5"/>
        <v>3.1149485038500274E-3</v>
      </c>
      <c r="AD51" s="53">
        <f t="shared" si="5"/>
        <v>3.3148768760017486E-3</v>
      </c>
      <c r="AE51" s="44">
        <f t="shared" si="21"/>
        <v>1.2037345123968266E-2</v>
      </c>
      <c r="AF51" s="54">
        <f t="shared" si="29"/>
        <v>1.0231743355373026E-2</v>
      </c>
      <c r="AG51" s="44">
        <f t="shared" si="7"/>
        <v>0.1371662142397676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30">
        <f t="shared" si="10"/>
        <v>1.0231743355373026E-2</v>
      </c>
      <c r="AM51" s="57">
        <f t="shared" si="31"/>
        <v>4973781.5596354464</v>
      </c>
      <c r="AN51" s="58">
        <f t="shared" si="32"/>
        <v>18539527.608254172</v>
      </c>
      <c r="AO51" s="58">
        <f t="shared" si="33"/>
        <v>19991020.846354373</v>
      </c>
      <c r="AP51" s="58">
        <f t="shared" si="23"/>
        <v>43504330.01424399</v>
      </c>
      <c r="AQ51" s="59">
        <f t="shared" si="24"/>
        <v>5.5665633958154109E-3</v>
      </c>
    </row>
    <row r="52" spans="1:43" ht="14.25">
      <c r="A52" s="4" t="s">
        <v>45</v>
      </c>
      <c r="B52" s="46">
        <v>386855908</v>
      </c>
      <c r="C52" s="46">
        <v>19718538</v>
      </c>
      <c r="D52" s="55">
        <f t="shared" si="25"/>
        <v>5.097127274582039E-2</v>
      </c>
      <c r="E52" s="56">
        <f t="shared" si="14"/>
        <v>1005078.9785468237</v>
      </c>
      <c r="F52" s="130">
        <f t="shared" si="26"/>
        <v>5.9336051251405639E-4</v>
      </c>
      <c r="G52" s="43">
        <v>54192</v>
      </c>
      <c r="H52" s="119">
        <f t="shared" si="27"/>
        <v>1.0585400460669627E-2</v>
      </c>
      <c r="I52" s="45">
        <f t="shared" si="15"/>
        <v>8.9975903915691831E-3</v>
      </c>
      <c r="J52" s="46">
        <v>1658.08</v>
      </c>
      <c r="K52" s="116">
        <f t="shared" si="28"/>
        <v>2.5818691768656987E-2</v>
      </c>
      <c r="L52" s="47">
        <f t="shared" si="16"/>
        <v>3.8728037652985478E-3</v>
      </c>
      <c r="M52" s="130">
        <f t="shared" si="17"/>
        <v>1.2870394156867731E-2</v>
      </c>
      <c r="N52" s="48">
        <v>2382</v>
      </c>
      <c r="O52" s="49">
        <v>572</v>
      </c>
      <c r="P52" s="49">
        <v>6969</v>
      </c>
      <c r="Q52" s="49">
        <v>1381</v>
      </c>
      <c r="R52" s="50">
        <f t="shared" si="18"/>
        <v>1.3929466142391658E-3</v>
      </c>
      <c r="S52" s="50">
        <f t="shared" si="18"/>
        <v>1.6256835260279891E-3</v>
      </c>
      <c r="T52" s="50">
        <f t="shared" si="18"/>
        <v>5.2147872779843042E-3</v>
      </c>
      <c r="U52" s="50">
        <f t="shared" si="18"/>
        <v>8.8202232838566277E-3</v>
      </c>
      <c r="V52" s="51">
        <f t="shared" si="19"/>
        <v>1.7053640702108089E-2</v>
      </c>
      <c r="W52" s="52">
        <v>1795.99999997852</v>
      </c>
      <c r="X52" s="52">
        <v>775</v>
      </c>
      <c r="Y52" s="52">
        <v>2276</v>
      </c>
      <c r="Z52" s="52">
        <v>675</v>
      </c>
      <c r="AA52" s="53">
        <f t="shared" si="20"/>
        <v>1.41249158482677E-3</v>
      </c>
      <c r="AB52" s="53">
        <f t="shared" si="5"/>
        <v>2.6453401054040032E-3</v>
      </c>
      <c r="AC52" s="53">
        <f t="shared" si="5"/>
        <v>4.6216576237044739E-3</v>
      </c>
      <c r="AD52" s="53">
        <f t="shared" si="5"/>
        <v>1.2294186215940551E-2</v>
      </c>
      <c r="AE52" s="44">
        <f t="shared" si="21"/>
        <v>2.09736755298758E-2</v>
      </c>
      <c r="AF52" s="54">
        <f t="shared" si="29"/>
        <v>1.782762420039443E-2</v>
      </c>
      <c r="AG52" s="44">
        <f t="shared" si="7"/>
        <v>0.22986498286451734</v>
      </c>
      <c r="AH52" s="44">
        <f t="shared" si="8"/>
        <v>0</v>
      </c>
      <c r="AI52" s="45">
        <f t="shared" si="22"/>
        <v>0</v>
      </c>
      <c r="AJ52" s="45">
        <f t="shared" si="30"/>
        <v>0</v>
      </c>
      <c r="AK52" s="130">
        <f t="shared" si="10"/>
        <v>1.782762420039443E-2</v>
      </c>
      <c r="AM52" s="57">
        <f t="shared" si="31"/>
        <v>2318643.453628643</v>
      </c>
      <c r="AN52" s="58">
        <f t="shared" si="32"/>
        <v>25146478.850608349</v>
      </c>
      <c r="AO52" s="58">
        <f t="shared" si="33"/>
        <v>34832031.517278366</v>
      </c>
      <c r="AP52" s="58">
        <f t="shared" si="23"/>
        <v>62297153.821515359</v>
      </c>
      <c r="AQ52" s="59">
        <f t="shared" si="24"/>
        <v>7.9711848455725678E-3</v>
      </c>
    </row>
    <row r="53" spans="1:43" ht="14.25">
      <c r="A53" s="4" t="s">
        <v>46</v>
      </c>
      <c r="B53" s="46">
        <v>589355093</v>
      </c>
      <c r="C53" s="46">
        <v>290272983.67000002</v>
      </c>
      <c r="D53" s="55">
        <f t="shared" si="25"/>
        <v>0.49252647023447377</v>
      </c>
      <c r="E53" s="56">
        <f t="shared" si="14"/>
        <v>142967128.05141416</v>
      </c>
      <c r="F53" s="130">
        <f t="shared" si="26"/>
        <v>8.4402370543956023E-2</v>
      </c>
      <c r="G53" s="43">
        <v>430143</v>
      </c>
      <c r="H53" s="119">
        <f t="shared" si="27"/>
        <v>8.4020444168028771E-2</v>
      </c>
      <c r="I53" s="45">
        <f t="shared" si="15"/>
        <v>7.1417377542824456E-2</v>
      </c>
      <c r="J53" s="46">
        <v>60.1</v>
      </c>
      <c r="K53" s="116">
        <f t="shared" si="28"/>
        <v>9.3584349084259205E-4</v>
      </c>
      <c r="L53" s="47">
        <f t="shared" si="16"/>
        <v>1.403765236263888E-4</v>
      </c>
      <c r="M53" s="130">
        <f t="shared" si="17"/>
        <v>7.1557754066450846E-2</v>
      </c>
      <c r="N53" s="48">
        <v>40580</v>
      </c>
      <c r="O53" s="49">
        <v>5745</v>
      </c>
      <c r="P53" s="49">
        <v>2165</v>
      </c>
      <c r="Q53" s="49">
        <v>472</v>
      </c>
      <c r="R53" s="50">
        <f t="shared" si="18"/>
        <v>2.3730383545686545E-2</v>
      </c>
      <c r="S53" s="50">
        <f t="shared" si="18"/>
        <v>1.6327887861941955E-2</v>
      </c>
      <c r="T53" s="50">
        <f t="shared" si="18"/>
        <v>1.6200336428233632E-3</v>
      </c>
      <c r="U53" s="50">
        <f t="shared" si="18"/>
        <v>3.0145875380016862E-3</v>
      </c>
      <c r="V53" s="51">
        <f t="shared" si="19"/>
        <v>4.4692892588453548E-2</v>
      </c>
      <c r="W53" s="52">
        <v>18155.999999995089</v>
      </c>
      <c r="X53" s="52">
        <v>4217</v>
      </c>
      <c r="Y53" s="52">
        <v>161</v>
      </c>
      <c r="Z53" s="52">
        <v>91</v>
      </c>
      <c r="AA53" s="53">
        <f t="shared" si="20"/>
        <v>1.4279063036979183E-2</v>
      </c>
      <c r="AB53" s="53">
        <f t="shared" si="5"/>
        <v>1.4394063515469267E-2</v>
      </c>
      <c r="AC53" s="53">
        <f t="shared" si="5"/>
        <v>3.2692745053445531E-4</v>
      </c>
      <c r="AD53" s="53">
        <f t="shared" si="5"/>
        <v>1.6574384380008743E-3</v>
      </c>
      <c r="AE53" s="44">
        <f t="shared" si="21"/>
        <v>3.0657492440983779E-2</v>
      </c>
      <c r="AF53" s="54">
        <f t="shared" si="29"/>
        <v>2.6058868574836212E-2</v>
      </c>
      <c r="AG53" s="44">
        <f t="shared" si="7"/>
        <v>-0.3140409880540117</v>
      </c>
      <c r="AH53" s="44">
        <f t="shared" si="8"/>
        <v>-0.3140409880540117</v>
      </c>
      <c r="AI53" s="45">
        <f t="shared" si="22"/>
        <v>5.8518530393766088E-2</v>
      </c>
      <c r="AJ53" s="45">
        <f t="shared" si="30"/>
        <v>8.7777795590649136E-3</v>
      </c>
      <c r="AK53" s="130">
        <f t="shared" si="10"/>
        <v>3.4836648133901124E-2</v>
      </c>
      <c r="AM53" s="57">
        <f t="shared" si="31"/>
        <v>329814673.88739765</v>
      </c>
      <c r="AN53" s="58">
        <f t="shared" si="32"/>
        <v>139811223.12939063</v>
      </c>
      <c r="AO53" s="58">
        <f t="shared" si="33"/>
        <v>68064662.577391207</v>
      </c>
      <c r="AP53" s="58">
        <f t="shared" si="23"/>
        <v>537690559.59417939</v>
      </c>
      <c r="AQ53" s="59">
        <f t="shared" si="24"/>
        <v>6.8799785822065987E-2</v>
      </c>
    </row>
    <row r="54" spans="1:43" ht="14.25">
      <c r="A54" s="4" t="s">
        <v>47</v>
      </c>
      <c r="B54" s="46">
        <v>1007377996</v>
      </c>
      <c r="C54" s="46">
        <v>691961660.51999998</v>
      </c>
      <c r="D54" s="55">
        <f t="shared" si="25"/>
        <v>0.68689376109819256</v>
      </c>
      <c r="E54" s="56">
        <f t="shared" si="14"/>
        <v>475304147.53033346</v>
      </c>
      <c r="F54" s="130">
        <f t="shared" si="26"/>
        <v>0.28060154335972565</v>
      </c>
      <c r="G54" s="43">
        <v>123156</v>
      </c>
      <c r="H54" s="119">
        <f t="shared" si="27"/>
        <v>2.4056236697930111E-2</v>
      </c>
      <c r="I54" s="45">
        <f t="shared" si="15"/>
        <v>2.0447801193240595E-2</v>
      </c>
      <c r="J54" s="46">
        <v>72.010000000000005</v>
      </c>
      <c r="K54" s="116">
        <f t="shared" si="28"/>
        <v>1.1212993307084037E-3</v>
      </c>
      <c r="L54" s="47">
        <f t="shared" si="16"/>
        <v>1.6819489960626053E-4</v>
      </c>
      <c r="M54" s="130">
        <f t="shared" si="17"/>
        <v>2.0615996092846856E-2</v>
      </c>
      <c r="N54" s="48">
        <v>9903</v>
      </c>
      <c r="O54" s="49">
        <v>1776</v>
      </c>
      <c r="P54" s="49">
        <v>642</v>
      </c>
      <c r="Q54" s="49">
        <v>85</v>
      </c>
      <c r="R54" s="50">
        <f t="shared" si="18"/>
        <v>5.7910790599540133E-3</v>
      </c>
      <c r="S54" s="50">
        <f t="shared" si="18"/>
        <v>5.0475768220729174E-3</v>
      </c>
      <c r="T54" s="50">
        <f t="shared" si="18"/>
        <v>4.8039796706355622E-4</v>
      </c>
      <c r="U54" s="50">
        <f t="shared" si="18"/>
        <v>5.4288123036047315E-4</v>
      </c>
      <c r="V54" s="51">
        <f t="shared" si="19"/>
        <v>1.186193507945096E-2</v>
      </c>
      <c r="W54" s="52">
        <v>4908.0000000006539</v>
      </c>
      <c r="X54" s="52">
        <v>1283</v>
      </c>
      <c r="Y54" s="52">
        <v>140</v>
      </c>
      <c r="Z54" s="52">
        <v>21</v>
      </c>
      <c r="AA54" s="53">
        <f t="shared" si="20"/>
        <v>3.8599714356423293E-3</v>
      </c>
      <c r="AB54" s="53">
        <f t="shared" si="5"/>
        <v>4.3793178777204334E-3</v>
      </c>
      <c r="AC54" s="53">
        <f t="shared" si="5"/>
        <v>2.8428473959517855E-4</v>
      </c>
      <c r="AD54" s="53">
        <f t="shared" si="5"/>
        <v>3.8248579338481716E-4</v>
      </c>
      <c r="AE54" s="44">
        <f t="shared" si="21"/>
        <v>8.9060598463427572E-3</v>
      </c>
      <c r="AF54" s="54">
        <f t="shared" si="29"/>
        <v>7.5701508693913431E-3</v>
      </c>
      <c r="AG54" s="44">
        <f t="shared" si="7"/>
        <v>-0.24918996886341233</v>
      </c>
      <c r="AH54" s="44">
        <f t="shared" si="8"/>
        <v>-0.24918996886341233</v>
      </c>
      <c r="AI54" s="45">
        <f t="shared" si="22"/>
        <v>4.6434164078757868E-2</v>
      </c>
      <c r="AJ54" s="45">
        <f t="shared" si="30"/>
        <v>6.9651246118136801E-3</v>
      </c>
      <c r="AK54" s="130">
        <f t="shared" si="10"/>
        <v>1.4535275481205024E-2</v>
      </c>
      <c r="AM54" s="57">
        <f t="shared" si="31"/>
        <v>1096491791.8660941</v>
      </c>
      <c r="AN54" s="58">
        <f t="shared" si="32"/>
        <v>40280018.110895656</v>
      </c>
      <c r="AO54" s="58">
        <f t="shared" si="33"/>
        <v>28399363.1446671</v>
      </c>
      <c r="AP54" s="58">
        <f t="shared" si="23"/>
        <v>1165171173.1216569</v>
      </c>
      <c r="AQ54" s="59">
        <f t="shared" si="24"/>
        <v>0.14908858957337578</v>
      </c>
    </row>
    <row r="55" spans="1:43" ht="14.25">
      <c r="A55" s="4" t="s">
        <v>48</v>
      </c>
      <c r="B55" s="46">
        <v>264327274</v>
      </c>
      <c r="C55" s="46">
        <v>108456329.03999999</v>
      </c>
      <c r="D55" s="55">
        <f t="shared" si="25"/>
        <v>0.41031077648082576</v>
      </c>
      <c r="E55" s="56">
        <f t="shared" si="14"/>
        <v>44500800.582662329</v>
      </c>
      <c r="F55" s="130">
        <f t="shared" si="26"/>
        <v>2.6271585024284942E-2</v>
      </c>
      <c r="G55" s="43">
        <v>296954</v>
      </c>
      <c r="H55" s="119">
        <f t="shared" si="27"/>
        <v>5.8004447305832756E-2</v>
      </c>
      <c r="I55" s="45">
        <f t="shared" si="15"/>
        <v>4.9303780209957841E-2</v>
      </c>
      <c r="J55" s="46">
        <v>885.01</v>
      </c>
      <c r="K55" s="116">
        <f t="shared" si="28"/>
        <v>1.3780879331624E-2</v>
      </c>
      <c r="L55" s="47">
        <f t="shared" si="16"/>
        <v>2.0671318997435998E-3</v>
      </c>
      <c r="M55" s="130">
        <f t="shared" si="17"/>
        <v>5.137091210970144E-2</v>
      </c>
      <c r="N55" s="48">
        <v>25924</v>
      </c>
      <c r="O55" s="49">
        <v>5313</v>
      </c>
      <c r="P55" s="49">
        <v>11983</v>
      </c>
      <c r="Q55" s="49">
        <v>721</v>
      </c>
      <c r="R55" s="50">
        <f t="shared" si="18"/>
        <v>1.5159843840275454E-2</v>
      </c>
      <c r="S55" s="50">
        <f t="shared" si="18"/>
        <v>1.5100098905221513E-2</v>
      </c>
      <c r="T55" s="50">
        <f t="shared" si="18"/>
        <v>8.9666804350819213E-3</v>
      </c>
      <c r="U55" s="50">
        <f t="shared" si="18"/>
        <v>4.6049102010576604E-3</v>
      </c>
      <c r="V55" s="51">
        <f t="shared" si="19"/>
        <v>4.3831533381636548E-2</v>
      </c>
      <c r="W55" s="52">
        <v>21053.000000219407</v>
      </c>
      <c r="X55" s="52">
        <v>4306</v>
      </c>
      <c r="Y55" s="52">
        <v>2328</v>
      </c>
      <c r="Z55" s="52">
        <v>359</v>
      </c>
      <c r="AA55" s="53">
        <f t="shared" si="20"/>
        <v>1.655745285970131E-2</v>
      </c>
      <c r="AB55" s="53">
        <f t="shared" si="5"/>
        <v>1.4697850959831791E-2</v>
      </c>
      <c r="AC55" s="53">
        <f t="shared" si="5"/>
        <v>4.7272490984112542E-3</v>
      </c>
      <c r="AD55" s="53">
        <f t="shared" si="5"/>
        <v>6.5386857059594929E-3</v>
      </c>
      <c r="AE55" s="44">
        <f t="shared" si="21"/>
        <v>4.2521238623903848E-2</v>
      </c>
      <c r="AF55" s="54">
        <f t="shared" si="29"/>
        <v>3.6143052830318267E-2</v>
      </c>
      <c r="AG55" s="44">
        <f t="shared" si="7"/>
        <v>-2.9893883618537846E-2</v>
      </c>
      <c r="AH55" s="44">
        <f t="shared" si="8"/>
        <v>-2.9893883618537846E-2</v>
      </c>
      <c r="AI55" s="45">
        <f t="shared" si="22"/>
        <v>5.5704389034027758E-3</v>
      </c>
      <c r="AJ55" s="45">
        <f t="shared" si="30"/>
        <v>8.3556583551041631E-4</v>
      </c>
      <c r="AK55" s="130">
        <f t="shared" si="10"/>
        <v>3.6978618665828682E-2</v>
      </c>
      <c r="AM55" s="57">
        <f t="shared" si="31"/>
        <v>102660081.60016131</v>
      </c>
      <c r="AN55" s="58">
        <f t="shared" si="32"/>
        <v>100369696.46448283</v>
      </c>
      <c r="AO55" s="58">
        <f t="shared" si="33"/>
        <v>72249694.987684637</v>
      </c>
      <c r="AP55" s="58">
        <f t="shared" si="23"/>
        <v>275279473.05232882</v>
      </c>
      <c r="AQ55" s="59">
        <f t="shared" si="24"/>
        <v>3.5223175206025005E-2</v>
      </c>
    </row>
    <row r="56" spans="1:43" ht="14.25">
      <c r="A56" s="4" t="s">
        <v>49</v>
      </c>
      <c r="B56" s="46">
        <v>153858873</v>
      </c>
      <c r="C56" s="46">
        <v>65213950.950000003</v>
      </c>
      <c r="D56" s="55">
        <f t="shared" si="25"/>
        <v>0.42385563912196345</v>
      </c>
      <c r="E56" s="56">
        <f t="shared" si="14"/>
        <v>27641300.859580625</v>
      </c>
      <c r="F56" s="130">
        <f t="shared" si="26"/>
        <v>1.6318375764170757E-2</v>
      </c>
      <c r="G56" s="43">
        <v>42407</v>
      </c>
      <c r="H56" s="119">
        <f t="shared" si="27"/>
        <v>8.2834196437779912E-3</v>
      </c>
      <c r="I56" s="45">
        <f t="shared" si="15"/>
        <v>7.0409066972112926E-3</v>
      </c>
      <c r="J56" s="46">
        <v>746.48</v>
      </c>
      <c r="K56" s="116">
        <f t="shared" si="28"/>
        <v>1.1623767870951384E-2</v>
      </c>
      <c r="L56" s="47">
        <f t="shared" si="16"/>
        <v>1.7435651806427075E-3</v>
      </c>
      <c r="M56" s="130">
        <f t="shared" si="17"/>
        <v>8.7844718778539999E-3</v>
      </c>
      <c r="N56" s="48">
        <v>4577</v>
      </c>
      <c r="O56" s="49">
        <v>1003</v>
      </c>
      <c r="P56" s="49">
        <v>3403</v>
      </c>
      <c r="Q56" s="49">
        <v>757</v>
      </c>
      <c r="R56" s="50">
        <f t="shared" si="18"/>
        <v>2.6765393171169867E-3</v>
      </c>
      <c r="S56" s="50">
        <f t="shared" si="18"/>
        <v>2.8506303786819459E-3</v>
      </c>
      <c r="T56" s="50">
        <f t="shared" si="18"/>
        <v>2.5464085388119655E-3</v>
      </c>
      <c r="U56" s="50">
        <f t="shared" si="18"/>
        <v>4.8348363692103311E-3</v>
      </c>
      <c r="V56" s="51">
        <f t="shared" si="19"/>
        <v>1.2908414603821229E-2</v>
      </c>
      <c r="W56" s="52">
        <v>2792.0000000464884</v>
      </c>
      <c r="X56" s="52">
        <v>666</v>
      </c>
      <c r="Y56" s="52">
        <v>1225</v>
      </c>
      <c r="Z56" s="52">
        <v>325</v>
      </c>
      <c r="AA56" s="53">
        <f t="shared" si="20"/>
        <v>2.1958109715752628E-3</v>
      </c>
      <c r="AB56" s="53">
        <f t="shared" si="5"/>
        <v>2.2732858196116983E-3</v>
      </c>
      <c r="AC56" s="53">
        <f t="shared" si="5"/>
        <v>2.4874914714578121E-3</v>
      </c>
      <c r="AD56" s="53">
        <f t="shared" si="5"/>
        <v>5.9194229928602651E-3</v>
      </c>
      <c r="AE56" s="44">
        <f t="shared" si="21"/>
        <v>1.2876011255505039E-2</v>
      </c>
      <c r="AF56" s="54">
        <f t="shared" si="29"/>
        <v>1.0944609567179282E-2</v>
      </c>
      <c r="AG56" s="44">
        <f t="shared" si="7"/>
        <v>-2.5102500431461333E-3</v>
      </c>
      <c r="AH56" s="44">
        <f t="shared" si="8"/>
        <v>-2.5102500431461333E-3</v>
      </c>
      <c r="AI56" s="45">
        <f t="shared" si="22"/>
        <v>4.6776105360022324E-4</v>
      </c>
      <c r="AJ56" s="45">
        <f t="shared" si="30"/>
        <v>7.0164158040033481E-5</v>
      </c>
      <c r="AK56" s="130">
        <f t="shared" si="10"/>
        <v>1.1014773725219315E-2</v>
      </c>
      <c r="AM56" s="57">
        <f t="shared" si="31"/>
        <v>63766452.841855571</v>
      </c>
      <c r="AN56" s="58">
        <f t="shared" si="32"/>
        <v>17163307.789788742</v>
      </c>
      <c r="AO56" s="58">
        <f t="shared" si="33"/>
        <v>21520924.001978926</v>
      </c>
      <c r="AP56" s="58">
        <f t="shared" si="23"/>
        <v>102450684.63362324</v>
      </c>
      <c r="AQ56" s="59">
        <f t="shared" si="24"/>
        <v>1.3108999282853709E-2</v>
      </c>
    </row>
    <row r="57" spans="1:43" ht="14.25">
      <c r="A57" s="4" t="s">
        <v>50</v>
      </c>
      <c r="B57" s="46">
        <v>4364000</v>
      </c>
      <c r="C57" s="46">
        <v>1227159</v>
      </c>
      <c r="D57" s="55">
        <f t="shared" si="25"/>
        <v>0.2812005041246563</v>
      </c>
      <c r="E57" s="56">
        <f t="shared" si="14"/>
        <v>345077.72944110911</v>
      </c>
      <c r="F57" s="130">
        <f t="shared" si="26"/>
        <v>2.0372080480123624E-4</v>
      </c>
      <c r="G57" s="43">
        <v>1632</v>
      </c>
      <c r="H57" s="119">
        <f t="shared" si="27"/>
        <v>3.1878088189793386E-4</v>
      </c>
      <c r="I57" s="45">
        <f t="shared" si="15"/>
        <v>2.7096374961324375E-4</v>
      </c>
      <c r="J57" s="46">
        <v>1766.28</v>
      </c>
      <c r="K57" s="116">
        <f t="shared" si="28"/>
        <v>2.7503521480955966E-2</v>
      </c>
      <c r="L57" s="47">
        <f t="shared" si="16"/>
        <v>4.1255282221433947E-3</v>
      </c>
      <c r="M57" s="130">
        <f t="shared" si="17"/>
        <v>4.3964919717566385E-3</v>
      </c>
      <c r="N57" s="48">
        <v>477</v>
      </c>
      <c r="O57" s="49">
        <v>88</v>
      </c>
      <c r="P57" s="49">
        <v>1037</v>
      </c>
      <c r="Q57" s="49">
        <v>127</v>
      </c>
      <c r="R57" s="50">
        <f t="shared" si="18"/>
        <v>2.7894019101262893E-4</v>
      </c>
      <c r="S57" s="50">
        <f t="shared" si="18"/>
        <v>2.5010515785045984E-4</v>
      </c>
      <c r="T57" s="50">
        <f t="shared" si="18"/>
        <v>7.7596992499206823E-4</v>
      </c>
      <c r="U57" s="50">
        <f t="shared" si="18"/>
        <v>8.1112842653858932E-4</v>
      </c>
      <c r="V57" s="51">
        <f t="shared" si="19"/>
        <v>2.1161437003937465E-3</v>
      </c>
      <c r="W57" s="52">
        <v>265.99999999676999</v>
      </c>
      <c r="X57" s="52">
        <v>85</v>
      </c>
      <c r="Y57" s="52">
        <v>641</v>
      </c>
      <c r="Z57" s="52">
        <v>46</v>
      </c>
      <c r="AA57" s="53">
        <f t="shared" si="20"/>
        <v>2.0919975588187754E-4</v>
      </c>
      <c r="AB57" s="53">
        <f t="shared" si="5"/>
        <v>2.9013407607656811E-4</v>
      </c>
      <c r="AC57" s="53">
        <f t="shared" si="5"/>
        <v>1.3016179862893531E-3</v>
      </c>
      <c r="AD57" s="53">
        <f t="shared" si="5"/>
        <v>8.3782602360483755E-4</v>
      </c>
      <c r="AE57" s="44">
        <f t="shared" si="21"/>
        <v>2.6387778418526363E-3</v>
      </c>
      <c r="AF57" s="54">
        <f t="shared" si="29"/>
        <v>2.2429611655747409E-3</v>
      </c>
      <c r="AG57" s="44">
        <f t="shared" si="7"/>
        <v>0.24697478784717899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30">
        <f t="shared" si="10"/>
        <v>2.2429611655747409E-3</v>
      </c>
      <c r="AM57" s="57">
        <f t="shared" si="31"/>
        <v>796069.00098387513</v>
      </c>
      <c r="AN57" s="58">
        <f t="shared" si="32"/>
        <v>8589969.4319504667</v>
      </c>
      <c r="AO57" s="58">
        <f t="shared" si="33"/>
        <v>4382350.2858895948</v>
      </c>
      <c r="AP57" s="58">
        <f t="shared" si="23"/>
        <v>13768388.718823936</v>
      </c>
      <c r="AQ57" s="59">
        <f t="shared" si="24"/>
        <v>1.7617236867334628E-3</v>
      </c>
    </row>
    <row r="58" spans="1:43" ht="14.25">
      <c r="A58" s="4" t="s">
        <v>51</v>
      </c>
      <c r="B58" s="46">
        <v>2880237</v>
      </c>
      <c r="C58" s="46">
        <v>442199</v>
      </c>
      <c r="D58" s="55">
        <f t="shared" si="25"/>
        <v>0.15352868531304889</v>
      </c>
      <c r="E58" s="56">
        <f t="shared" si="14"/>
        <v>67890.231116744908</v>
      </c>
      <c r="F58" s="130">
        <f t="shared" si="26"/>
        <v>4.0079817795386132E-5</v>
      </c>
      <c r="G58" s="43">
        <v>4080</v>
      </c>
      <c r="H58" s="119">
        <f t="shared" si="27"/>
        <v>7.9695220474483466E-4</v>
      </c>
      <c r="I58" s="45">
        <f t="shared" si="15"/>
        <v>6.7740937403310941E-4</v>
      </c>
      <c r="J58" s="46">
        <v>879.68</v>
      </c>
      <c r="K58" s="116">
        <f t="shared" si="28"/>
        <v>1.3697883561138291E-2</v>
      </c>
      <c r="L58" s="47">
        <f t="shared" si="16"/>
        <v>2.0546825341707436E-3</v>
      </c>
      <c r="M58" s="130">
        <f t="shared" si="17"/>
        <v>2.7320919082038531E-3</v>
      </c>
      <c r="N58" s="48">
        <v>765</v>
      </c>
      <c r="O58" s="49">
        <v>138</v>
      </c>
      <c r="P58" s="49">
        <v>1343</v>
      </c>
      <c r="Q58" s="49">
        <v>81</v>
      </c>
      <c r="R58" s="50">
        <f t="shared" si="18"/>
        <v>4.4735691011459354E-4</v>
      </c>
      <c r="S58" s="50">
        <f t="shared" si="18"/>
        <v>3.9221036117458475E-4</v>
      </c>
      <c r="T58" s="50">
        <f t="shared" si="18"/>
        <v>1.0049446569569407E-3</v>
      </c>
      <c r="U58" s="50">
        <f t="shared" si="18"/>
        <v>5.1733387834350972E-4</v>
      </c>
      <c r="V58" s="51">
        <f t="shared" si="19"/>
        <v>2.3618458065896289E-3</v>
      </c>
      <c r="W58" s="52">
        <v>609.99999999842794</v>
      </c>
      <c r="X58" s="52">
        <v>123</v>
      </c>
      <c r="Y58" s="52">
        <v>468</v>
      </c>
      <c r="Z58" s="52">
        <v>34</v>
      </c>
      <c r="AA58" s="53">
        <f t="shared" si="20"/>
        <v>4.7974380108709025E-4</v>
      </c>
      <c r="AB58" s="53">
        <f t="shared" si="5"/>
        <v>4.198410747931515E-4</v>
      </c>
      <c r="AC58" s="53">
        <f t="shared" si="5"/>
        <v>9.5032327236102532E-4</v>
      </c>
      <c r="AD58" s="53">
        <f t="shared" si="5"/>
        <v>6.1926271309922776E-4</v>
      </c>
      <c r="AE58" s="44">
        <f t="shared" si="21"/>
        <v>2.4691708613404947E-3</v>
      </c>
      <c r="AF58" s="54">
        <f t="shared" si="29"/>
        <v>2.0987952321394206E-3</v>
      </c>
      <c r="AG58" s="44">
        <f t="shared" si="7"/>
        <v>4.5441177595686125E-2</v>
      </c>
      <c r="AH58" s="44">
        <f t="shared" si="8"/>
        <v>0</v>
      </c>
      <c r="AI58" s="45">
        <f t="shared" si="22"/>
        <v>0</v>
      </c>
      <c r="AJ58" s="45">
        <f t="shared" si="30"/>
        <v>0</v>
      </c>
      <c r="AK58" s="130">
        <f t="shared" si="10"/>
        <v>2.0987952321394206E-3</v>
      </c>
      <c r="AM58" s="57">
        <f t="shared" si="31"/>
        <v>156617.78159142222</v>
      </c>
      <c r="AN58" s="58">
        <f t="shared" si="32"/>
        <v>5338025.436533059</v>
      </c>
      <c r="AO58" s="58">
        <f t="shared" si="33"/>
        <v>4100675.4939660686</v>
      </c>
      <c r="AP58" s="58">
        <f t="shared" si="23"/>
        <v>9595318.71209055</v>
      </c>
      <c r="AQ58" s="59">
        <f t="shared" si="24"/>
        <v>1.2277616939835115E-3</v>
      </c>
    </row>
    <row r="59" spans="1:43" ht="15.75" thickBot="1">
      <c r="A59" s="6" t="s">
        <v>52</v>
      </c>
      <c r="B59" s="134">
        <f>SUM(B8:B58)</f>
        <v>7376103693</v>
      </c>
      <c r="C59" s="134">
        <f>SUM(C8:C58)</f>
        <v>3314378996.3799996</v>
      </c>
      <c r="D59" s="74">
        <f t="shared" si="25"/>
        <v>0.44934007632313794</v>
      </c>
      <c r="E59" s="75">
        <f t="shared" ref="E59:J59" si="34">SUM(E8:E58)</f>
        <v>1693875742.2335446</v>
      </c>
      <c r="F59" s="131">
        <f t="shared" si="34"/>
        <v>1</v>
      </c>
      <c r="G59" s="60">
        <f t="shared" si="34"/>
        <v>5119504</v>
      </c>
      <c r="H59" s="120">
        <f t="shared" si="34"/>
        <v>0.99999999999999989</v>
      </c>
      <c r="I59" s="62">
        <f t="shared" si="34"/>
        <v>0.85</v>
      </c>
      <c r="J59" s="63">
        <f t="shared" si="34"/>
        <v>64220.140000000021</v>
      </c>
      <c r="K59" s="117">
        <f t="shared" si="28"/>
        <v>1</v>
      </c>
      <c r="L59" s="64">
        <f>SUM(L8:L58)</f>
        <v>0.15</v>
      </c>
      <c r="M59" s="131">
        <f>SUM(M8:M58)</f>
        <v>1</v>
      </c>
      <c r="N59" s="65">
        <v>427511</v>
      </c>
      <c r="O59" s="66">
        <v>87963</v>
      </c>
      <c r="P59" s="66">
        <v>334098</v>
      </c>
      <c r="Q59" s="66">
        <v>39143</v>
      </c>
      <c r="R59" s="67">
        <f>SUM(R8:R58)</f>
        <v>0.25</v>
      </c>
      <c r="S59" s="67">
        <f>SUM(S8:S58)</f>
        <v>0.24999999999999994</v>
      </c>
      <c r="T59" s="67">
        <f>SUM(T8:T58)</f>
        <v>0.25</v>
      </c>
      <c r="U59" s="67">
        <f>SUM(U8:U58)</f>
        <v>0.25</v>
      </c>
      <c r="V59" s="68">
        <f>SUM(V8:V58)</f>
        <v>1</v>
      </c>
      <c r="W59" s="69">
        <v>317877.99999509094</v>
      </c>
      <c r="X59" s="69">
        <v>73242</v>
      </c>
      <c r="Y59" s="69">
        <v>123116</v>
      </c>
      <c r="Z59" s="69">
        <v>13726</v>
      </c>
      <c r="AA59" s="70">
        <f t="shared" ref="AA59:AF59" si="35">SUM(AA8:AA58)</f>
        <v>0.24999999999999994</v>
      </c>
      <c r="AB59" s="70">
        <f t="shared" si="35"/>
        <v>0.24999999999999997</v>
      </c>
      <c r="AC59" s="70">
        <f t="shared" si="35"/>
        <v>0.24999999999999997</v>
      </c>
      <c r="AD59" s="70">
        <f t="shared" si="35"/>
        <v>0.25000000000000006</v>
      </c>
      <c r="AE59" s="68">
        <f t="shared" si="35"/>
        <v>1.0000000000000002</v>
      </c>
      <c r="AF59" s="71">
        <f t="shared" si="35"/>
        <v>0.85</v>
      </c>
      <c r="AG59" s="72"/>
      <c r="AH59" s="61">
        <f>SUM(AH8:AH58)</f>
        <v>-5.3665221245451189</v>
      </c>
      <c r="AI59" s="73">
        <f>SUM(AI8:AI58)</f>
        <v>1.0000000000000002</v>
      </c>
      <c r="AJ59" s="62">
        <f>SUM(AJ8:AJ58)</f>
        <v>0.15000000000000005</v>
      </c>
      <c r="AK59" s="131">
        <f>SUM(AK8:AK58)</f>
        <v>1.0000000000000002</v>
      </c>
      <c r="AM59" s="76">
        <f>SUM(AM8:AM58)</f>
        <v>3907647045.4776268</v>
      </c>
      <c r="AN59" s="77">
        <f>SUM(AN8:AN58)</f>
        <v>1953823522.7388139</v>
      </c>
      <c r="AO59" s="77">
        <f>SUM(AO8:AO58)</f>
        <v>1953823522.7388139</v>
      </c>
      <c r="AP59" s="77">
        <f>SUM(AP8:AP58)</f>
        <v>7815294090.9552536</v>
      </c>
      <c r="AQ59" s="78">
        <f>SUM(AQ8:AQ58)</f>
        <v>1</v>
      </c>
    </row>
    <row r="60" spans="1:43" ht="13.5" thickTop="1">
      <c r="K60" s="80"/>
      <c r="V60" s="82"/>
    </row>
    <row r="61" spans="1:43" ht="72.75" customHeight="1">
      <c r="B61" s="331" t="s">
        <v>187</v>
      </c>
      <c r="C61" s="331"/>
      <c r="D61" s="331"/>
      <c r="E61" s="331"/>
      <c r="F61" s="331"/>
      <c r="K61" s="80"/>
      <c r="V61" s="82"/>
    </row>
    <row r="62" spans="1:43" s="11" customFormat="1">
      <c r="I62" s="83"/>
      <c r="L62" s="83"/>
      <c r="M62" s="84"/>
      <c r="V62" s="85"/>
      <c r="W62" s="85"/>
      <c r="AF62" s="83"/>
      <c r="AI62" s="83"/>
      <c r="AJ62" s="83"/>
      <c r="AK62" s="84"/>
    </row>
    <row r="63" spans="1:43">
      <c r="V63" s="82"/>
    </row>
    <row r="64" spans="1:43">
      <c r="V64" s="82"/>
    </row>
    <row r="65" spans="9:38">
      <c r="V65" s="82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  <row r="88" spans="9:38">
      <c r="I88" s="14"/>
      <c r="L88" s="14"/>
      <c r="M88" s="14"/>
      <c r="V88" s="82"/>
      <c r="AF88" s="14"/>
      <c r="AI88" s="14"/>
      <c r="AJ88" s="14"/>
      <c r="AK88" s="14"/>
      <c r="AL88" s="14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19685039370078741" bottom="0.1968503937007874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showGridLines="0" topLeftCell="T1" zoomScaleNormal="100" zoomScaleSheetLayoutView="100" workbookViewId="0">
      <selection activeCell="X15" sqref="X15"/>
    </sheetView>
  </sheetViews>
  <sheetFormatPr baseColWidth="10" defaultColWidth="11.42578125" defaultRowHeight="12.75"/>
  <cols>
    <col min="1" max="1" width="55" style="159" customWidth="1"/>
    <col min="2" max="26" width="16.28515625" style="159" customWidth="1"/>
    <col min="27" max="27" width="18" style="159" customWidth="1"/>
    <col min="28" max="29" width="17.28515625" style="159" customWidth="1"/>
    <col min="30" max="31" width="12.7109375" style="159" bestFit="1" customWidth="1"/>
    <col min="32" max="16384" width="11.42578125" style="159"/>
  </cols>
  <sheetData>
    <row r="1" spans="1:31" ht="27.75" customHeight="1">
      <c r="A1" s="316" t="s">
        <v>173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</row>
    <row r="2" spans="1:31" ht="13.5" thickBot="1"/>
    <row r="3" spans="1:31" ht="37.5" thickTop="1" thickBot="1">
      <c r="A3" s="160" t="s">
        <v>141</v>
      </c>
      <c r="B3" s="262" t="s">
        <v>221</v>
      </c>
      <c r="C3" s="262" t="s">
        <v>242</v>
      </c>
      <c r="D3" s="262" t="s">
        <v>222</v>
      </c>
      <c r="E3" s="262" t="s">
        <v>243</v>
      </c>
      <c r="F3" s="262" t="s">
        <v>223</v>
      </c>
      <c r="G3" s="262" t="s">
        <v>224</v>
      </c>
      <c r="H3" s="262" t="s">
        <v>244</v>
      </c>
      <c r="I3" s="262" t="s">
        <v>225</v>
      </c>
      <c r="J3" s="262" t="s">
        <v>245</v>
      </c>
      <c r="K3" s="262" t="s">
        <v>226</v>
      </c>
      <c r="L3" s="262" t="s">
        <v>246</v>
      </c>
      <c r="M3" s="265" t="s">
        <v>247</v>
      </c>
      <c r="N3" s="262" t="s">
        <v>227</v>
      </c>
      <c r="O3" s="262" t="s">
        <v>248</v>
      </c>
      <c r="P3" s="262" t="s">
        <v>249</v>
      </c>
      <c r="Q3" s="262" t="s">
        <v>228</v>
      </c>
      <c r="R3" s="262" t="s">
        <v>229</v>
      </c>
      <c r="S3" s="262" t="s">
        <v>249</v>
      </c>
      <c r="T3" s="262" t="s">
        <v>250</v>
      </c>
      <c r="U3" s="262" t="s">
        <v>251</v>
      </c>
      <c r="V3" s="262" t="s">
        <v>230</v>
      </c>
      <c r="W3" s="262" t="s">
        <v>231</v>
      </c>
      <c r="X3" s="262" t="s">
        <v>249</v>
      </c>
      <c r="Y3" s="262" t="s">
        <v>232</v>
      </c>
      <c r="Z3" s="265" t="s">
        <v>252</v>
      </c>
      <c r="AA3" s="269" t="s">
        <v>142</v>
      </c>
      <c r="AB3" s="160" t="s">
        <v>143</v>
      </c>
      <c r="AC3" s="271" t="s">
        <v>164</v>
      </c>
    </row>
    <row r="4" spans="1:31" ht="25.5" customHeight="1" thickTop="1">
      <c r="A4" s="161" t="s">
        <v>233</v>
      </c>
      <c r="B4" s="260">
        <v>2352188364.0836253</v>
      </c>
      <c r="C4" s="260"/>
      <c r="D4" s="260">
        <v>3018278443.2591658</v>
      </c>
      <c r="E4" s="260">
        <v>230556264</v>
      </c>
      <c r="F4" s="260">
        <v>2345869573.8403292</v>
      </c>
      <c r="G4" s="260">
        <v>2604411750.8578014</v>
      </c>
      <c r="H4" s="260"/>
      <c r="I4" s="260">
        <v>2925087940.9799223</v>
      </c>
      <c r="J4" s="260">
        <v>244009813.44567871</v>
      </c>
      <c r="K4" s="260">
        <v>2352584838.4264283</v>
      </c>
      <c r="L4" s="260">
        <v>542089992</v>
      </c>
      <c r="M4" s="268">
        <f t="shared" ref="M4:M12" si="0">SUM(B4:L4)</f>
        <v>16615076980.89295</v>
      </c>
      <c r="N4" s="260">
        <v>2492740684.1763096</v>
      </c>
      <c r="O4" s="260"/>
      <c r="P4" s="260">
        <v>148659183</v>
      </c>
      <c r="Q4" s="260">
        <v>2445862887.5826283</v>
      </c>
      <c r="R4" s="260">
        <v>2160406573.2456799</v>
      </c>
      <c r="S4" s="260">
        <v>449269615</v>
      </c>
      <c r="T4" s="260">
        <v>-766626192</v>
      </c>
      <c r="U4" s="260"/>
      <c r="V4" s="260">
        <v>2184147742.0632095</v>
      </c>
      <c r="W4" s="260">
        <v>2210677106.2253256</v>
      </c>
      <c r="X4" s="260">
        <v>919177238</v>
      </c>
      <c r="Y4" s="260">
        <v>2162858736.4144607</v>
      </c>
      <c r="Z4" s="268">
        <f>SUM(N4:Y4)</f>
        <v>14407173573.707613</v>
      </c>
      <c r="AA4" s="270">
        <f>+Z4+M4</f>
        <v>31022250554.600563</v>
      </c>
      <c r="AB4" s="162">
        <v>20</v>
      </c>
      <c r="AC4" s="272">
        <f>+AB4/100*AA4</f>
        <v>6204450110.9201126</v>
      </c>
      <c r="AE4" s="199"/>
    </row>
    <row r="5" spans="1:31" ht="25.5" customHeight="1">
      <c r="A5" s="161" t="s">
        <v>234</v>
      </c>
      <c r="B5" s="260">
        <v>64734976.441389382</v>
      </c>
      <c r="C5" s="260"/>
      <c r="D5" s="260">
        <v>87987991.101100847</v>
      </c>
      <c r="E5" s="260">
        <v>5648122</v>
      </c>
      <c r="F5" s="260">
        <v>64491307.855542019</v>
      </c>
      <c r="G5" s="260">
        <v>73525816.344770119</v>
      </c>
      <c r="H5" s="260"/>
      <c r="I5" s="260">
        <v>84707260.441081107</v>
      </c>
      <c r="J5" s="260">
        <v>729562.25828230381</v>
      </c>
      <c r="K5" s="260">
        <v>62968038.331550598</v>
      </c>
      <c r="L5" s="260">
        <v>7923050.6595962495</v>
      </c>
      <c r="M5" s="268">
        <f t="shared" si="0"/>
        <v>452716125.43331265</v>
      </c>
      <c r="N5" s="260">
        <v>67558951.536797255</v>
      </c>
      <c r="O5" s="260"/>
      <c r="P5" s="260"/>
      <c r="Q5" s="260">
        <v>66025764.046708301</v>
      </c>
      <c r="R5" s="260">
        <v>56815420.299885787</v>
      </c>
      <c r="S5" s="260">
        <v>382734</v>
      </c>
      <c r="T5" s="260">
        <v>-27927172.509243533</v>
      </c>
      <c r="U5" s="260"/>
      <c r="V5" s="260">
        <v>57581437.07645876</v>
      </c>
      <c r="W5" s="260">
        <v>58416951.766309649</v>
      </c>
      <c r="X5" s="260">
        <v>76660038</v>
      </c>
      <c r="Y5" s="260">
        <v>56647459.038641579</v>
      </c>
      <c r="Z5" s="268">
        <f t="shared" ref="Z5:Z12" si="1">SUM(N5:Y5)</f>
        <v>412161583.25555778</v>
      </c>
      <c r="AA5" s="270">
        <f t="shared" ref="AA5:AA12" si="2">+Z5+M5</f>
        <v>864877708.68887043</v>
      </c>
      <c r="AB5" s="162">
        <v>100</v>
      </c>
      <c r="AC5" s="272">
        <f t="shared" ref="AC5:AC12" si="3">+AB5/100*AA5</f>
        <v>864877708.68887043</v>
      </c>
    </row>
    <row r="6" spans="1:31" ht="25.5" customHeight="1">
      <c r="A6" s="161" t="s">
        <v>235</v>
      </c>
      <c r="B6" s="260"/>
      <c r="C6" s="260"/>
      <c r="D6" s="260"/>
      <c r="E6" s="260"/>
      <c r="F6" s="260"/>
      <c r="G6" s="260"/>
      <c r="H6" s="260"/>
      <c r="I6" s="260"/>
      <c r="J6" s="260"/>
      <c r="K6" s="260">
        <v>18067207</v>
      </c>
      <c r="L6" s="260">
        <v>111044596.34040375</v>
      </c>
      <c r="M6" s="268">
        <f t="shared" si="0"/>
        <v>129111803.34040375</v>
      </c>
      <c r="N6" s="260">
        <v>21871703.719973177</v>
      </c>
      <c r="O6" s="260"/>
      <c r="P6" s="260"/>
      <c r="Q6" s="260">
        <v>20582173.539239485</v>
      </c>
      <c r="R6" s="260">
        <v>12956576.187384419</v>
      </c>
      <c r="S6" s="260"/>
      <c r="T6" s="260">
        <v>4720131.8024602905</v>
      </c>
      <c r="U6" s="260"/>
      <c r="V6" s="260">
        <v>12078192.98900304</v>
      </c>
      <c r="W6" s="260">
        <v>12681080.358443158</v>
      </c>
      <c r="X6" s="260"/>
      <c r="Y6" s="260">
        <v>11380319.535759844</v>
      </c>
      <c r="Z6" s="268">
        <f t="shared" si="1"/>
        <v>96270178.132263422</v>
      </c>
      <c r="AA6" s="270">
        <f t="shared" si="2"/>
        <v>225381981.47266716</v>
      </c>
      <c r="AB6" s="162">
        <v>100</v>
      </c>
      <c r="AC6" s="272">
        <f t="shared" si="3"/>
        <v>225381981.47266716</v>
      </c>
    </row>
    <row r="7" spans="1:31" ht="25.5" customHeight="1">
      <c r="A7" s="161" t="s">
        <v>236</v>
      </c>
      <c r="B7" s="260">
        <v>86046527.332024768</v>
      </c>
      <c r="C7" s="260"/>
      <c r="D7" s="260">
        <v>125474271.39680597</v>
      </c>
      <c r="E7" s="260">
        <v>24526323</v>
      </c>
      <c r="F7" s="260">
        <v>128896265.35191464</v>
      </c>
      <c r="G7" s="260">
        <v>78386629.076240808</v>
      </c>
      <c r="H7" s="260"/>
      <c r="I7" s="260">
        <v>88199765.522894144</v>
      </c>
      <c r="J7" s="260">
        <v>-8038108.9208230972</v>
      </c>
      <c r="K7" s="260">
        <v>74146064.196138293</v>
      </c>
      <c r="L7" s="260">
        <v>-91673308</v>
      </c>
      <c r="M7" s="268">
        <f t="shared" si="0"/>
        <v>505964428.95519555</v>
      </c>
      <c r="N7" s="260">
        <v>71077465.922055945</v>
      </c>
      <c r="O7" s="260"/>
      <c r="P7" s="260"/>
      <c r="Q7" s="260">
        <v>86188589.13261801</v>
      </c>
      <c r="R7" s="260">
        <v>112730701.15280393</v>
      </c>
      <c r="S7" s="260"/>
      <c r="T7" s="260">
        <v>23167207</v>
      </c>
      <c r="U7" s="260"/>
      <c r="V7" s="260">
        <v>70498001.922447518</v>
      </c>
      <c r="W7" s="260">
        <v>66715701.537620202</v>
      </c>
      <c r="X7" s="260"/>
      <c r="Y7" s="260">
        <v>75009294.240906864</v>
      </c>
      <c r="Z7" s="268">
        <f t="shared" si="1"/>
        <v>505386960.90845251</v>
      </c>
      <c r="AA7" s="270">
        <f t="shared" si="2"/>
        <v>1011351389.8636481</v>
      </c>
      <c r="AB7" s="162">
        <v>20</v>
      </c>
      <c r="AC7" s="272">
        <f t="shared" si="3"/>
        <v>202270277.97272962</v>
      </c>
    </row>
    <row r="8" spans="1:31" ht="25.5" customHeight="1">
      <c r="A8" s="161" t="s">
        <v>237</v>
      </c>
      <c r="B8" s="260">
        <v>75298111</v>
      </c>
      <c r="C8" s="260">
        <v>100236175.37741974</v>
      </c>
      <c r="D8" s="260">
        <v>75298111</v>
      </c>
      <c r="E8" s="260"/>
      <c r="F8" s="260">
        <v>75298111</v>
      </c>
      <c r="G8" s="260">
        <v>75298111</v>
      </c>
      <c r="H8" s="260">
        <v>153262383.11011884</v>
      </c>
      <c r="I8" s="260">
        <v>75298111</v>
      </c>
      <c r="J8" s="260">
        <v>717815.42819023132</v>
      </c>
      <c r="K8" s="260">
        <v>75298111</v>
      </c>
      <c r="L8" s="260"/>
      <c r="M8" s="268">
        <f t="shared" si="0"/>
        <v>706005039.91572881</v>
      </c>
      <c r="N8" s="260">
        <v>75298110.874602646</v>
      </c>
      <c r="O8" s="260">
        <v>180073474.69601989</v>
      </c>
      <c r="P8" s="260"/>
      <c r="Q8" s="260">
        <v>75298110.874602646</v>
      </c>
      <c r="R8" s="260">
        <v>75298111</v>
      </c>
      <c r="S8" s="260">
        <v>14136550</v>
      </c>
      <c r="T8" s="260"/>
      <c r="U8" s="260">
        <v>104050066.31484923</v>
      </c>
      <c r="V8" s="260">
        <v>75298111</v>
      </c>
      <c r="W8" s="260">
        <v>75298111</v>
      </c>
      <c r="X8" s="260">
        <v>54045526</v>
      </c>
      <c r="Y8" s="260">
        <v>75298111</v>
      </c>
      <c r="Z8" s="268">
        <f t="shared" si="1"/>
        <v>804094282.76007438</v>
      </c>
      <c r="AA8" s="270">
        <f t="shared" si="2"/>
        <v>1510099322.6758032</v>
      </c>
      <c r="AB8" s="162">
        <v>20</v>
      </c>
      <c r="AC8" s="272">
        <f t="shared" si="3"/>
        <v>302019864.53516066</v>
      </c>
    </row>
    <row r="9" spans="1:31" ht="25.5" customHeight="1">
      <c r="A9" s="161" t="s">
        <v>238</v>
      </c>
      <c r="B9" s="260">
        <v>10847516.510172199</v>
      </c>
      <c r="C9" s="260"/>
      <c r="D9" s="260">
        <v>8839735.7330775112</v>
      </c>
      <c r="E9" s="260"/>
      <c r="F9" s="260">
        <v>10368130.059400821</v>
      </c>
      <c r="G9" s="260">
        <v>9214976.3235891033</v>
      </c>
      <c r="H9" s="260"/>
      <c r="I9" s="260">
        <v>10058544.551175755</v>
      </c>
      <c r="J9" s="260">
        <v>-4210871.5651665628</v>
      </c>
      <c r="K9" s="260">
        <v>9680967.1520517804</v>
      </c>
      <c r="L9" s="260"/>
      <c r="M9" s="268">
        <f t="shared" si="0"/>
        <v>54798998.7643006</v>
      </c>
      <c r="N9" s="260">
        <v>9973159.9551475663</v>
      </c>
      <c r="O9" s="260"/>
      <c r="P9" s="260"/>
      <c r="Q9" s="260">
        <v>9678400.3821980134</v>
      </c>
      <c r="R9" s="260">
        <v>9904192.5797545016</v>
      </c>
      <c r="S9" s="260"/>
      <c r="T9" s="260"/>
      <c r="U9" s="260"/>
      <c r="V9" s="260">
        <v>9738167.5796796419</v>
      </c>
      <c r="W9" s="260">
        <v>9262878.0627075639</v>
      </c>
      <c r="X9" s="260"/>
      <c r="Y9" s="260">
        <v>9559705.8681118693</v>
      </c>
      <c r="Z9" s="268">
        <f t="shared" si="1"/>
        <v>58116504.427599162</v>
      </c>
      <c r="AA9" s="270">
        <f t="shared" si="2"/>
        <v>112915503.19189976</v>
      </c>
      <c r="AB9" s="162">
        <v>20</v>
      </c>
      <c r="AC9" s="272">
        <f t="shared" si="3"/>
        <v>22583100.638379954</v>
      </c>
    </row>
    <row r="10" spans="1:31" ht="25.5" customHeight="1">
      <c r="A10" s="161" t="s">
        <v>239</v>
      </c>
      <c r="B10" s="260">
        <v>86149845</v>
      </c>
      <c r="C10" s="260"/>
      <c r="D10" s="260">
        <v>91221010</v>
      </c>
      <c r="E10" s="260"/>
      <c r="F10" s="260">
        <v>78467945</v>
      </c>
      <c r="G10" s="260">
        <v>57066011</v>
      </c>
      <c r="H10" s="260"/>
      <c r="I10" s="260">
        <v>90132884</v>
      </c>
      <c r="J10" s="260"/>
      <c r="K10" s="260">
        <v>76998845</v>
      </c>
      <c r="L10" s="260"/>
      <c r="M10" s="268">
        <f t="shared" si="0"/>
        <v>480036540</v>
      </c>
      <c r="N10" s="260">
        <v>67181435</v>
      </c>
      <c r="O10" s="260"/>
      <c r="P10" s="260"/>
      <c r="Q10" s="260">
        <v>64960732</v>
      </c>
      <c r="R10" s="260">
        <v>79199211</v>
      </c>
      <c r="S10" s="260"/>
      <c r="T10" s="260"/>
      <c r="U10" s="260"/>
      <c r="V10" s="260">
        <v>71392113</v>
      </c>
      <c r="W10" s="260">
        <v>64165004</v>
      </c>
      <c r="X10" s="260"/>
      <c r="Y10" s="260">
        <v>85919842</v>
      </c>
      <c r="Z10" s="268">
        <f t="shared" si="1"/>
        <v>432818337</v>
      </c>
      <c r="AA10" s="270">
        <f t="shared" si="2"/>
        <v>912854877</v>
      </c>
      <c r="AB10" s="162">
        <v>20</v>
      </c>
      <c r="AC10" s="272">
        <f t="shared" si="3"/>
        <v>182570975.40000001</v>
      </c>
      <c r="AD10" s="199"/>
    </row>
    <row r="11" spans="1:31" ht="25.5" customHeight="1">
      <c r="A11" s="161" t="s">
        <v>240</v>
      </c>
      <c r="B11" s="260">
        <v>15217522</v>
      </c>
      <c r="C11" s="260"/>
      <c r="D11" s="260">
        <v>15217522</v>
      </c>
      <c r="E11" s="260"/>
      <c r="F11" s="260">
        <v>15217522</v>
      </c>
      <c r="G11" s="260">
        <v>15217522</v>
      </c>
      <c r="H11" s="260"/>
      <c r="I11" s="260">
        <v>15217522</v>
      </c>
      <c r="J11" s="260"/>
      <c r="K11" s="260">
        <v>15217522</v>
      </c>
      <c r="L11" s="260"/>
      <c r="M11" s="268">
        <f t="shared" si="0"/>
        <v>91305132</v>
      </c>
      <c r="N11" s="260">
        <v>15217522</v>
      </c>
      <c r="O11" s="260"/>
      <c r="P11" s="260"/>
      <c r="Q11" s="260">
        <v>15217522</v>
      </c>
      <c r="R11" s="260">
        <v>15217522</v>
      </c>
      <c r="S11" s="260"/>
      <c r="T11" s="260"/>
      <c r="U11" s="260"/>
      <c r="V11" s="260">
        <v>15217522</v>
      </c>
      <c r="W11" s="260">
        <v>15217522</v>
      </c>
      <c r="X11" s="260"/>
      <c r="Y11" s="260">
        <v>15217522</v>
      </c>
      <c r="Z11" s="268">
        <f t="shared" si="1"/>
        <v>91305132</v>
      </c>
      <c r="AA11" s="270">
        <f t="shared" si="2"/>
        <v>182610264</v>
      </c>
      <c r="AB11" s="162">
        <v>20</v>
      </c>
      <c r="AC11" s="272">
        <f t="shared" si="3"/>
        <v>36522052.800000004</v>
      </c>
    </row>
    <row r="12" spans="1:31" ht="25.5" customHeight="1">
      <c r="A12" s="258" t="s">
        <v>241</v>
      </c>
      <c r="B12" s="261">
        <v>98845712.181818172</v>
      </c>
      <c r="C12" s="261"/>
      <c r="D12" s="261">
        <v>119968288.36363636</v>
      </c>
      <c r="E12" s="261"/>
      <c r="F12" s="261">
        <v>68708737.63636364</v>
      </c>
      <c r="G12" s="261">
        <v>81878351</v>
      </c>
      <c r="H12" s="261"/>
      <c r="I12" s="261">
        <v>94978635.545454532</v>
      </c>
      <c r="J12" s="261"/>
      <c r="K12" s="261">
        <v>96704582</v>
      </c>
      <c r="L12" s="261"/>
      <c r="M12" s="268">
        <f t="shared" si="0"/>
        <v>561084306.72727275</v>
      </c>
      <c r="N12" s="261">
        <v>96780478.090909094</v>
      </c>
      <c r="O12" s="261"/>
      <c r="P12" s="261"/>
      <c r="Q12" s="261">
        <v>84345814</v>
      </c>
      <c r="R12" s="261">
        <v>92444868</v>
      </c>
      <c r="S12" s="261"/>
      <c r="T12" s="261"/>
      <c r="U12" s="261"/>
      <c r="V12" s="261">
        <v>87825440</v>
      </c>
      <c r="W12" s="261">
        <v>76362426</v>
      </c>
      <c r="X12" s="261"/>
      <c r="Y12" s="261">
        <v>82733086.63636364</v>
      </c>
      <c r="Z12" s="268">
        <f t="shared" si="1"/>
        <v>520492112.72727275</v>
      </c>
      <c r="AA12" s="270">
        <f t="shared" si="2"/>
        <v>1081576419.4545455</v>
      </c>
      <c r="AB12" s="162">
        <v>20</v>
      </c>
      <c r="AC12" s="272">
        <f t="shared" si="3"/>
        <v>216315283.89090911</v>
      </c>
    </row>
    <row r="13" spans="1:31" s="259" customFormat="1" ht="25.5" customHeight="1">
      <c r="A13" s="263" t="s">
        <v>53</v>
      </c>
      <c r="B13" s="264">
        <f>SUM(B4:B12)</f>
        <v>2789328574.5490298</v>
      </c>
      <c r="C13" s="264">
        <f t="shared" ref="C13:Y13" si="4">SUM(C4:C12)</f>
        <v>100236175.37741974</v>
      </c>
      <c r="D13" s="264">
        <f t="shared" si="4"/>
        <v>3542285372.8537865</v>
      </c>
      <c r="E13" s="264">
        <f t="shared" si="4"/>
        <v>260730709</v>
      </c>
      <c r="F13" s="264">
        <f t="shared" si="4"/>
        <v>2787317592.7435503</v>
      </c>
      <c r="G13" s="264">
        <f t="shared" si="4"/>
        <v>2994999167.6024017</v>
      </c>
      <c r="H13" s="264">
        <f t="shared" si="4"/>
        <v>153262383.11011884</v>
      </c>
      <c r="I13" s="264">
        <f t="shared" si="4"/>
        <v>3383680664.0405273</v>
      </c>
      <c r="J13" s="264">
        <f t="shared" si="4"/>
        <v>233208210.64616159</v>
      </c>
      <c r="K13" s="264">
        <f t="shared" si="4"/>
        <v>2781666175.1061692</v>
      </c>
      <c r="L13" s="264">
        <f t="shared" si="4"/>
        <v>569384331</v>
      </c>
      <c r="M13" s="266">
        <f>SUM(M4:M12)</f>
        <v>19596099356.029167</v>
      </c>
      <c r="N13" s="264">
        <f t="shared" si="4"/>
        <v>2917699511.275795</v>
      </c>
      <c r="O13" s="264">
        <f t="shared" si="4"/>
        <v>180073474.69601989</v>
      </c>
      <c r="P13" s="264">
        <f t="shared" si="4"/>
        <v>148659183</v>
      </c>
      <c r="Q13" s="264">
        <f t="shared" si="4"/>
        <v>2868159993.5579944</v>
      </c>
      <c r="R13" s="264">
        <f t="shared" si="4"/>
        <v>2614973175.4655085</v>
      </c>
      <c r="S13" s="264">
        <f t="shared" si="4"/>
        <v>463788899</v>
      </c>
      <c r="T13" s="264">
        <f t="shared" si="4"/>
        <v>-766666025.70678318</v>
      </c>
      <c r="U13" s="264">
        <f t="shared" si="4"/>
        <v>104050066.31484923</v>
      </c>
      <c r="V13" s="264">
        <f t="shared" si="4"/>
        <v>2583776727.6307988</v>
      </c>
      <c r="W13" s="264">
        <f t="shared" si="4"/>
        <v>2588796780.9504061</v>
      </c>
      <c r="X13" s="264">
        <f t="shared" si="4"/>
        <v>1049882802</v>
      </c>
      <c r="Y13" s="264">
        <f t="shared" si="4"/>
        <v>2574624076.7342443</v>
      </c>
      <c r="Z13" s="266">
        <f>SUM(Z4:Z12)</f>
        <v>17327818664.918835</v>
      </c>
      <c r="AA13" s="267">
        <f>SUM(AA4:AA12)</f>
        <v>36923918020.947998</v>
      </c>
      <c r="AB13" s="258"/>
      <c r="AC13" s="267">
        <f>SUM(AC4:AC12)</f>
        <v>8256991356.3188295</v>
      </c>
    </row>
    <row r="14" spans="1:3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4"/>
      <c r="AB14" s="165"/>
      <c r="AC14" s="164"/>
    </row>
    <row r="15" spans="1:31">
      <c r="A15" s="166" t="s">
        <v>146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</sheetData>
  <mergeCells count="1">
    <mergeCell ref="A1:AC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"/>
  <sheetViews>
    <sheetView zoomScaleSheetLayoutView="100" workbookViewId="0">
      <selection activeCell="A61" sqref="A61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9" width="16.140625" style="14" customWidth="1"/>
    <col min="10" max="10" width="15.5703125" style="14" customWidth="1"/>
    <col min="11" max="11" width="15.85546875" style="14" customWidth="1"/>
    <col min="12" max="12" width="13.28515625" style="14" bestFit="1" customWidth="1"/>
    <col min="13" max="13" width="8.85546875" style="14" customWidth="1"/>
    <col min="14" max="14" width="16.5703125" style="14" customWidth="1"/>
    <col min="15" max="15" width="15.85546875" style="14" customWidth="1"/>
    <col min="16" max="16" width="13.85546875" style="14" customWidth="1"/>
    <col min="17" max="17" width="12.7109375" style="14" bestFit="1" customWidth="1"/>
    <col min="18" max="18" width="14.85546875" style="14" customWidth="1"/>
    <col min="19" max="19" width="16.140625" style="14" customWidth="1"/>
    <col min="20" max="20" width="12.42578125" style="14" customWidth="1"/>
    <col min="21" max="21" width="13.5703125" style="183" customWidth="1"/>
    <col min="22" max="22" width="5.42578125" style="14" customWidth="1"/>
    <col min="23" max="16384" width="9.7109375" style="14"/>
  </cols>
  <sheetData>
    <row r="1" spans="1:21" ht="47.25" customHeight="1">
      <c r="A1" s="338" t="s">
        <v>169</v>
      </c>
      <c r="B1" s="338"/>
      <c r="C1" s="338"/>
      <c r="D1" s="338"/>
      <c r="E1" s="338"/>
      <c r="F1" s="338"/>
      <c r="G1" s="338"/>
      <c r="H1" s="338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spans="1:21" ht="8.25" customHeight="1" thickBot="1">
      <c r="I2" s="97"/>
    </row>
    <row r="3" spans="1:21" ht="69" customHeight="1" thickBot="1">
      <c r="A3" s="342" t="s">
        <v>0</v>
      </c>
      <c r="B3" s="340" t="s">
        <v>133</v>
      </c>
      <c r="C3" s="349" t="s">
        <v>134</v>
      </c>
      <c r="D3" s="334" t="s">
        <v>135</v>
      </c>
      <c r="E3" s="334" t="s">
        <v>156</v>
      </c>
      <c r="F3" s="334" t="s">
        <v>148</v>
      </c>
      <c r="G3" s="334" t="s">
        <v>171</v>
      </c>
      <c r="H3" s="336" t="s">
        <v>172</v>
      </c>
      <c r="I3" s="340" t="s">
        <v>177</v>
      </c>
      <c r="J3" s="340" t="s">
        <v>178</v>
      </c>
      <c r="K3" s="340" t="s">
        <v>254</v>
      </c>
      <c r="L3" s="345" t="s">
        <v>255</v>
      </c>
      <c r="M3" s="346"/>
      <c r="N3" s="127" t="s">
        <v>179</v>
      </c>
      <c r="O3" s="340" t="s">
        <v>180</v>
      </c>
      <c r="P3" s="340" t="s">
        <v>181</v>
      </c>
      <c r="Q3" s="340" t="s">
        <v>182</v>
      </c>
      <c r="R3" s="182" t="s">
        <v>183</v>
      </c>
      <c r="S3" s="340" t="s">
        <v>184</v>
      </c>
      <c r="T3" s="340" t="s">
        <v>185</v>
      </c>
      <c r="U3" s="340" t="s">
        <v>253</v>
      </c>
    </row>
    <row r="4" spans="1:21" ht="20.45" customHeight="1" thickBot="1">
      <c r="A4" s="343"/>
      <c r="B4" s="341"/>
      <c r="C4" s="350"/>
      <c r="D4" s="335"/>
      <c r="E4" s="335"/>
      <c r="F4" s="335"/>
      <c r="G4" s="335"/>
      <c r="H4" s="337"/>
      <c r="I4" s="341"/>
      <c r="J4" s="341"/>
      <c r="K4" s="344"/>
      <c r="L4" s="347"/>
      <c r="M4" s="348"/>
      <c r="N4" s="175">
        <v>4.8300000000000003E-2</v>
      </c>
      <c r="O4" s="341"/>
      <c r="P4" s="341"/>
      <c r="Q4" s="341"/>
      <c r="R4" s="158">
        <f>+O58/Q58</f>
        <v>0.35950710656727902</v>
      </c>
      <c r="S4" s="341"/>
      <c r="T4" s="341"/>
      <c r="U4" s="341"/>
    </row>
    <row r="5" spans="1:21" ht="20.45" customHeight="1">
      <c r="A5" s="102"/>
      <c r="B5" s="124" t="s">
        <v>130</v>
      </c>
      <c r="C5" s="102"/>
      <c r="D5" s="102"/>
      <c r="E5" s="102"/>
      <c r="F5" s="102"/>
      <c r="G5" s="102"/>
      <c r="H5" s="102"/>
      <c r="I5" s="124" t="s">
        <v>130</v>
      </c>
      <c r="J5" s="124" t="s">
        <v>130</v>
      </c>
      <c r="K5" s="184" t="s">
        <v>130</v>
      </c>
      <c r="L5" s="184" t="s">
        <v>130</v>
      </c>
      <c r="M5" s="184" t="s">
        <v>131</v>
      </c>
      <c r="N5" s="125" t="s">
        <v>130</v>
      </c>
      <c r="O5" s="124" t="s">
        <v>130</v>
      </c>
      <c r="P5" s="124" t="s">
        <v>130</v>
      </c>
      <c r="Q5" s="125" t="s">
        <v>130</v>
      </c>
      <c r="R5" s="124" t="s">
        <v>130</v>
      </c>
      <c r="S5" s="124" t="s">
        <v>130</v>
      </c>
      <c r="T5" s="124"/>
      <c r="U5" s="124"/>
    </row>
    <row r="6" spans="1:2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85" t="s">
        <v>149</v>
      </c>
      <c r="L6" s="185"/>
      <c r="M6" s="186"/>
      <c r="N6" s="185" t="s">
        <v>150</v>
      </c>
      <c r="O6" s="185" t="s">
        <v>151</v>
      </c>
      <c r="P6" s="185" t="s">
        <v>152</v>
      </c>
      <c r="Q6" s="185" t="s">
        <v>153</v>
      </c>
      <c r="R6" s="185" t="s">
        <v>154</v>
      </c>
      <c r="S6" s="185"/>
      <c r="T6" s="185"/>
      <c r="U6" s="185" t="s">
        <v>155</v>
      </c>
    </row>
    <row r="7" spans="1:21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SUM(B7:H7)</f>
        <v>9331829.3373037763</v>
      </c>
      <c r="J7" s="3">
        <f t="shared" ref="J7:J57" si="0">(+I7*N$4)+I7</f>
        <v>9782556.6942955479</v>
      </c>
      <c r="K7" s="3">
        <f>+'COEF Art 14 F I'!AP8</f>
        <v>3491591.0752216643</v>
      </c>
      <c r="L7" s="3">
        <f>+K7-J7</f>
        <v>-6290965.6190738836</v>
      </c>
      <c r="M7" s="176">
        <f>+(K7-J7)/J7</f>
        <v>-0.64307990392146686</v>
      </c>
      <c r="N7" s="3">
        <f>IF(M7&lt;0,J7,0)</f>
        <v>9782556.6942955479</v>
      </c>
      <c r="O7" s="3">
        <f>IF(M7&lt;0,N7-K7,0)</f>
        <v>6290965.6190738836</v>
      </c>
      <c r="P7" s="3">
        <f>+IF(K7&gt;J7,K7,0)</f>
        <v>0</v>
      </c>
      <c r="Q7" s="3">
        <f>IF(P7=0,0,K7-J7)</f>
        <v>0</v>
      </c>
      <c r="R7" s="3">
        <f>+Q7*R$4</f>
        <v>0</v>
      </c>
      <c r="S7" s="3">
        <f t="shared" ref="S7:S38" si="1">IF(O7&lt;&gt;0,K7+O7,K7-R7)</f>
        <v>9782556.6942955479</v>
      </c>
      <c r="T7" s="176">
        <f t="shared" ref="T7:T38" si="2">+(S7-I7)/I7</f>
        <v>4.8299999999999912E-2</v>
      </c>
      <c r="U7" s="179">
        <f>+S7/S$58</f>
        <v>1.2517195873175183E-3</v>
      </c>
    </row>
    <row r="8" spans="1:21" ht="12.75" customHeight="1">
      <c r="A8" s="4" t="s">
        <v>2</v>
      </c>
      <c r="B8" s="5">
        <v>14576366.23974626</v>
      </c>
      <c r="C8" s="198">
        <v>2057492.7222054771</v>
      </c>
      <c r="D8" s="198">
        <v>535478.93657359632</v>
      </c>
      <c r="E8" s="198">
        <v>675314.19046624668</v>
      </c>
      <c r="F8" s="198">
        <v>56192.562953092871</v>
      </c>
      <c r="G8" s="198">
        <v>492269.14190235961</v>
      </c>
      <c r="H8" s="198">
        <v>91162.606915986529</v>
      </c>
      <c r="I8" s="5">
        <f t="shared" ref="I8:I57" si="3">SUM(B8:H8)</f>
        <v>18484276.40076302</v>
      </c>
      <c r="J8" s="5">
        <f t="shared" si="0"/>
        <v>19377066.950919874</v>
      </c>
      <c r="K8" s="5">
        <f>+'COEF Art 14 F I'!AP9</f>
        <v>19044557.262782492</v>
      </c>
      <c r="L8" s="5">
        <f t="shared" ref="L8:L57" si="4">+K8-J8</f>
        <v>-332509.68813738227</v>
      </c>
      <c r="M8" s="177">
        <f t="shared" ref="M8:M58" si="5">+(K8-J8)/J8</f>
        <v>-1.7159959708019548E-2</v>
      </c>
      <c r="N8" s="5">
        <f t="shared" ref="N8:N57" si="6">IF(M8&lt;0,J8,0)</f>
        <v>19377066.950919874</v>
      </c>
      <c r="O8" s="5">
        <f t="shared" ref="O8:O57" si="7">IF(M8&lt;0,N8-K8,0)</f>
        <v>332509.68813738227</v>
      </c>
      <c r="P8" s="5">
        <f t="shared" ref="P8:P57" si="8">+IF(K8&gt;J8,K8,0)</f>
        <v>0</v>
      </c>
      <c r="Q8" s="5">
        <f>IF(P8=0,0,K8-J8)</f>
        <v>0</v>
      </c>
      <c r="R8" s="5">
        <f t="shared" ref="R8:R57" si="9">+Q8*R$4</f>
        <v>0</v>
      </c>
      <c r="S8" s="5">
        <f t="shared" si="1"/>
        <v>19377066.950919874</v>
      </c>
      <c r="T8" s="177">
        <f t="shared" si="2"/>
        <v>4.830000000000001E-2</v>
      </c>
      <c r="U8" s="180">
        <f t="shared" ref="U8:U57" si="10">+S8/S$58</f>
        <v>2.4793778359979081E-3</v>
      </c>
    </row>
    <row r="9" spans="1:21" ht="12.75" customHeight="1">
      <c r="A9" s="4" t="s">
        <v>3</v>
      </c>
      <c r="B9" s="5">
        <v>14372051.346093465</v>
      </c>
      <c r="C9" s="198">
        <v>2028653.1335304263</v>
      </c>
      <c r="D9" s="198">
        <v>527973.20296511694</v>
      </c>
      <c r="E9" s="198">
        <v>665848.40559658967</v>
      </c>
      <c r="F9" s="198">
        <v>55404.919631371144</v>
      </c>
      <c r="G9" s="198">
        <v>485369.07396124443</v>
      </c>
      <c r="H9" s="198">
        <v>89884.793362830373</v>
      </c>
      <c r="I9" s="5">
        <f t="shared" si="3"/>
        <v>18225184.875141043</v>
      </c>
      <c r="J9" s="5">
        <f t="shared" si="0"/>
        <v>19105461.304610357</v>
      </c>
      <c r="K9" s="5">
        <f>+'COEF Art 14 F I'!AP10</f>
        <v>20748580.414846778</v>
      </c>
      <c r="L9" s="5">
        <f t="shared" si="4"/>
        <v>1643119.1102364212</v>
      </c>
      <c r="M9" s="177">
        <f t="shared" si="5"/>
        <v>8.6002587639164657E-2</v>
      </c>
      <c r="N9" s="5">
        <f t="shared" si="6"/>
        <v>0</v>
      </c>
      <c r="O9" s="5">
        <f t="shared" si="7"/>
        <v>0</v>
      </c>
      <c r="P9" s="5">
        <f t="shared" si="8"/>
        <v>20748580.414846778</v>
      </c>
      <c r="Q9" s="5">
        <f t="shared" ref="Q9:Q57" si="11">IF(P9=0,0,K9-J9)</f>
        <v>1643119.1102364212</v>
      </c>
      <c r="R9" s="5">
        <f t="shared" si="9"/>
        <v>590712.9970664978</v>
      </c>
      <c r="S9" s="5">
        <f t="shared" si="1"/>
        <v>20157867.41778028</v>
      </c>
      <c r="T9" s="177">
        <f t="shared" si="2"/>
        <v>0.10604460563115577</v>
      </c>
      <c r="U9" s="180">
        <f t="shared" si="10"/>
        <v>2.5792845647496817E-3</v>
      </c>
    </row>
    <row r="10" spans="1:21" ht="12.75" customHeight="1">
      <c r="A10" s="4" t="s">
        <v>4</v>
      </c>
      <c r="B10" s="5">
        <v>39994666.972263224</v>
      </c>
      <c r="C10" s="198">
        <v>5645353.2292616945</v>
      </c>
      <c r="D10" s="198">
        <v>1469248.3288835278</v>
      </c>
      <c r="E10" s="198">
        <v>1852928.6178126237</v>
      </c>
      <c r="F10" s="198">
        <v>154181.28254073061</v>
      </c>
      <c r="G10" s="198">
        <v>1350689.1955942744</v>
      </c>
      <c r="H10" s="198">
        <v>250132.16901668301</v>
      </c>
      <c r="I10" s="5">
        <f t="shared" si="3"/>
        <v>50717199.795372762</v>
      </c>
      <c r="J10" s="5">
        <f t="shared" si="0"/>
        <v>53166840.545489267</v>
      </c>
      <c r="K10" s="5">
        <f>+'COEF Art 14 F I'!AP11</f>
        <v>57208255.608204797</v>
      </c>
      <c r="L10" s="5">
        <f t="shared" si="4"/>
        <v>4041415.0627155304</v>
      </c>
      <c r="M10" s="177">
        <f t="shared" si="5"/>
        <v>7.6013827815435392E-2</v>
      </c>
      <c r="N10" s="5">
        <f t="shared" si="6"/>
        <v>0</v>
      </c>
      <c r="O10" s="5">
        <f t="shared" si="7"/>
        <v>0</v>
      </c>
      <c r="P10" s="5">
        <f t="shared" si="8"/>
        <v>57208255.608204797</v>
      </c>
      <c r="Q10" s="5">
        <f t="shared" si="11"/>
        <v>4041415.0627155304</v>
      </c>
      <c r="R10" s="5">
        <f t="shared" si="9"/>
        <v>1452917.4356342789</v>
      </c>
      <c r="S10" s="5">
        <f t="shared" si="1"/>
        <v>55755338.172570519</v>
      </c>
      <c r="T10" s="177">
        <f t="shared" si="2"/>
        <v>9.9337865606243844E-2</v>
      </c>
      <c r="U10" s="180">
        <f t="shared" si="10"/>
        <v>7.1341318092043313E-3</v>
      </c>
    </row>
    <row r="11" spans="1:21" ht="12.75" customHeight="1">
      <c r="A11" s="4" t="s">
        <v>5</v>
      </c>
      <c r="B11" s="5">
        <v>52971569.298851922</v>
      </c>
      <c r="C11" s="198">
        <v>7477077.3815359473</v>
      </c>
      <c r="D11" s="198">
        <v>1945969.1894567527</v>
      </c>
      <c r="E11" s="198">
        <v>2454140.6171064759</v>
      </c>
      <c r="F11" s="198">
        <v>204207.83846891561</v>
      </c>
      <c r="G11" s="198">
        <v>1788941.6700345716</v>
      </c>
      <c r="H11" s="198">
        <v>331291.50779338833</v>
      </c>
      <c r="I11" s="5">
        <f t="shared" si="3"/>
        <v>67173197.503247976</v>
      </c>
      <c r="J11" s="5">
        <f t="shared" si="0"/>
        <v>70417662.942654848</v>
      </c>
      <c r="K11" s="5">
        <f>+'COEF Art 14 F I'!AP12</f>
        <v>56929912.700499482</v>
      </c>
      <c r="L11" s="5">
        <f t="shared" si="4"/>
        <v>-13487750.242155366</v>
      </c>
      <c r="M11" s="177">
        <f t="shared" si="5"/>
        <v>-0.19153930531803101</v>
      </c>
      <c r="N11" s="5">
        <f t="shared" si="6"/>
        <v>70417662.942654848</v>
      </c>
      <c r="O11" s="5">
        <f t="shared" si="7"/>
        <v>13487750.242155366</v>
      </c>
      <c r="P11" s="5">
        <f t="shared" si="8"/>
        <v>0</v>
      </c>
      <c r="Q11" s="5">
        <f t="shared" si="11"/>
        <v>0</v>
      </c>
      <c r="R11" s="5">
        <f t="shared" si="9"/>
        <v>0</v>
      </c>
      <c r="S11" s="5">
        <f t="shared" si="1"/>
        <v>70417662.942654848</v>
      </c>
      <c r="T11" s="177">
        <f t="shared" si="2"/>
        <v>4.8299999999999919E-2</v>
      </c>
      <c r="U11" s="180">
        <f t="shared" si="10"/>
        <v>9.0102384021799233E-3</v>
      </c>
    </row>
    <row r="12" spans="1:21" ht="12.75" customHeight="1">
      <c r="A12" s="4" t="s">
        <v>6</v>
      </c>
      <c r="B12" s="5">
        <v>345472493.01836276</v>
      </c>
      <c r="C12" s="198">
        <v>48764357.893887833</v>
      </c>
      <c r="D12" s="198">
        <v>12691314.154321574</v>
      </c>
      <c r="E12" s="198">
        <v>16005530.672995448</v>
      </c>
      <c r="F12" s="198">
        <v>1331812.3662101035</v>
      </c>
      <c r="G12" s="198">
        <v>11667204.630520202</v>
      </c>
      <c r="H12" s="198">
        <v>2160632.66820582</v>
      </c>
      <c r="I12" s="5">
        <f t="shared" si="3"/>
        <v>438093345.4045037</v>
      </c>
      <c r="J12" s="5">
        <f t="shared" si="0"/>
        <v>459253253.98754126</v>
      </c>
      <c r="K12" s="5">
        <f>+'COEF Art 14 F I'!AP13</f>
        <v>492300993.77893305</v>
      </c>
      <c r="L12" s="5">
        <f t="shared" si="4"/>
        <v>33047739.79139179</v>
      </c>
      <c r="M12" s="177">
        <f t="shared" si="5"/>
        <v>7.1959729200499728E-2</v>
      </c>
      <c r="N12" s="5">
        <f t="shared" si="6"/>
        <v>0</v>
      </c>
      <c r="O12" s="5">
        <f t="shared" si="7"/>
        <v>0</v>
      </c>
      <c r="P12" s="5">
        <f t="shared" si="8"/>
        <v>492300993.77893305</v>
      </c>
      <c r="Q12" s="5">
        <f t="shared" si="11"/>
        <v>33047739.79139179</v>
      </c>
      <c r="R12" s="5">
        <f t="shared" si="9"/>
        <v>11880897.310991596</v>
      </c>
      <c r="S12" s="5">
        <f t="shared" si="1"/>
        <v>480420096.46794146</v>
      </c>
      <c r="T12" s="177">
        <f t="shared" si="2"/>
        <v>9.6615827442793734E-2</v>
      </c>
      <c r="U12" s="180">
        <f t="shared" si="10"/>
        <v>6.1471787353970242E-2</v>
      </c>
    </row>
    <row r="13" spans="1:21" ht="12.75" customHeight="1">
      <c r="A13" s="4" t="s">
        <v>7</v>
      </c>
      <c r="B13" s="5">
        <v>59046361.196344882</v>
      </c>
      <c r="C13" s="198">
        <v>8334550.3561050957</v>
      </c>
      <c r="D13" s="198">
        <v>2169133.3890708839</v>
      </c>
      <c r="E13" s="198">
        <v>2735582.0343315811</v>
      </c>
      <c r="F13" s="198">
        <v>227626.44091840737</v>
      </c>
      <c r="G13" s="198">
        <v>1994097.9171697502</v>
      </c>
      <c r="H13" s="198">
        <v>369284.09502253646</v>
      </c>
      <c r="I13" s="5">
        <f t="shared" si="3"/>
        <v>74876635.42896311</v>
      </c>
      <c r="J13" s="5">
        <f t="shared" si="0"/>
        <v>78493176.920182034</v>
      </c>
      <c r="K13" s="5">
        <f>+'COEF Art 14 F I'!AP14</f>
        <v>81442530.703508511</v>
      </c>
      <c r="L13" s="5">
        <f t="shared" si="4"/>
        <v>2949353.7833264768</v>
      </c>
      <c r="M13" s="177">
        <f t="shared" si="5"/>
        <v>3.7574651696485786E-2</v>
      </c>
      <c r="N13" s="5">
        <f t="shared" si="6"/>
        <v>0</v>
      </c>
      <c r="O13" s="5">
        <f t="shared" si="7"/>
        <v>0</v>
      </c>
      <c r="P13" s="5">
        <f t="shared" si="8"/>
        <v>81442530.703508511</v>
      </c>
      <c r="Q13" s="5">
        <f t="shared" si="11"/>
        <v>2949353.7833264768</v>
      </c>
      <c r="R13" s="5">
        <f t="shared" si="9"/>
        <v>1060313.6448869593</v>
      </c>
      <c r="S13" s="5">
        <f t="shared" si="1"/>
        <v>80382217.058621556</v>
      </c>
      <c r="T13" s="177">
        <f t="shared" si="2"/>
        <v>7.352869954849528E-2</v>
      </c>
      <c r="U13" s="180">
        <f t="shared" si="10"/>
        <v>1.0285245330901751E-2</v>
      </c>
    </row>
    <row r="14" spans="1:21" ht="12.75" customHeight="1">
      <c r="A14" s="4" t="s">
        <v>8</v>
      </c>
      <c r="B14" s="5">
        <v>9614635.2259016</v>
      </c>
      <c r="C14" s="198">
        <v>1357131.2409818619</v>
      </c>
      <c r="D14" s="198">
        <v>353204.2596645439</v>
      </c>
      <c r="E14" s="198">
        <v>445440.2076220765</v>
      </c>
      <c r="F14" s="198">
        <v>37064.861455615079</v>
      </c>
      <c r="G14" s="198">
        <v>324702.88921892311</v>
      </c>
      <c r="H14" s="198">
        <v>60131.256125375949</v>
      </c>
      <c r="I14" s="5">
        <f t="shared" si="3"/>
        <v>12192309.940969996</v>
      </c>
      <c r="J14" s="5">
        <f t="shared" si="0"/>
        <v>12781198.511118848</v>
      </c>
      <c r="K14" s="5">
        <f>+'COEF Art 14 F I'!AP15</f>
        <v>10613333.10591488</v>
      </c>
      <c r="L14" s="5">
        <f t="shared" si="4"/>
        <v>-2167865.4052039683</v>
      </c>
      <c r="M14" s="177">
        <f t="shared" si="5"/>
        <v>-0.16961362452183654</v>
      </c>
      <c r="N14" s="5">
        <f t="shared" si="6"/>
        <v>12781198.511118848</v>
      </c>
      <c r="O14" s="5">
        <f t="shared" si="7"/>
        <v>2167865.4052039683</v>
      </c>
      <c r="P14" s="5">
        <f t="shared" si="8"/>
        <v>0</v>
      </c>
      <c r="Q14" s="5">
        <f t="shared" si="11"/>
        <v>0</v>
      </c>
      <c r="R14" s="5">
        <f t="shared" si="9"/>
        <v>0</v>
      </c>
      <c r="S14" s="5">
        <f t="shared" si="1"/>
        <v>12781198.511118848</v>
      </c>
      <c r="T14" s="177">
        <f t="shared" si="2"/>
        <v>4.8300000000000072E-2</v>
      </c>
      <c r="U14" s="180">
        <f t="shared" si="10"/>
        <v>1.6354085159649596E-3</v>
      </c>
    </row>
    <row r="15" spans="1:21" ht="12.75" customHeight="1">
      <c r="A15" s="4" t="s">
        <v>9</v>
      </c>
      <c r="B15" s="5">
        <v>95571355.506969333</v>
      </c>
      <c r="C15" s="198">
        <v>13490150.0945221</v>
      </c>
      <c r="D15" s="198">
        <v>3510919.4549614945</v>
      </c>
      <c r="E15" s="198">
        <v>4427762.8260988574</v>
      </c>
      <c r="F15" s="198">
        <v>368431.97560404323</v>
      </c>
      <c r="G15" s="198">
        <v>3227610.2556737154</v>
      </c>
      <c r="H15" s="198">
        <v>597716.45218085009</v>
      </c>
      <c r="I15" s="5">
        <f t="shared" si="3"/>
        <v>121193946.5660104</v>
      </c>
      <c r="J15" s="5">
        <f t="shared" si="0"/>
        <v>127047614.1851487</v>
      </c>
      <c r="K15" s="5">
        <f>+'COEF Art 14 F I'!AP16</f>
        <v>98166271.77287063</v>
      </c>
      <c r="L15" s="5">
        <f t="shared" si="4"/>
        <v>-28881342.412278071</v>
      </c>
      <c r="M15" s="177">
        <f t="shared" si="5"/>
        <v>-0.22732691674311009</v>
      </c>
      <c r="N15" s="5">
        <f t="shared" si="6"/>
        <v>127047614.1851487</v>
      </c>
      <c r="O15" s="5">
        <f t="shared" si="7"/>
        <v>28881342.412278071</v>
      </c>
      <c r="P15" s="5">
        <f t="shared" si="8"/>
        <v>0</v>
      </c>
      <c r="Q15" s="5">
        <f t="shared" si="11"/>
        <v>0</v>
      </c>
      <c r="R15" s="5">
        <f t="shared" si="9"/>
        <v>0</v>
      </c>
      <c r="S15" s="5">
        <f t="shared" si="1"/>
        <v>127047614.1851487</v>
      </c>
      <c r="T15" s="177">
        <f t="shared" si="2"/>
        <v>4.8299999999999982E-2</v>
      </c>
      <c r="U15" s="180">
        <f t="shared" si="10"/>
        <v>1.6256280660273893E-2</v>
      </c>
    </row>
    <row r="16" spans="1:21" ht="12.75" customHeight="1">
      <c r="A16" s="4" t="s">
        <v>10</v>
      </c>
      <c r="B16" s="5">
        <v>13653729.802358963</v>
      </c>
      <c r="C16" s="198">
        <v>1927260.1440757033</v>
      </c>
      <c r="D16" s="198">
        <v>501584.86652827612</v>
      </c>
      <c r="E16" s="198">
        <v>632569.00496796379</v>
      </c>
      <c r="F16" s="198">
        <v>52635.757008595327</v>
      </c>
      <c r="G16" s="198">
        <v>461110.11091684276</v>
      </c>
      <c r="H16" s="198">
        <v>85392.31125488026</v>
      </c>
      <c r="I16" s="5">
        <f t="shared" si="3"/>
        <v>17314281.997111224</v>
      </c>
      <c r="J16" s="5">
        <f t="shared" si="0"/>
        <v>18150561.817571696</v>
      </c>
      <c r="K16" s="5">
        <f>+'COEF Art 14 F I'!AP17</f>
        <v>22769268.49620036</v>
      </c>
      <c r="L16" s="5">
        <f t="shared" si="4"/>
        <v>4618706.6786286645</v>
      </c>
      <c r="M16" s="177">
        <f t="shared" si="5"/>
        <v>0.25446632038448858</v>
      </c>
      <c r="N16" s="5">
        <f t="shared" si="6"/>
        <v>0</v>
      </c>
      <c r="O16" s="5">
        <f t="shared" si="7"/>
        <v>0</v>
      </c>
      <c r="P16" s="5">
        <f t="shared" si="8"/>
        <v>22769268.49620036</v>
      </c>
      <c r="Q16" s="5">
        <f t="shared" si="11"/>
        <v>4618706.6786286645</v>
      </c>
      <c r="R16" s="5">
        <f t="shared" si="9"/>
        <v>1660457.8741167586</v>
      </c>
      <c r="S16" s="5">
        <f t="shared" si="1"/>
        <v>21108810.622083601</v>
      </c>
      <c r="T16" s="177">
        <f t="shared" si="2"/>
        <v>0.21915599073674955</v>
      </c>
      <c r="U16" s="180">
        <f t="shared" si="10"/>
        <v>2.7009617778188432E-3</v>
      </c>
    </row>
    <row r="17" spans="1:21" s="11" customFormat="1" ht="12.75" customHeight="1">
      <c r="A17" s="4" t="s">
        <v>11</v>
      </c>
      <c r="B17" s="5">
        <v>19976001.592748493</v>
      </c>
      <c r="C17" s="198">
        <v>2819665.5613501002</v>
      </c>
      <c r="D17" s="198">
        <v>733840.51374347787</v>
      </c>
      <c r="E17" s="198">
        <v>925476.01524834731</v>
      </c>
      <c r="F17" s="198">
        <v>77008.405839252242</v>
      </c>
      <c r="G17" s="198">
        <v>674624.18279911578</v>
      </c>
      <c r="H17" s="198">
        <v>124932.67190199086</v>
      </c>
      <c r="I17" s="5">
        <f t="shared" si="3"/>
        <v>25331548.943630777</v>
      </c>
      <c r="J17" s="5">
        <f t="shared" si="0"/>
        <v>26555062.757608145</v>
      </c>
      <c r="K17" s="5">
        <f>+'COEF Art 14 F I'!AP18</f>
        <v>32976532.250727057</v>
      </c>
      <c r="L17" s="5">
        <f t="shared" si="4"/>
        <v>6421469.493118912</v>
      </c>
      <c r="M17" s="177">
        <f t="shared" si="5"/>
        <v>0.24181714619669395</v>
      </c>
      <c r="N17" s="5">
        <f t="shared" si="6"/>
        <v>0</v>
      </c>
      <c r="O17" s="5">
        <f t="shared" si="7"/>
        <v>0</v>
      </c>
      <c r="P17" s="5">
        <f t="shared" si="8"/>
        <v>32976532.250727057</v>
      </c>
      <c r="Q17" s="5">
        <f t="shared" si="11"/>
        <v>6421469.493118912</v>
      </c>
      <c r="R17" s="5">
        <f t="shared" si="9"/>
        <v>2308563.9173812317</v>
      </c>
      <c r="S17" s="5">
        <f t="shared" si="1"/>
        <v>30667968.333345827</v>
      </c>
      <c r="T17" s="177">
        <f t="shared" si="2"/>
        <v>0.21066297215341856</v>
      </c>
      <c r="U17" s="180">
        <f t="shared" si="10"/>
        <v>3.9240965184967622E-3</v>
      </c>
    </row>
    <row r="18" spans="1:21" ht="12.75" customHeight="1">
      <c r="A18" s="4" t="s">
        <v>12</v>
      </c>
      <c r="B18" s="5">
        <v>48519433.955937073</v>
      </c>
      <c r="C18" s="198">
        <v>6848646.6796959136</v>
      </c>
      <c r="D18" s="198">
        <v>1782415.073177408</v>
      </c>
      <c r="E18" s="198">
        <v>2247875.8920374489</v>
      </c>
      <c r="F18" s="198">
        <v>187044.65174476066</v>
      </c>
      <c r="G18" s="198">
        <v>1638585.346048024</v>
      </c>
      <c r="H18" s="198">
        <v>303447.23868493165</v>
      </c>
      <c r="I18" s="5">
        <f t="shared" si="3"/>
        <v>61527448.837325558</v>
      </c>
      <c r="J18" s="5">
        <f t="shared" si="0"/>
        <v>64499224.61616838</v>
      </c>
      <c r="K18" s="5">
        <f>+'COEF Art 14 F I'!AP19</f>
        <v>55210638.315656088</v>
      </c>
      <c r="L18" s="5">
        <f t="shared" si="4"/>
        <v>-9288586.3005122915</v>
      </c>
      <c r="M18" s="177">
        <f t="shared" si="5"/>
        <v>-0.14401082114999364</v>
      </c>
      <c r="N18" s="5">
        <f t="shared" si="6"/>
        <v>64499224.61616838</v>
      </c>
      <c r="O18" s="5">
        <f t="shared" si="7"/>
        <v>9288586.3005122915</v>
      </c>
      <c r="P18" s="5">
        <f t="shared" si="8"/>
        <v>0</v>
      </c>
      <c r="Q18" s="5">
        <f t="shared" si="11"/>
        <v>0</v>
      </c>
      <c r="R18" s="5">
        <f t="shared" si="9"/>
        <v>0</v>
      </c>
      <c r="S18" s="5">
        <f t="shared" si="1"/>
        <v>64499224.61616838</v>
      </c>
      <c r="T18" s="177">
        <f t="shared" si="2"/>
        <v>4.8299999999999954E-2</v>
      </c>
      <c r="U18" s="180">
        <f t="shared" si="10"/>
        <v>8.2529491360810361E-3</v>
      </c>
    </row>
    <row r="19" spans="1:21" ht="12.75" customHeight="1">
      <c r="A19" s="4" t="s">
        <v>13</v>
      </c>
      <c r="B19" s="5">
        <v>24687151.460771684</v>
      </c>
      <c r="C19" s="198">
        <v>3484656.8497997792</v>
      </c>
      <c r="D19" s="198">
        <v>906909.815095003</v>
      </c>
      <c r="E19" s="198">
        <v>1143740.7258737253</v>
      </c>
      <c r="F19" s="198">
        <v>95170.105482757135</v>
      </c>
      <c r="G19" s="198">
        <v>833727.87605117215</v>
      </c>
      <c r="H19" s="198">
        <v>154396.85361067939</v>
      </c>
      <c r="I19" s="5">
        <f t="shared" si="3"/>
        <v>31305753.686684798</v>
      </c>
      <c r="J19" s="5">
        <f t="shared" si="0"/>
        <v>32817821.589751676</v>
      </c>
      <c r="K19" s="5">
        <f>+'COEF Art 14 F I'!AP20</f>
        <v>30216809.943935648</v>
      </c>
      <c r="L19" s="5">
        <f t="shared" si="4"/>
        <v>-2601011.6458160281</v>
      </c>
      <c r="M19" s="177">
        <f t="shared" si="5"/>
        <v>-7.9256072457541488E-2</v>
      </c>
      <c r="N19" s="5">
        <f t="shared" si="6"/>
        <v>32817821.589751676</v>
      </c>
      <c r="O19" s="5">
        <f t="shared" si="7"/>
        <v>2601011.6458160281</v>
      </c>
      <c r="P19" s="5">
        <f t="shared" si="8"/>
        <v>0</v>
      </c>
      <c r="Q19" s="5">
        <f t="shared" si="11"/>
        <v>0</v>
      </c>
      <c r="R19" s="5">
        <f t="shared" si="9"/>
        <v>0</v>
      </c>
      <c r="S19" s="5">
        <f t="shared" si="1"/>
        <v>32817821.589751676</v>
      </c>
      <c r="T19" s="177">
        <f t="shared" si="2"/>
        <v>4.8300000000000051E-2</v>
      </c>
      <c r="U19" s="180">
        <f t="shared" si="10"/>
        <v>4.1991793536896062E-3</v>
      </c>
    </row>
    <row r="20" spans="1:21" ht="12.75" customHeight="1">
      <c r="A20" s="4" t="s">
        <v>14</v>
      </c>
      <c r="B20" s="5">
        <v>129251977.08819351</v>
      </c>
      <c r="C20" s="198">
        <v>18244259.084576715</v>
      </c>
      <c r="D20" s="198">
        <v>4748214.3425108716</v>
      </c>
      <c r="E20" s="198">
        <v>5988165.5577144232</v>
      </c>
      <c r="F20" s="198">
        <v>498272.3224624148</v>
      </c>
      <c r="G20" s="198">
        <v>4365063.1991389329</v>
      </c>
      <c r="H20" s="198">
        <v>808359.70958781976</v>
      </c>
      <c r="I20" s="5">
        <f t="shared" si="3"/>
        <v>163904311.30418471</v>
      </c>
      <c r="J20" s="5">
        <f t="shared" si="0"/>
        <v>171820889.54017684</v>
      </c>
      <c r="K20" s="5">
        <f>+'COEF Art 14 F I'!AP21</f>
        <v>184209091.23301634</v>
      </c>
      <c r="L20" s="5">
        <f t="shared" si="4"/>
        <v>12388201.692839503</v>
      </c>
      <c r="M20" s="177">
        <f t="shared" si="5"/>
        <v>7.2099508540507076E-2</v>
      </c>
      <c r="N20" s="5">
        <f t="shared" si="6"/>
        <v>0</v>
      </c>
      <c r="O20" s="5">
        <f t="shared" si="7"/>
        <v>0</v>
      </c>
      <c r="P20" s="5">
        <f t="shared" si="8"/>
        <v>184209091.23301634</v>
      </c>
      <c r="Q20" s="5">
        <f t="shared" si="11"/>
        <v>12388201.692839503</v>
      </c>
      <c r="R20" s="5">
        <f t="shared" si="9"/>
        <v>4453646.5461645974</v>
      </c>
      <c r="S20" s="5">
        <f t="shared" si="1"/>
        <v>179755444.68685174</v>
      </c>
      <c r="T20" s="177">
        <f t="shared" si="2"/>
        <v>9.6709679303367616E-2</v>
      </c>
      <c r="U20" s="180">
        <f t="shared" si="10"/>
        <v>2.3000470947713302E-2</v>
      </c>
    </row>
    <row r="21" spans="1:21" ht="12.75" customHeight="1">
      <c r="A21" s="4" t="s">
        <v>15</v>
      </c>
      <c r="B21" s="5">
        <v>16327622.596552014</v>
      </c>
      <c r="C21" s="198">
        <v>2304687.19780913</v>
      </c>
      <c r="D21" s="198">
        <v>599813.27588639664</v>
      </c>
      <c r="E21" s="198">
        <v>756448.83331509889</v>
      </c>
      <c r="F21" s="198">
        <v>62943.736836790253</v>
      </c>
      <c r="G21" s="198">
        <v>551412.10317407991</v>
      </c>
      <c r="H21" s="198">
        <v>102115.20595466773</v>
      </c>
      <c r="I21" s="5">
        <f t="shared" si="3"/>
        <v>20705042.94952818</v>
      </c>
      <c r="J21" s="5">
        <f t="shared" si="0"/>
        <v>21705096.523990393</v>
      </c>
      <c r="K21" s="5">
        <f>+'COEF Art 14 F I'!AP22</f>
        <v>23645210.423892785</v>
      </c>
      <c r="L21" s="5">
        <f t="shared" si="4"/>
        <v>1940113.8999023922</v>
      </c>
      <c r="M21" s="177">
        <f t="shared" si="5"/>
        <v>8.9385177244340128E-2</v>
      </c>
      <c r="N21" s="5">
        <f t="shared" si="6"/>
        <v>0</v>
      </c>
      <c r="O21" s="5">
        <f t="shared" si="7"/>
        <v>0</v>
      </c>
      <c r="P21" s="5">
        <f t="shared" si="8"/>
        <v>23645210.423892785</v>
      </c>
      <c r="Q21" s="5">
        <f t="shared" si="11"/>
        <v>1940113.8999023922</v>
      </c>
      <c r="R21" s="5">
        <f t="shared" si="9"/>
        <v>697484.73456486862</v>
      </c>
      <c r="S21" s="5">
        <f t="shared" si="1"/>
        <v>22947725.689327918</v>
      </c>
      <c r="T21" s="177">
        <f t="shared" si="2"/>
        <v>0.1083157733730199</v>
      </c>
      <c r="U21" s="180">
        <f t="shared" si="10"/>
        <v>2.9362587539585538E-3</v>
      </c>
    </row>
    <row r="22" spans="1:21" ht="12.75" customHeight="1">
      <c r="A22" s="4" t="s">
        <v>16</v>
      </c>
      <c r="B22" s="5">
        <v>12021064.558850277</v>
      </c>
      <c r="C22" s="198">
        <v>1696805.1183809435</v>
      </c>
      <c r="D22" s="198">
        <v>441607.10293512425</v>
      </c>
      <c r="E22" s="198">
        <v>556928.61633557442</v>
      </c>
      <c r="F22" s="198">
        <v>46341.757326628933</v>
      </c>
      <c r="G22" s="198">
        <v>405972.1770026756</v>
      </c>
      <c r="H22" s="198">
        <v>75181.397411790167</v>
      </c>
      <c r="I22" s="5">
        <f t="shared" si="3"/>
        <v>15243900.728243014</v>
      </c>
      <c r="J22" s="5">
        <f t="shared" si="0"/>
        <v>15980181.133417152</v>
      </c>
      <c r="K22" s="5">
        <f>+'COEF Art 14 F I'!AP23</f>
        <v>8822284.1173788533</v>
      </c>
      <c r="L22" s="5">
        <f t="shared" si="4"/>
        <v>-7157897.0160382986</v>
      </c>
      <c r="M22" s="177">
        <f t="shared" si="5"/>
        <v>-0.44792339688002497</v>
      </c>
      <c r="N22" s="5">
        <f t="shared" si="6"/>
        <v>15980181.133417152</v>
      </c>
      <c r="O22" s="5">
        <f t="shared" si="7"/>
        <v>7157897.0160382986</v>
      </c>
      <c r="P22" s="5">
        <f t="shared" si="8"/>
        <v>0</v>
      </c>
      <c r="Q22" s="5">
        <f t="shared" si="11"/>
        <v>0</v>
      </c>
      <c r="R22" s="5">
        <f t="shared" si="9"/>
        <v>0</v>
      </c>
      <c r="S22" s="5">
        <f t="shared" si="1"/>
        <v>15980181.133417152</v>
      </c>
      <c r="T22" s="177">
        <f t="shared" si="2"/>
        <v>4.830000000000003E-2</v>
      </c>
      <c r="U22" s="180">
        <f t="shared" si="10"/>
        <v>2.0447318997133114E-3</v>
      </c>
    </row>
    <row r="23" spans="1:21" ht="12.75" customHeight="1">
      <c r="A23" s="4" t="s">
        <v>17</v>
      </c>
      <c r="B23" s="5">
        <v>105426348.73077556</v>
      </c>
      <c r="C23" s="198">
        <v>14881208.50385846</v>
      </c>
      <c r="D23" s="198">
        <v>3872953.5315363719</v>
      </c>
      <c r="E23" s="198">
        <v>4884338.6737087974</v>
      </c>
      <c r="F23" s="198">
        <v>406423.42820771184</v>
      </c>
      <c r="G23" s="198">
        <v>3560430.4509092262</v>
      </c>
      <c r="H23" s="198">
        <v>659350.94040959794</v>
      </c>
      <c r="I23" s="5">
        <f t="shared" si="3"/>
        <v>133691054.25940573</v>
      </c>
      <c r="J23" s="5">
        <f t="shared" si="0"/>
        <v>140148332.18013504</v>
      </c>
      <c r="K23" s="5">
        <f>+'COEF Art 14 F I'!AP24</f>
        <v>137014384.22906631</v>
      </c>
      <c r="L23" s="5">
        <f t="shared" si="4"/>
        <v>-3133947.9510687292</v>
      </c>
      <c r="M23" s="177">
        <f t="shared" si="5"/>
        <v>-2.236164999124365E-2</v>
      </c>
      <c r="N23" s="5">
        <f t="shared" si="6"/>
        <v>140148332.18013504</v>
      </c>
      <c r="O23" s="5">
        <f t="shared" si="7"/>
        <v>3133947.9510687292</v>
      </c>
      <c r="P23" s="5">
        <f t="shared" si="8"/>
        <v>0</v>
      </c>
      <c r="Q23" s="5">
        <f t="shared" si="11"/>
        <v>0</v>
      </c>
      <c r="R23" s="5">
        <f t="shared" si="9"/>
        <v>0</v>
      </c>
      <c r="S23" s="5">
        <f t="shared" si="1"/>
        <v>140148332.18013504</v>
      </c>
      <c r="T23" s="177">
        <f t="shared" si="2"/>
        <v>4.8300000000000093E-2</v>
      </c>
      <c r="U23" s="180">
        <f t="shared" si="10"/>
        <v>1.7932573048316969E-2</v>
      </c>
    </row>
    <row r="24" spans="1:21" ht="12.75" customHeight="1">
      <c r="A24" s="4" t="s">
        <v>18</v>
      </c>
      <c r="B24" s="5">
        <v>113489960.67171809</v>
      </c>
      <c r="C24" s="198">
        <v>16019408.697944999</v>
      </c>
      <c r="D24" s="198">
        <v>4169179.2352610994</v>
      </c>
      <c r="E24" s="198">
        <v>5257920.9150282089</v>
      </c>
      <c r="F24" s="198">
        <v>437509.02349046944</v>
      </c>
      <c r="G24" s="198">
        <v>3832752.5965930833</v>
      </c>
      <c r="H24" s="198">
        <v>709781.88277251832</v>
      </c>
      <c r="I24" s="5">
        <f t="shared" si="3"/>
        <v>143916513.02280843</v>
      </c>
      <c r="J24" s="5">
        <f t="shared" si="0"/>
        <v>150867680.60181007</v>
      </c>
      <c r="K24" s="5">
        <f>+'COEF Art 14 F I'!AP25</f>
        <v>183700303.04863766</v>
      </c>
      <c r="L24" s="5">
        <f t="shared" si="4"/>
        <v>32832622.44682759</v>
      </c>
      <c r="M24" s="177">
        <f t="shared" si="5"/>
        <v>0.21762528803954898</v>
      </c>
      <c r="N24" s="5">
        <f t="shared" si="6"/>
        <v>0</v>
      </c>
      <c r="O24" s="5">
        <f t="shared" si="7"/>
        <v>0</v>
      </c>
      <c r="P24" s="5">
        <f t="shared" si="8"/>
        <v>183700303.04863766</v>
      </c>
      <c r="Q24" s="5">
        <f t="shared" si="11"/>
        <v>32832622.44682759</v>
      </c>
      <c r="R24" s="5">
        <f t="shared" si="9"/>
        <v>11803561.096874883</v>
      </c>
      <c r="S24" s="5">
        <f t="shared" si="1"/>
        <v>171896741.95176277</v>
      </c>
      <c r="T24" s="177">
        <f t="shared" si="2"/>
        <v>0.19441986427589392</v>
      </c>
      <c r="U24" s="180">
        <f t="shared" si="10"/>
        <v>2.1994916627731415E-2</v>
      </c>
    </row>
    <row r="25" spans="1:21" ht="12.75" customHeight="1">
      <c r="A25" s="4" t="s">
        <v>19</v>
      </c>
      <c r="B25" s="5">
        <v>20262980.828679498</v>
      </c>
      <c r="C25" s="198">
        <v>2860173.4409990315</v>
      </c>
      <c r="D25" s="198">
        <v>744383.01339918515</v>
      </c>
      <c r="E25" s="198">
        <v>938771.58886417933</v>
      </c>
      <c r="F25" s="198">
        <v>78114.724006324599</v>
      </c>
      <c r="G25" s="198">
        <v>684315.96879879571</v>
      </c>
      <c r="H25" s="198">
        <v>126727.47966459139</v>
      </c>
      <c r="I25" s="5">
        <f t="shared" si="3"/>
        <v>25695467.044411603</v>
      </c>
      <c r="J25" s="5">
        <f t="shared" si="0"/>
        <v>26936558.102656685</v>
      </c>
      <c r="K25" s="5">
        <f>+'COEF Art 14 F I'!AP26</f>
        <v>21282685.725982197</v>
      </c>
      <c r="L25" s="5">
        <f t="shared" si="4"/>
        <v>-5653872.3766744882</v>
      </c>
      <c r="M25" s="177">
        <f t="shared" si="5"/>
        <v>-0.20989587292954331</v>
      </c>
      <c r="N25" s="5">
        <f t="shared" si="6"/>
        <v>26936558.102656685</v>
      </c>
      <c r="O25" s="5">
        <f t="shared" si="7"/>
        <v>5653872.3766744882</v>
      </c>
      <c r="P25" s="5">
        <f t="shared" si="8"/>
        <v>0</v>
      </c>
      <c r="Q25" s="5">
        <f t="shared" si="11"/>
        <v>0</v>
      </c>
      <c r="R25" s="5">
        <f t="shared" si="9"/>
        <v>0</v>
      </c>
      <c r="S25" s="5">
        <f t="shared" si="1"/>
        <v>26936558.102656685</v>
      </c>
      <c r="T25" s="177">
        <f t="shared" si="2"/>
        <v>4.8300000000000037E-2</v>
      </c>
      <c r="U25" s="180">
        <f t="shared" si="10"/>
        <v>3.4466467658370954E-3</v>
      </c>
    </row>
    <row r="26" spans="1:21" ht="12.75" customHeight="1">
      <c r="A26" s="4" t="s">
        <v>20</v>
      </c>
      <c r="B26" s="5">
        <v>276982955.19764858</v>
      </c>
      <c r="C26" s="198">
        <v>39096878.132776573</v>
      </c>
      <c r="D26" s="198">
        <v>10175275.226956585</v>
      </c>
      <c r="E26" s="198">
        <v>12832452.003862159</v>
      </c>
      <c r="F26" s="198">
        <v>1067782.0446388081</v>
      </c>
      <c r="G26" s="198">
        <v>9354194.2781782262</v>
      </c>
      <c r="H26" s="198">
        <v>1732289.6428236314</v>
      </c>
      <c r="I26" s="5">
        <f t="shared" si="3"/>
        <v>351241826.52688456</v>
      </c>
      <c r="J26" s="5">
        <f t="shared" si="0"/>
        <v>368206806.74813306</v>
      </c>
      <c r="K26" s="5">
        <f>+'COEF Art 14 F I'!AP27</f>
        <v>357223623.851722</v>
      </c>
      <c r="L26" s="5">
        <f t="shared" si="4"/>
        <v>-10983182.896411061</v>
      </c>
      <c r="M26" s="177">
        <f t="shared" si="5"/>
        <v>-2.9828842637132345E-2</v>
      </c>
      <c r="N26" s="5">
        <f t="shared" si="6"/>
        <v>368206806.74813306</v>
      </c>
      <c r="O26" s="5">
        <f t="shared" si="7"/>
        <v>10983182.896411061</v>
      </c>
      <c r="P26" s="5">
        <f t="shared" si="8"/>
        <v>0</v>
      </c>
      <c r="Q26" s="5">
        <f t="shared" si="11"/>
        <v>0</v>
      </c>
      <c r="R26" s="5">
        <f t="shared" si="9"/>
        <v>0</v>
      </c>
      <c r="S26" s="5">
        <f t="shared" si="1"/>
        <v>368206806.74813306</v>
      </c>
      <c r="T26" s="177">
        <f t="shared" si="2"/>
        <v>4.8299999999999954E-2</v>
      </c>
      <c r="U26" s="180">
        <f t="shared" si="10"/>
        <v>4.7113621376611264E-2</v>
      </c>
    </row>
    <row r="27" spans="1:21" s="11" customFormat="1" ht="12.75" customHeight="1">
      <c r="A27" s="4" t="s">
        <v>21</v>
      </c>
      <c r="B27" s="5">
        <v>40895486.4857333</v>
      </c>
      <c r="C27" s="198">
        <v>5772506.2907662932</v>
      </c>
      <c r="D27" s="198">
        <v>1502340.9300960016</v>
      </c>
      <c r="E27" s="198">
        <v>1894663.0384828388</v>
      </c>
      <c r="F27" s="198">
        <v>157653.98323903049</v>
      </c>
      <c r="G27" s="198">
        <v>1381111.4312644987</v>
      </c>
      <c r="H27" s="198">
        <v>255766.01862343462</v>
      </c>
      <c r="I27" s="5">
        <f t="shared" si="3"/>
        <v>51859528.178205393</v>
      </c>
      <c r="J27" s="5">
        <f t="shared" si="0"/>
        <v>54364343.389212713</v>
      </c>
      <c r="K27" s="5">
        <f>+'COEF Art 14 F I'!AP28</f>
        <v>49537369.567854956</v>
      </c>
      <c r="L27" s="5">
        <f t="shared" si="4"/>
        <v>-4826973.8213577569</v>
      </c>
      <c r="M27" s="177">
        <f t="shared" si="5"/>
        <v>-8.8789333604193832E-2</v>
      </c>
      <c r="N27" s="5">
        <f t="shared" si="6"/>
        <v>54364343.389212713</v>
      </c>
      <c r="O27" s="5">
        <f t="shared" si="7"/>
        <v>4826973.8213577569</v>
      </c>
      <c r="P27" s="5">
        <f t="shared" si="8"/>
        <v>0</v>
      </c>
      <c r="Q27" s="5">
        <f t="shared" si="11"/>
        <v>0</v>
      </c>
      <c r="R27" s="5">
        <f t="shared" si="9"/>
        <v>0</v>
      </c>
      <c r="S27" s="5">
        <f t="shared" si="1"/>
        <v>54364343.389212713</v>
      </c>
      <c r="T27" s="177">
        <f t="shared" si="2"/>
        <v>4.8299999999999982E-2</v>
      </c>
      <c r="U27" s="180">
        <f t="shared" si="10"/>
        <v>6.9561481316652322E-3</v>
      </c>
    </row>
    <row r="28" spans="1:21" ht="12.75" customHeight="1">
      <c r="A28" s="4" t="s">
        <v>22</v>
      </c>
      <c r="B28" s="5">
        <v>6559653.4378309054</v>
      </c>
      <c r="C28" s="198">
        <v>925912.46587408532</v>
      </c>
      <c r="D28" s="198">
        <v>240976.1245984016</v>
      </c>
      <c r="E28" s="198">
        <v>303904.75775977928</v>
      </c>
      <c r="F28" s="198">
        <v>25287.766010618696</v>
      </c>
      <c r="G28" s="198">
        <v>221530.8613893674</v>
      </c>
      <c r="H28" s="198">
        <v>41024.978243719575</v>
      </c>
      <c r="I28" s="5">
        <f t="shared" si="3"/>
        <v>8318290.3917068783</v>
      </c>
      <c r="J28" s="5">
        <f t="shared" si="0"/>
        <v>8720063.8176263198</v>
      </c>
      <c r="K28" s="5">
        <f>+'COEF Art 14 F I'!AP29</f>
        <v>4127890.2284198962</v>
      </c>
      <c r="L28" s="5">
        <f t="shared" si="4"/>
        <v>-4592173.5892064236</v>
      </c>
      <c r="M28" s="177">
        <f t="shared" si="5"/>
        <v>-0.52662155750787321</v>
      </c>
      <c r="N28" s="5">
        <f t="shared" si="6"/>
        <v>8720063.8176263198</v>
      </c>
      <c r="O28" s="5">
        <f t="shared" si="7"/>
        <v>4592173.5892064236</v>
      </c>
      <c r="P28" s="5">
        <f t="shared" si="8"/>
        <v>0</v>
      </c>
      <c r="Q28" s="5">
        <f t="shared" si="11"/>
        <v>0</v>
      </c>
      <c r="R28" s="5">
        <f t="shared" si="9"/>
        <v>0</v>
      </c>
      <c r="S28" s="5">
        <f t="shared" si="1"/>
        <v>8720063.8176263198</v>
      </c>
      <c r="T28" s="177">
        <f t="shared" si="2"/>
        <v>4.8299999999999912E-2</v>
      </c>
      <c r="U28" s="180">
        <f t="shared" si="10"/>
        <v>1.1157691209238267E-3</v>
      </c>
    </row>
    <row r="29" spans="1:21" ht="12.75" customHeight="1">
      <c r="A29" s="4" t="s">
        <v>23</v>
      </c>
      <c r="B29" s="5">
        <v>30017232.489574715</v>
      </c>
      <c r="C29" s="198">
        <v>4237011.9117647037</v>
      </c>
      <c r="D29" s="198">
        <v>1102716.2372314048</v>
      </c>
      <c r="E29" s="198">
        <v>1390680.1410806994</v>
      </c>
      <c r="F29" s="198">
        <v>115717.81324680921</v>
      </c>
      <c r="G29" s="198">
        <v>1013733.9469170612</v>
      </c>
      <c r="H29" s="198">
        <v>187731.9162502407</v>
      </c>
      <c r="I29" s="5">
        <f t="shared" si="3"/>
        <v>38064824.45606564</v>
      </c>
      <c r="J29" s="5">
        <f t="shared" si="0"/>
        <v>39903355.477293611</v>
      </c>
      <c r="K29" s="5">
        <f>+'COEF Art 14 F I'!AP30</f>
        <v>40651506.680085137</v>
      </c>
      <c r="L29" s="5">
        <f t="shared" si="4"/>
        <v>748151.20279152691</v>
      </c>
      <c r="M29" s="177">
        <f t="shared" si="5"/>
        <v>1.8749079966902803E-2</v>
      </c>
      <c r="N29" s="5">
        <f t="shared" si="6"/>
        <v>0</v>
      </c>
      <c r="O29" s="5">
        <f t="shared" si="7"/>
        <v>0</v>
      </c>
      <c r="P29" s="5">
        <f t="shared" si="8"/>
        <v>40651506.680085137</v>
      </c>
      <c r="Q29" s="5">
        <f t="shared" si="11"/>
        <v>748151.20279152691</v>
      </c>
      <c r="R29" s="5">
        <f t="shared" si="9"/>
        <v>268965.67419041146</v>
      </c>
      <c r="S29" s="5">
        <f t="shared" si="1"/>
        <v>40382541.005894728</v>
      </c>
      <c r="T29" s="177">
        <f t="shared" si="2"/>
        <v>6.0888670391852008E-2</v>
      </c>
      <c r="U29" s="180">
        <f t="shared" si="10"/>
        <v>5.1671172621168531E-3</v>
      </c>
    </row>
    <row r="30" spans="1:21" ht="12.75" customHeight="1">
      <c r="A30" s="4" t="s">
        <v>24</v>
      </c>
      <c r="B30" s="5">
        <v>28912782.89665971</v>
      </c>
      <c r="C30" s="198">
        <v>4081115.9249261506</v>
      </c>
      <c r="D30" s="198">
        <v>1062143.0598162662</v>
      </c>
      <c r="E30" s="198">
        <v>1339511.6625667326</v>
      </c>
      <c r="F30" s="198">
        <v>111460.10921703762</v>
      </c>
      <c r="G30" s="198">
        <v>976434.77067269804</v>
      </c>
      <c r="H30" s="198">
        <v>180824.5360128473</v>
      </c>
      <c r="I30" s="5">
        <f t="shared" si="3"/>
        <v>36664272.959871449</v>
      </c>
      <c r="J30" s="5">
        <f t="shared" si="0"/>
        <v>38435157.343833238</v>
      </c>
      <c r="K30" s="5">
        <f>+'COEF Art 14 F I'!AP31</f>
        <v>39859927.573302142</v>
      </c>
      <c r="L30" s="5">
        <f t="shared" si="4"/>
        <v>1424770.2294689044</v>
      </c>
      <c r="M30" s="177">
        <f t="shared" si="5"/>
        <v>3.7069452239344165E-2</v>
      </c>
      <c r="N30" s="5">
        <f t="shared" si="6"/>
        <v>0</v>
      </c>
      <c r="O30" s="5">
        <f t="shared" si="7"/>
        <v>0</v>
      </c>
      <c r="P30" s="5">
        <f t="shared" si="8"/>
        <v>39859927.573302142</v>
      </c>
      <c r="Q30" s="5">
        <f t="shared" si="11"/>
        <v>1424770.2294689044</v>
      </c>
      <c r="R30" s="5">
        <f t="shared" si="9"/>
        <v>512215.02271956403</v>
      </c>
      <c r="S30" s="5">
        <f t="shared" si="1"/>
        <v>39347712.55058258</v>
      </c>
      <c r="T30" s="177">
        <f t="shared" si="2"/>
        <v>7.3189494133652125E-2</v>
      </c>
      <c r="U30" s="180">
        <f t="shared" si="10"/>
        <v>5.0347065756770728E-3</v>
      </c>
    </row>
    <row r="31" spans="1:21" ht="12.75" customHeight="1">
      <c r="A31" s="4" t="s">
        <v>25</v>
      </c>
      <c r="B31" s="5">
        <v>466191870.11476332</v>
      </c>
      <c r="C31" s="198">
        <v>65804217.878185242</v>
      </c>
      <c r="D31" s="198">
        <v>17126073.998306401</v>
      </c>
      <c r="E31" s="198">
        <v>21598386.057976648</v>
      </c>
      <c r="F31" s="198">
        <v>1797191.122861081</v>
      </c>
      <c r="G31" s="198">
        <v>15744107.144994853</v>
      </c>
      <c r="H31" s="198">
        <v>2915628.3194103278</v>
      </c>
      <c r="I31" s="5">
        <f t="shared" si="3"/>
        <v>591177474.63649774</v>
      </c>
      <c r="J31" s="5">
        <f t="shared" si="0"/>
        <v>619731346.66144061</v>
      </c>
      <c r="K31" s="5">
        <f>+'COEF Art 14 F I'!AP32</f>
        <v>635372643.01853979</v>
      </c>
      <c r="L31" s="5">
        <f t="shared" si="4"/>
        <v>15641296.357099175</v>
      </c>
      <c r="M31" s="177">
        <f t="shared" si="5"/>
        <v>2.5238833635510806E-2</v>
      </c>
      <c r="N31" s="5">
        <f t="shared" si="6"/>
        <v>0</v>
      </c>
      <c r="O31" s="5">
        <f t="shared" si="7"/>
        <v>0</v>
      </c>
      <c r="P31" s="5">
        <f t="shared" si="8"/>
        <v>635372643.01853979</v>
      </c>
      <c r="Q31" s="5">
        <f t="shared" si="11"/>
        <v>15641296.357099175</v>
      </c>
      <c r="R31" s="5">
        <f t="shared" si="9"/>
        <v>5623157.1963020461</v>
      </c>
      <c r="S31" s="5">
        <f t="shared" si="1"/>
        <v>629749485.82223773</v>
      </c>
      <c r="T31" s="177">
        <f t="shared" si="2"/>
        <v>6.5246077262089683E-2</v>
      </c>
      <c r="U31" s="180">
        <f t="shared" si="10"/>
        <v>8.0579115576860441E-2</v>
      </c>
    </row>
    <row r="32" spans="1:21" ht="12.75" customHeight="1">
      <c r="A32" s="4" t="s">
        <v>26</v>
      </c>
      <c r="B32" s="5">
        <v>12198301.467330018</v>
      </c>
      <c r="C32" s="198">
        <v>1721822.5776918184</v>
      </c>
      <c r="D32" s="198">
        <v>448118.09680789994</v>
      </c>
      <c r="E32" s="198">
        <v>565139.89460631157</v>
      </c>
      <c r="F32" s="198">
        <v>47025.013768841702</v>
      </c>
      <c r="G32" s="198">
        <v>411957.77447022841</v>
      </c>
      <c r="H32" s="198">
        <v>76289.86150723022</v>
      </c>
      <c r="I32" s="5">
        <f t="shared" si="3"/>
        <v>15468654.686182348</v>
      </c>
      <c r="J32" s="5">
        <f t="shared" si="0"/>
        <v>16215790.707524955</v>
      </c>
      <c r="K32" s="5">
        <f>+'COEF Art 14 F I'!AP33</f>
        <v>10765658.925583465</v>
      </c>
      <c r="L32" s="5">
        <f t="shared" si="4"/>
        <v>-5450131.7819414902</v>
      </c>
      <c r="M32" s="177">
        <f t="shared" si="5"/>
        <v>-0.33610027905776746</v>
      </c>
      <c r="N32" s="5">
        <f t="shared" si="6"/>
        <v>16215790.707524955</v>
      </c>
      <c r="O32" s="5">
        <f t="shared" si="7"/>
        <v>5450131.7819414902</v>
      </c>
      <c r="P32" s="5">
        <f t="shared" si="8"/>
        <v>0</v>
      </c>
      <c r="Q32" s="5">
        <f t="shared" si="11"/>
        <v>0</v>
      </c>
      <c r="R32" s="5">
        <f t="shared" si="9"/>
        <v>0</v>
      </c>
      <c r="S32" s="5">
        <f t="shared" si="1"/>
        <v>16215790.707524955</v>
      </c>
      <c r="T32" s="177">
        <f t="shared" si="2"/>
        <v>4.8299999999999989E-2</v>
      </c>
      <c r="U32" s="180">
        <f t="shared" si="10"/>
        <v>2.0748791432291351E-3</v>
      </c>
    </row>
    <row r="33" spans="1:21" ht="12.75" customHeight="1">
      <c r="A33" s="4" t="s">
        <v>27</v>
      </c>
      <c r="B33" s="5">
        <v>20997489.676431384</v>
      </c>
      <c r="C33" s="198">
        <v>2963851.3113124319</v>
      </c>
      <c r="D33" s="198">
        <v>771366.00835341483</v>
      </c>
      <c r="E33" s="198">
        <v>972800.9374515739</v>
      </c>
      <c r="F33" s="198">
        <v>80946.289431345125</v>
      </c>
      <c r="G33" s="198">
        <v>709121.60514570505</v>
      </c>
      <c r="H33" s="198">
        <v>131321.19940671316</v>
      </c>
      <c r="I33" s="5">
        <f t="shared" si="3"/>
        <v>26626897.02753257</v>
      </c>
      <c r="J33" s="5">
        <f t="shared" si="0"/>
        <v>27912976.153962392</v>
      </c>
      <c r="K33" s="5">
        <f>+'COEF Art 14 F I'!AP34</f>
        <v>25155545.494317338</v>
      </c>
      <c r="L33" s="5">
        <f t="shared" si="4"/>
        <v>-2757430.6596450545</v>
      </c>
      <c r="M33" s="177">
        <f t="shared" si="5"/>
        <v>-9.8786694920513618E-2</v>
      </c>
      <c r="N33" s="5">
        <f t="shared" si="6"/>
        <v>27912976.153962392</v>
      </c>
      <c r="O33" s="5">
        <f t="shared" si="7"/>
        <v>2757430.6596450545</v>
      </c>
      <c r="P33" s="5">
        <f t="shared" si="8"/>
        <v>0</v>
      </c>
      <c r="Q33" s="5">
        <f t="shared" si="11"/>
        <v>0</v>
      </c>
      <c r="R33" s="5">
        <f t="shared" si="9"/>
        <v>0</v>
      </c>
      <c r="S33" s="5">
        <f t="shared" si="1"/>
        <v>27912976.153962392</v>
      </c>
      <c r="T33" s="177">
        <f t="shared" si="2"/>
        <v>4.8299999999999968E-2</v>
      </c>
      <c r="U33" s="180">
        <f t="shared" si="10"/>
        <v>3.5715835935421119E-3</v>
      </c>
    </row>
    <row r="34" spans="1:21" ht="12.75" customHeight="1">
      <c r="A34" s="4" t="s">
        <v>28</v>
      </c>
      <c r="B34" s="5">
        <v>11471401.74041779</v>
      </c>
      <c r="C34" s="198">
        <v>1619218.7549490104</v>
      </c>
      <c r="D34" s="198">
        <v>421414.63132433518</v>
      </c>
      <c r="E34" s="198">
        <v>531463.07196372247</v>
      </c>
      <c r="F34" s="198">
        <v>44222.781854991714</v>
      </c>
      <c r="G34" s="198">
        <v>387409.11131633562</v>
      </c>
      <c r="H34" s="198">
        <v>71743.730257389965</v>
      </c>
      <c r="I34" s="5">
        <f t="shared" si="3"/>
        <v>14546873.822083576</v>
      </c>
      <c r="J34" s="5">
        <f t="shared" si="0"/>
        <v>15249487.827690212</v>
      </c>
      <c r="K34" s="5">
        <f>+'COEF Art 14 F I'!AP35</f>
        <v>16452366.789087586</v>
      </c>
      <c r="L34" s="5">
        <f t="shared" si="4"/>
        <v>1202878.961397374</v>
      </c>
      <c r="M34" s="177">
        <f t="shared" si="5"/>
        <v>7.8879958132965708E-2</v>
      </c>
      <c r="N34" s="5">
        <f t="shared" si="6"/>
        <v>0</v>
      </c>
      <c r="O34" s="5">
        <f t="shared" si="7"/>
        <v>0</v>
      </c>
      <c r="P34" s="5">
        <f t="shared" si="8"/>
        <v>16452366.789087586</v>
      </c>
      <c r="Q34" s="5">
        <f t="shared" si="11"/>
        <v>1202878.961397374</v>
      </c>
      <c r="R34" s="5">
        <f t="shared" si="9"/>
        <v>432443.53496262367</v>
      </c>
      <c r="S34" s="5">
        <f t="shared" si="1"/>
        <v>16019923.254124962</v>
      </c>
      <c r="T34" s="177">
        <f t="shared" si="2"/>
        <v>0.10126226775990545</v>
      </c>
      <c r="U34" s="180">
        <f t="shared" si="10"/>
        <v>2.0498170724841999E-3</v>
      </c>
    </row>
    <row r="35" spans="1:21" ht="12.75" customHeight="1">
      <c r="A35" s="4" t="s">
        <v>29</v>
      </c>
      <c r="B35" s="5">
        <v>16809759.413881905</v>
      </c>
      <c r="C35" s="198">
        <v>2372742.0872411542</v>
      </c>
      <c r="D35" s="198">
        <v>617525.10515681026</v>
      </c>
      <c r="E35" s="198">
        <v>778785.93908845424</v>
      </c>
      <c r="F35" s="198">
        <v>64802.3964652625</v>
      </c>
      <c r="G35" s="198">
        <v>567694.69881272723</v>
      </c>
      <c r="H35" s="198">
        <v>105130.55617534323</v>
      </c>
      <c r="I35" s="5">
        <f t="shared" si="3"/>
        <v>21316440.196821656</v>
      </c>
      <c r="J35" s="5">
        <f t="shared" si="0"/>
        <v>22346024.258328144</v>
      </c>
      <c r="K35" s="5">
        <f>+'COEF Art 14 F I'!AP36</f>
        <v>18238871.292975992</v>
      </c>
      <c r="L35" s="5">
        <f t="shared" si="4"/>
        <v>-4107152.9653521515</v>
      </c>
      <c r="M35" s="177">
        <f t="shared" si="5"/>
        <v>-0.18379792834161343</v>
      </c>
      <c r="N35" s="5">
        <f t="shared" si="6"/>
        <v>22346024.258328144</v>
      </c>
      <c r="O35" s="5">
        <f t="shared" si="7"/>
        <v>4107152.9653521515</v>
      </c>
      <c r="P35" s="5">
        <f t="shared" si="8"/>
        <v>0</v>
      </c>
      <c r="Q35" s="5">
        <f t="shared" si="11"/>
        <v>0</v>
      </c>
      <c r="R35" s="5">
        <f t="shared" si="9"/>
        <v>0</v>
      </c>
      <c r="S35" s="5">
        <f t="shared" si="1"/>
        <v>22346024.258328144</v>
      </c>
      <c r="T35" s="177">
        <f t="shared" si="2"/>
        <v>4.8300000000000065E-2</v>
      </c>
      <c r="U35" s="180">
        <f t="shared" si="10"/>
        <v>2.8592685058633307E-3</v>
      </c>
    </row>
    <row r="36" spans="1:21" ht="12.75" customHeight="1">
      <c r="A36" s="4" t="s">
        <v>30</v>
      </c>
      <c r="B36" s="5">
        <v>15457056.03370185</v>
      </c>
      <c r="C36" s="198">
        <v>2181804.4204559885</v>
      </c>
      <c r="D36" s="198">
        <v>567832.05027573742</v>
      </c>
      <c r="E36" s="198">
        <v>716116.01346348226</v>
      </c>
      <c r="F36" s="198">
        <v>59587.662655929205</v>
      </c>
      <c r="G36" s="198">
        <v>522011.56206538598</v>
      </c>
      <c r="H36" s="198">
        <v>96670.56247780376</v>
      </c>
      <c r="I36" s="5">
        <f t="shared" si="3"/>
        <v>19601078.305096176</v>
      </c>
      <c r="J36" s="5">
        <f t="shared" si="0"/>
        <v>20547810.387232322</v>
      </c>
      <c r="K36" s="5">
        <f>+'COEF Art 14 F I'!AP37</f>
        <v>21305175.10271021</v>
      </c>
      <c r="L36" s="5">
        <f t="shared" si="4"/>
        <v>757364.71547788754</v>
      </c>
      <c r="M36" s="177">
        <f t="shared" si="5"/>
        <v>3.6858657988614055E-2</v>
      </c>
      <c r="N36" s="5">
        <f t="shared" si="6"/>
        <v>0</v>
      </c>
      <c r="O36" s="5">
        <f t="shared" si="7"/>
        <v>0</v>
      </c>
      <c r="P36" s="5">
        <f t="shared" si="8"/>
        <v>21305175.10271021</v>
      </c>
      <c r="Q36" s="5">
        <f t="shared" si="11"/>
        <v>757364.71547788754</v>
      </c>
      <c r="R36" s="5">
        <f t="shared" si="9"/>
        <v>272277.99747760588</v>
      </c>
      <c r="S36" s="5">
        <f t="shared" si="1"/>
        <v>21032897.105232604</v>
      </c>
      <c r="T36" s="177">
        <f t="shared" si="2"/>
        <v>7.3047960823877892E-2</v>
      </c>
      <c r="U36" s="180">
        <f t="shared" si="10"/>
        <v>2.6912483216177704E-3</v>
      </c>
    </row>
    <row r="37" spans="1:21" ht="12.75" customHeight="1">
      <c r="A37" s="4" t="s">
        <v>31</v>
      </c>
      <c r="B37" s="5">
        <v>146976776.61061856</v>
      </c>
      <c r="C37" s="198">
        <v>20746161.508002289</v>
      </c>
      <c r="D37" s="198">
        <v>5399354.4581683828</v>
      </c>
      <c r="E37" s="198">
        <v>6809344.7490014546</v>
      </c>
      <c r="F37" s="198">
        <v>566602.24067467044</v>
      </c>
      <c r="G37" s="198">
        <v>4963660.3877581675</v>
      </c>
      <c r="H37" s="198">
        <v>919213.05293477781</v>
      </c>
      <c r="I37" s="5">
        <f t="shared" si="3"/>
        <v>186381113.00715828</v>
      </c>
      <c r="J37" s="5">
        <f t="shared" si="0"/>
        <v>195383320.76540402</v>
      </c>
      <c r="K37" s="5">
        <f>+'COEF Art 14 F I'!AP38</f>
        <v>191774261.65092343</v>
      </c>
      <c r="L37" s="5">
        <f t="shared" si="4"/>
        <v>-3609059.1144805849</v>
      </c>
      <c r="M37" s="177">
        <f t="shared" si="5"/>
        <v>-1.8471684790402187E-2</v>
      </c>
      <c r="N37" s="5">
        <f t="shared" si="6"/>
        <v>195383320.76540402</v>
      </c>
      <c r="O37" s="5">
        <f t="shared" si="7"/>
        <v>3609059.1144805849</v>
      </c>
      <c r="P37" s="5">
        <f t="shared" si="8"/>
        <v>0</v>
      </c>
      <c r="Q37" s="5">
        <f t="shared" si="11"/>
        <v>0</v>
      </c>
      <c r="R37" s="5">
        <f t="shared" si="9"/>
        <v>0</v>
      </c>
      <c r="S37" s="5">
        <f t="shared" si="1"/>
        <v>195383320.76540402</v>
      </c>
      <c r="T37" s="177">
        <f t="shared" si="2"/>
        <v>4.8299999999999954E-2</v>
      </c>
      <c r="U37" s="180">
        <f t="shared" si="10"/>
        <v>2.5000123922594777E-2</v>
      </c>
    </row>
    <row r="38" spans="1:21" ht="12.75" customHeight="1">
      <c r="A38" s="4" t="s">
        <v>32</v>
      </c>
      <c r="B38" s="5">
        <v>28642439.294303101</v>
      </c>
      <c r="C38" s="198">
        <v>4042956.2090412104</v>
      </c>
      <c r="D38" s="198">
        <v>1052211.6885596451</v>
      </c>
      <c r="E38" s="198">
        <v>1326986.8077455515</v>
      </c>
      <c r="F38" s="198">
        <v>110417.92218327834</v>
      </c>
      <c r="G38" s="198">
        <v>967304.79884281906</v>
      </c>
      <c r="H38" s="198">
        <v>179133.76979933886</v>
      </c>
      <c r="I38" s="5">
        <f t="shared" si="3"/>
        <v>36321450.490474939</v>
      </c>
      <c r="J38" s="5">
        <f t="shared" si="0"/>
        <v>38075776.549164876</v>
      </c>
      <c r="K38" s="5">
        <f>+'COEF Art 14 F I'!AP39</f>
        <v>34553504.428360492</v>
      </c>
      <c r="L38" s="5">
        <f t="shared" si="4"/>
        <v>-3522272.1208043844</v>
      </c>
      <c r="M38" s="177">
        <f t="shared" si="5"/>
        <v>-9.2506901763547589E-2</v>
      </c>
      <c r="N38" s="5">
        <f t="shared" si="6"/>
        <v>38075776.549164876</v>
      </c>
      <c r="O38" s="5">
        <f t="shared" si="7"/>
        <v>3522272.1208043844</v>
      </c>
      <c r="P38" s="5">
        <f t="shared" si="8"/>
        <v>0</v>
      </c>
      <c r="Q38" s="5">
        <f t="shared" si="11"/>
        <v>0</v>
      </c>
      <c r="R38" s="5">
        <f t="shared" si="9"/>
        <v>0</v>
      </c>
      <c r="S38" s="5">
        <f t="shared" si="1"/>
        <v>38075776.549164876</v>
      </c>
      <c r="T38" s="177">
        <f t="shared" si="2"/>
        <v>4.8299999999999926E-2</v>
      </c>
      <c r="U38" s="180">
        <f t="shared" si="10"/>
        <v>4.8719569738559804E-3</v>
      </c>
    </row>
    <row r="39" spans="1:21" s="11" customFormat="1" ht="12.75" customHeight="1">
      <c r="A39" s="4" t="s">
        <v>33</v>
      </c>
      <c r="B39" s="5">
        <v>105014849.53165476</v>
      </c>
      <c r="C39" s="198">
        <v>14823124.301427007</v>
      </c>
      <c r="D39" s="198">
        <v>3857836.6533019841</v>
      </c>
      <c r="E39" s="198">
        <v>4865274.1658636238</v>
      </c>
      <c r="F39" s="198">
        <v>404837.07984959421</v>
      </c>
      <c r="G39" s="198">
        <v>3546533.4100203705</v>
      </c>
      <c r="H39" s="198">
        <v>656777.36760560225</v>
      </c>
      <c r="I39" s="5">
        <f t="shared" si="3"/>
        <v>133169232.50972293</v>
      </c>
      <c r="J39" s="5">
        <f t="shared" si="0"/>
        <v>139601306.43994254</v>
      </c>
      <c r="K39" s="5">
        <f>+'COEF Art 14 F I'!AP40</f>
        <v>132765219.99322149</v>
      </c>
      <c r="L39" s="5">
        <f t="shared" si="4"/>
        <v>-6836086.4467210472</v>
      </c>
      <c r="M39" s="177">
        <f t="shared" si="5"/>
        <v>-4.8968642350506797E-2</v>
      </c>
      <c r="N39" s="5">
        <f t="shared" si="6"/>
        <v>139601306.43994254</v>
      </c>
      <c r="O39" s="5">
        <f t="shared" si="7"/>
        <v>6836086.4467210472</v>
      </c>
      <c r="P39" s="5">
        <f t="shared" si="8"/>
        <v>0</v>
      </c>
      <c r="Q39" s="5">
        <f t="shared" si="11"/>
        <v>0</v>
      </c>
      <c r="R39" s="5">
        <f t="shared" si="9"/>
        <v>0</v>
      </c>
      <c r="S39" s="5">
        <f t="shared" ref="S39:S57" si="12">IF(O39&lt;&gt;0,K39+O39,K39-R39)</f>
        <v>139601306.43994254</v>
      </c>
      <c r="T39" s="177">
        <f t="shared" ref="T39:T58" si="13">+(S39-I39)/I39</f>
        <v>4.8299999999999912E-2</v>
      </c>
      <c r="U39" s="180">
        <f t="shared" si="10"/>
        <v>1.7862578786575038E-2</v>
      </c>
    </row>
    <row r="40" spans="1:21" ht="12.75" customHeight="1">
      <c r="A40" s="4" t="s">
        <v>34</v>
      </c>
      <c r="B40" s="5">
        <v>21201866.178504594</v>
      </c>
      <c r="C40" s="198">
        <v>2992699.5961788408</v>
      </c>
      <c r="D40" s="198">
        <v>778874.00521614891</v>
      </c>
      <c r="E40" s="198">
        <v>982269.57660201832</v>
      </c>
      <c r="F40" s="198">
        <v>81734.170256389014</v>
      </c>
      <c r="G40" s="198">
        <v>716023.75370756444</v>
      </c>
      <c r="H40" s="198">
        <v>132599.39826748069</v>
      </c>
      <c r="I40" s="5">
        <f t="shared" si="3"/>
        <v>26886066.678733036</v>
      </c>
      <c r="J40" s="5">
        <f t="shared" si="0"/>
        <v>28184663.699315842</v>
      </c>
      <c r="K40" s="5">
        <f>+'COEF Art 14 F I'!AP41</f>
        <v>30685150.023677435</v>
      </c>
      <c r="L40" s="5">
        <f t="shared" si="4"/>
        <v>2500486.3243615925</v>
      </c>
      <c r="M40" s="177">
        <f t="shared" si="5"/>
        <v>8.8717976238343044E-2</v>
      </c>
      <c r="N40" s="5">
        <f t="shared" si="6"/>
        <v>0</v>
      </c>
      <c r="O40" s="5">
        <f t="shared" si="7"/>
        <v>0</v>
      </c>
      <c r="P40" s="5">
        <f t="shared" si="8"/>
        <v>30685150.023677435</v>
      </c>
      <c r="Q40" s="5">
        <f t="shared" si="11"/>
        <v>2500486.3243615925</v>
      </c>
      <c r="R40" s="5">
        <f t="shared" si="9"/>
        <v>898942.60348228691</v>
      </c>
      <c r="S40" s="5">
        <f t="shared" si="12"/>
        <v>29786207.420195147</v>
      </c>
      <c r="T40" s="177">
        <f t="shared" si="13"/>
        <v>0.10786779546880065</v>
      </c>
      <c r="U40" s="180">
        <f t="shared" si="10"/>
        <v>3.8112714727737674E-3</v>
      </c>
    </row>
    <row r="41" spans="1:21" ht="12.75" customHeight="1">
      <c r="A41" s="4" t="s">
        <v>35</v>
      </c>
      <c r="B41" s="5">
        <v>20006809.988561384</v>
      </c>
      <c r="C41" s="198">
        <v>2824014.2480615564</v>
      </c>
      <c r="D41" s="198">
        <v>734972.29424045898</v>
      </c>
      <c r="E41" s="198">
        <v>926903.349505438</v>
      </c>
      <c r="F41" s="198">
        <v>77127.173623534836</v>
      </c>
      <c r="G41" s="198">
        <v>675664.6357022624</v>
      </c>
      <c r="H41" s="198">
        <v>125125.35186289361</v>
      </c>
      <c r="I41" s="5">
        <f t="shared" si="3"/>
        <v>25370617.041557532</v>
      </c>
      <c r="J41" s="5">
        <f t="shared" si="0"/>
        <v>26596017.84466476</v>
      </c>
      <c r="K41" s="5">
        <f>+'COEF Art 14 F I'!AP42</f>
        <v>29772608.454540722</v>
      </c>
      <c r="L41" s="5">
        <f t="shared" si="4"/>
        <v>3176590.6098759621</v>
      </c>
      <c r="M41" s="177">
        <f t="shared" si="5"/>
        <v>0.11943858018252893</v>
      </c>
      <c r="N41" s="5">
        <f t="shared" si="6"/>
        <v>0</v>
      </c>
      <c r="O41" s="5">
        <f t="shared" si="7"/>
        <v>0</v>
      </c>
      <c r="P41" s="5">
        <f t="shared" si="8"/>
        <v>29772608.454540722</v>
      </c>
      <c r="Q41" s="5">
        <f t="shared" si="11"/>
        <v>3176590.6098759621</v>
      </c>
      <c r="R41" s="5">
        <f t="shared" si="9"/>
        <v>1142006.8989052954</v>
      </c>
      <c r="S41" s="5">
        <f t="shared" si="12"/>
        <v>28630601.555635426</v>
      </c>
      <c r="T41" s="177">
        <f t="shared" si="13"/>
        <v>0.12849449064395951</v>
      </c>
      <c r="U41" s="180">
        <f t="shared" si="10"/>
        <v>3.6634068049684805E-3</v>
      </c>
    </row>
    <row r="42" spans="1:21" ht="12.75" customHeight="1">
      <c r="A42" s="4" t="s">
        <v>36</v>
      </c>
      <c r="B42" s="5">
        <v>22613926.876078855</v>
      </c>
      <c r="C42" s="198">
        <v>3192015.7056117598</v>
      </c>
      <c r="D42" s="198">
        <v>830747.61680566624</v>
      </c>
      <c r="E42" s="198">
        <v>1047689.4906729467</v>
      </c>
      <c r="F42" s="198">
        <v>87177.729257084051</v>
      </c>
      <c r="G42" s="198">
        <v>763711.48990311264</v>
      </c>
      <c r="H42" s="198">
        <v>141430.62082300748</v>
      </c>
      <c r="I42" s="5">
        <f t="shared" si="3"/>
        <v>28676699.529152431</v>
      </c>
      <c r="J42" s="5">
        <f t="shared" si="0"/>
        <v>30061784.116410494</v>
      </c>
      <c r="K42" s="5">
        <f>+'COEF Art 14 F I'!AP43</f>
        <v>30032910.645216554</v>
      </c>
      <c r="L42" s="5">
        <f t="shared" si="4"/>
        <v>-28873.471193939447</v>
      </c>
      <c r="M42" s="177">
        <f t="shared" si="5"/>
        <v>-9.6047097810730549E-4</v>
      </c>
      <c r="N42" s="5">
        <f t="shared" si="6"/>
        <v>30061784.116410494</v>
      </c>
      <c r="O42" s="5">
        <f t="shared" si="7"/>
        <v>28873.471193939447</v>
      </c>
      <c r="P42" s="5">
        <f t="shared" si="8"/>
        <v>0</v>
      </c>
      <c r="Q42" s="5">
        <f t="shared" si="11"/>
        <v>0</v>
      </c>
      <c r="R42" s="5">
        <f t="shared" si="9"/>
        <v>0</v>
      </c>
      <c r="S42" s="5">
        <f t="shared" si="12"/>
        <v>30061784.116410494</v>
      </c>
      <c r="T42" s="177">
        <f t="shared" si="13"/>
        <v>4.830000000000003E-2</v>
      </c>
      <c r="U42" s="180">
        <f t="shared" si="10"/>
        <v>3.8465326789431263E-3</v>
      </c>
    </row>
    <row r="43" spans="1:21" ht="12.75" customHeight="1">
      <c r="A43" s="4" t="s">
        <v>37</v>
      </c>
      <c r="B43" s="5">
        <v>31852696.246518105</v>
      </c>
      <c r="C43" s="198">
        <v>4496092.4850481506</v>
      </c>
      <c r="D43" s="198">
        <v>1170144.0285287597</v>
      </c>
      <c r="E43" s="198">
        <v>1475716.0616087182</v>
      </c>
      <c r="F43" s="198">
        <v>122793.61053495121</v>
      </c>
      <c r="G43" s="198">
        <v>1075720.7379843476</v>
      </c>
      <c r="H43" s="198">
        <v>199211.15999526353</v>
      </c>
      <c r="I43" s="5">
        <f t="shared" si="3"/>
        <v>40392374.330218293</v>
      </c>
      <c r="J43" s="5">
        <f t="shared" si="0"/>
        <v>42343326.010367833</v>
      </c>
      <c r="K43" s="5">
        <f>+'COEF Art 14 F I'!AP44</f>
        <v>37952369.623091318</v>
      </c>
      <c r="L43" s="5">
        <f t="shared" si="4"/>
        <v>-4390956.3872765154</v>
      </c>
      <c r="M43" s="177">
        <f t="shared" si="5"/>
        <v>-0.1036989013617254</v>
      </c>
      <c r="N43" s="5">
        <f t="shared" si="6"/>
        <v>42343326.010367833</v>
      </c>
      <c r="O43" s="5">
        <f t="shared" si="7"/>
        <v>4390956.3872765154</v>
      </c>
      <c r="P43" s="5">
        <f t="shared" si="8"/>
        <v>0</v>
      </c>
      <c r="Q43" s="5">
        <f t="shared" si="11"/>
        <v>0</v>
      </c>
      <c r="R43" s="5">
        <f t="shared" si="9"/>
        <v>0</v>
      </c>
      <c r="S43" s="5">
        <f t="shared" si="12"/>
        <v>42343326.010367833</v>
      </c>
      <c r="T43" s="177">
        <f t="shared" si="13"/>
        <v>4.8299999999999919E-2</v>
      </c>
      <c r="U43" s="180">
        <f t="shared" si="10"/>
        <v>5.4180080132073781E-3</v>
      </c>
    </row>
    <row r="44" spans="1:21" s="11" customFormat="1" ht="12.75" customHeight="1">
      <c r="A44" s="4" t="s">
        <v>38</v>
      </c>
      <c r="B44" s="5">
        <v>74729366.826373518</v>
      </c>
      <c r="C44" s="198">
        <v>10548248.160850508</v>
      </c>
      <c r="D44" s="198">
        <v>2745265.9476880203</v>
      </c>
      <c r="E44" s="198">
        <v>3462166.1552931815</v>
      </c>
      <c r="F44" s="198">
        <v>288085.1496709417</v>
      </c>
      <c r="G44" s="198">
        <v>2523740.1885674577</v>
      </c>
      <c r="H44" s="198">
        <v>467367.77747098112</v>
      </c>
      <c r="I44" s="5">
        <f t="shared" si="3"/>
        <v>94764240.205914602</v>
      </c>
      <c r="J44" s="5">
        <f t="shared" si="0"/>
        <v>99341353.007860273</v>
      </c>
      <c r="K44" s="5">
        <f>+'COEF Art 14 F I'!AP45</f>
        <v>93707243.146199197</v>
      </c>
      <c r="L44" s="5">
        <f t="shared" si="4"/>
        <v>-5634109.8616610765</v>
      </c>
      <c r="M44" s="177">
        <f t="shared" si="5"/>
        <v>-5.6714647939366036E-2</v>
      </c>
      <c r="N44" s="5">
        <f t="shared" si="6"/>
        <v>99341353.007860273</v>
      </c>
      <c r="O44" s="5">
        <f t="shared" si="7"/>
        <v>5634109.8616610765</v>
      </c>
      <c r="P44" s="5">
        <f t="shared" si="8"/>
        <v>0</v>
      </c>
      <c r="Q44" s="5">
        <f t="shared" si="11"/>
        <v>0</v>
      </c>
      <c r="R44" s="5">
        <f t="shared" si="9"/>
        <v>0</v>
      </c>
      <c r="S44" s="5">
        <f t="shared" si="12"/>
        <v>99341353.007860273</v>
      </c>
      <c r="T44" s="177">
        <f t="shared" si="13"/>
        <v>4.8299999999999961E-2</v>
      </c>
      <c r="U44" s="180">
        <f t="shared" si="10"/>
        <v>1.2711147124051209E-2</v>
      </c>
    </row>
    <row r="45" spans="1:21" ht="12.75" customHeight="1">
      <c r="A45" s="4" t="s">
        <v>39</v>
      </c>
      <c r="B45" s="5">
        <v>1401888181.6267445</v>
      </c>
      <c r="C45" s="198">
        <v>197880231.84936696</v>
      </c>
      <c r="D45" s="198">
        <v>51499912.965053618</v>
      </c>
      <c r="E45" s="198">
        <v>64948627.588551342</v>
      </c>
      <c r="F45" s="198">
        <v>5404343.4833909571</v>
      </c>
      <c r="G45" s="198">
        <v>47344192.706095994</v>
      </c>
      <c r="H45" s="198">
        <v>8767602.23637826</v>
      </c>
      <c r="I45" s="5">
        <f t="shared" si="3"/>
        <v>1777733092.4555814</v>
      </c>
      <c r="J45" s="5">
        <f t="shared" si="0"/>
        <v>1863597600.8211861</v>
      </c>
      <c r="K45" s="5">
        <f>+'COEF Art 14 F I'!AP46</f>
        <v>2163823613.5588002</v>
      </c>
      <c r="L45" s="5">
        <f t="shared" si="4"/>
        <v>300226012.73761415</v>
      </c>
      <c r="M45" s="177">
        <f t="shared" si="5"/>
        <v>0.16110023569751372</v>
      </c>
      <c r="N45" s="5">
        <f t="shared" si="6"/>
        <v>0</v>
      </c>
      <c r="O45" s="5">
        <f t="shared" si="7"/>
        <v>0</v>
      </c>
      <c r="P45" s="5">
        <f t="shared" si="8"/>
        <v>2163823613.5588002</v>
      </c>
      <c r="Q45" s="5">
        <f t="shared" si="11"/>
        <v>300226012.73761415</v>
      </c>
      <c r="R45" s="5">
        <f t="shared" si="9"/>
        <v>107933385.15553072</v>
      </c>
      <c r="S45" s="5">
        <f t="shared" si="12"/>
        <v>2055890228.4032695</v>
      </c>
      <c r="T45" s="177">
        <f t="shared" si="13"/>
        <v>0.15646732185396281</v>
      </c>
      <c r="U45" s="180">
        <f t="shared" si="10"/>
        <v>0.2630598675464535</v>
      </c>
    </row>
    <row r="46" spans="1:21" ht="12.75" customHeight="1">
      <c r="A46" s="4" t="s">
        <v>40</v>
      </c>
      <c r="B46" s="5">
        <v>7987263.9307073141</v>
      </c>
      <c r="C46" s="198">
        <v>1127423.470120677</v>
      </c>
      <c r="D46" s="198">
        <v>293420.97511829878</v>
      </c>
      <c r="E46" s="198">
        <v>370045.08439819218</v>
      </c>
      <c r="F46" s="198">
        <v>30791.27018813516</v>
      </c>
      <c r="G46" s="198">
        <v>269743.74111125537</v>
      </c>
      <c r="H46" s="198">
        <v>49953.451365940979</v>
      </c>
      <c r="I46" s="5">
        <f t="shared" si="3"/>
        <v>10128641.923009813</v>
      </c>
      <c r="J46" s="5">
        <f t="shared" si="0"/>
        <v>10617855.327891186</v>
      </c>
      <c r="K46" s="5">
        <f>+'COEF Art 14 F I'!AP47</f>
        <v>8104426.1581809698</v>
      </c>
      <c r="L46" s="5">
        <f t="shared" si="4"/>
        <v>-2513429.1697102161</v>
      </c>
      <c r="M46" s="177">
        <f t="shared" si="5"/>
        <v>-0.23671721756350289</v>
      </c>
      <c r="N46" s="5">
        <f t="shared" si="6"/>
        <v>10617855.327891186</v>
      </c>
      <c r="O46" s="5">
        <f t="shared" si="7"/>
        <v>2513429.1697102161</v>
      </c>
      <c r="P46" s="5">
        <f t="shared" si="8"/>
        <v>0</v>
      </c>
      <c r="Q46" s="5">
        <f t="shared" si="11"/>
        <v>0</v>
      </c>
      <c r="R46" s="5">
        <f t="shared" si="9"/>
        <v>0</v>
      </c>
      <c r="S46" s="5">
        <f t="shared" si="12"/>
        <v>10617855.327891186</v>
      </c>
      <c r="T46" s="177">
        <f t="shared" si="13"/>
        <v>4.8299999999999912E-2</v>
      </c>
      <c r="U46" s="180">
        <f t="shared" si="10"/>
        <v>1.358599587465221E-3</v>
      </c>
    </row>
    <row r="47" spans="1:21" s="11" customFormat="1" ht="12.75" customHeight="1">
      <c r="A47" s="4" t="s">
        <v>41</v>
      </c>
      <c r="B47" s="5">
        <v>22055288.490343686</v>
      </c>
      <c r="C47" s="198">
        <v>3113162.4170694686</v>
      </c>
      <c r="D47" s="198">
        <v>810225.4178027208</v>
      </c>
      <c r="E47" s="198">
        <v>1021808.113722087</v>
      </c>
      <c r="F47" s="198">
        <v>85024.152560273462</v>
      </c>
      <c r="G47" s="198">
        <v>744845.30375708197</v>
      </c>
      <c r="H47" s="198">
        <v>137936.81923153237</v>
      </c>
      <c r="I47" s="5">
        <f t="shared" si="3"/>
        <v>27968290.714486852</v>
      </c>
      <c r="J47" s="5">
        <f t="shared" si="0"/>
        <v>29319159.155996569</v>
      </c>
      <c r="K47" s="5">
        <f>+'COEF Art 14 F I'!AP48</f>
        <v>53338857.284118593</v>
      </c>
      <c r="L47" s="5">
        <f t="shared" si="4"/>
        <v>24019698.128122024</v>
      </c>
      <c r="M47" s="177">
        <f t="shared" si="5"/>
        <v>0.81924921517434923</v>
      </c>
      <c r="N47" s="5">
        <f t="shared" si="6"/>
        <v>0</v>
      </c>
      <c r="O47" s="5">
        <f t="shared" si="7"/>
        <v>0</v>
      </c>
      <c r="P47" s="5">
        <f t="shared" si="8"/>
        <v>53338857.284118593</v>
      </c>
      <c r="Q47" s="5">
        <f t="shared" si="11"/>
        <v>24019698.128122024</v>
      </c>
      <c r="R47" s="5">
        <f t="shared" si="9"/>
        <v>8635252.1746606361</v>
      </c>
      <c r="S47" s="5">
        <f t="shared" si="12"/>
        <v>44703605.109457955</v>
      </c>
      <c r="T47" s="177">
        <f t="shared" si="13"/>
        <v>0.59836743567252193</v>
      </c>
      <c r="U47" s="180">
        <f t="shared" si="10"/>
        <v>5.7200157267522471E-3</v>
      </c>
    </row>
    <row r="48" spans="1:21" ht="12.75" customHeight="1">
      <c r="A48" s="4" t="s">
        <v>42</v>
      </c>
      <c r="B48" s="5">
        <v>16940744.022520985</v>
      </c>
      <c r="C48" s="198">
        <v>2391230.9118606243</v>
      </c>
      <c r="D48" s="198">
        <v>622336.96963578486</v>
      </c>
      <c r="E48" s="198">
        <v>784854.37641307653</v>
      </c>
      <c r="F48" s="198">
        <v>65307.348162124203</v>
      </c>
      <c r="G48" s="198">
        <v>572118.275981182</v>
      </c>
      <c r="H48" s="198">
        <v>105949.75200186195</v>
      </c>
      <c r="I48" s="5">
        <f t="shared" si="3"/>
        <v>21482541.656575643</v>
      </c>
      <c r="J48" s="5">
        <f t="shared" si="0"/>
        <v>22520148.418588247</v>
      </c>
      <c r="K48" s="5">
        <f>+'COEF Art 14 F I'!AP49</f>
        <v>14815755.278823582</v>
      </c>
      <c r="L48" s="5">
        <f t="shared" si="4"/>
        <v>-7704393.1397646647</v>
      </c>
      <c r="M48" s="177">
        <f t="shared" si="5"/>
        <v>-0.34211111741188255</v>
      </c>
      <c r="N48" s="5">
        <f t="shared" si="6"/>
        <v>22520148.418588247</v>
      </c>
      <c r="O48" s="5">
        <f t="shared" si="7"/>
        <v>7704393.1397646647</v>
      </c>
      <c r="P48" s="5">
        <f t="shared" si="8"/>
        <v>0</v>
      </c>
      <c r="Q48" s="5">
        <f t="shared" si="11"/>
        <v>0</v>
      </c>
      <c r="R48" s="5">
        <f t="shared" si="9"/>
        <v>0</v>
      </c>
      <c r="S48" s="5">
        <f t="shared" si="12"/>
        <v>22520148.418588247</v>
      </c>
      <c r="T48" s="177">
        <f t="shared" si="13"/>
        <v>4.8300000000000051E-2</v>
      </c>
      <c r="U48" s="180">
        <f t="shared" si="10"/>
        <v>2.8815484301033694E-3</v>
      </c>
    </row>
    <row r="49" spans="1:21" ht="12.75" customHeight="1">
      <c r="A49" s="4" t="s">
        <v>43</v>
      </c>
      <c r="B49" s="5">
        <v>18324287.173424091</v>
      </c>
      <c r="C49" s="198">
        <v>2586521.6940089422</v>
      </c>
      <c r="D49" s="198">
        <v>673162.95760589605</v>
      </c>
      <c r="E49" s="198">
        <v>848953.08987566538</v>
      </c>
      <c r="F49" s="198">
        <v>70640.970707464192</v>
      </c>
      <c r="G49" s="198">
        <v>618842.92521665664</v>
      </c>
      <c r="H49" s="198">
        <v>114602.62188332574</v>
      </c>
      <c r="I49" s="5">
        <f t="shared" si="3"/>
        <v>23237011.43272204</v>
      </c>
      <c r="J49" s="5">
        <f t="shared" si="0"/>
        <v>24359359.084922515</v>
      </c>
      <c r="K49" s="5">
        <f>+'COEF Art 14 F I'!AP50</f>
        <v>25727276.309763733</v>
      </c>
      <c r="L49" s="5">
        <f t="shared" si="4"/>
        <v>1367917.2248412184</v>
      </c>
      <c r="M49" s="177">
        <f t="shared" si="5"/>
        <v>5.6155714937832883E-2</v>
      </c>
      <c r="N49" s="5">
        <f t="shared" si="6"/>
        <v>0</v>
      </c>
      <c r="O49" s="5">
        <f t="shared" si="7"/>
        <v>0</v>
      </c>
      <c r="P49" s="5">
        <f t="shared" si="8"/>
        <v>25727276.309763733</v>
      </c>
      <c r="Q49" s="5">
        <f t="shared" si="11"/>
        <v>1367917.2248412184</v>
      </c>
      <c r="R49" s="5">
        <f t="shared" si="9"/>
        <v>491775.96352620848</v>
      </c>
      <c r="S49" s="5">
        <f t="shared" si="12"/>
        <v>25235500.346237525</v>
      </c>
      <c r="T49" s="177">
        <f t="shared" si="13"/>
        <v>8.6004558688697857E-2</v>
      </c>
      <c r="U49" s="180">
        <f t="shared" si="10"/>
        <v>3.2289892168540293E-3</v>
      </c>
    </row>
    <row r="50" spans="1:21" ht="12.75" customHeight="1">
      <c r="A50" s="4" t="s">
        <v>44</v>
      </c>
      <c r="B50" s="5">
        <v>54618112.049358256</v>
      </c>
      <c r="C50" s="198">
        <v>7709491.2541189073</v>
      </c>
      <c r="D50" s="198">
        <v>2006456.7586192188</v>
      </c>
      <c r="E50" s="198">
        <v>2530423.9422053113</v>
      </c>
      <c r="F50" s="198">
        <v>210555.33657928117</v>
      </c>
      <c r="G50" s="198">
        <v>1844548.2714032405</v>
      </c>
      <c r="H50" s="198">
        <v>341589.21348120784</v>
      </c>
      <c r="I50" s="5">
        <f t="shared" si="3"/>
        <v>69261176.825765416</v>
      </c>
      <c r="J50" s="5">
        <f t="shared" si="0"/>
        <v>72606491.66644989</v>
      </c>
      <c r="K50" s="5">
        <f>+'COEF Art 14 F I'!AP51</f>
        <v>43504330.01424399</v>
      </c>
      <c r="L50" s="5">
        <f t="shared" si="4"/>
        <v>-29102161.652205899</v>
      </c>
      <c r="M50" s="177">
        <f t="shared" si="5"/>
        <v>-0.40082038099154527</v>
      </c>
      <c r="N50" s="5">
        <f t="shared" si="6"/>
        <v>72606491.66644989</v>
      </c>
      <c r="O50" s="5">
        <f t="shared" si="7"/>
        <v>29102161.652205899</v>
      </c>
      <c r="P50" s="5">
        <f t="shared" si="8"/>
        <v>0</v>
      </c>
      <c r="Q50" s="5">
        <f t="shared" si="11"/>
        <v>0</v>
      </c>
      <c r="R50" s="5">
        <f t="shared" si="9"/>
        <v>0</v>
      </c>
      <c r="S50" s="5">
        <f t="shared" si="12"/>
        <v>72606491.66644989</v>
      </c>
      <c r="T50" s="177">
        <f t="shared" si="13"/>
        <v>4.8300000000000058E-2</v>
      </c>
      <c r="U50" s="180">
        <f t="shared" si="10"/>
        <v>9.2903083136024762E-3</v>
      </c>
    </row>
    <row r="51" spans="1:21" ht="12.75" customHeight="1">
      <c r="A51" s="4" t="s">
        <v>45</v>
      </c>
      <c r="B51" s="5">
        <v>47001748.859349623</v>
      </c>
      <c r="C51" s="198">
        <v>6634421.4064372238</v>
      </c>
      <c r="D51" s="198">
        <v>1726661.2324596685</v>
      </c>
      <c r="E51" s="198">
        <v>2177562.463743506</v>
      </c>
      <c r="F51" s="198">
        <v>181193.90582288505</v>
      </c>
      <c r="G51" s="198">
        <v>1587330.4909018956</v>
      </c>
      <c r="H51" s="198">
        <v>293955.42655515752</v>
      </c>
      <c r="I51" s="5">
        <f t="shared" si="3"/>
        <v>59602873.785269968</v>
      </c>
      <c r="J51" s="5">
        <f t="shared" si="0"/>
        <v>62481692.589098506</v>
      </c>
      <c r="K51" s="5">
        <f>+'COEF Art 14 F I'!AP52</f>
        <v>62297153.821515359</v>
      </c>
      <c r="L51" s="5">
        <f t="shared" si="4"/>
        <v>-184538.76758314669</v>
      </c>
      <c r="M51" s="177">
        <f t="shared" si="5"/>
        <v>-2.9534854120668317E-3</v>
      </c>
      <c r="N51" s="5">
        <f t="shared" si="6"/>
        <v>62481692.589098506</v>
      </c>
      <c r="O51" s="5">
        <f t="shared" si="7"/>
        <v>184538.76758314669</v>
      </c>
      <c r="P51" s="5">
        <f t="shared" si="8"/>
        <v>0</v>
      </c>
      <c r="Q51" s="5">
        <f t="shared" si="11"/>
        <v>0</v>
      </c>
      <c r="R51" s="5">
        <f t="shared" si="9"/>
        <v>0</v>
      </c>
      <c r="S51" s="5">
        <f t="shared" si="12"/>
        <v>62481692.589098506</v>
      </c>
      <c r="T51" s="177">
        <f t="shared" si="13"/>
        <v>4.8299999999999968E-2</v>
      </c>
      <c r="U51" s="180">
        <f t="shared" si="10"/>
        <v>7.9947973629564909E-3</v>
      </c>
    </row>
    <row r="52" spans="1:21" ht="12.75" customHeight="1">
      <c r="A52" s="4" t="s">
        <v>46</v>
      </c>
      <c r="B52" s="5">
        <v>425297684.76315486</v>
      </c>
      <c r="C52" s="198">
        <v>60031895.245948687</v>
      </c>
      <c r="D52" s="198">
        <v>15623780.866811644</v>
      </c>
      <c r="E52" s="198">
        <v>19703783.300247163</v>
      </c>
      <c r="F52" s="198">
        <v>1639542.1555540059</v>
      </c>
      <c r="G52" s="198">
        <v>14363039.655284002</v>
      </c>
      <c r="H52" s="198">
        <v>2659870.4382593478</v>
      </c>
      <c r="I52" s="5">
        <f t="shared" si="3"/>
        <v>539319596.42525971</v>
      </c>
      <c r="J52" s="5">
        <f t="shared" si="0"/>
        <v>565368732.93259978</v>
      </c>
      <c r="K52" s="5">
        <f>+'COEF Art 14 F I'!AP53</f>
        <v>537690559.59417939</v>
      </c>
      <c r="L52" s="5">
        <f t="shared" si="4"/>
        <v>-27678173.338420391</v>
      </c>
      <c r="M52" s="177">
        <f t="shared" si="5"/>
        <v>-4.8955967541487712E-2</v>
      </c>
      <c r="N52" s="5">
        <f t="shared" si="6"/>
        <v>565368732.93259978</v>
      </c>
      <c r="O52" s="5">
        <f t="shared" si="7"/>
        <v>27678173.338420391</v>
      </c>
      <c r="P52" s="5">
        <f t="shared" si="8"/>
        <v>0</v>
      </c>
      <c r="Q52" s="5">
        <f t="shared" si="11"/>
        <v>0</v>
      </c>
      <c r="R52" s="5">
        <f t="shared" si="9"/>
        <v>0</v>
      </c>
      <c r="S52" s="5">
        <f t="shared" si="12"/>
        <v>565368732.93259978</v>
      </c>
      <c r="T52" s="177">
        <f t="shared" si="13"/>
        <v>4.8300000000000058E-2</v>
      </c>
      <c r="U52" s="180">
        <f t="shared" si="10"/>
        <v>7.2341325400269815E-2</v>
      </c>
    </row>
    <row r="53" spans="1:21" ht="12.75" customHeight="1">
      <c r="A53" s="4" t="s">
        <v>47</v>
      </c>
      <c r="B53" s="5">
        <v>724304822.74862874</v>
      </c>
      <c r="C53" s="198">
        <v>102237545.1434126</v>
      </c>
      <c r="D53" s="198">
        <v>26608138.809256099</v>
      </c>
      <c r="E53" s="198">
        <v>33556602.309545174</v>
      </c>
      <c r="F53" s="198">
        <v>2792228.4388400866</v>
      </c>
      <c r="G53" s="198">
        <v>24461028.743535973</v>
      </c>
      <c r="H53" s="198">
        <v>4529902.3609605283</v>
      </c>
      <c r="I53" s="5">
        <f t="shared" si="3"/>
        <v>918490268.55417907</v>
      </c>
      <c r="J53" s="5">
        <f t="shared" si="0"/>
        <v>962853348.52534592</v>
      </c>
      <c r="K53" s="5">
        <f>+'COEF Art 14 F I'!AP54</f>
        <v>1165171173.1216569</v>
      </c>
      <c r="L53" s="5">
        <f t="shared" si="4"/>
        <v>202317824.59631097</v>
      </c>
      <c r="M53" s="177">
        <f t="shared" si="5"/>
        <v>0.21012319779140823</v>
      </c>
      <c r="N53" s="5">
        <f t="shared" si="6"/>
        <v>0</v>
      </c>
      <c r="O53" s="5">
        <f t="shared" si="7"/>
        <v>0</v>
      </c>
      <c r="P53" s="5">
        <f t="shared" si="8"/>
        <v>1165171173.1216569</v>
      </c>
      <c r="Q53" s="5">
        <f t="shared" si="11"/>
        <v>202317824.59631097</v>
      </c>
      <c r="R53" s="5">
        <f t="shared" si="9"/>
        <v>72734695.727606028</v>
      </c>
      <c r="S53" s="5">
        <f t="shared" si="12"/>
        <v>1092436477.3940508</v>
      </c>
      <c r="T53" s="177">
        <f t="shared" si="13"/>
        <v>0.18938274557191043</v>
      </c>
      <c r="U53" s="180">
        <f t="shared" si="10"/>
        <v>0.13978187700682213</v>
      </c>
    </row>
    <row r="54" spans="1:21" s="11" customFormat="1" ht="12.75" customHeight="1">
      <c r="A54" s="4" t="s">
        <v>48</v>
      </c>
      <c r="B54" s="5">
        <v>221441748.31500369</v>
      </c>
      <c r="C54" s="198">
        <v>31257089.5967311</v>
      </c>
      <c r="D54" s="198">
        <v>8134907.5586131345</v>
      </c>
      <c r="E54" s="198">
        <v>10259261.638955295</v>
      </c>
      <c r="F54" s="198">
        <v>853668.1349777797</v>
      </c>
      <c r="G54" s="198">
        <v>7478471.4949613456</v>
      </c>
      <c r="H54" s="198">
        <v>1384927.2668101583</v>
      </c>
      <c r="I54" s="5">
        <f t="shared" si="3"/>
        <v>280810074.00605249</v>
      </c>
      <c r="J54" s="5">
        <f t="shared" si="0"/>
        <v>294373200.58054483</v>
      </c>
      <c r="K54" s="5">
        <f>+'COEF Art 14 F I'!AP55</f>
        <v>275279473.05232882</v>
      </c>
      <c r="L54" s="5">
        <f t="shared" si="4"/>
        <v>-19093727.528216004</v>
      </c>
      <c r="M54" s="177">
        <f t="shared" si="5"/>
        <v>-6.4862315898867567E-2</v>
      </c>
      <c r="N54" s="5">
        <f t="shared" si="6"/>
        <v>294373200.58054483</v>
      </c>
      <c r="O54" s="5">
        <f t="shared" si="7"/>
        <v>19093727.528216004</v>
      </c>
      <c r="P54" s="5">
        <f t="shared" si="8"/>
        <v>0</v>
      </c>
      <c r="Q54" s="5">
        <f t="shared" si="11"/>
        <v>0</v>
      </c>
      <c r="R54" s="5">
        <f t="shared" si="9"/>
        <v>0</v>
      </c>
      <c r="S54" s="5">
        <f t="shared" si="12"/>
        <v>294373200.58054483</v>
      </c>
      <c r="T54" s="177">
        <f t="shared" si="13"/>
        <v>4.8300000000000003E-2</v>
      </c>
      <c r="U54" s="180">
        <f t="shared" si="10"/>
        <v>3.7666298562101068E-2</v>
      </c>
    </row>
    <row r="55" spans="1:21" s="11" customFormat="1" ht="12.75" customHeight="1">
      <c r="A55" s="4" t="s">
        <v>49</v>
      </c>
      <c r="B55" s="5">
        <v>59031167.450255796</v>
      </c>
      <c r="C55" s="198">
        <v>8332405.7185797393</v>
      </c>
      <c r="D55" s="198">
        <v>2168575.2300050557</v>
      </c>
      <c r="E55" s="198">
        <v>2734878.1173081729</v>
      </c>
      <c r="F55" s="198">
        <v>227567.8683277868</v>
      </c>
      <c r="G55" s="198">
        <v>1993584.7980335688</v>
      </c>
      <c r="H55" s="198">
        <v>369189.07123694004</v>
      </c>
      <c r="I55" s="5">
        <f t="shared" si="3"/>
        <v>74857368.253747046</v>
      </c>
      <c r="J55" s="5">
        <f t="shared" si="0"/>
        <v>78472979.140403032</v>
      </c>
      <c r="K55" s="5">
        <f>+'COEF Art 14 F I'!AP56</f>
        <v>102450684.63362324</v>
      </c>
      <c r="L55" s="5">
        <f t="shared" si="4"/>
        <v>23977705.49322021</v>
      </c>
      <c r="M55" s="177">
        <f t="shared" si="5"/>
        <v>0.30555365370186277</v>
      </c>
      <c r="N55" s="5">
        <f t="shared" si="6"/>
        <v>0</v>
      </c>
      <c r="O55" s="5">
        <f t="shared" si="7"/>
        <v>0</v>
      </c>
      <c r="P55" s="5">
        <f t="shared" si="8"/>
        <v>102450684.63362324</v>
      </c>
      <c r="Q55" s="5">
        <f t="shared" si="11"/>
        <v>23977705.49322021</v>
      </c>
      <c r="R55" s="5">
        <f t="shared" si="9"/>
        <v>8620155.5239899494</v>
      </c>
      <c r="S55" s="5">
        <f t="shared" si="12"/>
        <v>93830529.109633297</v>
      </c>
      <c r="T55" s="177">
        <f t="shared" si="13"/>
        <v>0.2534574925419788</v>
      </c>
      <c r="U55" s="180">
        <f t="shared" si="10"/>
        <v>1.2006013851510036E-2</v>
      </c>
    </row>
    <row r="56" spans="1:21" ht="12.75" customHeight="1">
      <c r="A56" s="4" t="s">
        <v>50</v>
      </c>
      <c r="B56" s="5">
        <v>14182129.555242509</v>
      </c>
      <c r="C56" s="198">
        <v>2001845.1694579963</v>
      </c>
      <c r="D56" s="198">
        <v>520996.21590754075</v>
      </c>
      <c r="E56" s="198">
        <v>657049.4444336046</v>
      </c>
      <c r="F56" s="198">
        <v>54672.762383593654</v>
      </c>
      <c r="G56" s="198">
        <v>478955.08603993838</v>
      </c>
      <c r="H56" s="198">
        <v>88696.99626171538</v>
      </c>
      <c r="I56" s="5">
        <f t="shared" si="3"/>
        <v>17984345.229726899</v>
      </c>
      <c r="J56" s="5">
        <f t="shared" si="0"/>
        <v>18852989.104322709</v>
      </c>
      <c r="K56" s="5">
        <f>+'COEF Art 14 F I'!AP57</f>
        <v>13768388.718823936</v>
      </c>
      <c r="L56" s="5">
        <f t="shared" si="4"/>
        <v>-5084600.3854987733</v>
      </c>
      <c r="M56" s="177">
        <f t="shared" si="5"/>
        <v>-0.26969730674341452</v>
      </c>
      <c r="N56" s="5">
        <f t="shared" si="6"/>
        <v>18852989.104322709</v>
      </c>
      <c r="O56" s="5">
        <f t="shared" si="7"/>
        <v>5084600.3854987733</v>
      </c>
      <c r="P56" s="5">
        <f t="shared" si="8"/>
        <v>0</v>
      </c>
      <c r="Q56" s="5">
        <f t="shared" si="11"/>
        <v>0</v>
      </c>
      <c r="R56" s="5">
        <f t="shared" si="9"/>
        <v>0</v>
      </c>
      <c r="S56" s="5">
        <f t="shared" si="12"/>
        <v>18852989.104322709</v>
      </c>
      <c r="T56" s="177">
        <f t="shared" si="13"/>
        <v>4.830000000000003E-2</v>
      </c>
      <c r="U56" s="180">
        <f t="shared" si="10"/>
        <v>2.4123198544942197E-3</v>
      </c>
    </row>
    <row r="57" spans="1:21" ht="12.75" customHeight="1">
      <c r="A57" s="4" t="s">
        <v>51</v>
      </c>
      <c r="B57" s="5">
        <v>19538877.032701243</v>
      </c>
      <c r="C57" s="198">
        <v>2757964.2713169348</v>
      </c>
      <c r="D57" s="198">
        <v>717782.25953077164</v>
      </c>
      <c r="E57" s="198">
        <v>905224.30000276084</v>
      </c>
      <c r="F57" s="198">
        <v>75323.270534942145</v>
      </c>
      <c r="G57" s="198">
        <v>659861.72907734208</v>
      </c>
      <c r="H57" s="198">
        <v>122198.83455281158</v>
      </c>
      <c r="I57" s="5">
        <f t="shared" si="3"/>
        <v>24777231.69771681</v>
      </c>
      <c r="J57" s="5">
        <f t="shared" si="0"/>
        <v>25973971.988716532</v>
      </c>
      <c r="K57" s="5">
        <f>+'COEF Art 14 F I'!AP58</f>
        <v>9595318.71209055</v>
      </c>
      <c r="L57" s="5">
        <f t="shared" si="4"/>
        <v>-16378653.276625982</v>
      </c>
      <c r="M57" s="177">
        <f t="shared" si="5"/>
        <v>-0.63057946176815405</v>
      </c>
      <c r="N57" s="5">
        <f t="shared" si="6"/>
        <v>25973971.988716532</v>
      </c>
      <c r="O57" s="5">
        <f t="shared" si="7"/>
        <v>16378653.276625982</v>
      </c>
      <c r="P57" s="5">
        <f t="shared" si="8"/>
        <v>0</v>
      </c>
      <c r="Q57" s="5">
        <f t="shared" si="11"/>
        <v>0</v>
      </c>
      <c r="R57" s="5">
        <f t="shared" si="9"/>
        <v>0</v>
      </c>
      <c r="S57" s="5">
        <f t="shared" si="12"/>
        <v>25973971.988716532</v>
      </c>
      <c r="T57" s="177">
        <f t="shared" si="13"/>
        <v>4.8299999999999996E-2</v>
      </c>
      <c r="U57" s="180">
        <f t="shared" si="10"/>
        <v>3.32347979313748E-3</v>
      </c>
    </row>
    <row r="58" spans="1:21" s="187" customFormat="1" ht="16.5" customHeight="1" thickBot="1">
      <c r="A58" s="6" t="s">
        <v>52</v>
      </c>
      <c r="B58" s="7">
        <f>SUM(B7:B57)</f>
        <v>5552739458.5442934</v>
      </c>
      <c r="C58" s="7">
        <f t="shared" ref="C58:I58" si="14">SUM(C7:C57)</f>
        <v>783783889.36908042</v>
      </c>
      <c r="D58" s="7">
        <f t="shared" si="14"/>
        <v>203986025.83315057</v>
      </c>
      <c r="E58" s="7">
        <f t="shared" si="14"/>
        <v>257255044.95710856</v>
      </c>
      <c r="F58" s="7">
        <f t="shared" si="14"/>
        <v>21406066.261950191</v>
      </c>
      <c r="G58" s="7">
        <f t="shared" si="14"/>
        <v>187525631.79999995</v>
      </c>
      <c r="H58" s="7">
        <f t="shared" si="14"/>
        <v>34727599.199999988</v>
      </c>
      <c r="I58" s="7">
        <f t="shared" si="14"/>
        <v>7041423715.9655819</v>
      </c>
      <c r="J58" s="7">
        <f>SUM(J7:J57)</f>
        <v>7381524481.4467201</v>
      </c>
      <c r="K58" s="7">
        <f>SUM(K7:K57)</f>
        <v>7815294090.9552536</v>
      </c>
      <c r="L58" s="7">
        <f>SUM(L7:L57)</f>
        <v>433769609.5085333</v>
      </c>
      <c r="M58" s="178">
        <f t="shared" si="5"/>
        <v>5.876423096594785E-2</v>
      </c>
      <c r="N58" s="7">
        <f t="shared" ref="N58:S58" si="15">SUM(N7:N57)</f>
        <v>2635156171.478416</v>
      </c>
      <c r="O58" s="7">
        <f t="shared" si="15"/>
        <v>243473829.03103507</v>
      </c>
      <c r="P58" s="7">
        <f t="shared" si="15"/>
        <v>5423611748.5078735</v>
      </c>
      <c r="Q58" s="7">
        <f t="shared" si="15"/>
        <v>677243438.53956831</v>
      </c>
      <c r="R58" s="7">
        <f t="shared" si="15"/>
        <v>243473829.03103504</v>
      </c>
      <c r="S58" s="7">
        <f t="shared" si="15"/>
        <v>7815294090.9552526</v>
      </c>
      <c r="T58" s="178">
        <f t="shared" si="13"/>
        <v>0.10990254332160308</v>
      </c>
      <c r="U58" s="181">
        <f>SUM(U7:U57)</f>
        <v>0.99999999999999989</v>
      </c>
    </row>
    <row r="59" spans="1:21" ht="15" thickTop="1">
      <c r="K59" s="188">
        <f>+(K58-I58)/I58</f>
        <v>0.10990254332160322</v>
      </c>
      <c r="M59" s="189"/>
      <c r="N59" s="189"/>
      <c r="O59" s="189"/>
      <c r="P59" s="190"/>
      <c r="Q59" s="189"/>
      <c r="R59" s="189"/>
      <c r="S59" s="191"/>
      <c r="T59" s="189"/>
      <c r="U59" s="192"/>
    </row>
    <row r="60" spans="1:21">
      <c r="A60" s="98" t="s">
        <v>186</v>
      </c>
      <c r="B60" s="98"/>
      <c r="C60" s="98"/>
      <c r="D60" s="98"/>
      <c r="E60" s="98"/>
      <c r="F60" s="98"/>
      <c r="G60" s="98"/>
      <c r="H60" s="98"/>
      <c r="K60" s="193"/>
      <c r="M60" s="194"/>
    </row>
    <row r="61" spans="1:21">
      <c r="A61" s="98" t="s">
        <v>256</v>
      </c>
      <c r="B61" s="98"/>
      <c r="C61" s="98"/>
      <c r="D61" s="98"/>
      <c r="E61" s="98"/>
      <c r="F61" s="98"/>
      <c r="G61" s="98"/>
      <c r="H61" s="98"/>
      <c r="K61" s="195"/>
      <c r="L61" s="196"/>
    </row>
    <row r="65" spans="18:18">
      <c r="R65" s="197"/>
    </row>
  </sheetData>
  <mergeCells count="19">
    <mergeCell ref="C3:C4"/>
    <mergeCell ref="D3:D4"/>
    <mergeCell ref="E3:E4"/>
    <mergeCell ref="F3:F4"/>
    <mergeCell ref="G3:G4"/>
    <mergeCell ref="H3:H4"/>
    <mergeCell ref="A1:U1"/>
    <mergeCell ref="O3:O4"/>
    <mergeCell ref="A3:A4"/>
    <mergeCell ref="I3:I4"/>
    <mergeCell ref="K3:K4"/>
    <mergeCell ref="J3:J4"/>
    <mergeCell ref="U3:U4"/>
    <mergeCell ref="T3:T4"/>
    <mergeCell ref="S3:S4"/>
    <mergeCell ref="P3:P4"/>
    <mergeCell ref="L3:M4"/>
    <mergeCell ref="Q3:Q4"/>
    <mergeCell ref="B3:B4"/>
  </mergeCells>
  <conditionalFormatting sqref="T7:T57">
    <cfRule type="cellIs" dxfId="0" priority="1" operator="lessThan">
      <formula>$N$4-0.00001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4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M7" sqref="M7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81" customWidth="1"/>
    <col min="4" max="4" width="2.140625" style="11" customWidth="1"/>
    <col min="5" max="5" width="17.28515625" style="14" customWidth="1"/>
    <col min="6" max="6" width="15.7109375" style="81" customWidth="1"/>
    <col min="7" max="7" width="2" style="11" customWidth="1"/>
    <col min="8" max="8" width="16.140625" style="81" customWidth="1"/>
    <col min="9" max="9" width="2.140625" style="11" customWidth="1"/>
    <col min="10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51" customHeight="1">
      <c r="A1" s="351" t="s">
        <v>165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26.25" customHeight="1"/>
    <row r="3" spans="1:14" ht="37.5" customHeight="1" thickBot="1">
      <c r="B3" s="353" t="s">
        <v>127</v>
      </c>
      <c r="C3" s="354"/>
      <c r="E3" s="355" t="s">
        <v>129</v>
      </c>
      <c r="F3" s="355"/>
      <c r="H3" s="126" t="s">
        <v>128</v>
      </c>
    </row>
    <row r="4" spans="1:14" ht="39" customHeight="1" thickBot="1">
      <c r="A4" s="8" t="s">
        <v>0</v>
      </c>
      <c r="B4" s="8" t="s">
        <v>160</v>
      </c>
      <c r="C4" s="128" t="s">
        <v>115</v>
      </c>
      <c r="E4" s="86" t="s">
        <v>176</v>
      </c>
      <c r="F4" s="128" t="s">
        <v>116</v>
      </c>
      <c r="H4" s="128" t="s">
        <v>122</v>
      </c>
      <c r="J4" s="135" t="s">
        <v>119</v>
      </c>
      <c r="K4" s="135" t="s">
        <v>120</v>
      </c>
      <c r="L4" s="135" t="s">
        <v>121</v>
      </c>
      <c r="M4" s="135" t="s">
        <v>166</v>
      </c>
      <c r="N4" s="137" t="s">
        <v>114</v>
      </c>
    </row>
    <row r="5" spans="1:14">
      <c r="A5" s="102"/>
      <c r="B5" s="99"/>
      <c r="C5" s="105"/>
      <c r="D5" s="114"/>
      <c r="E5" s="121"/>
      <c r="F5" s="105"/>
      <c r="G5" s="114"/>
      <c r="H5" s="105"/>
      <c r="I5" s="114"/>
      <c r="J5" s="107" t="s">
        <v>130</v>
      </c>
      <c r="K5" s="107" t="s">
        <v>130</v>
      </c>
      <c r="L5" s="107" t="s">
        <v>130</v>
      </c>
      <c r="M5" s="107" t="s">
        <v>130</v>
      </c>
      <c r="N5" s="122"/>
    </row>
    <row r="6" spans="1:14" s="17" customFormat="1" ht="11.25">
      <c r="A6" s="87"/>
      <c r="B6" s="108" t="s">
        <v>57</v>
      </c>
      <c r="C6" s="123" t="s">
        <v>75</v>
      </c>
      <c r="D6" s="16"/>
      <c r="E6" s="88" t="s">
        <v>56</v>
      </c>
      <c r="F6" s="123" t="s">
        <v>76</v>
      </c>
      <c r="G6" s="16"/>
      <c r="H6" s="111" t="s">
        <v>72</v>
      </c>
      <c r="I6" s="16"/>
      <c r="J6" s="138">
        <f>+M6*0.35</f>
        <v>75710349.361818179</v>
      </c>
      <c r="K6" s="138">
        <f>+M6*0.35</f>
        <v>75710349.361818179</v>
      </c>
      <c r="L6" s="138">
        <f>+M6*0.3</f>
        <v>64894585.167272732</v>
      </c>
      <c r="M6" s="138">
        <f>+'PART PEF2019'!AC12</f>
        <v>216315283.89090911</v>
      </c>
      <c r="N6" s="139"/>
    </row>
    <row r="7" spans="1:14" s="25" customFormat="1" ht="23.25" customHeight="1" thickBot="1">
      <c r="A7" s="18"/>
      <c r="B7" s="18"/>
      <c r="C7" s="89"/>
      <c r="D7" s="19"/>
      <c r="E7" s="90"/>
      <c r="F7" s="91"/>
      <c r="G7" s="19"/>
      <c r="H7" s="21"/>
      <c r="I7" s="19"/>
      <c r="J7" s="138" t="s">
        <v>117</v>
      </c>
      <c r="K7" s="138" t="s">
        <v>71</v>
      </c>
      <c r="L7" s="138" t="s">
        <v>118</v>
      </c>
      <c r="M7" s="140" t="s">
        <v>132</v>
      </c>
      <c r="N7" s="141" t="s">
        <v>73</v>
      </c>
    </row>
    <row r="8" spans="1:14" ht="13.5" thickTop="1">
      <c r="A8" s="2" t="s">
        <v>1</v>
      </c>
      <c r="B8" s="142">
        <v>2639</v>
      </c>
      <c r="C8" s="129">
        <f t="shared" ref="C8:C58" si="0">+B8/$B$59</f>
        <v>5.1547962458863201E-4</v>
      </c>
      <c r="E8" s="92">
        <v>2997</v>
      </c>
      <c r="F8" s="129">
        <f t="shared" ref="F8:F59" si="1">(E8/E$59)</f>
        <v>5.6540598300273027E-4</v>
      </c>
      <c r="H8" s="143">
        <f>+'COEF Art 14 F I'!AQ8</f>
        <v>4.4676387536875039E-4</v>
      </c>
      <c r="J8" s="144">
        <f t="shared" ref="J8:J39" si="2">+C8*J$6</f>
        <v>39027.142466504207</v>
      </c>
      <c r="K8" s="145">
        <f t="shared" ref="K8:K39" si="3">+F8*K$6</f>
        <v>42807.084504398939</v>
      </c>
      <c r="L8" s="145">
        <f t="shared" ref="L8:L39" si="4">+H8*L$6</f>
        <v>28992.556359778191</v>
      </c>
      <c r="M8" s="145">
        <f>SUM(J8:L8)</f>
        <v>110826.78333068133</v>
      </c>
      <c r="N8" s="146">
        <f>+M8/M$59</f>
        <v>5.1233912526760207E-4</v>
      </c>
    </row>
    <row r="9" spans="1:14">
      <c r="A9" s="4" t="s">
        <v>2</v>
      </c>
      <c r="B9" s="147">
        <v>2439</v>
      </c>
      <c r="C9" s="130">
        <f t="shared" si="0"/>
        <v>4.7641334004231659E-4</v>
      </c>
      <c r="E9" s="93">
        <v>3480</v>
      </c>
      <c r="F9" s="130">
        <f t="shared" si="1"/>
        <v>6.5652746775091803E-4</v>
      </c>
      <c r="H9" s="148">
        <f>+'COEF Art 14 F I'!AQ9</f>
        <v>2.4368318122312271E-3</v>
      </c>
      <c r="J9" s="149">
        <f t="shared" si="2"/>
        <v>36069.420415234468</v>
      </c>
      <c r="K9" s="150">
        <f t="shared" si="3"/>
        <v>49705.923949051823</v>
      </c>
      <c r="L9" s="150">
        <f t="shared" si="4"/>
        <v>158137.18957715892</v>
      </c>
      <c r="M9" s="150">
        <f t="shared" ref="M9:M58" si="5">SUM(J9:L9)</f>
        <v>243912.5339414452</v>
      </c>
      <c r="N9" s="151">
        <f t="shared" ref="N9:N58" si="6">+M9/M$59</f>
        <v>1.1275788263970007E-3</v>
      </c>
    </row>
    <row r="10" spans="1:14">
      <c r="A10" s="4" t="s">
        <v>3</v>
      </c>
      <c r="B10" s="147">
        <v>1292</v>
      </c>
      <c r="C10" s="130">
        <f t="shared" si="0"/>
        <v>2.5236819816919762E-4</v>
      </c>
      <c r="E10" s="93">
        <v>1247</v>
      </c>
      <c r="F10" s="130">
        <f t="shared" si="1"/>
        <v>2.3525567594407894E-4</v>
      </c>
      <c r="H10" s="148">
        <f>+'COEF Art 14 F I'!AQ10</f>
        <v>2.6548687961543754E-3</v>
      </c>
      <c r="J10" s="149">
        <f t="shared" si="2"/>
        <v>19106.884451202513</v>
      </c>
      <c r="K10" s="150">
        <f t="shared" si="3"/>
        <v>17811.289415076903</v>
      </c>
      <c r="L10" s="150">
        <f t="shared" si="4"/>
        <v>172286.60919997495</v>
      </c>
      <c r="M10" s="150">
        <f t="shared" si="5"/>
        <v>209204.78306625437</v>
      </c>
      <c r="N10" s="151">
        <f t="shared" si="6"/>
        <v>9.6712899478595981E-4</v>
      </c>
    </row>
    <row r="11" spans="1:14" ht="13.5" customHeight="1">
      <c r="A11" s="4" t="s">
        <v>4</v>
      </c>
      <c r="B11" s="147">
        <v>34353</v>
      </c>
      <c r="C11" s="130">
        <f t="shared" si="0"/>
        <v>6.7102203650978689E-3</v>
      </c>
      <c r="E11" s="93">
        <v>36535</v>
      </c>
      <c r="F11" s="130">
        <f t="shared" si="1"/>
        <v>6.8925951247930427E-3</v>
      </c>
      <c r="H11" s="148">
        <f>+'COEF Art 14 F I'!AQ11</f>
        <v>7.320038752529184E-3</v>
      </c>
      <c r="J11" s="149">
        <f t="shared" si="2"/>
        <v>508033.12813634682</v>
      </c>
      <c r="K11" s="150">
        <f t="shared" si="3"/>
        <v>521840.78490764601</v>
      </c>
      <c r="L11" s="150">
        <f t="shared" si="4"/>
        <v>475030.87825374195</v>
      </c>
      <c r="M11" s="150">
        <f t="shared" si="5"/>
        <v>1504904.7912977347</v>
      </c>
      <c r="N11" s="151">
        <f t="shared" si="6"/>
        <v>6.9569970472205759E-3</v>
      </c>
    </row>
    <row r="12" spans="1:14">
      <c r="A12" s="4" t="s">
        <v>5</v>
      </c>
      <c r="B12" s="147">
        <v>18194</v>
      </c>
      <c r="C12" s="130">
        <f t="shared" si="0"/>
        <v>3.5538599051783142E-3</v>
      </c>
      <c r="E12" s="93">
        <v>19787</v>
      </c>
      <c r="F12" s="130">
        <f t="shared" si="1"/>
        <v>3.7329623575825905E-3</v>
      </c>
      <c r="H12" s="148">
        <f>+'COEF Art 14 F I'!AQ12</f>
        <v>7.2844235978765338E-3</v>
      </c>
      <c r="J12" s="149">
        <f t="shared" si="2"/>
        <v>269063.97500400821</v>
      </c>
      <c r="K12" s="150">
        <f t="shared" si="3"/>
        <v>282623.88424709439</v>
      </c>
      <c r="L12" s="150">
        <f t="shared" si="4"/>
        <v>472719.64756688999</v>
      </c>
      <c r="M12" s="150">
        <f t="shared" si="5"/>
        <v>1024407.5068179927</v>
      </c>
      <c r="N12" s="151">
        <f t="shared" si="6"/>
        <v>4.7357148713292789E-3</v>
      </c>
    </row>
    <row r="13" spans="1:14">
      <c r="A13" s="4" t="s">
        <v>6</v>
      </c>
      <c r="B13" s="147">
        <v>597207</v>
      </c>
      <c r="C13" s="130">
        <f t="shared" si="0"/>
        <v>0.11665329297525698</v>
      </c>
      <c r="E13" s="93">
        <v>636331</v>
      </c>
      <c r="F13" s="130">
        <f t="shared" si="1"/>
        <v>0.12004850002339351</v>
      </c>
      <c r="H13" s="148">
        <f>+'COEF Art 14 F I'!AQ13</f>
        <v>6.2991998515920175E-2</v>
      </c>
      <c r="J13" s="149">
        <f t="shared" si="2"/>
        <v>8831861.5653632358</v>
      </c>
      <c r="K13" s="150">
        <f t="shared" si="3"/>
        <v>9088913.8771333601</v>
      </c>
      <c r="L13" s="150">
        <f t="shared" si="4"/>
        <v>4087839.6125480994</v>
      </c>
      <c r="M13" s="150">
        <f t="shared" si="5"/>
        <v>22008615.055044696</v>
      </c>
      <c r="N13" s="151">
        <f t="shared" si="6"/>
        <v>0.10174322710430375</v>
      </c>
    </row>
    <row r="14" spans="1:14">
      <c r="A14" s="4" t="s">
        <v>7</v>
      </c>
      <c r="B14" s="147">
        <v>16152</v>
      </c>
      <c r="C14" s="130">
        <f t="shared" si="0"/>
        <v>3.1549931399604335E-3</v>
      </c>
      <c r="E14" s="93">
        <v>16364</v>
      </c>
      <c r="F14" s="130">
        <f t="shared" si="1"/>
        <v>3.0871883569758684E-3</v>
      </c>
      <c r="H14" s="148">
        <f>+'COEF Art 14 F I'!AQ14</f>
        <v>1.0420916955353358E-2</v>
      </c>
      <c r="J14" s="149">
        <f t="shared" si="2"/>
        <v>238865.63286054414</v>
      </c>
      <c r="K14" s="150">
        <f t="shared" si="3"/>
        <v>233732.10905238046</v>
      </c>
      <c r="L14" s="150">
        <f t="shared" si="4"/>
        <v>676261.08288025495</v>
      </c>
      <c r="M14" s="150">
        <f t="shared" si="5"/>
        <v>1148858.8247931795</v>
      </c>
      <c r="N14" s="151">
        <f t="shared" si="6"/>
        <v>5.3110386105337153E-3</v>
      </c>
    </row>
    <row r="15" spans="1:14">
      <c r="A15" s="4" t="s">
        <v>8</v>
      </c>
      <c r="B15" s="147">
        <v>3977</v>
      </c>
      <c r="C15" s="130">
        <f t="shared" si="0"/>
        <v>7.7683306820348224E-4</v>
      </c>
      <c r="E15" s="93">
        <v>4216</v>
      </c>
      <c r="F15" s="130">
        <f t="shared" si="1"/>
        <v>7.9537925403387079E-4</v>
      </c>
      <c r="H15" s="148">
        <f>+'COEF Art 14 F I'!AQ15</f>
        <v>1.3580209499982649E-3</v>
      </c>
      <c r="J15" s="149">
        <f t="shared" si="2"/>
        <v>58814.30298949877</v>
      </c>
      <c r="K15" s="150">
        <f t="shared" si="3"/>
        <v>60218.44119804669</v>
      </c>
      <c r="L15" s="150">
        <f t="shared" si="4"/>
        <v>88128.206198603031</v>
      </c>
      <c r="M15" s="150">
        <f t="shared" si="5"/>
        <v>207160.9503861485</v>
      </c>
      <c r="N15" s="151">
        <f t="shared" si="6"/>
        <v>9.5768059778255342E-4</v>
      </c>
    </row>
    <row r="16" spans="1:14">
      <c r="A16" s="4" t="s">
        <v>9</v>
      </c>
      <c r="B16" s="147">
        <v>95534</v>
      </c>
      <c r="C16" s="130">
        <f t="shared" si="0"/>
        <v>1.8660792139238488E-2</v>
      </c>
      <c r="E16" s="93">
        <v>100728</v>
      </c>
      <c r="F16" s="130">
        <f t="shared" si="1"/>
        <v>1.9003074359659332E-2</v>
      </c>
      <c r="H16" s="148">
        <f>+'COEF Art 14 F I'!AQ16</f>
        <v>1.2560790500063177E-2</v>
      </c>
      <c r="J16" s="149">
        <f t="shared" si="2"/>
        <v>1412815.0922300164</v>
      </c>
      <c r="K16" s="150">
        <f t="shared" si="3"/>
        <v>1438729.3987184174</v>
      </c>
      <c r="L16" s="150">
        <f t="shared" si="4"/>
        <v>815127.28887462011</v>
      </c>
      <c r="M16" s="150">
        <f t="shared" si="5"/>
        <v>3666671.7798230541</v>
      </c>
      <c r="N16" s="151">
        <f t="shared" si="6"/>
        <v>1.6950590424633198E-2</v>
      </c>
    </row>
    <row r="17" spans="1:14">
      <c r="A17" s="4" t="s">
        <v>10</v>
      </c>
      <c r="B17" s="147">
        <v>38306</v>
      </c>
      <c r="C17" s="130">
        <f t="shared" si="0"/>
        <v>7.4823654791557935E-3</v>
      </c>
      <c r="E17" s="93">
        <v>23214</v>
      </c>
      <c r="F17" s="130">
        <f t="shared" si="1"/>
        <v>4.3794909874625889E-3</v>
      </c>
      <c r="H17" s="148">
        <f>+'COEF Art 14 F I'!AQ17</f>
        <v>2.913424399799816E-3</v>
      </c>
      <c r="J17" s="149">
        <f t="shared" si="2"/>
        <v>566492.50447969325</v>
      </c>
      <c r="K17" s="150">
        <f t="shared" si="3"/>
        <v>331572.79268772667</v>
      </c>
      <c r="L17" s="150">
        <f t="shared" si="4"/>
        <v>189065.46784121959</v>
      </c>
      <c r="M17" s="150">
        <f t="shared" si="5"/>
        <v>1087130.7650086395</v>
      </c>
      <c r="N17" s="151">
        <f t="shared" si="6"/>
        <v>5.0256770832563802E-3</v>
      </c>
    </row>
    <row r="18" spans="1:14">
      <c r="A18" s="4" t="s">
        <v>11</v>
      </c>
      <c r="B18" s="147">
        <v>7757</v>
      </c>
      <c r="C18" s="130">
        <f t="shared" si="0"/>
        <v>1.5151858461288437E-3</v>
      </c>
      <c r="E18" s="93">
        <v>8146</v>
      </c>
      <c r="F18" s="130">
        <f t="shared" si="1"/>
        <v>1.5368025150284421E-3</v>
      </c>
      <c r="H18" s="148">
        <f>+'COEF Art 14 F I'!AQ18</f>
        <v>4.2194870553740578E-3</v>
      </c>
      <c r="J18" s="149">
        <f t="shared" si="2"/>
        <v>114715.24975849684</v>
      </c>
      <c r="K18" s="150">
        <f t="shared" si="3"/>
        <v>116351.85531292418</v>
      </c>
      <c r="L18" s="150">
        <f t="shared" si="4"/>
        <v>273821.86207717663</v>
      </c>
      <c r="M18" s="150">
        <f t="shared" si="5"/>
        <v>504888.96714859764</v>
      </c>
      <c r="N18" s="151">
        <f t="shared" si="6"/>
        <v>2.3340420430172683E-3</v>
      </c>
    </row>
    <row r="19" spans="1:14">
      <c r="A19" s="4" t="s">
        <v>12</v>
      </c>
      <c r="B19" s="147">
        <v>10835</v>
      </c>
      <c r="C19" s="130">
        <f t="shared" si="0"/>
        <v>2.1164159652966382E-3</v>
      </c>
      <c r="E19" s="93">
        <v>11557</v>
      </c>
      <c r="F19" s="130">
        <f t="shared" si="1"/>
        <v>2.1803126278153334E-3</v>
      </c>
      <c r="H19" s="148">
        <f>+'COEF Art 14 F I'!AQ19</f>
        <v>7.0644351540848751E-3</v>
      </c>
      <c r="J19" s="149">
        <f t="shared" si="2"/>
        <v>160234.59212753814</v>
      </c>
      <c r="K19" s="150">
        <f t="shared" si="3"/>
        <v>165072.23076988274</v>
      </c>
      <c r="L19" s="150">
        <f t="shared" si="4"/>
        <v>458443.58876543638</v>
      </c>
      <c r="M19" s="150">
        <f t="shared" si="5"/>
        <v>783750.41166285728</v>
      </c>
      <c r="N19" s="151">
        <f t="shared" si="6"/>
        <v>3.623185553814654E-3</v>
      </c>
    </row>
    <row r="20" spans="1:14">
      <c r="A20" s="4" t="s">
        <v>13</v>
      </c>
      <c r="B20" s="147">
        <v>42715</v>
      </c>
      <c r="C20" s="130">
        <f t="shared" si="0"/>
        <v>8.3435817219793176E-3</v>
      </c>
      <c r="E20" s="93">
        <v>35078</v>
      </c>
      <c r="F20" s="130">
        <f t="shared" si="1"/>
        <v>6.6177214120019257E-3</v>
      </c>
      <c r="H20" s="148">
        <f>+'COEF Art 14 F I'!AQ20</f>
        <v>3.8663688905713699E-3</v>
      </c>
      <c r="J20" s="149">
        <f t="shared" si="2"/>
        <v>631695.4870999346</v>
      </c>
      <c r="K20" s="150">
        <f t="shared" si="3"/>
        <v>501030.00008185051</v>
      </c>
      <c r="L20" s="150">
        <f t="shared" si="4"/>
        <v>250906.40525727754</v>
      </c>
      <c r="M20" s="150">
        <f t="shared" si="5"/>
        <v>1383631.8924390627</v>
      </c>
      <c r="N20" s="151">
        <f t="shared" si="6"/>
        <v>6.3963667640648484E-3</v>
      </c>
    </row>
    <row r="21" spans="1:14">
      <c r="A21" s="4" t="s">
        <v>14</v>
      </c>
      <c r="B21" s="147">
        <v>34110</v>
      </c>
      <c r="C21" s="130">
        <f t="shared" si="0"/>
        <v>6.6627548293740953E-3</v>
      </c>
      <c r="E21" s="93">
        <v>37995</v>
      </c>
      <c r="F21" s="130">
        <f t="shared" si="1"/>
        <v>7.1680348095391174E-3</v>
      </c>
      <c r="H21" s="148">
        <f>+'COEF Art 14 F I'!AQ21</f>
        <v>2.3570333897761319E-2</v>
      </c>
      <c r="J21" s="149">
        <f t="shared" si="2"/>
        <v>504439.49584405404</v>
      </c>
      <c r="K21" s="150">
        <f t="shared" si="3"/>
        <v>542694.4196678804</v>
      </c>
      <c r="L21" s="150">
        <f t="shared" si="4"/>
        <v>1529587.0405493274</v>
      </c>
      <c r="M21" s="150">
        <f t="shared" si="5"/>
        <v>2576720.9560612617</v>
      </c>
      <c r="N21" s="151">
        <f t="shared" si="6"/>
        <v>1.1911876542948023E-2</v>
      </c>
    </row>
    <row r="22" spans="1:14">
      <c r="A22" s="4" t="s">
        <v>15</v>
      </c>
      <c r="B22" s="147">
        <v>1632</v>
      </c>
      <c r="C22" s="130">
        <f t="shared" si="0"/>
        <v>3.1878088189793386E-4</v>
      </c>
      <c r="E22" s="93">
        <v>1822</v>
      </c>
      <c r="F22" s="130">
        <f t="shared" si="1"/>
        <v>3.4373363397763578E-4</v>
      </c>
      <c r="H22" s="148">
        <f>+'COEF Art 14 F I'!AQ22</f>
        <v>3.025504881672682E-3</v>
      </c>
      <c r="J22" s="149">
        <f t="shared" si="2"/>
        <v>24135.011938361073</v>
      </c>
      <c r="K22" s="150">
        <f t="shared" si="3"/>
        <v>26024.193515854142</v>
      </c>
      <c r="L22" s="150">
        <f t="shared" si="4"/>
        <v>196338.88421770727</v>
      </c>
      <c r="M22" s="150">
        <f t="shared" si="5"/>
        <v>246498.0896719225</v>
      </c>
      <c r="N22" s="151">
        <f t="shared" si="6"/>
        <v>1.1395315450582544E-3</v>
      </c>
    </row>
    <row r="23" spans="1:14">
      <c r="A23" s="4" t="s">
        <v>16</v>
      </c>
      <c r="B23" s="147">
        <v>2861</v>
      </c>
      <c r="C23" s="130">
        <f t="shared" si="0"/>
        <v>5.588432004350421E-4</v>
      </c>
      <c r="E23" s="93">
        <v>3654</v>
      </c>
      <c r="F23" s="130">
        <f t="shared" si="1"/>
        <v>6.8935384113846386E-4</v>
      </c>
      <c r="H23" s="148">
        <f>+'COEF Art 14 F I'!AQ23</f>
        <v>1.1288486414847783E-3</v>
      </c>
      <c r="J23" s="149">
        <f t="shared" si="2"/>
        <v>42310.213943413619</v>
      </c>
      <c r="K23" s="150">
        <f t="shared" si="3"/>
        <v>52191.220146504405</v>
      </c>
      <c r="L23" s="150">
        <f t="shared" si="4"/>
        <v>73256.164305794067</v>
      </c>
      <c r="M23" s="150">
        <f t="shared" si="5"/>
        <v>167757.59839571209</v>
      </c>
      <c r="N23" s="151">
        <f t="shared" si="6"/>
        <v>7.7552355699616086E-4</v>
      </c>
    </row>
    <row r="24" spans="1:14">
      <c r="A24" s="4" t="s">
        <v>17</v>
      </c>
      <c r="B24" s="147">
        <v>41130</v>
      </c>
      <c r="C24" s="130">
        <f t="shared" si="0"/>
        <v>8.0339814169497672E-3</v>
      </c>
      <c r="E24" s="93">
        <v>42420</v>
      </c>
      <c r="F24" s="130">
        <f t="shared" si="1"/>
        <v>8.0028434431017072E-3</v>
      </c>
      <c r="H24" s="148">
        <f>+'COEF Art 14 F I'!AQ24</f>
        <v>1.7531571126368096E-2</v>
      </c>
      <c r="J24" s="149">
        <f t="shared" si="2"/>
        <v>608255.5398436219</v>
      </c>
      <c r="K24" s="150">
        <f t="shared" si="3"/>
        <v>605898.07296516618</v>
      </c>
      <c r="L24" s="150">
        <f t="shared" si="4"/>
        <v>1137704.0355761938</v>
      </c>
      <c r="M24" s="150">
        <f t="shared" si="5"/>
        <v>2351857.6483849818</v>
      </c>
      <c r="N24" s="151">
        <f t="shared" si="6"/>
        <v>1.0872360038928448E-2</v>
      </c>
    </row>
    <row r="25" spans="1:14">
      <c r="A25" s="4" t="s">
        <v>18</v>
      </c>
      <c r="B25" s="147">
        <v>247370</v>
      </c>
      <c r="C25" s="130">
        <f t="shared" si="0"/>
        <v>4.8319134041110233E-2</v>
      </c>
      <c r="E25" s="93">
        <v>204735</v>
      </c>
      <c r="F25" s="130">
        <f t="shared" si="1"/>
        <v>3.8624756066087416E-2</v>
      </c>
      <c r="H25" s="148">
        <f>+'COEF Art 14 F I'!AQ25</f>
        <v>2.350523229333577E-2</v>
      </c>
      <c r="J25" s="149">
        <f t="shared" si="2"/>
        <v>3658258.5191129772</v>
      </c>
      <c r="K25" s="150">
        <f t="shared" si="3"/>
        <v>2924293.7757784841</v>
      </c>
      <c r="L25" s="150">
        <f t="shared" si="4"/>
        <v>1525362.2989364075</v>
      </c>
      <c r="M25" s="150">
        <f t="shared" si="5"/>
        <v>8107914.5938278697</v>
      </c>
      <c r="N25" s="151">
        <f t="shared" si="6"/>
        <v>3.7481931225519925E-2</v>
      </c>
    </row>
    <row r="26" spans="1:14">
      <c r="A26" s="4" t="s">
        <v>19</v>
      </c>
      <c r="B26" s="147">
        <v>5479</v>
      </c>
      <c r="C26" s="130">
        <f t="shared" si="0"/>
        <v>1.0702208651463111E-3</v>
      </c>
      <c r="E26" s="93">
        <v>5835</v>
      </c>
      <c r="F26" s="130">
        <f t="shared" si="1"/>
        <v>1.1008154523927029E-3</v>
      </c>
      <c r="H26" s="148">
        <f>+'COEF Art 14 F I'!AQ26</f>
        <v>2.7232098342419306E-3</v>
      </c>
      <c r="J26" s="149">
        <f t="shared" si="2"/>
        <v>81026.795594534517</v>
      </c>
      <c r="K26" s="150">
        <f t="shared" si="3"/>
        <v>83343.122483539468</v>
      </c>
      <c r="L26" s="150">
        <f t="shared" si="4"/>
        <v>176721.57251656763</v>
      </c>
      <c r="M26" s="150">
        <f t="shared" si="5"/>
        <v>341091.49059464165</v>
      </c>
      <c r="N26" s="151">
        <f t="shared" si="6"/>
        <v>1.5768256614112348E-3</v>
      </c>
    </row>
    <row r="27" spans="1:14">
      <c r="A27" s="4" t="s">
        <v>20</v>
      </c>
      <c r="B27" s="147">
        <v>425148</v>
      </c>
      <c r="C27" s="130">
        <f t="shared" si="0"/>
        <v>8.3044763711484545E-2</v>
      </c>
      <c r="E27" s="93">
        <v>425926</v>
      </c>
      <c r="F27" s="130">
        <f t="shared" si="1"/>
        <v>8.0354056962436068E-2</v>
      </c>
      <c r="H27" s="148">
        <f>+'COEF Art 14 F I'!AQ27</f>
        <v>4.5708276578502884E-2</v>
      </c>
      <c r="J27" s="149">
        <f t="shared" si="2"/>
        <v>6287348.0732661355</v>
      </c>
      <c r="K27" s="150">
        <f t="shared" si="3"/>
        <v>6083633.7252654731</v>
      </c>
      <c r="L27" s="150">
        <f t="shared" si="4"/>
        <v>2966219.6472729128</v>
      </c>
      <c r="M27" s="150">
        <f t="shared" si="5"/>
        <v>15337201.445804521</v>
      </c>
      <c r="N27" s="151">
        <f t="shared" si="6"/>
        <v>7.0902070209423101E-2</v>
      </c>
    </row>
    <row r="28" spans="1:14">
      <c r="A28" s="4" t="s">
        <v>21</v>
      </c>
      <c r="B28" s="147">
        <v>14795</v>
      </c>
      <c r="C28" s="130">
        <f t="shared" si="0"/>
        <v>2.8899283993136836E-3</v>
      </c>
      <c r="E28" s="93">
        <v>15163</v>
      </c>
      <c r="F28" s="130">
        <f t="shared" si="1"/>
        <v>2.8606109176744741E-3</v>
      </c>
      <c r="H28" s="148">
        <f>+'COEF Art 14 F I'!AQ28</f>
        <v>6.3385163746026178E-3</v>
      </c>
      <c r="J28" s="149">
        <f t="shared" si="2"/>
        <v>218797.48874267898</v>
      </c>
      <c r="K28" s="150">
        <f t="shared" si="3"/>
        <v>216577.85196536573</v>
      </c>
      <c r="L28" s="150">
        <f t="shared" si="4"/>
        <v>411335.39070580236</v>
      </c>
      <c r="M28" s="150">
        <f t="shared" si="5"/>
        <v>846710.73141384707</v>
      </c>
      <c r="N28" s="151">
        <f t="shared" si="6"/>
        <v>3.9142436733266422E-3</v>
      </c>
    </row>
    <row r="29" spans="1:14">
      <c r="A29" s="4" t="s">
        <v>22</v>
      </c>
      <c r="B29" s="147">
        <v>1044</v>
      </c>
      <c r="C29" s="130">
        <f t="shared" si="0"/>
        <v>2.0392600533176652E-4</v>
      </c>
      <c r="E29" s="93">
        <v>1220</v>
      </c>
      <c r="F29" s="130">
        <f t="shared" si="1"/>
        <v>2.3016192834945977E-4</v>
      </c>
      <c r="H29" s="148">
        <f>+'COEF Art 14 F I'!AQ29</f>
        <v>5.281810486437305E-4</v>
      </c>
      <c r="J29" s="149">
        <f t="shared" si="2"/>
        <v>15439.30910762804</v>
      </c>
      <c r="K29" s="150">
        <f t="shared" si="3"/>
        <v>17425.640005127363</v>
      </c>
      <c r="L29" s="150">
        <f t="shared" si="4"/>
        <v>34276.09004494999</v>
      </c>
      <c r="M29" s="150">
        <f t="shared" si="5"/>
        <v>67141.039157705396</v>
      </c>
      <c r="N29" s="151">
        <f t="shared" si="6"/>
        <v>3.1038509138154848E-4</v>
      </c>
    </row>
    <row r="30" spans="1:14">
      <c r="A30" s="4" t="s">
        <v>23</v>
      </c>
      <c r="B30" s="147">
        <v>6011</v>
      </c>
      <c r="C30" s="130">
        <f t="shared" si="0"/>
        <v>1.17413718203951E-3</v>
      </c>
      <c r="E30" s="93">
        <v>6369</v>
      </c>
      <c r="F30" s="130">
        <f t="shared" si="1"/>
        <v>1.2015584603751715E-3</v>
      </c>
      <c r="H30" s="148">
        <f>+'COEF Art 14 F I'!AQ30</f>
        <v>5.2015325600007403E-3</v>
      </c>
      <c r="J30" s="149">
        <f t="shared" si="2"/>
        <v>88894.336250912005</v>
      </c>
      <c r="K30" s="150">
        <f t="shared" si="3"/>
        <v>90970.410813652605</v>
      </c>
      <c r="L30" s="150">
        <f t="shared" si="4"/>
        <v>337551.29771531018</v>
      </c>
      <c r="M30" s="150">
        <f t="shared" si="5"/>
        <v>517416.04477987479</v>
      </c>
      <c r="N30" s="151">
        <f t="shared" si="6"/>
        <v>2.3919532428453615E-3</v>
      </c>
    </row>
    <row r="31" spans="1:14">
      <c r="A31" s="4" t="s">
        <v>24</v>
      </c>
      <c r="B31" s="147">
        <v>67294</v>
      </c>
      <c r="C31" s="130">
        <f t="shared" si="0"/>
        <v>1.3144632761298751E-2</v>
      </c>
      <c r="E31" s="93">
        <v>82657</v>
      </c>
      <c r="F31" s="130">
        <f t="shared" si="1"/>
        <v>1.5593847960312537E-2</v>
      </c>
      <c r="H31" s="148">
        <f>+'COEF Art 14 F I'!AQ31</f>
        <v>5.1002466585912077E-3</v>
      </c>
      <c r="J31" s="149">
        <f t="shared" si="2"/>
        <v>995184.73859072931</v>
      </c>
      <c r="K31" s="150">
        <f t="shared" si="3"/>
        <v>1180615.676970338</v>
      </c>
      <c r="L31" s="150">
        <f t="shared" si="4"/>
        <v>330978.39116004528</v>
      </c>
      <c r="M31" s="150">
        <f t="shared" si="5"/>
        <v>2506778.8067211127</v>
      </c>
      <c r="N31" s="151">
        <f t="shared" si="6"/>
        <v>1.1588542250141318E-2</v>
      </c>
    </row>
    <row r="32" spans="1:14">
      <c r="A32" s="4" t="s">
        <v>25</v>
      </c>
      <c r="B32" s="147">
        <v>682880</v>
      </c>
      <c r="C32" s="130">
        <f t="shared" si="0"/>
        <v>0.1333879219549394</v>
      </c>
      <c r="E32" s="93">
        <v>720743</v>
      </c>
      <c r="F32" s="130">
        <f t="shared" si="1"/>
        <v>0.1359734415773563</v>
      </c>
      <c r="H32" s="148">
        <f>+'COEF Art 14 F I'!AQ32</f>
        <v>8.1298622370956614E-2</v>
      </c>
      <c r="J32" s="149">
        <f t="shared" si="2"/>
        <v>10098846.171855399</v>
      </c>
      <c r="K32" s="150">
        <f t="shared" si="3"/>
        <v>10294596.765750419</v>
      </c>
      <c r="L32" s="150">
        <f t="shared" si="4"/>
        <v>5275840.3734339885</v>
      </c>
      <c r="M32" s="150">
        <f t="shared" si="5"/>
        <v>25669283.311039809</v>
      </c>
      <c r="N32" s="151">
        <f t="shared" si="6"/>
        <v>0.11866606394759054</v>
      </c>
    </row>
    <row r="33" spans="1:14">
      <c r="A33" s="4" t="s">
        <v>26</v>
      </c>
      <c r="B33" s="147">
        <v>1764</v>
      </c>
      <c r="C33" s="130">
        <f t="shared" si="0"/>
        <v>3.4456462969850206E-4</v>
      </c>
      <c r="E33" s="93">
        <v>2105</v>
      </c>
      <c r="F33" s="130">
        <f t="shared" si="1"/>
        <v>3.9712365506197768E-4</v>
      </c>
      <c r="H33" s="148">
        <f>+'COEF Art 14 F I'!AQ33</f>
        <v>1.377511684178681E-3</v>
      </c>
      <c r="J33" s="149">
        <f t="shared" si="2"/>
        <v>26087.108492199102</v>
      </c>
      <c r="K33" s="150">
        <f t="shared" si="3"/>
        <v>30066.370664584505</v>
      </c>
      <c r="L33" s="150">
        <f t="shared" si="4"/>
        <v>89393.049307846712</v>
      </c>
      <c r="M33" s="150">
        <f t="shared" si="5"/>
        <v>145546.5284646303</v>
      </c>
      <c r="N33" s="151">
        <f t="shared" si="6"/>
        <v>6.7284440491977243E-4</v>
      </c>
    </row>
    <row r="34" spans="1:14">
      <c r="A34" s="4" t="s">
        <v>27</v>
      </c>
      <c r="B34" s="147">
        <v>13836</v>
      </c>
      <c r="C34" s="130">
        <f t="shared" si="0"/>
        <v>2.702605564914101E-3</v>
      </c>
      <c r="E34" s="93">
        <v>18447</v>
      </c>
      <c r="F34" s="130">
        <f t="shared" si="1"/>
        <v>3.4801615510348231E-3</v>
      </c>
      <c r="H34" s="148">
        <f>+'COEF Art 14 F I'!AQ34</f>
        <v>3.2187586547037551E-3</v>
      </c>
      <c r="J34" s="149">
        <f t="shared" si="2"/>
        <v>204615.21150684057</v>
      </c>
      <c r="K34" s="150">
        <f t="shared" si="3"/>
        <v>263484.24686441349</v>
      </c>
      <c r="L34" s="150">
        <f t="shared" si="4"/>
        <v>208880.00765056905</v>
      </c>
      <c r="M34" s="150">
        <f t="shared" si="5"/>
        <v>676979.46602182311</v>
      </c>
      <c r="N34" s="151">
        <f t="shared" si="6"/>
        <v>3.1295960869932513E-3</v>
      </c>
    </row>
    <row r="35" spans="1:14">
      <c r="A35" s="4" t="s">
        <v>28</v>
      </c>
      <c r="B35" s="147">
        <v>1511</v>
      </c>
      <c r="C35" s="130">
        <f t="shared" si="0"/>
        <v>2.9514577974741303E-4</v>
      </c>
      <c r="E35" s="93">
        <v>1785</v>
      </c>
      <c r="F35" s="130">
        <f t="shared" si="1"/>
        <v>3.3675331319982433E-4</v>
      </c>
      <c r="H35" s="148">
        <f>+'COEF Art 14 F I'!AQ35</f>
        <v>2.1051500554698428E-3</v>
      </c>
      <c r="J35" s="149">
        <f t="shared" si="2"/>
        <v>22345.59009734288</v>
      </c>
      <c r="K35" s="150">
        <f t="shared" si="3"/>
        <v>25495.710991108477</v>
      </c>
      <c r="L35" s="150">
        <f t="shared" si="4"/>
        <v>136612.83956457663</v>
      </c>
      <c r="M35" s="150">
        <f t="shared" si="5"/>
        <v>184454.14065302798</v>
      </c>
      <c r="N35" s="151">
        <f t="shared" si="6"/>
        <v>8.5270969917248618E-4</v>
      </c>
    </row>
    <row r="36" spans="1:14">
      <c r="A36" s="4" t="s">
        <v>29</v>
      </c>
      <c r="B36" s="147">
        <v>6921</v>
      </c>
      <c r="C36" s="130">
        <f t="shared" si="0"/>
        <v>1.3518887767252452E-3</v>
      </c>
      <c r="E36" s="93">
        <v>7416</v>
      </c>
      <c r="F36" s="130">
        <f t="shared" si="1"/>
        <v>1.3990826726554045E-3</v>
      </c>
      <c r="H36" s="148">
        <f>+'COEF Art 14 F I'!AQ36</f>
        <v>2.3337408779132299E-3</v>
      </c>
      <c r="J36" s="149">
        <f t="shared" si="2"/>
        <v>102351.97158418933</v>
      </c>
      <c r="K36" s="150">
        <f t="shared" si="3"/>
        <v>105925.03793280698</v>
      </c>
      <c r="L36" s="150">
        <f t="shared" si="4"/>
        <v>151447.14616008592</v>
      </c>
      <c r="M36" s="150">
        <f t="shared" si="5"/>
        <v>359724.15567708225</v>
      </c>
      <c r="N36" s="151">
        <f t="shared" si="6"/>
        <v>1.662962270657197E-3</v>
      </c>
    </row>
    <row r="37" spans="1:14">
      <c r="A37" s="4" t="s">
        <v>30</v>
      </c>
      <c r="B37" s="147">
        <v>3571</v>
      </c>
      <c r="C37" s="130">
        <f t="shared" si="0"/>
        <v>6.9752851057446193E-4</v>
      </c>
      <c r="E37" s="93">
        <v>3719</v>
      </c>
      <c r="F37" s="130">
        <f t="shared" si="1"/>
        <v>7.0161656682921384E-4</v>
      </c>
      <c r="H37" s="148">
        <f>+'COEF Art 14 F I'!AQ37</f>
        <v>2.726087445303815E-3</v>
      </c>
      <c r="J37" s="149">
        <f t="shared" si="2"/>
        <v>52810.127225421202</v>
      </c>
      <c r="K37" s="150">
        <f t="shared" si="3"/>
        <v>53119.635392679229</v>
      </c>
      <c r="L37" s="150">
        <f t="shared" si="4"/>
        <v>176908.31389270138</v>
      </c>
      <c r="M37" s="150">
        <f t="shared" si="5"/>
        <v>282838.07651080179</v>
      </c>
      <c r="N37" s="151">
        <f t="shared" si="6"/>
        <v>1.3075270106824315E-3</v>
      </c>
    </row>
    <row r="38" spans="1:14">
      <c r="A38" s="4" t="s">
        <v>31</v>
      </c>
      <c r="B38" s="147">
        <v>333481</v>
      </c>
      <c r="C38" s="130">
        <f t="shared" si="0"/>
        <v>6.5139318183949066E-2</v>
      </c>
      <c r="E38" s="93">
        <v>363859</v>
      </c>
      <c r="F38" s="130">
        <f t="shared" si="1"/>
        <v>6.8644663186316457E-2</v>
      </c>
      <c r="H38" s="148">
        <f>+'COEF Art 14 F I'!AQ38</f>
        <v>2.453832951377561E-2</v>
      </c>
      <c r="J38" s="149">
        <f t="shared" si="2"/>
        <v>4931720.53689742</v>
      </c>
      <c r="K38" s="150">
        <f t="shared" si="3"/>
        <v>5197111.4316603579</v>
      </c>
      <c r="L38" s="150">
        <f t="shared" si="4"/>
        <v>1592404.7144943133</v>
      </c>
      <c r="M38" s="150">
        <f t="shared" si="5"/>
        <v>11721236.683052093</v>
      </c>
      <c r="N38" s="151">
        <f t="shared" si="6"/>
        <v>5.4185892333725644E-2</v>
      </c>
    </row>
    <row r="39" spans="1:14">
      <c r="A39" s="4" t="s">
        <v>32</v>
      </c>
      <c r="B39" s="147">
        <v>5238</v>
      </c>
      <c r="C39" s="130">
        <f t="shared" si="0"/>
        <v>1.0231459922680009E-3</v>
      </c>
      <c r="E39" s="93">
        <v>6266</v>
      </c>
      <c r="F39" s="130">
        <f t="shared" si="1"/>
        <v>1.1821267565882909E-3</v>
      </c>
      <c r="H39" s="148">
        <f>+'COEF Art 14 F I'!AQ39</f>
        <v>4.4212673286792535E-3</v>
      </c>
      <c r="J39" s="149">
        <f t="shared" si="2"/>
        <v>77462.740522754466</v>
      </c>
      <c r="K39" s="150">
        <f t="shared" si="3"/>
        <v>89499.229731252504</v>
      </c>
      <c r="L39" s="150">
        <f t="shared" si="4"/>
        <v>286916.30920825619</v>
      </c>
      <c r="M39" s="150">
        <f t="shared" si="5"/>
        <v>453878.27946226316</v>
      </c>
      <c r="N39" s="151">
        <f t="shared" si="6"/>
        <v>2.0982256607034789E-3</v>
      </c>
    </row>
    <row r="40" spans="1:14">
      <c r="A40" s="4" t="s">
        <v>33</v>
      </c>
      <c r="B40" s="147">
        <v>79853</v>
      </c>
      <c r="C40" s="130">
        <f t="shared" si="0"/>
        <v>1.5597800099384627E-2</v>
      </c>
      <c r="E40" s="93">
        <v>88540</v>
      </c>
      <c r="F40" s="130">
        <f t="shared" si="1"/>
        <v>1.6703718963984562E-2</v>
      </c>
      <c r="H40" s="148">
        <f>+'COEF Art 14 F I'!AQ40</f>
        <v>1.6987872554517492E-2</v>
      </c>
      <c r="J40" s="149">
        <f t="shared" ref="J40:J58" si="7">+C40*J$6</f>
        <v>1180914.8948002125</v>
      </c>
      <c r="K40" s="150">
        <f t="shared" ref="K40:K58" si="8">+F40*K$6</f>
        <v>1264644.3984048988</v>
      </c>
      <c r="L40" s="150">
        <f t="shared" ref="L40:L58" si="9">+H40*L$6</f>
        <v>1102420.9422999104</v>
      </c>
      <c r="M40" s="150">
        <f t="shared" si="5"/>
        <v>3547980.2355050216</v>
      </c>
      <c r="N40" s="151">
        <f t="shared" si="6"/>
        <v>1.640189343853447E-2</v>
      </c>
    </row>
    <row r="41" spans="1:14">
      <c r="A41" s="4" t="s">
        <v>34</v>
      </c>
      <c r="B41" s="147">
        <v>5630</v>
      </c>
      <c r="C41" s="130">
        <f t="shared" si="0"/>
        <v>1.0997159099787792E-3</v>
      </c>
      <c r="E41" s="93">
        <v>5910</v>
      </c>
      <c r="F41" s="130">
        <f t="shared" si="1"/>
        <v>1.1149647512666452E-3</v>
      </c>
      <c r="H41" s="148">
        <f>+'COEF Art 14 F I'!AQ41</f>
        <v>3.9262949885903557E-3</v>
      </c>
      <c r="J41" s="149">
        <f t="shared" si="7"/>
        <v>83259.875743243159</v>
      </c>
      <c r="K41" s="150">
        <f t="shared" si="8"/>
        <v>84414.370844510413</v>
      </c>
      <c r="L41" s="150">
        <f t="shared" si="9"/>
        <v>254795.28452891295</v>
      </c>
      <c r="M41" s="150">
        <f t="shared" si="5"/>
        <v>422469.53111666651</v>
      </c>
      <c r="N41" s="151">
        <f t="shared" si="6"/>
        <v>1.9530267280130058E-3</v>
      </c>
    </row>
    <row r="42" spans="1:14">
      <c r="A42" s="4" t="s">
        <v>35</v>
      </c>
      <c r="B42" s="147">
        <v>955</v>
      </c>
      <c r="C42" s="130">
        <f t="shared" si="0"/>
        <v>1.8654150870865615E-4</v>
      </c>
      <c r="E42" s="93">
        <v>807</v>
      </c>
      <c r="F42" s="130">
        <f t="shared" si="1"/>
        <v>1.5224645588361805E-4</v>
      </c>
      <c r="H42" s="148">
        <f>+'COEF Art 14 F I'!AQ42</f>
        <v>3.8095314274861347E-3</v>
      </c>
      <c r="J42" s="149">
        <f t="shared" si="7"/>
        <v>14123.122794813005</v>
      </c>
      <c r="K42" s="150">
        <f t="shared" si="8"/>
        <v>11526.632364047362</v>
      </c>
      <c r="L42" s="150">
        <f t="shared" si="9"/>
        <v>247217.96166840103</v>
      </c>
      <c r="M42" s="150">
        <f t="shared" si="5"/>
        <v>272867.71682726138</v>
      </c>
      <c r="N42" s="151">
        <f t="shared" si="6"/>
        <v>1.2614352158531368E-3</v>
      </c>
    </row>
    <row r="43" spans="1:14">
      <c r="A43" s="4" t="s">
        <v>36</v>
      </c>
      <c r="B43" s="147">
        <v>6996</v>
      </c>
      <c r="C43" s="130">
        <f t="shared" si="0"/>
        <v>1.3665386334301135E-3</v>
      </c>
      <c r="E43" s="93">
        <v>7441</v>
      </c>
      <c r="F43" s="130">
        <f t="shared" si="1"/>
        <v>1.4037991056133853E-3</v>
      </c>
      <c r="H43" s="148">
        <f>+'COEF Art 14 F I'!AQ43</f>
        <v>3.8428381959386597E-3</v>
      </c>
      <c r="J43" s="149">
        <f t="shared" si="7"/>
        <v>103461.11735341548</v>
      </c>
      <c r="K43" s="150">
        <f t="shared" si="8"/>
        <v>106282.1207197973</v>
      </c>
      <c r="L43" s="150">
        <f t="shared" si="9"/>
        <v>249379.39059039004</v>
      </c>
      <c r="M43" s="150">
        <f t="shared" si="5"/>
        <v>459122.62866360287</v>
      </c>
      <c r="N43" s="151">
        <f t="shared" si="6"/>
        <v>2.1224696674468236E-3</v>
      </c>
    </row>
    <row r="44" spans="1:14">
      <c r="A44" s="4" t="s">
        <v>37</v>
      </c>
      <c r="B44" s="147">
        <v>5326</v>
      </c>
      <c r="C44" s="130">
        <f t="shared" si="0"/>
        <v>1.0403351574683798E-3</v>
      </c>
      <c r="E44" s="93">
        <v>5821</v>
      </c>
      <c r="F44" s="130">
        <f t="shared" si="1"/>
        <v>1.0981742499362338E-3</v>
      </c>
      <c r="H44" s="148">
        <f>+'COEF Art 14 F I'!AQ44</f>
        <v>4.8561665346687479E-3</v>
      </c>
      <c r="J44" s="149">
        <f t="shared" si="7"/>
        <v>78764.13822531316</v>
      </c>
      <c r="K44" s="150">
        <f t="shared" si="8"/>
        <v>83143.15612282489</v>
      </c>
      <c r="L44" s="150">
        <f t="shared" si="9"/>
        <v>315138.91277052078</v>
      </c>
      <c r="M44" s="150">
        <f t="shared" si="5"/>
        <v>477046.20711865881</v>
      </c>
      <c r="N44" s="151">
        <f t="shared" si="6"/>
        <v>2.2053282529922399E-3</v>
      </c>
    </row>
    <row r="45" spans="1:14">
      <c r="A45" s="4" t="s">
        <v>38</v>
      </c>
      <c r="B45" s="147">
        <v>60829</v>
      </c>
      <c r="C45" s="130">
        <f t="shared" si="0"/>
        <v>1.1881815113339104E-2</v>
      </c>
      <c r="E45" s="93">
        <v>66164</v>
      </c>
      <c r="F45" s="130">
        <f t="shared" si="1"/>
        <v>1.2482322809273489E-2</v>
      </c>
      <c r="H45" s="148">
        <f>+'COEF Art 14 F I'!AQ45</f>
        <v>1.1990238890005158E-2</v>
      </c>
      <c r="J45" s="149">
        <f t="shared" si="7"/>
        <v>899576.37328343489</v>
      </c>
      <c r="K45" s="150">
        <f t="shared" si="8"/>
        <v>945041.02073708759</v>
      </c>
      <c r="L45" s="150">
        <f t="shared" si="9"/>
        <v>778101.57882338541</v>
      </c>
      <c r="M45" s="150">
        <f t="shared" si="5"/>
        <v>2622718.9728439078</v>
      </c>
      <c r="N45" s="151">
        <f t="shared" si="6"/>
        <v>1.212451993991596E-2</v>
      </c>
    </row>
    <row r="46" spans="1:14">
      <c r="A46" s="4" t="s">
        <v>39</v>
      </c>
      <c r="B46" s="147">
        <v>1109171</v>
      </c>
      <c r="C46" s="130">
        <f t="shared" si="0"/>
        <v>0.21665594948260614</v>
      </c>
      <c r="E46" s="93">
        <v>1216302</v>
      </c>
      <c r="F46" s="130">
        <f t="shared" si="1"/>
        <v>0.22946427358631524</v>
      </c>
      <c r="H46" s="148">
        <f>+'COEF Art 14 F I'!AQ46</f>
        <v>0.27687040159666199</v>
      </c>
      <c r="J46" s="149">
        <f t="shared" si="7"/>
        <v>16403097.626644541</v>
      </c>
      <c r="K46" s="150">
        <f t="shared" si="8"/>
        <v>17372820.319275755</v>
      </c>
      <c r="L46" s="150">
        <f t="shared" si="9"/>
        <v>17967389.856711585</v>
      </c>
      <c r="M46" s="150">
        <f t="shared" si="5"/>
        <v>51743307.802631885</v>
      </c>
      <c r="N46" s="151">
        <f t="shared" si="6"/>
        <v>0.23920319855312119</v>
      </c>
    </row>
    <row r="47" spans="1:14">
      <c r="A47" s="4" t="s">
        <v>40</v>
      </c>
      <c r="B47" s="147">
        <v>971</v>
      </c>
      <c r="C47" s="130">
        <f t="shared" si="0"/>
        <v>1.8966681147236138E-4</v>
      </c>
      <c r="E47" s="93">
        <v>1131</v>
      </c>
      <c r="F47" s="130">
        <f t="shared" si="1"/>
        <v>2.1337142701904836E-4</v>
      </c>
      <c r="H47" s="148">
        <f>+'COEF Art 14 F I'!AQ47</f>
        <v>1.0369956733375309E-3</v>
      </c>
      <c r="J47" s="149">
        <f t="shared" si="7"/>
        <v>14359.740558914584</v>
      </c>
      <c r="K47" s="150">
        <f t="shared" si="8"/>
        <v>16154.425283441842</v>
      </c>
      <c r="L47" s="150">
        <f t="shared" si="9"/>
        <v>67295.404041495727</v>
      </c>
      <c r="M47" s="150">
        <f t="shared" si="5"/>
        <v>97809.569883852149</v>
      </c>
      <c r="N47" s="151">
        <f t="shared" si="6"/>
        <v>4.5216208547325281E-4</v>
      </c>
    </row>
    <row r="48" spans="1:14">
      <c r="A48" s="4" t="s">
        <v>41</v>
      </c>
      <c r="B48" s="147">
        <v>87168</v>
      </c>
      <c r="C48" s="130">
        <f t="shared" si="0"/>
        <v>1.7026649456666116E-2</v>
      </c>
      <c r="E48" s="93">
        <v>30099</v>
      </c>
      <c r="F48" s="130">
        <f t="shared" si="1"/>
        <v>5.6783966240904829E-3</v>
      </c>
      <c r="H48" s="148">
        <f>+'COEF Art 14 F I'!AQ48</f>
        <v>6.8249328385285432E-3</v>
      </c>
      <c r="J48" s="149">
        <f t="shared" si="7"/>
        <v>1289093.5788254032</v>
      </c>
      <c r="K48" s="150">
        <f t="shared" si="8"/>
        <v>429913.39222485939</v>
      </c>
      <c r="L48" s="150">
        <f t="shared" si="9"/>
        <v>442901.18535080698</v>
      </c>
      <c r="M48" s="150">
        <f t="shared" si="5"/>
        <v>2161908.1564010698</v>
      </c>
      <c r="N48" s="151">
        <f t="shared" si="6"/>
        <v>9.9942459798233758E-3</v>
      </c>
    </row>
    <row r="49" spans="1:14">
      <c r="A49" s="4" t="s">
        <v>42</v>
      </c>
      <c r="B49" s="147">
        <v>4469</v>
      </c>
      <c r="C49" s="130">
        <f t="shared" si="0"/>
        <v>8.7293612818741819E-4</v>
      </c>
      <c r="E49" s="93">
        <v>5066</v>
      </c>
      <c r="F49" s="130">
        <f t="shared" si="1"/>
        <v>9.5573797460521566E-4</v>
      </c>
      <c r="H49" s="148">
        <f>+'COEF Art 14 F I'!AQ49</f>
        <v>1.8957386768042495E-3</v>
      </c>
      <c r="J49" s="149">
        <f t="shared" si="7"/>
        <v>66090.299235622326</v>
      </c>
      <c r="K49" s="150">
        <f t="shared" si="8"/>
        <v>72359.255955717395</v>
      </c>
      <c r="L49" s="150">
        <f t="shared" si="9"/>
        <v>123023.17501676628</v>
      </c>
      <c r="M49" s="150">
        <f t="shared" si="5"/>
        <v>261472.73020810599</v>
      </c>
      <c r="N49" s="151">
        <f t="shared" si="6"/>
        <v>1.2087575390186971E-3</v>
      </c>
    </row>
    <row r="50" spans="1:14">
      <c r="A50" s="4" t="s">
        <v>43</v>
      </c>
      <c r="B50" s="147">
        <v>2640</v>
      </c>
      <c r="C50" s="130">
        <f t="shared" si="0"/>
        <v>5.1567495601136364E-4</v>
      </c>
      <c r="E50" s="93">
        <v>2777</v>
      </c>
      <c r="F50" s="130">
        <f t="shared" si="1"/>
        <v>5.2390137297249979E-4</v>
      </c>
      <c r="H50" s="148">
        <f>+'COEF Art 14 F I'!AQ50</f>
        <v>3.291914035524045E-3</v>
      </c>
      <c r="J50" s="149">
        <f t="shared" si="7"/>
        <v>39041.931076760564</v>
      </c>
      <c r="K50" s="150">
        <f t="shared" si="8"/>
        <v>39664.755978884168</v>
      </c>
      <c r="L50" s="150">
        <f t="shared" si="9"/>
        <v>213627.39574165561</v>
      </c>
      <c r="M50" s="150">
        <f t="shared" si="5"/>
        <v>292334.0827973003</v>
      </c>
      <c r="N50" s="151">
        <f t="shared" si="6"/>
        <v>1.3514259258015661E-3</v>
      </c>
    </row>
    <row r="51" spans="1:14">
      <c r="A51" s="4" t="s">
        <v>44</v>
      </c>
      <c r="B51" s="147">
        <v>35456</v>
      </c>
      <c r="C51" s="130">
        <f t="shared" si="0"/>
        <v>6.9256709243707987E-3</v>
      </c>
      <c r="E51" s="93">
        <v>38520</v>
      </c>
      <c r="F51" s="130">
        <f t="shared" si="1"/>
        <v>7.2670799016567129E-3</v>
      </c>
      <c r="H51" s="148">
        <f>+'COEF Art 14 F I'!AQ51</f>
        <v>5.5665633958154109E-3</v>
      </c>
      <c r="J51" s="149">
        <f t="shared" si="7"/>
        <v>524344.96524909942</v>
      </c>
      <c r="K51" s="150">
        <f t="shared" si="8"/>
        <v>550193.15819467709</v>
      </c>
      <c r="L51" s="150">
        <f t="shared" si="9"/>
        <v>361239.82237876608</v>
      </c>
      <c r="M51" s="150">
        <f t="shared" si="5"/>
        <v>1435777.9458225425</v>
      </c>
      <c r="N51" s="151">
        <f t="shared" si="6"/>
        <v>6.6374318078542549E-3</v>
      </c>
    </row>
    <row r="52" spans="1:14">
      <c r="A52" s="4" t="s">
        <v>45</v>
      </c>
      <c r="B52" s="147">
        <v>54192</v>
      </c>
      <c r="C52" s="130">
        <f t="shared" si="0"/>
        <v>1.0585400460669627E-2</v>
      </c>
      <c r="E52" s="93">
        <v>38080</v>
      </c>
      <c r="F52" s="130">
        <f t="shared" si="1"/>
        <v>7.1840706815962524E-3</v>
      </c>
      <c r="H52" s="148">
        <f>+'COEF Art 14 F I'!AQ52</f>
        <v>7.9711848455725678E-3</v>
      </c>
      <c r="J52" s="149">
        <f t="shared" si="7"/>
        <v>801424.36701204861</v>
      </c>
      <c r="K52" s="150">
        <f t="shared" si="8"/>
        <v>543908.50114364747</v>
      </c>
      <c r="L52" s="150">
        <f t="shared" si="9"/>
        <v>517286.73384508275</v>
      </c>
      <c r="M52" s="150">
        <f t="shared" si="5"/>
        <v>1862619.6020007788</v>
      </c>
      <c r="N52" s="151">
        <f t="shared" si="6"/>
        <v>8.6106703534648311E-3</v>
      </c>
    </row>
    <row r="53" spans="1:14">
      <c r="A53" s="4" t="s">
        <v>46</v>
      </c>
      <c r="B53" s="147">
        <v>430143</v>
      </c>
      <c r="C53" s="130">
        <f t="shared" si="0"/>
        <v>8.4020444168028771E-2</v>
      </c>
      <c r="E53" s="93">
        <v>459392</v>
      </c>
      <c r="F53" s="130">
        <f t="shared" si="1"/>
        <v>8.6667662777307392E-2</v>
      </c>
      <c r="H53" s="148">
        <f>+'COEF Art 14 F I'!AQ53</f>
        <v>6.8799785822065987E-2</v>
      </c>
      <c r="J53" s="149">
        <f t="shared" si="7"/>
        <v>6361217.1814965969</v>
      </c>
      <c r="K53" s="150">
        <f t="shared" si="8"/>
        <v>6561639.0272421874</v>
      </c>
      <c r="L53" s="150">
        <f t="shared" si="9"/>
        <v>4464733.5605201842</v>
      </c>
      <c r="M53" s="150">
        <f t="shared" si="5"/>
        <v>17387589.769258969</v>
      </c>
      <c r="N53" s="151">
        <f t="shared" si="6"/>
        <v>8.0380773177487472E-2</v>
      </c>
    </row>
    <row r="54" spans="1:14">
      <c r="A54" s="4" t="s">
        <v>47</v>
      </c>
      <c r="B54" s="147">
        <v>123156</v>
      </c>
      <c r="C54" s="130">
        <f t="shared" si="0"/>
        <v>2.4056236697930111E-2</v>
      </c>
      <c r="E54" s="93">
        <v>135338</v>
      </c>
      <c r="F54" s="130">
        <f t="shared" si="1"/>
        <v>2.5532504146687857E-2</v>
      </c>
      <c r="H54" s="148">
        <f>+'COEF Art 14 F I'!AQ54</f>
        <v>0.14908858957337578</v>
      </c>
      <c r="J54" s="149">
        <f t="shared" si="7"/>
        <v>1821306.0847308801</v>
      </c>
      <c r="K54" s="150">
        <f t="shared" si="8"/>
        <v>1933074.809027809</v>
      </c>
      <c r="L54" s="150">
        <f t="shared" si="9"/>
        <v>9675042.173538005</v>
      </c>
      <c r="M54" s="150">
        <f t="shared" si="5"/>
        <v>13429423.067296695</v>
      </c>
      <c r="N54" s="151">
        <f t="shared" si="6"/>
        <v>6.2082636167629053E-2</v>
      </c>
    </row>
    <row r="55" spans="1:14">
      <c r="A55" s="4" t="s">
        <v>48</v>
      </c>
      <c r="B55" s="147">
        <v>296954</v>
      </c>
      <c r="C55" s="130">
        <f t="shared" si="0"/>
        <v>5.8004447305832756E-2</v>
      </c>
      <c r="E55" s="93">
        <v>296472</v>
      </c>
      <c r="F55" s="130">
        <f t="shared" si="1"/>
        <v>5.593161247673855E-2</v>
      </c>
      <c r="H55" s="148">
        <f>+'COEF Art 14 F I'!AQ55</f>
        <v>3.5223175206025005E-2</v>
      </c>
      <c r="J55" s="149">
        <f t="shared" si="7"/>
        <v>4391536.9700637711</v>
      </c>
      <c r="K55" s="150">
        <f t="shared" si="8"/>
        <v>4234601.9209837038</v>
      </c>
      <c r="L55" s="150">
        <f t="shared" si="9"/>
        <v>2285793.3432691591</v>
      </c>
      <c r="M55" s="150">
        <f t="shared" si="5"/>
        <v>10911932.234316632</v>
      </c>
      <c r="N55" s="151">
        <f t="shared" si="6"/>
        <v>5.0444573485707467E-2</v>
      </c>
    </row>
    <row r="56" spans="1:14">
      <c r="A56" s="4" t="s">
        <v>49</v>
      </c>
      <c r="B56" s="147">
        <v>42407</v>
      </c>
      <c r="C56" s="130">
        <f t="shared" si="0"/>
        <v>8.2834196437779912E-3</v>
      </c>
      <c r="E56" s="93">
        <v>44571</v>
      </c>
      <c r="F56" s="130">
        <f t="shared" si="1"/>
        <v>8.4086453348063694E-3</v>
      </c>
      <c r="H56" s="148">
        <f>+'COEF Art 14 F I'!AQ56</f>
        <v>1.3108999282853709E-2</v>
      </c>
      <c r="J56" s="149">
        <f t="shared" si="7"/>
        <v>627140.59514097916</v>
      </c>
      <c r="K56" s="150">
        <f t="shared" si="8"/>
        <v>636621.47595781286</v>
      </c>
      <c r="L56" s="150">
        <f t="shared" si="9"/>
        <v>850703.07041886717</v>
      </c>
      <c r="M56" s="150">
        <f t="shared" si="5"/>
        <v>2114465.1415176592</v>
      </c>
      <c r="N56" s="151">
        <f t="shared" si="6"/>
        <v>9.7749225273606414E-3</v>
      </c>
    </row>
    <row r="57" spans="1:14">
      <c r="A57" s="4" t="s">
        <v>50</v>
      </c>
      <c r="B57" s="147">
        <v>1632</v>
      </c>
      <c r="C57" s="130">
        <f t="shared" si="0"/>
        <v>3.1878088189793386E-4</v>
      </c>
      <c r="E57" s="93">
        <v>2105</v>
      </c>
      <c r="F57" s="130">
        <f t="shared" si="1"/>
        <v>3.9712365506197768E-4</v>
      </c>
      <c r="H57" s="148">
        <f>+'COEF Art 14 F I'!AQ57</f>
        <v>1.7617236867334628E-3</v>
      </c>
      <c r="J57" s="149">
        <f t="shared" si="7"/>
        <v>24135.011938361073</v>
      </c>
      <c r="K57" s="150">
        <f t="shared" si="8"/>
        <v>30066.370664584505</v>
      </c>
      <c r="L57" s="150">
        <f t="shared" si="9"/>
        <v>114326.32782992641</v>
      </c>
      <c r="M57" s="150">
        <f t="shared" si="5"/>
        <v>168527.710432872</v>
      </c>
      <c r="N57" s="151">
        <f t="shared" si="6"/>
        <v>7.7908369395600829E-4</v>
      </c>
    </row>
    <row r="58" spans="1:14">
      <c r="A58" s="4" t="s">
        <v>51</v>
      </c>
      <c r="B58" s="147">
        <v>4080</v>
      </c>
      <c r="C58" s="130">
        <f t="shared" si="0"/>
        <v>7.9695220474483466E-4</v>
      </c>
      <c r="E58" s="93">
        <v>4264</v>
      </c>
      <c r="F58" s="130">
        <f t="shared" si="1"/>
        <v>8.0443480531319376E-4</v>
      </c>
      <c r="H58" s="148">
        <f>+'COEF Art 14 F I'!AQ58</f>
        <v>1.2277616939835115E-3</v>
      </c>
      <c r="J58" s="149">
        <f t="shared" si="7"/>
        <v>60337.529845902682</v>
      </c>
      <c r="K58" s="150">
        <f t="shared" si="8"/>
        <v>60904.040149068089</v>
      </c>
      <c r="L58" s="150">
        <f t="shared" si="9"/>
        <v>79675.085815328028</v>
      </c>
      <c r="M58" s="150">
        <f t="shared" si="5"/>
        <v>200916.65581029881</v>
      </c>
      <c r="N58" s="151">
        <f t="shared" si="6"/>
        <v>9.2881396171536372E-4</v>
      </c>
    </row>
    <row r="59" spans="1:14" ht="13.5" thickBot="1">
      <c r="A59" s="6" t="s">
        <v>52</v>
      </c>
      <c r="B59" s="152">
        <f>SUM(B8:B58)</f>
        <v>5119504</v>
      </c>
      <c r="C59" s="131">
        <f>SUM(C8:C58)</f>
        <v>0.99999999999999989</v>
      </c>
      <c r="E59" s="153">
        <f>SUM(E8:E58)</f>
        <v>5300616</v>
      </c>
      <c r="F59" s="131">
        <f t="shared" si="1"/>
        <v>1</v>
      </c>
      <c r="H59" s="154">
        <f>SUM(H8:H58)</f>
        <v>1</v>
      </c>
      <c r="J59" s="155">
        <f>SUM(J8:J58)</f>
        <v>75710349.361818194</v>
      </c>
      <c r="K59" s="156">
        <f>SUM(K8:K58)</f>
        <v>75710349.361818165</v>
      </c>
      <c r="L59" s="156">
        <f>SUM(L8:L58)</f>
        <v>64894585.167272739</v>
      </c>
      <c r="M59" s="156">
        <f>SUM(M8:M58)</f>
        <v>216315283.89090902</v>
      </c>
      <c r="N59" s="157">
        <f>SUM(N8:N58)</f>
        <v>1.0000000000000004</v>
      </c>
    </row>
    <row r="60" spans="1:14" ht="13.5" thickTop="1"/>
    <row r="61" spans="1:14" ht="15.75" customHeight="1">
      <c r="A61" s="14" t="s">
        <v>97</v>
      </c>
    </row>
    <row r="62" spans="1:14">
      <c r="A62" s="14" t="s">
        <v>161</v>
      </c>
    </row>
    <row r="63" spans="1:14">
      <c r="A63" s="14" t="s">
        <v>136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11</vt:i4>
      </vt:variant>
    </vt:vector>
  </HeadingPairs>
  <TitlesOfParts>
    <vt:vector size="21" baseType="lpstr">
      <vt:lpstr>PART anual</vt:lpstr>
      <vt:lpstr>SALDOS</vt:lpstr>
      <vt:lpstr>AJUSTE ANUAL 2019</vt:lpstr>
      <vt:lpstr>COEF DEFINITIVO 2019 ANUAL</vt:lpstr>
      <vt:lpstr>COEF PROVISIONAL 2019 ANUAL</vt:lpstr>
      <vt:lpstr>COEF Art 14 F I</vt:lpstr>
      <vt:lpstr>PART PEF2019</vt:lpstr>
      <vt:lpstr>CALCULO GARANTIA</vt:lpstr>
      <vt:lpstr>COEF Art 14 F II</vt:lpstr>
      <vt:lpstr>Art.14 Frac.III</vt:lpstr>
      <vt:lpstr>'AJUSTE ANUAL 2019'!Área_de_impresión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'COEF DEFINITIVO 2019 ANUAL'!Área_de_impresión</vt:lpstr>
      <vt:lpstr>'PART anual'!Área_de_impresión</vt:lpstr>
      <vt:lpstr>'PART PEF2019'!Área_de_impresión</vt:lpstr>
      <vt:lpstr>SALDOS!Área_de_impresión</vt:lpstr>
      <vt:lpstr>'COEF Art 14 F I'!Títulos_a_imprimir</vt:lpstr>
      <vt:lpstr>'COEF DEFINITIVO 2019 ANUAL'!Títulos_a_imprimir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Yadira Guadalupe Hinojosa Martínez</cp:lastModifiedBy>
  <cp:lastPrinted>2020-02-18T22:51:50Z</cp:lastPrinted>
  <dcterms:created xsi:type="dcterms:W3CDTF">2009-12-17T23:31:03Z</dcterms:created>
  <dcterms:modified xsi:type="dcterms:W3CDTF">2021-08-17T16:57:04Z</dcterms:modified>
</cp:coreProperties>
</file>