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2023 PLANEACION HACENDARIA\acuerdo participaciones\Acuerdo\"/>
    </mc:Choice>
  </mc:AlternateContent>
  <bookViews>
    <workbookView xWindow="-120" yWindow="-120" windowWidth="29040" windowHeight="15720" activeTab="1"/>
  </bookViews>
  <sheets>
    <sheet name="PART PEF2023" sheetId="43" r:id="rId1"/>
    <sheet name="Distr" sheetId="48" r:id="rId2"/>
    <sheet name="COEF Art 14 F I" sheetId="1" r:id="rId3"/>
    <sheet name="CALCULO GARANTIA" sheetId="28" r:id="rId4"/>
    <sheet name="COEF Art 14 F II" sheetId="36" r:id="rId5"/>
    <sheet name="Art.14 Frac.III" sheetId="44" r:id="rId6"/>
    <sheet name="ISR BI" sheetId="49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1" hidden="1">Distr!#REF!</definedName>
    <definedName name="A_impresión_IM" localSheetId="3">#REF!</definedName>
    <definedName name="A_impresión_IM" localSheetId="4">#REF!</definedName>
    <definedName name="A_impresión_IM" localSheetId="1">#REF!</definedName>
    <definedName name="A_impresión_IM" localSheetId="6">#REF!</definedName>
    <definedName name="A_impresión_IM" localSheetId="0">#REF!</definedName>
    <definedName name="A_impresión_IM">#REF!</definedName>
    <definedName name="AJUSTES" localSheetId="3" hidden="1">{"'beneficiarios'!$A$1:$C$7"}</definedName>
    <definedName name="AJUSTES" localSheetId="1" hidden="1">{"'beneficiarios'!$A$1:$C$7"}</definedName>
    <definedName name="AJUSTES" localSheetId="6" hidden="1">{"'beneficiarios'!$A$1:$C$7"}</definedName>
    <definedName name="AJUSTES" localSheetId="0" hidden="1">{"'beneficiarios'!$A$1:$C$7"}</definedName>
    <definedName name="AJUSTES" hidden="1">{"'beneficiarios'!$A$1:$C$7"}</definedName>
    <definedName name="_xlnm.Print_Area" localSheetId="5">'Art.14 Frac.III'!$B$1:$R$56</definedName>
    <definedName name="_xlnm.Print_Area" localSheetId="3">'CALCULO GARANTIA'!$A$1:$Q$60</definedName>
    <definedName name="_xlnm.Print_Area" localSheetId="2">'COEF Art 14 F I'!$B$3:$AF$60</definedName>
    <definedName name="_xlnm.Print_Area" localSheetId="4">'COEF Art 14 F II'!$A$3:$M$62</definedName>
    <definedName name="_xlnm.Print_Area" localSheetId="1">Distr!$A$5:$U$59</definedName>
    <definedName name="_xlnm.Print_Area" localSheetId="6">'ISR BI'!$A$1:$D$55</definedName>
    <definedName name="_xlnm.Print_Area" localSheetId="0">'PART PEF2023'!$A$1:$G$15</definedName>
    <definedName name="_xlnm.Database" localSheetId="3">#REF!</definedName>
    <definedName name="_xlnm.Database" localSheetId="4">#REF!</definedName>
    <definedName name="_xlnm.Database" localSheetId="1">#REF!</definedName>
    <definedName name="_xlnm.Database" localSheetId="6">#REF!</definedName>
    <definedName name="_xlnm.Database" localSheetId="0">#REF!</definedName>
    <definedName name="_xlnm.Database">#REF!</definedName>
    <definedName name="cierre_2001" localSheetId="4">'[1]deuda c sadm'!#REF!</definedName>
    <definedName name="cierre_2001" localSheetId="1">'[1]deuda c sadm'!#REF!</definedName>
    <definedName name="cierre_2001" localSheetId="6">'[1]deuda c sadm'!#REF!</definedName>
    <definedName name="cierre_2001" localSheetId="0">'[1]deuda c sadm'!#REF!</definedName>
    <definedName name="cierre_2001">'[1]deuda c sadm'!#REF!</definedName>
    <definedName name="deuda" localSheetId="4">'[1]deuda c sadm'!#REF!</definedName>
    <definedName name="deuda" localSheetId="1">'[1]deuda c sadm'!#REF!</definedName>
    <definedName name="deuda" localSheetId="6">'[1]deuda c sadm'!#REF!</definedName>
    <definedName name="deuda" localSheetId="0">'[1]deuda c sadm'!#REF!</definedName>
    <definedName name="deuda">'[1]deuda c sadm'!#REF!</definedName>
    <definedName name="Deuda_ingTot" localSheetId="4">'[1]deuda c sadm'!#REF!</definedName>
    <definedName name="Deuda_ingTot" localSheetId="1">'[1]deuda c sadm'!#REF!</definedName>
    <definedName name="Deuda_ingTot" localSheetId="6">'[1]deuda c sadm'!#REF!</definedName>
    <definedName name="Deuda_ingTot" localSheetId="0">'[1]deuda c sadm'!#REF!</definedName>
    <definedName name="Deuda_ingTot">'[1]deuda c sadm'!#REF!</definedName>
    <definedName name="ENERO" localSheetId="3">#REF!</definedName>
    <definedName name="ENERO" localSheetId="4">#REF!</definedName>
    <definedName name="ENERO" localSheetId="1">#REF!</definedName>
    <definedName name="ENERO" localSheetId="6">#REF!</definedName>
    <definedName name="ENERO" localSheetId="0">#REF!</definedName>
    <definedName name="ENERO">#REF!</definedName>
    <definedName name="ENEROAJUSTE" localSheetId="1">#REF!</definedName>
    <definedName name="ENEROAJUSTE" localSheetId="6">#REF!</definedName>
    <definedName name="ENEROAJUSTE" localSheetId="0">#REF!</definedName>
    <definedName name="ENEROAJUSTE">#REF!</definedName>
    <definedName name="Estado">'[2]Compendio de nombres'!$C$2:$C$33</definedName>
    <definedName name="Estado1" localSheetId="1">#REF!</definedName>
    <definedName name="Estado1" localSheetId="6">#REF!</definedName>
    <definedName name="Estado1">#REF!</definedName>
    <definedName name="Fto_1" localSheetId="3">#REF!</definedName>
    <definedName name="Fto_1" localSheetId="4">#REF!</definedName>
    <definedName name="Fto_1" localSheetId="1">#REF!</definedName>
    <definedName name="Fto_1" localSheetId="6">#REF!</definedName>
    <definedName name="Fto_1" localSheetId="0">#REF!</definedName>
    <definedName name="Fto_1">#REF!</definedName>
    <definedName name="HTML_CodePage" hidden="1">1252</definedName>
    <definedName name="HTML_Control" localSheetId="3" hidden="1">{"'beneficiarios'!$A$1:$C$7"}</definedName>
    <definedName name="HTML_Control" localSheetId="1" hidden="1">{"'beneficiarios'!$A$1:$C$7"}</definedName>
    <definedName name="HTML_Control" localSheetId="6" hidden="1">{"'beneficiarios'!$A$1:$C$7"}</definedName>
    <definedName name="HTML_Control" localSheetId="0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3" hidden="1">{"'beneficiarios'!$A$1:$C$7"}</definedName>
    <definedName name="INDICADORES" localSheetId="1" hidden="1">{"'beneficiarios'!$A$1:$C$7"}</definedName>
    <definedName name="INDICADORES" localSheetId="6" hidden="1">{"'beneficiarios'!$A$1:$C$7"}</definedName>
    <definedName name="INDICADORES" localSheetId="0" hidden="1">{"'beneficiarios'!$A$1:$C$7"}</definedName>
    <definedName name="INDICADORES" hidden="1">{"'beneficiarios'!$A$1:$C$7"}</definedName>
    <definedName name="ingresofederales" localSheetId="3" hidden="1">{"'beneficiarios'!$A$1:$C$7"}</definedName>
    <definedName name="ingresofederales" localSheetId="1" hidden="1">{"'beneficiarios'!$A$1:$C$7"}</definedName>
    <definedName name="ingresofederales" localSheetId="6" hidden="1">{"'beneficiarios'!$A$1:$C$7"}</definedName>
    <definedName name="ingresofederales" localSheetId="0" hidden="1">{"'beneficiarios'!$A$1:$C$7"}</definedName>
    <definedName name="ingresofederales" hidden="1">{"'beneficiarios'!$A$1:$C$7"}</definedName>
    <definedName name="MUNICIPIOS" localSheetId="5">[3]IMPORTE!$A$3:$A$53</definedName>
    <definedName name="MUNICIPIOS" localSheetId="6" hidden="1">{"'beneficiarios'!$A$1:$C$7"}</definedName>
    <definedName name="MUNICIPIOS" hidden="1">{"'beneficiarios'!$A$1:$C$7"}</definedName>
    <definedName name="Notas_Fto_1" localSheetId="4">#REF!</definedName>
    <definedName name="Notas_Fto_1" localSheetId="1">#REF!</definedName>
    <definedName name="Notas_Fto_1" localSheetId="6">#REF!</definedName>
    <definedName name="Notas_Fto_1" localSheetId="0">#REF!</definedName>
    <definedName name="Notas_Fto_1">#REF!</definedName>
    <definedName name="Partidas">[4]TECHO!$B$1:$Q$2798</definedName>
    <definedName name="SINAJUSTE" localSheetId="3" hidden="1">{"'beneficiarios'!$A$1:$C$7"}</definedName>
    <definedName name="SINAJUSTE" localSheetId="1" hidden="1">{"'beneficiarios'!$A$1:$C$7"}</definedName>
    <definedName name="SINAJUSTE" localSheetId="6" hidden="1">{"'beneficiarios'!$A$1:$C$7"}</definedName>
    <definedName name="SINAJUSTE" localSheetId="0" hidden="1">{"'beneficiarios'!$A$1:$C$7"}</definedName>
    <definedName name="SINAJUSTE" hidden="1">{"'beneficiarios'!$A$1:$C$7"}</definedName>
    <definedName name="t" localSheetId="1">#REF!</definedName>
    <definedName name="t" localSheetId="6">#REF!</definedName>
    <definedName name="t" localSheetId="0">#REF!</definedName>
    <definedName name="t">#REF!</definedName>
    <definedName name="_xlnm.Print_Titles" localSheetId="2">'COEF Art 14 F I'!$B:$B,'COEF Art 14 F I'!$3:$3</definedName>
    <definedName name="_xlnm.Print_Titles" localSheetId="1">Distr!$A:$A</definedName>
    <definedName name="TOT" localSheetId="4">#REF!</definedName>
    <definedName name="TOT" localSheetId="1">#REF!</definedName>
    <definedName name="TOT" localSheetId="6">#REF!</definedName>
    <definedName name="TOT" localSheetId="0">#REF!</definedName>
    <definedName name="TOT">#REF!</definedName>
    <definedName name="TOTAL" localSheetId="4">#REF!</definedName>
    <definedName name="TOTAL" localSheetId="1">#REF!</definedName>
    <definedName name="TOTAL" localSheetId="6">#REF!</definedName>
    <definedName name="TOTAL" localSheetId="0">#REF!</definedName>
    <definedName name="TOTAL">#REF!</definedName>
  </definedNames>
  <calcPr calcId="191029"/>
</workbook>
</file>

<file path=xl/calcChain.xml><?xml version="1.0" encoding="utf-8"?>
<calcChain xmlns="http://schemas.openxmlformats.org/spreadsheetml/2006/main">
  <c r="B8" i="43" l="1"/>
  <c r="R57" i="48" l="1"/>
  <c r="R56" i="48"/>
  <c r="R55" i="48"/>
  <c r="R54" i="48"/>
  <c r="R53" i="48"/>
  <c r="R52" i="48"/>
  <c r="R51" i="48"/>
  <c r="R50" i="48"/>
  <c r="R49" i="48"/>
  <c r="R48" i="48"/>
  <c r="R47" i="48"/>
  <c r="R46" i="48"/>
  <c r="R45" i="48"/>
  <c r="R44" i="48"/>
  <c r="R43" i="48"/>
  <c r="R42" i="48"/>
  <c r="R41" i="48"/>
  <c r="R40" i="48"/>
  <c r="R39" i="48"/>
  <c r="R38" i="48"/>
  <c r="R37" i="48"/>
  <c r="R36" i="48"/>
  <c r="R35" i="48"/>
  <c r="R34" i="48"/>
  <c r="R33" i="48"/>
  <c r="R32" i="48"/>
  <c r="R31" i="48"/>
  <c r="R30" i="48"/>
  <c r="R29" i="48"/>
  <c r="R28" i="48"/>
  <c r="R27" i="48"/>
  <c r="R26" i="48"/>
  <c r="R25" i="48"/>
  <c r="R24" i="48"/>
  <c r="R23" i="48"/>
  <c r="R22" i="48"/>
  <c r="R21" i="48"/>
  <c r="R20" i="48"/>
  <c r="R19" i="48"/>
  <c r="R18" i="48"/>
  <c r="R17" i="48"/>
  <c r="R16" i="48"/>
  <c r="R15" i="48"/>
  <c r="R14" i="48"/>
  <c r="R13" i="48"/>
  <c r="R12" i="48"/>
  <c r="R11" i="48"/>
  <c r="R10" i="48"/>
  <c r="R9" i="48"/>
  <c r="R8" i="48"/>
  <c r="R7" i="48"/>
  <c r="R58" i="48" s="1"/>
  <c r="B57" i="28" l="1"/>
  <c r="S8" i="48" l="1"/>
  <c r="S9" i="48"/>
  <c r="S10" i="48"/>
  <c r="S11" i="48"/>
  <c r="S12" i="48"/>
  <c r="S13" i="48"/>
  <c r="S14" i="48"/>
  <c r="S15" i="48"/>
  <c r="S16" i="48"/>
  <c r="S17" i="48"/>
  <c r="S18" i="48"/>
  <c r="S19" i="48"/>
  <c r="S20" i="48"/>
  <c r="S21" i="48"/>
  <c r="S22" i="48"/>
  <c r="S23" i="48"/>
  <c r="S24" i="48"/>
  <c r="S25" i="48"/>
  <c r="S26" i="48"/>
  <c r="S27" i="48"/>
  <c r="S28" i="48"/>
  <c r="S29" i="48"/>
  <c r="S30" i="48"/>
  <c r="S31" i="48"/>
  <c r="S32" i="48"/>
  <c r="S33" i="48"/>
  <c r="S34" i="48"/>
  <c r="S35" i="48"/>
  <c r="S36" i="48"/>
  <c r="S37" i="48"/>
  <c r="S38" i="48"/>
  <c r="S39" i="48"/>
  <c r="S40" i="48"/>
  <c r="S41" i="48"/>
  <c r="S42" i="48"/>
  <c r="S43" i="48"/>
  <c r="S44" i="48"/>
  <c r="S45" i="48"/>
  <c r="S46" i="48"/>
  <c r="S47" i="48"/>
  <c r="S48" i="48"/>
  <c r="S49" i="48"/>
  <c r="S50" i="48"/>
  <c r="S51" i="48"/>
  <c r="S52" i="48"/>
  <c r="S53" i="48"/>
  <c r="S54" i="48"/>
  <c r="S55" i="48"/>
  <c r="S56" i="48"/>
  <c r="S57" i="48"/>
  <c r="S7" i="48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6" i="28"/>
  <c r="S58" i="48" l="1"/>
  <c r="F10" i="43"/>
  <c r="I7" i="28"/>
  <c r="I8" i="28"/>
  <c r="I9" i="28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6" i="28"/>
  <c r="C13" i="43" l="1"/>
  <c r="C12" i="43"/>
  <c r="C11" i="43"/>
  <c r="C5" i="43"/>
  <c r="C6" i="43"/>
  <c r="C7" i="43"/>
  <c r="C8" i="43"/>
  <c r="C9" i="43"/>
  <c r="C4" i="43"/>
  <c r="B14" i="43" l="1"/>
  <c r="B10" i="43"/>
  <c r="B15" i="43" l="1"/>
  <c r="C10" i="43"/>
  <c r="C14" i="43"/>
  <c r="D35" i="44"/>
  <c r="D36" i="44"/>
  <c r="D11" i="44"/>
  <c r="C15" i="43" l="1"/>
  <c r="D45" i="44" l="1"/>
  <c r="D46" i="44"/>
  <c r="D47" i="44"/>
  <c r="D48" i="44"/>
  <c r="D49" i="44"/>
  <c r="D50" i="44"/>
  <c r="D51" i="44"/>
  <c r="D52" i="44"/>
  <c r="D53" i="44"/>
  <c r="D54" i="44"/>
  <c r="D55" i="44"/>
  <c r="D44" i="44"/>
  <c r="D42" i="44"/>
  <c r="D41" i="44"/>
  <c r="D40" i="44"/>
  <c r="D39" i="44"/>
  <c r="D38" i="44"/>
  <c r="D37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0" i="44"/>
  <c r="D9" i="44"/>
  <c r="D8" i="44"/>
  <c r="D7" i="44"/>
  <c r="D6" i="44"/>
  <c r="D5" i="44"/>
  <c r="E13" i="43" l="1"/>
  <c r="B55" i="49"/>
  <c r="C54" i="49" s="1"/>
  <c r="D54" i="49" l="1"/>
  <c r="D38" i="49"/>
  <c r="D50" i="49"/>
  <c r="D15" i="49"/>
  <c r="D42" i="49"/>
  <c r="D5" i="49"/>
  <c r="D35" i="49"/>
  <c r="D19" i="49"/>
  <c r="D46" i="49"/>
  <c r="C19" i="49"/>
  <c r="C31" i="49"/>
  <c r="D31" i="49" s="1"/>
  <c r="C9" i="49"/>
  <c r="D9" i="49" s="1"/>
  <c r="C21" i="49"/>
  <c r="D21" i="49" s="1"/>
  <c r="C33" i="49"/>
  <c r="D33" i="49" s="1"/>
  <c r="C39" i="49"/>
  <c r="D39" i="49" s="1"/>
  <c r="C45" i="49"/>
  <c r="D45" i="49" s="1"/>
  <c r="C51" i="49"/>
  <c r="D51" i="49" s="1"/>
  <c r="C13" i="49"/>
  <c r="D13" i="49" s="1"/>
  <c r="C25" i="49"/>
  <c r="D25" i="49" s="1"/>
  <c r="C37" i="49"/>
  <c r="D37" i="49" s="1"/>
  <c r="C43" i="49"/>
  <c r="D43" i="49" s="1"/>
  <c r="C49" i="49"/>
  <c r="D49" i="49" s="1"/>
  <c r="C8" i="49"/>
  <c r="D8" i="49" s="1"/>
  <c r="C20" i="49"/>
  <c r="D20" i="49" s="1"/>
  <c r="C32" i="49"/>
  <c r="D32" i="49" s="1"/>
  <c r="C38" i="49"/>
  <c r="C44" i="49"/>
  <c r="D44" i="49" s="1"/>
  <c r="C50" i="49"/>
  <c r="C15" i="49"/>
  <c r="C27" i="49"/>
  <c r="D27" i="49" s="1"/>
  <c r="C26" i="49"/>
  <c r="D26" i="49" s="1"/>
  <c r="C10" i="49"/>
  <c r="D10" i="49" s="1"/>
  <c r="C22" i="49"/>
  <c r="D22" i="49" s="1"/>
  <c r="C34" i="49"/>
  <c r="D34" i="49" s="1"/>
  <c r="C46" i="49"/>
  <c r="C11" i="49"/>
  <c r="D11" i="49" s="1"/>
  <c r="C35" i="49"/>
  <c r="C7" i="49"/>
  <c r="D7" i="49" s="1"/>
  <c r="C14" i="49"/>
  <c r="D14" i="49" s="1"/>
  <c r="C4" i="49"/>
  <c r="D4" i="49" s="1"/>
  <c r="C16" i="49"/>
  <c r="D16" i="49" s="1"/>
  <c r="C28" i="49"/>
  <c r="D28" i="49" s="1"/>
  <c r="C40" i="49"/>
  <c r="D40" i="49" s="1"/>
  <c r="C52" i="49"/>
  <c r="D52" i="49" s="1"/>
  <c r="C5" i="49"/>
  <c r="C17" i="49"/>
  <c r="D17" i="49" s="1"/>
  <c r="C23" i="49"/>
  <c r="D23" i="49" s="1"/>
  <c r="C29" i="49"/>
  <c r="D29" i="49" s="1"/>
  <c r="C41" i="49"/>
  <c r="D41" i="49" s="1"/>
  <c r="C47" i="49"/>
  <c r="D47" i="49" s="1"/>
  <c r="C53" i="49"/>
  <c r="D53" i="49" s="1"/>
  <c r="C6" i="49"/>
  <c r="D6" i="49" s="1"/>
  <c r="C12" i="49"/>
  <c r="D12" i="49" s="1"/>
  <c r="C18" i="49"/>
  <c r="D18" i="49" s="1"/>
  <c r="C24" i="49"/>
  <c r="D24" i="49" s="1"/>
  <c r="C30" i="49"/>
  <c r="D30" i="49" s="1"/>
  <c r="C36" i="49"/>
  <c r="D36" i="49" s="1"/>
  <c r="C42" i="49"/>
  <c r="C48" i="49"/>
  <c r="D48" i="49" s="1"/>
  <c r="C55" i="49" l="1"/>
  <c r="D55" i="49" l="1"/>
  <c r="Q58" i="1"/>
  <c r="P58" i="1"/>
  <c r="R39" i="1" s="1"/>
  <c r="S39" i="1" s="1"/>
  <c r="O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I57" i="28" l="1"/>
  <c r="R9" i="1"/>
  <c r="S9" i="1" s="1"/>
  <c r="R21" i="1"/>
  <c r="S21" i="1" s="1"/>
  <c r="R55" i="1"/>
  <c r="S55" i="1" s="1"/>
  <c r="R56" i="1"/>
  <c r="S56" i="1" s="1"/>
  <c r="R52" i="1"/>
  <c r="S52" i="1" s="1"/>
  <c r="R48" i="1"/>
  <c r="S48" i="1" s="1"/>
  <c r="R44" i="1"/>
  <c r="S44" i="1" s="1"/>
  <c r="R40" i="1"/>
  <c r="S40" i="1" s="1"/>
  <c r="R36" i="1"/>
  <c r="S36" i="1" s="1"/>
  <c r="R32" i="1"/>
  <c r="S32" i="1" s="1"/>
  <c r="R28" i="1"/>
  <c r="S28" i="1" s="1"/>
  <c r="R24" i="1"/>
  <c r="S24" i="1" s="1"/>
  <c r="R20" i="1"/>
  <c r="S20" i="1" s="1"/>
  <c r="R16" i="1"/>
  <c r="S16" i="1" s="1"/>
  <c r="R12" i="1"/>
  <c r="S12" i="1" s="1"/>
  <c r="R8" i="1"/>
  <c r="S8" i="1" s="1"/>
  <c r="R57" i="1"/>
  <c r="S57" i="1" s="1"/>
  <c r="R41" i="1"/>
  <c r="S41" i="1" s="1"/>
  <c r="R53" i="1"/>
  <c r="S53" i="1" s="1"/>
  <c r="R49" i="1"/>
  <c r="S49" i="1" s="1"/>
  <c r="R45" i="1"/>
  <c r="S45" i="1" s="1"/>
  <c r="R37" i="1"/>
  <c r="S37" i="1" s="1"/>
  <c r="R33" i="1"/>
  <c r="S33" i="1" s="1"/>
  <c r="R54" i="1"/>
  <c r="S54" i="1" s="1"/>
  <c r="R50" i="1"/>
  <c r="S50" i="1" s="1"/>
  <c r="R46" i="1"/>
  <c r="S46" i="1" s="1"/>
  <c r="R42" i="1"/>
  <c r="S42" i="1" s="1"/>
  <c r="R38" i="1"/>
  <c r="S38" i="1" s="1"/>
  <c r="R34" i="1"/>
  <c r="S34" i="1" s="1"/>
  <c r="R30" i="1"/>
  <c r="S30" i="1" s="1"/>
  <c r="R26" i="1"/>
  <c r="S26" i="1" s="1"/>
  <c r="R22" i="1"/>
  <c r="S22" i="1" s="1"/>
  <c r="R18" i="1"/>
  <c r="S18" i="1" s="1"/>
  <c r="R14" i="1"/>
  <c r="S14" i="1" s="1"/>
  <c r="R10" i="1"/>
  <c r="S10" i="1" s="1"/>
  <c r="R7" i="1"/>
  <c r="R19" i="1"/>
  <c r="S19" i="1" s="1"/>
  <c r="R31" i="1"/>
  <c r="S31" i="1" s="1"/>
  <c r="R43" i="1"/>
  <c r="S43" i="1" s="1"/>
  <c r="V58" i="1"/>
  <c r="W39" i="1" s="1"/>
  <c r="R17" i="1"/>
  <c r="S17" i="1" s="1"/>
  <c r="R29" i="1"/>
  <c r="S29" i="1" s="1"/>
  <c r="R15" i="1"/>
  <c r="S15" i="1" s="1"/>
  <c r="R47" i="1"/>
  <c r="S47" i="1" s="1"/>
  <c r="W50" i="1"/>
  <c r="R13" i="1"/>
  <c r="S13" i="1" s="1"/>
  <c r="R25" i="1"/>
  <c r="S25" i="1" s="1"/>
  <c r="R51" i="1"/>
  <c r="S51" i="1" s="1"/>
  <c r="R27" i="1"/>
  <c r="S27" i="1" s="1"/>
  <c r="R35" i="1"/>
  <c r="S35" i="1" s="1"/>
  <c r="R11" i="1"/>
  <c r="S11" i="1" s="1"/>
  <c r="R23" i="1"/>
  <c r="S23" i="1" s="1"/>
  <c r="W48" i="1" l="1"/>
  <c r="W38" i="1"/>
  <c r="W36" i="1"/>
  <c r="W24" i="1"/>
  <c r="W34" i="1"/>
  <c r="W12" i="1"/>
  <c r="W30" i="1"/>
  <c r="W54" i="1"/>
  <c r="W42" i="1"/>
  <c r="W56" i="1"/>
  <c r="W52" i="1"/>
  <c r="W16" i="1"/>
  <c r="W18" i="1"/>
  <c r="W20" i="1"/>
  <c r="R58" i="1"/>
  <c r="S7" i="1"/>
  <c r="W32" i="1"/>
  <c r="W8" i="1"/>
  <c r="W28" i="1"/>
  <c r="W11" i="1"/>
  <c r="W22" i="1"/>
  <c r="W44" i="1"/>
  <c r="W46" i="1"/>
  <c r="W55" i="1"/>
  <c r="W27" i="1"/>
  <c r="W26" i="1"/>
  <c r="W23" i="1"/>
  <c r="W40" i="1"/>
  <c r="W10" i="1"/>
  <c r="W51" i="1"/>
  <c r="W14" i="1"/>
  <c r="W35" i="1"/>
  <c r="W25" i="1"/>
  <c r="W13" i="1"/>
  <c r="W53" i="1"/>
  <c r="W17" i="1"/>
  <c r="W57" i="1"/>
  <c r="W41" i="1"/>
  <c r="W29" i="1"/>
  <c r="W43" i="1"/>
  <c r="W37" i="1"/>
  <c r="W31" i="1"/>
  <c r="W19" i="1"/>
  <c r="W7" i="1"/>
  <c r="W45" i="1"/>
  <c r="W49" i="1"/>
  <c r="W21" i="1"/>
  <c r="W9" i="1"/>
  <c r="W33" i="1"/>
  <c r="W15" i="1"/>
  <c r="W47" i="1"/>
  <c r="W58" i="1" l="1"/>
  <c r="S58" i="1"/>
  <c r="T7" i="1" s="1"/>
  <c r="T21" i="1" l="1"/>
  <c r="T9" i="1"/>
  <c r="T39" i="1"/>
  <c r="T55" i="1"/>
  <c r="T28" i="1"/>
  <c r="T13" i="1"/>
  <c r="T49" i="1"/>
  <c r="T57" i="1"/>
  <c r="T19" i="1"/>
  <c r="T40" i="1"/>
  <c r="T52" i="1"/>
  <c r="T18" i="1"/>
  <c r="T46" i="1"/>
  <c r="T16" i="1"/>
  <c r="T54" i="1"/>
  <c r="T35" i="1"/>
  <c r="T45" i="1"/>
  <c r="T24" i="1"/>
  <c r="T25" i="1"/>
  <c r="T36" i="1"/>
  <c r="T30" i="1"/>
  <c r="T26" i="1"/>
  <c r="T11" i="1"/>
  <c r="T29" i="1"/>
  <c r="T38" i="1"/>
  <c r="T31" i="1"/>
  <c r="T14" i="1"/>
  <c r="T53" i="1"/>
  <c r="T48" i="1"/>
  <c r="T41" i="1"/>
  <c r="T8" i="1"/>
  <c r="T37" i="1"/>
  <c r="T42" i="1"/>
  <c r="T44" i="1"/>
  <c r="T56" i="1"/>
  <c r="T15" i="1"/>
  <c r="T12" i="1"/>
  <c r="T32" i="1"/>
  <c r="T50" i="1"/>
  <c r="T47" i="1"/>
  <c r="T23" i="1"/>
  <c r="T20" i="1"/>
  <c r="T10" i="1"/>
  <c r="T17" i="1"/>
  <c r="T43" i="1"/>
  <c r="T51" i="1"/>
  <c r="T33" i="1"/>
  <c r="T27" i="1"/>
  <c r="T22" i="1"/>
  <c r="T34" i="1"/>
  <c r="T58" i="1" l="1"/>
  <c r="E12" i="43" l="1"/>
  <c r="E9" i="43"/>
  <c r="E8" i="43"/>
  <c r="E7" i="43"/>
  <c r="E6" i="43"/>
  <c r="E11" i="43"/>
  <c r="E5" i="43"/>
  <c r="H57" i="28"/>
  <c r="G57" i="28"/>
  <c r="F57" i="28"/>
  <c r="E57" i="28"/>
  <c r="D57" i="28"/>
  <c r="C57" i="28"/>
  <c r="G8" i="43" l="1"/>
  <c r="G9" i="43"/>
  <c r="G6" i="43"/>
  <c r="G7" i="43"/>
  <c r="G5" i="43"/>
  <c r="L5" i="36"/>
  <c r="Q3" i="44"/>
  <c r="E14" i="43"/>
  <c r="E4" i="43"/>
  <c r="E10" i="43" l="1"/>
  <c r="G4" i="43"/>
  <c r="E15" i="43" l="1"/>
  <c r="G10" i="43"/>
  <c r="E5" i="44"/>
  <c r="H5" i="44"/>
  <c r="I5" i="44" s="1"/>
  <c r="E6" i="44"/>
  <c r="H6" i="44"/>
  <c r="I6" i="44" s="1"/>
  <c r="E7" i="44"/>
  <c r="H7" i="44"/>
  <c r="I7" i="44" s="1"/>
  <c r="E8" i="44"/>
  <c r="H8" i="44"/>
  <c r="I8" i="44" s="1"/>
  <c r="E9" i="44"/>
  <c r="H9" i="44"/>
  <c r="I9" i="44" s="1"/>
  <c r="E10" i="44"/>
  <c r="H10" i="44"/>
  <c r="I10" i="44" s="1"/>
  <c r="E11" i="44"/>
  <c r="H11" i="44"/>
  <c r="I11" i="44" s="1"/>
  <c r="E12" i="44"/>
  <c r="H12" i="44"/>
  <c r="I12" i="44" s="1"/>
  <c r="E13" i="44"/>
  <c r="H13" i="44"/>
  <c r="I13" i="44" s="1"/>
  <c r="E14" i="44"/>
  <c r="H14" i="44"/>
  <c r="I14" i="44" s="1"/>
  <c r="E15" i="44"/>
  <c r="H15" i="44"/>
  <c r="I15" i="44" s="1"/>
  <c r="E16" i="44"/>
  <c r="H16" i="44"/>
  <c r="I16" i="44" s="1"/>
  <c r="E17" i="44"/>
  <c r="H17" i="44"/>
  <c r="I17" i="44" s="1"/>
  <c r="E18" i="44"/>
  <c r="H18" i="44"/>
  <c r="I18" i="44" s="1"/>
  <c r="E19" i="44"/>
  <c r="H19" i="44"/>
  <c r="I19" i="44" s="1"/>
  <c r="E20" i="44"/>
  <c r="H20" i="44"/>
  <c r="I20" i="44" s="1"/>
  <c r="E21" i="44"/>
  <c r="H21" i="44"/>
  <c r="I21" i="44" s="1"/>
  <c r="E22" i="44"/>
  <c r="H22" i="44"/>
  <c r="I22" i="44" s="1"/>
  <c r="E23" i="44"/>
  <c r="H23" i="44"/>
  <c r="I23" i="44" s="1"/>
  <c r="E24" i="44"/>
  <c r="H24" i="44"/>
  <c r="I24" i="44" s="1"/>
  <c r="E25" i="44"/>
  <c r="H25" i="44"/>
  <c r="I25" i="44" s="1"/>
  <c r="E26" i="44"/>
  <c r="H26" i="44"/>
  <c r="I26" i="44" s="1"/>
  <c r="E27" i="44"/>
  <c r="H27" i="44"/>
  <c r="I27" i="44" s="1"/>
  <c r="E28" i="44"/>
  <c r="H28" i="44"/>
  <c r="I28" i="44" s="1"/>
  <c r="E29" i="44"/>
  <c r="H29" i="44"/>
  <c r="I29" i="44" s="1"/>
  <c r="E30" i="44"/>
  <c r="H30" i="44"/>
  <c r="I30" i="44" s="1"/>
  <c r="E31" i="44"/>
  <c r="H31" i="44"/>
  <c r="I31" i="44" s="1"/>
  <c r="E32" i="44"/>
  <c r="H32" i="44"/>
  <c r="I32" i="44" s="1"/>
  <c r="E33" i="44"/>
  <c r="H33" i="44"/>
  <c r="I33" i="44" s="1"/>
  <c r="E34" i="44"/>
  <c r="H34" i="44"/>
  <c r="I34" i="44" s="1"/>
  <c r="E35" i="44"/>
  <c r="H35" i="44"/>
  <c r="I35" i="44" s="1"/>
  <c r="E36" i="44"/>
  <c r="H36" i="44"/>
  <c r="I36" i="44" s="1"/>
  <c r="E37" i="44"/>
  <c r="H37" i="44"/>
  <c r="I37" i="44" s="1"/>
  <c r="E38" i="44"/>
  <c r="H38" i="44"/>
  <c r="I38" i="44" s="1"/>
  <c r="E39" i="44"/>
  <c r="H39" i="44"/>
  <c r="I39" i="44" s="1"/>
  <c r="E40" i="44"/>
  <c r="H40" i="44"/>
  <c r="I40" i="44" s="1"/>
  <c r="E41" i="44"/>
  <c r="H41" i="44"/>
  <c r="I41" i="44" s="1"/>
  <c r="E42" i="44"/>
  <c r="H42" i="44"/>
  <c r="I42" i="44" s="1"/>
  <c r="E43" i="44"/>
  <c r="H43" i="44"/>
  <c r="I43" i="44" s="1"/>
  <c r="E44" i="44"/>
  <c r="H44" i="44"/>
  <c r="I44" i="44" s="1"/>
  <c r="E45" i="44"/>
  <c r="H45" i="44"/>
  <c r="I45" i="44" s="1"/>
  <c r="E46" i="44"/>
  <c r="H46" i="44"/>
  <c r="I46" i="44" s="1"/>
  <c r="E47" i="44"/>
  <c r="H47" i="44"/>
  <c r="I47" i="44" s="1"/>
  <c r="E48" i="44"/>
  <c r="H48" i="44"/>
  <c r="I48" i="44" s="1"/>
  <c r="E49" i="44"/>
  <c r="H49" i="44"/>
  <c r="I49" i="44" s="1"/>
  <c r="E50" i="44"/>
  <c r="H50" i="44"/>
  <c r="I50" i="44" s="1"/>
  <c r="E51" i="44"/>
  <c r="H51" i="44"/>
  <c r="I51" i="44" s="1"/>
  <c r="E52" i="44"/>
  <c r="H52" i="44"/>
  <c r="I52" i="44" s="1"/>
  <c r="E53" i="44"/>
  <c r="H53" i="44"/>
  <c r="I53" i="44" s="1"/>
  <c r="E54" i="44"/>
  <c r="H54" i="44"/>
  <c r="I54" i="44" s="1"/>
  <c r="E55" i="44"/>
  <c r="H55" i="44"/>
  <c r="I55" i="44" s="1"/>
  <c r="C56" i="44"/>
  <c r="D56" i="44"/>
  <c r="K55" i="44" s="1"/>
  <c r="G56" i="44"/>
  <c r="AE5" i="1" l="1"/>
  <c r="E56" i="44"/>
  <c r="F54" i="44" s="1"/>
  <c r="I56" i="44"/>
  <c r="J54" i="44" s="1"/>
  <c r="K54" i="44"/>
  <c r="K5" i="44"/>
  <c r="K6" i="44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53" i="44"/>
  <c r="K52" i="44"/>
  <c r="K51" i="44"/>
  <c r="K50" i="44"/>
  <c r="K49" i="44"/>
  <c r="K48" i="44"/>
  <c r="K47" i="44"/>
  <c r="K46" i="44"/>
  <c r="K45" i="44"/>
  <c r="K44" i="44"/>
  <c r="K43" i="44"/>
  <c r="K42" i="44"/>
  <c r="J14" i="44" l="1"/>
  <c r="J9" i="44"/>
  <c r="J16" i="44"/>
  <c r="J20" i="44"/>
  <c r="J26" i="44"/>
  <c r="J28" i="44"/>
  <c r="J30" i="44"/>
  <c r="J32" i="44"/>
  <c r="J34" i="44"/>
  <c r="J5" i="44"/>
  <c r="J36" i="44"/>
  <c r="J7" i="44"/>
  <c r="J38" i="44"/>
  <c r="J18" i="44"/>
  <c r="F8" i="44"/>
  <c r="F10" i="44"/>
  <c r="F18" i="44"/>
  <c r="F32" i="44"/>
  <c r="F52" i="44"/>
  <c r="F36" i="44"/>
  <c r="F14" i="44"/>
  <c r="F50" i="44"/>
  <c r="F6" i="44"/>
  <c r="F23" i="44"/>
  <c r="F25" i="44"/>
  <c r="F34" i="44"/>
  <c r="F27" i="44"/>
  <c r="F12" i="44"/>
  <c r="F38" i="44"/>
  <c r="F40" i="44"/>
  <c r="F16" i="44"/>
  <c r="F42" i="44"/>
  <c r="F44" i="44"/>
  <c r="F46" i="44"/>
  <c r="F48" i="44"/>
  <c r="F21" i="44"/>
  <c r="F30" i="44"/>
  <c r="J11" i="44"/>
  <c r="J22" i="44"/>
  <c r="J40" i="44"/>
  <c r="J24" i="44"/>
  <c r="J6" i="44"/>
  <c r="J8" i="44"/>
  <c r="J10" i="44"/>
  <c r="J12" i="44"/>
  <c r="J13" i="44"/>
  <c r="J15" i="44"/>
  <c r="J17" i="44"/>
  <c r="J19" i="44"/>
  <c r="J21" i="44"/>
  <c r="J23" i="44"/>
  <c r="J25" i="44"/>
  <c r="J27" i="44"/>
  <c r="J29" i="44"/>
  <c r="J31" i="44"/>
  <c r="J33" i="44"/>
  <c r="J35" i="44"/>
  <c r="J37" i="44"/>
  <c r="J39" i="44"/>
  <c r="J41" i="44"/>
  <c r="F5" i="44"/>
  <c r="F7" i="44"/>
  <c r="F9" i="44"/>
  <c r="F11" i="44"/>
  <c r="F13" i="44"/>
  <c r="F15" i="44"/>
  <c r="F17" i="44"/>
  <c r="F19" i="44"/>
  <c r="F20" i="44"/>
  <c r="F22" i="44"/>
  <c r="F24" i="44"/>
  <c r="F26" i="44"/>
  <c r="F28" i="44"/>
  <c r="F29" i="44"/>
  <c r="F31" i="44"/>
  <c r="F33" i="44"/>
  <c r="F35" i="44"/>
  <c r="F37" i="44"/>
  <c r="F39" i="44"/>
  <c r="F41" i="44"/>
  <c r="F43" i="44"/>
  <c r="F45" i="44"/>
  <c r="F47" i="44"/>
  <c r="F49" i="44"/>
  <c r="F51" i="44"/>
  <c r="F53" i="44"/>
  <c r="J43" i="44"/>
  <c r="J46" i="44"/>
  <c r="J49" i="44"/>
  <c r="F55" i="44"/>
  <c r="J45" i="44"/>
  <c r="J50" i="44"/>
  <c r="J53" i="44"/>
  <c r="K56" i="44"/>
  <c r="J42" i="44"/>
  <c r="J44" i="44"/>
  <c r="J48" i="44"/>
  <c r="J52" i="44"/>
  <c r="J55" i="44"/>
  <c r="J47" i="44"/>
  <c r="J51" i="44"/>
  <c r="J56" i="44" l="1"/>
  <c r="F56" i="44"/>
  <c r="N3" i="44" l="1"/>
  <c r="P3" i="44"/>
  <c r="O3" i="44"/>
  <c r="P55" i="44" l="1"/>
  <c r="P43" i="44"/>
  <c r="P47" i="44"/>
  <c r="P51" i="44"/>
  <c r="P40" i="44"/>
  <c r="P36" i="44"/>
  <c r="P32" i="44"/>
  <c r="P28" i="44"/>
  <c r="P24" i="44"/>
  <c r="P20" i="44"/>
  <c r="P16" i="44"/>
  <c r="P12" i="44"/>
  <c r="P8" i="44"/>
  <c r="P54" i="44"/>
  <c r="P42" i="44"/>
  <c r="P46" i="44"/>
  <c r="P50" i="44"/>
  <c r="P41" i="44"/>
  <c r="P37" i="44"/>
  <c r="P33" i="44"/>
  <c r="P29" i="44"/>
  <c r="P25" i="44"/>
  <c r="P21" i="44"/>
  <c r="P17" i="44"/>
  <c r="P13" i="44"/>
  <c r="P9" i="44"/>
  <c r="P45" i="44"/>
  <c r="P49" i="44"/>
  <c r="P53" i="44"/>
  <c r="P38" i="44"/>
  <c r="P34" i="44"/>
  <c r="P30" i="44"/>
  <c r="P26" i="44"/>
  <c r="P22" i="44"/>
  <c r="P18" i="44"/>
  <c r="P14" i="44"/>
  <c r="P10" i="44"/>
  <c r="P6" i="44"/>
  <c r="P44" i="44"/>
  <c r="P48" i="44"/>
  <c r="P52" i="44"/>
  <c r="P39" i="44"/>
  <c r="P35" i="44"/>
  <c r="P31" i="44"/>
  <c r="P27" i="44"/>
  <c r="P23" i="44"/>
  <c r="P19" i="44"/>
  <c r="P15" i="44"/>
  <c r="P11" i="44"/>
  <c r="P7" i="44"/>
  <c r="P5" i="44"/>
  <c r="O9" i="44"/>
  <c r="O20" i="44"/>
  <c r="O28" i="44"/>
  <c r="O36" i="44"/>
  <c r="O7" i="44"/>
  <c r="O18" i="44"/>
  <c r="O26" i="44"/>
  <c r="O34" i="44"/>
  <c r="O54" i="44"/>
  <c r="O16" i="44"/>
  <c r="O24" i="44"/>
  <c r="O32" i="44"/>
  <c r="O40" i="44"/>
  <c r="O11" i="44"/>
  <c r="O14" i="44"/>
  <c r="O22" i="44"/>
  <c r="O30" i="44"/>
  <c r="O38" i="44"/>
  <c r="O5" i="44"/>
  <c r="O47" i="44"/>
  <c r="O52" i="44"/>
  <c r="O35" i="44"/>
  <c r="O27" i="44"/>
  <c r="O19" i="44"/>
  <c r="O10" i="44"/>
  <c r="O51" i="44"/>
  <c r="O48" i="44"/>
  <c r="O53" i="44"/>
  <c r="O49" i="44"/>
  <c r="O41" i="44"/>
  <c r="O33" i="44"/>
  <c r="O25" i="44"/>
  <c r="O17" i="44"/>
  <c r="O12" i="44"/>
  <c r="O44" i="44"/>
  <c r="O50" i="44"/>
  <c r="O46" i="44"/>
  <c r="O39" i="44"/>
  <c r="O31" i="44"/>
  <c r="O23" i="44"/>
  <c r="O15" i="44"/>
  <c r="O6" i="44"/>
  <c r="O55" i="44"/>
  <c r="O42" i="44"/>
  <c r="O45" i="44"/>
  <c r="O43" i="44"/>
  <c r="O37" i="44"/>
  <c r="O29" i="44"/>
  <c r="O21" i="44"/>
  <c r="O13" i="44"/>
  <c r="O8" i="44"/>
  <c r="N10" i="44"/>
  <c r="N18" i="44"/>
  <c r="N25" i="44"/>
  <c r="N30" i="44"/>
  <c r="N38" i="44"/>
  <c r="N46" i="44"/>
  <c r="N8" i="44"/>
  <c r="N16" i="44"/>
  <c r="N23" i="44"/>
  <c r="N32" i="44"/>
  <c r="N40" i="44"/>
  <c r="N48" i="44"/>
  <c r="N5" i="44"/>
  <c r="N6" i="44"/>
  <c r="N14" i="44"/>
  <c r="N21" i="44"/>
  <c r="N34" i="44"/>
  <c r="N42" i="44"/>
  <c r="N50" i="44"/>
  <c r="N54" i="44"/>
  <c r="N12" i="44"/>
  <c r="N27" i="44"/>
  <c r="N36" i="44"/>
  <c r="N44" i="44"/>
  <c r="N52" i="44"/>
  <c r="N55" i="44"/>
  <c r="N53" i="44"/>
  <c r="N45" i="44"/>
  <c r="N37" i="44"/>
  <c r="N29" i="44"/>
  <c r="N22" i="44"/>
  <c r="N15" i="44"/>
  <c r="N7" i="44"/>
  <c r="N51" i="44"/>
  <c r="N43" i="44"/>
  <c r="N35" i="44"/>
  <c r="N28" i="44"/>
  <c r="N20" i="44"/>
  <c r="N13" i="44"/>
  <c r="N49" i="44"/>
  <c r="N41" i="44"/>
  <c r="N33" i="44"/>
  <c r="N26" i="44"/>
  <c r="N19" i="44"/>
  <c r="N11" i="44"/>
  <c r="N47" i="44"/>
  <c r="N39" i="44"/>
  <c r="N31" i="44"/>
  <c r="N24" i="44"/>
  <c r="N17" i="44"/>
  <c r="N9" i="44"/>
  <c r="Q34" i="44" l="1"/>
  <c r="Q13" i="44"/>
  <c r="Q33" i="44"/>
  <c r="Q29" i="44"/>
  <c r="Q46" i="44"/>
  <c r="Q30" i="44"/>
  <c r="Q51" i="44"/>
  <c r="Q11" i="44"/>
  <c r="Q20" i="44"/>
  <c r="Q55" i="44"/>
  <c r="Q17" i="44"/>
  <c r="Q21" i="44"/>
  <c r="Q31" i="44"/>
  <c r="Q35" i="44"/>
  <c r="Q47" i="44"/>
  <c r="Q32" i="44"/>
  <c r="Q18" i="44"/>
  <c r="Q54" i="44"/>
  <c r="Q19" i="44"/>
  <c r="Q15" i="44"/>
  <c r="Q16" i="44"/>
  <c r="Q9" i="44"/>
  <c r="Q24" i="44"/>
  <c r="Q39" i="44"/>
  <c r="Q26" i="44"/>
  <c r="Q41" i="44"/>
  <c r="Q28" i="44"/>
  <c r="Q43" i="44"/>
  <c r="Q7" i="44"/>
  <c r="Q22" i="44"/>
  <c r="Q37" i="44"/>
  <c r="Q36" i="44"/>
  <c r="Q12" i="44"/>
  <c r="Q14" i="44"/>
  <c r="Q40" i="44"/>
  <c r="Q8" i="44"/>
  <c r="Q38" i="44"/>
  <c r="P56" i="44"/>
  <c r="Q45" i="44"/>
  <c r="Q44" i="44"/>
  <c r="Q49" i="44"/>
  <c r="Q48" i="44"/>
  <c r="Q10" i="44"/>
  <c r="Q27" i="44"/>
  <c r="Q52" i="44"/>
  <c r="O56" i="44"/>
  <c r="N56" i="44"/>
  <c r="Q5" i="44"/>
  <c r="Q42" i="44"/>
  <c r="Q6" i="44"/>
  <c r="Q23" i="44"/>
  <c r="Q50" i="44"/>
  <c r="Q25" i="44"/>
  <c r="Q53" i="44"/>
  <c r="Q56" i="44" l="1"/>
  <c r="R23" i="44" s="1"/>
  <c r="G25" i="48" s="1"/>
  <c r="R49" i="44" l="1"/>
  <c r="G51" i="48" s="1"/>
  <c r="R25" i="44"/>
  <c r="G27" i="48" s="1"/>
  <c r="R52" i="44"/>
  <c r="G54" i="48" s="1"/>
  <c r="R48" i="44"/>
  <c r="G50" i="48" s="1"/>
  <c r="R45" i="44"/>
  <c r="G47" i="48" s="1"/>
  <c r="R10" i="44"/>
  <c r="G12" i="48" s="1"/>
  <c r="R42" i="44"/>
  <c r="G44" i="48" s="1"/>
  <c r="R44" i="44"/>
  <c r="G46" i="48" s="1"/>
  <c r="R27" i="44"/>
  <c r="G29" i="48" s="1"/>
  <c r="R5" i="44"/>
  <c r="G7" i="48" s="1"/>
  <c r="R9" i="44"/>
  <c r="G11" i="48" s="1"/>
  <c r="R17" i="44"/>
  <c r="G19" i="48" s="1"/>
  <c r="R31" i="44"/>
  <c r="G33" i="48" s="1"/>
  <c r="R47" i="44"/>
  <c r="G49" i="48" s="1"/>
  <c r="R19" i="44"/>
  <c r="G21" i="48" s="1"/>
  <c r="R33" i="44"/>
  <c r="G35" i="48" s="1"/>
  <c r="R20" i="44"/>
  <c r="G22" i="48" s="1"/>
  <c r="R35" i="44"/>
  <c r="G37" i="48" s="1"/>
  <c r="R51" i="44"/>
  <c r="G53" i="48" s="1"/>
  <c r="R15" i="44"/>
  <c r="G17" i="48" s="1"/>
  <c r="R29" i="44"/>
  <c r="G31" i="48" s="1"/>
  <c r="R55" i="44"/>
  <c r="G57" i="48" s="1"/>
  <c r="R54" i="44"/>
  <c r="G56" i="48" s="1"/>
  <c r="R21" i="44"/>
  <c r="G23" i="48" s="1"/>
  <c r="R32" i="44"/>
  <c r="G34" i="48" s="1"/>
  <c r="R16" i="44"/>
  <c r="G18" i="48" s="1"/>
  <c r="R46" i="44"/>
  <c r="G48" i="48" s="1"/>
  <c r="R30" i="44"/>
  <c r="G32" i="48" s="1"/>
  <c r="R18" i="44"/>
  <c r="G20" i="48" s="1"/>
  <c r="R24" i="44"/>
  <c r="G26" i="48" s="1"/>
  <c r="R39" i="44"/>
  <c r="G41" i="48" s="1"/>
  <c r="R11" i="44"/>
  <c r="G13" i="48" s="1"/>
  <c r="R26" i="44"/>
  <c r="G28" i="48" s="1"/>
  <c r="R41" i="44"/>
  <c r="G43" i="48" s="1"/>
  <c r="R13" i="44"/>
  <c r="G15" i="48" s="1"/>
  <c r="R28" i="44"/>
  <c r="G30" i="48" s="1"/>
  <c r="R43" i="44"/>
  <c r="G45" i="48" s="1"/>
  <c r="R7" i="44"/>
  <c r="G9" i="48" s="1"/>
  <c r="R22" i="44"/>
  <c r="G24" i="48" s="1"/>
  <c r="R37" i="44"/>
  <c r="G39" i="48" s="1"/>
  <c r="R36" i="44"/>
  <c r="G38" i="48" s="1"/>
  <c r="R12" i="44"/>
  <c r="G14" i="48" s="1"/>
  <c r="R34" i="44"/>
  <c r="G36" i="48" s="1"/>
  <c r="R14" i="44"/>
  <c r="G16" i="48" s="1"/>
  <c r="R40" i="44"/>
  <c r="G42" i="48" s="1"/>
  <c r="R8" i="44"/>
  <c r="G10" i="48" s="1"/>
  <c r="R38" i="44"/>
  <c r="G40" i="48" s="1"/>
  <c r="R6" i="44"/>
  <c r="G8" i="48" s="1"/>
  <c r="R50" i="44"/>
  <c r="G52" i="48" s="1"/>
  <c r="R53" i="44"/>
  <c r="G55" i="48" s="1"/>
  <c r="D58" i="1"/>
  <c r="C58" i="1"/>
  <c r="I5" i="36"/>
  <c r="D58" i="36"/>
  <c r="E58" i="36" s="1"/>
  <c r="B58" i="36"/>
  <c r="C57" i="36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C11" i="36"/>
  <c r="C7" i="36"/>
  <c r="C26" i="36"/>
  <c r="C8" i="36"/>
  <c r="C16" i="36"/>
  <c r="C33" i="36"/>
  <c r="C17" i="36"/>
  <c r="C48" i="36"/>
  <c r="C56" i="36"/>
  <c r="E7" i="1"/>
  <c r="F7" i="1" s="1"/>
  <c r="C47" i="36"/>
  <c r="C51" i="36"/>
  <c r="C55" i="36"/>
  <c r="K58" i="1"/>
  <c r="L10" i="1" s="1"/>
  <c r="M10" i="1" s="1"/>
  <c r="H58" i="1"/>
  <c r="I10" i="1" s="1"/>
  <c r="J10" i="1" s="1"/>
  <c r="F39" i="48" l="1"/>
  <c r="F12" i="48"/>
  <c r="F19" i="48"/>
  <c r="F38" i="48"/>
  <c r="F31" i="48"/>
  <c r="F47" i="48"/>
  <c r="F50" i="48"/>
  <c r="F20" i="48"/>
  <c r="F18" i="48"/>
  <c r="F24" i="48"/>
  <c r="F34" i="48"/>
  <c r="F9" i="48"/>
  <c r="F27" i="48"/>
  <c r="F33" i="48"/>
  <c r="F14" i="48"/>
  <c r="F57" i="48"/>
  <c r="F28" i="48"/>
  <c r="F22" i="48"/>
  <c r="F51" i="48"/>
  <c r="F41" i="48"/>
  <c r="G58" i="48"/>
  <c r="F25" i="48" s="1"/>
  <c r="C39" i="36"/>
  <c r="C46" i="36"/>
  <c r="C38" i="36"/>
  <c r="C29" i="36"/>
  <c r="C34" i="36"/>
  <c r="C25" i="36"/>
  <c r="C21" i="36"/>
  <c r="L9" i="1"/>
  <c r="M9" i="1" s="1"/>
  <c r="L13" i="1"/>
  <c r="M13" i="1" s="1"/>
  <c r="L26" i="1"/>
  <c r="M26" i="1" s="1"/>
  <c r="C24" i="36"/>
  <c r="I24" i="36" s="1"/>
  <c r="C43" i="36"/>
  <c r="I43" i="36" s="1"/>
  <c r="C12" i="36"/>
  <c r="I12" i="36" s="1"/>
  <c r="I28" i="1"/>
  <c r="J28" i="1" s="1"/>
  <c r="I13" i="1"/>
  <c r="J13" i="1" s="1"/>
  <c r="I30" i="1"/>
  <c r="J30" i="1" s="1"/>
  <c r="I40" i="1"/>
  <c r="J40" i="1" s="1"/>
  <c r="I16" i="1"/>
  <c r="J16" i="1" s="1"/>
  <c r="I22" i="1"/>
  <c r="J22" i="1" s="1"/>
  <c r="I48" i="1"/>
  <c r="J48" i="1" s="1"/>
  <c r="I33" i="1"/>
  <c r="J33" i="1" s="1"/>
  <c r="I38" i="1"/>
  <c r="J38" i="1" s="1"/>
  <c r="C50" i="36"/>
  <c r="I50" i="36" s="1"/>
  <c r="C13" i="36"/>
  <c r="I13" i="36" s="1"/>
  <c r="C35" i="36"/>
  <c r="I35" i="36" s="1"/>
  <c r="C30" i="36"/>
  <c r="I24" i="1"/>
  <c r="J24" i="1" s="1"/>
  <c r="L34" i="1"/>
  <c r="M34" i="1" s="1"/>
  <c r="I25" i="1"/>
  <c r="J25" i="1" s="1"/>
  <c r="I51" i="1"/>
  <c r="J51" i="1" s="1"/>
  <c r="C53" i="36"/>
  <c r="I53" i="36" s="1"/>
  <c r="C49" i="36"/>
  <c r="I49" i="36" s="1"/>
  <c r="C52" i="36"/>
  <c r="I52" i="36" s="1"/>
  <c r="C45" i="36"/>
  <c r="I45" i="36" s="1"/>
  <c r="C41" i="36"/>
  <c r="I41" i="36" s="1"/>
  <c r="C54" i="36"/>
  <c r="C42" i="36"/>
  <c r="C36" i="36"/>
  <c r="I36" i="36" s="1"/>
  <c r="C32" i="36"/>
  <c r="I32" i="36" s="1"/>
  <c r="C40" i="36"/>
  <c r="I40" i="36" s="1"/>
  <c r="C31" i="36"/>
  <c r="I31" i="36" s="1"/>
  <c r="C27" i="36"/>
  <c r="I27" i="36" s="1"/>
  <c r="C23" i="36"/>
  <c r="I23" i="36" s="1"/>
  <c r="C19" i="36"/>
  <c r="I19" i="36" s="1"/>
  <c r="C44" i="36"/>
  <c r="I44" i="36" s="1"/>
  <c r="C28" i="36"/>
  <c r="I28" i="36" s="1"/>
  <c r="C20" i="36"/>
  <c r="I20" i="36" s="1"/>
  <c r="C14" i="36"/>
  <c r="C10" i="36"/>
  <c r="C37" i="36"/>
  <c r="I37" i="36" s="1"/>
  <c r="C18" i="36"/>
  <c r="I18" i="36" s="1"/>
  <c r="C9" i="36"/>
  <c r="C15" i="36"/>
  <c r="I15" i="36" s="1"/>
  <c r="C22" i="36"/>
  <c r="I22" i="36" s="1"/>
  <c r="E7" i="36"/>
  <c r="E16" i="36"/>
  <c r="L11" i="1"/>
  <c r="M11" i="1" s="1"/>
  <c r="L15" i="1"/>
  <c r="M15" i="1" s="1"/>
  <c r="I18" i="1"/>
  <c r="J18" i="1" s="1"/>
  <c r="I26" i="1"/>
  <c r="J26" i="1" s="1"/>
  <c r="N26" i="1" s="1"/>
  <c r="I34" i="1"/>
  <c r="J34" i="1" s="1"/>
  <c r="I8" i="1"/>
  <c r="J8" i="1" s="1"/>
  <c r="I41" i="1"/>
  <c r="J41" i="1" s="1"/>
  <c r="I50" i="1"/>
  <c r="J50" i="1" s="1"/>
  <c r="I20" i="1"/>
  <c r="J20" i="1" s="1"/>
  <c r="I36" i="1"/>
  <c r="J36" i="1" s="1"/>
  <c r="I44" i="1"/>
  <c r="J44" i="1" s="1"/>
  <c r="I56" i="1"/>
  <c r="J56" i="1" s="1"/>
  <c r="I47" i="1"/>
  <c r="J47" i="1" s="1"/>
  <c r="I9" i="1"/>
  <c r="J9" i="1" s="1"/>
  <c r="I54" i="1"/>
  <c r="J54" i="1" s="1"/>
  <c r="I46" i="1"/>
  <c r="J46" i="1" s="1"/>
  <c r="L18" i="1"/>
  <c r="M18" i="1" s="1"/>
  <c r="L58" i="1"/>
  <c r="L7" i="1"/>
  <c r="M7" i="1" s="1"/>
  <c r="L54" i="1"/>
  <c r="M54" i="1" s="1"/>
  <c r="L46" i="1"/>
  <c r="M46" i="1" s="1"/>
  <c r="L38" i="1"/>
  <c r="M38" i="1" s="1"/>
  <c r="L30" i="1"/>
  <c r="M30" i="1" s="1"/>
  <c r="N30" i="1" s="1"/>
  <c r="L22" i="1"/>
  <c r="M22" i="1" s="1"/>
  <c r="L14" i="1"/>
  <c r="M14" i="1" s="1"/>
  <c r="L56" i="1"/>
  <c r="M56" i="1" s="1"/>
  <c r="L52" i="1"/>
  <c r="M52" i="1" s="1"/>
  <c r="L48" i="1"/>
  <c r="M48" i="1" s="1"/>
  <c r="L44" i="1"/>
  <c r="M44" i="1" s="1"/>
  <c r="L40" i="1"/>
  <c r="M40" i="1" s="1"/>
  <c r="L36" i="1"/>
  <c r="M36" i="1" s="1"/>
  <c r="L32" i="1"/>
  <c r="M32" i="1" s="1"/>
  <c r="L28" i="1"/>
  <c r="M28" i="1" s="1"/>
  <c r="L24" i="1"/>
  <c r="M24" i="1" s="1"/>
  <c r="L20" i="1"/>
  <c r="M20" i="1" s="1"/>
  <c r="L16" i="1"/>
  <c r="M16" i="1" s="1"/>
  <c r="L12" i="1"/>
  <c r="M12" i="1" s="1"/>
  <c r="L8" i="1"/>
  <c r="M8" i="1" s="1"/>
  <c r="L57" i="1"/>
  <c r="M57" i="1" s="1"/>
  <c r="L55" i="1"/>
  <c r="M55" i="1" s="1"/>
  <c r="L53" i="1"/>
  <c r="M53" i="1" s="1"/>
  <c r="L51" i="1"/>
  <c r="M51" i="1" s="1"/>
  <c r="L49" i="1"/>
  <c r="M49" i="1" s="1"/>
  <c r="L47" i="1"/>
  <c r="M47" i="1" s="1"/>
  <c r="L45" i="1"/>
  <c r="M45" i="1" s="1"/>
  <c r="L43" i="1"/>
  <c r="M43" i="1" s="1"/>
  <c r="L41" i="1"/>
  <c r="M41" i="1" s="1"/>
  <c r="L39" i="1"/>
  <c r="M39" i="1" s="1"/>
  <c r="L37" i="1"/>
  <c r="M37" i="1" s="1"/>
  <c r="L35" i="1"/>
  <c r="M35" i="1" s="1"/>
  <c r="L33" i="1"/>
  <c r="M33" i="1" s="1"/>
  <c r="L31" i="1"/>
  <c r="M31" i="1" s="1"/>
  <c r="L29" i="1"/>
  <c r="M29" i="1" s="1"/>
  <c r="L27" i="1"/>
  <c r="M27" i="1" s="1"/>
  <c r="L25" i="1"/>
  <c r="M25" i="1" s="1"/>
  <c r="L23" i="1"/>
  <c r="M23" i="1" s="1"/>
  <c r="L21" i="1"/>
  <c r="M21" i="1" s="1"/>
  <c r="L19" i="1"/>
  <c r="M19" i="1" s="1"/>
  <c r="L17" i="1"/>
  <c r="M17" i="1" s="1"/>
  <c r="L50" i="1"/>
  <c r="M50" i="1" s="1"/>
  <c r="N50" i="1" s="1"/>
  <c r="L42" i="1"/>
  <c r="M42" i="1" s="1"/>
  <c r="N10" i="1"/>
  <c r="R56" i="44"/>
  <c r="E27" i="36"/>
  <c r="E22" i="36"/>
  <c r="E43" i="36"/>
  <c r="E54" i="36"/>
  <c r="E28" i="36"/>
  <c r="E51" i="36"/>
  <c r="E35" i="36"/>
  <c r="E19" i="36"/>
  <c r="E38" i="36"/>
  <c r="E10" i="36"/>
  <c r="E40" i="36"/>
  <c r="E55" i="36"/>
  <c r="E47" i="36"/>
  <c r="E39" i="36"/>
  <c r="E31" i="36"/>
  <c r="E23" i="36"/>
  <c r="E15" i="36"/>
  <c r="E48" i="36"/>
  <c r="E50" i="36"/>
  <c r="E46" i="36"/>
  <c r="E30" i="36"/>
  <c r="E14" i="36"/>
  <c r="E44" i="36"/>
  <c r="E13" i="36"/>
  <c r="E11" i="36"/>
  <c r="E57" i="36"/>
  <c r="E53" i="36"/>
  <c r="E49" i="36"/>
  <c r="E45" i="36"/>
  <c r="E41" i="36"/>
  <c r="E37" i="36"/>
  <c r="E33" i="36"/>
  <c r="E29" i="36"/>
  <c r="E25" i="36"/>
  <c r="E21" i="36"/>
  <c r="E17" i="36"/>
  <c r="E56" i="36"/>
  <c r="E52" i="36"/>
  <c r="E42" i="36"/>
  <c r="E34" i="36"/>
  <c r="E26" i="36"/>
  <c r="E18" i="36"/>
  <c r="E12" i="36"/>
  <c r="E8" i="36"/>
  <c r="E36" i="36"/>
  <c r="E20" i="36"/>
  <c r="E9" i="36"/>
  <c r="E24" i="36"/>
  <c r="E32" i="36"/>
  <c r="I14" i="1"/>
  <c r="J14" i="1" s="1"/>
  <c r="I19" i="1"/>
  <c r="J19" i="1" s="1"/>
  <c r="I23" i="1"/>
  <c r="J23" i="1" s="1"/>
  <c r="I27" i="1"/>
  <c r="J27" i="1" s="1"/>
  <c r="I31" i="1"/>
  <c r="J31" i="1" s="1"/>
  <c r="I35" i="1"/>
  <c r="J35" i="1" s="1"/>
  <c r="I39" i="1"/>
  <c r="J39" i="1" s="1"/>
  <c r="I43" i="1"/>
  <c r="J43" i="1" s="1"/>
  <c r="I12" i="1"/>
  <c r="J12" i="1" s="1"/>
  <c r="I21" i="1"/>
  <c r="J21" i="1" s="1"/>
  <c r="I29" i="1"/>
  <c r="J29" i="1" s="1"/>
  <c r="I37" i="1"/>
  <c r="J37" i="1" s="1"/>
  <c r="I45" i="1"/>
  <c r="J45" i="1" s="1"/>
  <c r="I49" i="1"/>
  <c r="J49" i="1" s="1"/>
  <c r="I53" i="1"/>
  <c r="J53" i="1" s="1"/>
  <c r="I57" i="1"/>
  <c r="J57" i="1" s="1"/>
  <c r="I7" i="1"/>
  <c r="I11" i="1"/>
  <c r="J11" i="1" s="1"/>
  <c r="I15" i="1"/>
  <c r="J15" i="1" s="1"/>
  <c r="N15" i="1" s="1"/>
  <c r="I55" i="1"/>
  <c r="J55" i="1" s="1"/>
  <c r="I17" i="1"/>
  <c r="J17" i="1" s="1"/>
  <c r="I32" i="1"/>
  <c r="J32" i="1" s="1"/>
  <c r="I42" i="1"/>
  <c r="J42" i="1" s="1"/>
  <c r="I52" i="1"/>
  <c r="J52" i="1" s="1"/>
  <c r="I55" i="36"/>
  <c r="I34" i="36"/>
  <c r="I47" i="36"/>
  <c r="I10" i="36"/>
  <c r="I26" i="36"/>
  <c r="I42" i="36"/>
  <c r="I7" i="36"/>
  <c r="I39" i="36"/>
  <c r="AB5" i="1"/>
  <c r="I57" i="36"/>
  <c r="I33" i="36"/>
  <c r="I29" i="36"/>
  <c r="I25" i="36"/>
  <c r="I21" i="36"/>
  <c r="I17" i="36"/>
  <c r="I56" i="36"/>
  <c r="I48" i="36"/>
  <c r="I16" i="36"/>
  <c r="I8" i="36"/>
  <c r="J5" i="36"/>
  <c r="K5" i="36"/>
  <c r="I14" i="36"/>
  <c r="I30" i="36"/>
  <c r="I38" i="36"/>
  <c r="I46" i="36"/>
  <c r="I54" i="36"/>
  <c r="I11" i="36"/>
  <c r="I51" i="36"/>
  <c r="E58" i="1"/>
  <c r="F58" i="1"/>
  <c r="G7" i="1" s="1"/>
  <c r="F16" i="48" l="1"/>
  <c r="F11" i="48"/>
  <c r="F8" i="48"/>
  <c r="F40" i="48"/>
  <c r="F21" i="48"/>
  <c r="F52" i="48"/>
  <c r="F54" i="48"/>
  <c r="F44" i="48"/>
  <c r="F45" i="48"/>
  <c r="F53" i="48"/>
  <c r="F46" i="48"/>
  <c r="F23" i="48"/>
  <c r="F15" i="48"/>
  <c r="F36" i="48"/>
  <c r="F48" i="48"/>
  <c r="F30" i="48"/>
  <c r="F49" i="48"/>
  <c r="F17" i="48"/>
  <c r="F29" i="48"/>
  <c r="F37" i="48"/>
  <c r="F56" i="48"/>
  <c r="F26" i="48"/>
  <c r="F35" i="48"/>
  <c r="F43" i="48"/>
  <c r="F7" i="48"/>
  <c r="F42" i="48"/>
  <c r="F13" i="48"/>
  <c r="F55" i="48"/>
  <c r="F32" i="48"/>
  <c r="F10" i="48"/>
  <c r="N24" i="1"/>
  <c r="N13" i="1"/>
  <c r="N9" i="1"/>
  <c r="N41" i="1"/>
  <c r="N39" i="1"/>
  <c r="N29" i="1"/>
  <c r="N28" i="1"/>
  <c r="N20" i="1"/>
  <c r="N25" i="1"/>
  <c r="N51" i="1"/>
  <c r="N40" i="1"/>
  <c r="N16" i="1"/>
  <c r="N53" i="1"/>
  <c r="N38" i="1"/>
  <c r="N17" i="1"/>
  <c r="N12" i="1"/>
  <c r="N22" i="1"/>
  <c r="N11" i="1"/>
  <c r="N33" i="1"/>
  <c r="N34" i="1"/>
  <c r="N23" i="1"/>
  <c r="N56" i="1"/>
  <c r="N46" i="1"/>
  <c r="N48" i="1"/>
  <c r="C58" i="36"/>
  <c r="I9" i="36"/>
  <c r="N8" i="1"/>
  <c r="N45" i="1"/>
  <c r="N14" i="1"/>
  <c r="N42" i="1"/>
  <c r="N31" i="1"/>
  <c r="N44" i="1"/>
  <c r="N18" i="1"/>
  <c r="G50" i="1"/>
  <c r="AB50" i="1" s="1"/>
  <c r="G48" i="1"/>
  <c r="AB48" i="1" s="1"/>
  <c r="G39" i="1"/>
  <c r="AB39" i="1" s="1"/>
  <c r="G33" i="1"/>
  <c r="AB33" i="1" s="1"/>
  <c r="G31" i="1"/>
  <c r="AB31" i="1" s="1"/>
  <c r="G27" i="1"/>
  <c r="AB27" i="1" s="1"/>
  <c r="G43" i="1"/>
  <c r="AB43" i="1" s="1"/>
  <c r="N32" i="1"/>
  <c r="N55" i="1"/>
  <c r="N43" i="1"/>
  <c r="N35" i="1"/>
  <c r="N27" i="1"/>
  <c r="N19" i="1"/>
  <c r="N36" i="1"/>
  <c r="G25" i="1"/>
  <c r="AB25" i="1" s="1"/>
  <c r="G17" i="1"/>
  <c r="AB17" i="1" s="1"/>
  <c r="G15" i="1"/>
  <c r="AB15" i="1" s="1"/>
  <c r="G10" i="1"/>
  <c r="AB10" i="1" s="1"/>
  <c r="G8" i="1"/>
  <c r="AB8" i="1" s="1"/>
  <c r="G51" i="1"/>
  <c r="AB51" i="1" s="1"/>
  <c r="G49" i="1"/>
  <c r="AB49" i="1" s="1"/>
  <c r="G45" i="1"/>
  <c r="AB45" i="1" s="1"/>
  <c r="G40" i="1"/>
  <c r="AB40" i="1" s="1"/>
  <c r="G34" i="1"/>
  <c r="AB34" i="1" s="1"/>
  <c r="G32" i="1"/>
  <c r="AB32" i="1" s="1"/>
  <c r="G28" i="1"/>
  <c r="AB28" i="1" s="1"/>
  <c r="G26" i="1"/>
  <c r="AB26" i="1" s="1"/>
  <c r="G18" i="1"/>
  <c r="AB18" i="1" s="1"/>
  <c r="G16" i="1"/>
  <c r="AB16" i="1" s="1"/>
  <c r="G13" i="1"/>
  <c r="AB13" i="1" s="1"/>
  <c r="G9" i="1"/>
  <c r="AB9" i="1" s="1"/>
  <c r="N54" i="1"/>
  <c r="N47" i="1"/>
  <c r="M58" i="1"/>
  <c r="N52" i="1"/>
  <c r="N57" i="1"/>
  <c r="N49" i="1"/>
  <c r="N37" i="1"/>
  <c r="N21" i="1"/>
  <c r="J7" i="1"/>
  <c r="I58" i="1"/>
  <c r="AD5" i="1"/>
  <c r="AC5" i="1"/>
  <c r="I58" i="36"/>
  <c r="J13" i="36"/>
  <c r="J50" i="36"/>
  <c r="J9" i="36"/>
  <c r="J8" i="36"/>
  <c r="J12" i="36"/>
  <c r="J20" i="36"/>
  <c r="J54" i="36"/>
  <c r="J56" i="36"/>
  <c r="J15" i="36"/>
  <c r="J17" i="36"/>
  <c r="J19" i="36"/>
  <c r="J21" i="36"/>
  <c r="J23" i="36"/>
  <c r="J25" i="36"/>
  <c r="J27" i="36"/>
  <c r="J29" i="36"/>
  <c r="J31" i="36"/>
  <c r="J33" i="36"/>
  <c r="J35" i="36"/>
  <c r="J37" i="36"/>
  <c r="J39" i="36"/>
  <c r="J41" i="36"/>
  <c r="J43" i="36"/>
  <c r="J45" i="36"/>
  <c r="J47" i="36"/>
  <c r="J49" i="36"/>
  <c r="J51" i="36"/>
  <c r="J53" i="36"/>
  <c r="J55" i="36"/>
  <c r="J57" i="36"/>
  <c r="J28" i="36"/>
  <c r="J36" i="36"/>
  <c r="J44" i="36"/>
  <c r="J18" i="36"/>
  <c r="J22" i="36"/>
  <c r="J26" i="36"/>
  <c r="J30" i="36"/>
  <c r="J34" i="36"/>
  <c r="J38" i="36"/>
  <c r="J42" i="36"/>
  <c r="J46" i="36"/>
  <c r="J48" i="36"/>
  <c r="J52" i="36"/>
  <c r="J7" i="36"/>
  <c r="J10" i="36"/>
  <c r="J32" i="36"/>
  <c r="J16" i="36"/>
  <c r="J24" i="36"/>
  <c r="J40" i="36"/>
  <c r="J11" i="36"/>
  <c r="J14" i="36"/>
  <c r="AB7" i="1"/>
  <c r="G57" i="1"/>
  <c r="AB57" i="1" s="1"/>
  <c r="G37" i="1"/>
  <c r="AB37" i="1" s="1"/>
  <c r="G53" i="1"/>
  <c r="AB53" i="1" s="1"/>
  <c r="G21" i="1"/>
  <c r="AB21" i="1" s="1"/>
  <c r="G38" i="1"/>
  <c r="AB38" i="1" s="1"/>
  <c r="G54" i="1"/>
  <c r="AB54" i="1" s="1"/>
  <c r="G42" i="1"/>
  <c r="AB42" i="1" s="1"/>
  <c r="G23" i="1"/>
  <c r="AB23" i="1" s="1"/>
  <c r="G55" i="1"/>
  <c r="AB55" i="1" s="1"/>
  <c r="G46" i="1"/>
  <c r="AB46" i="1" s="1"/>
  <c r="G36" i="1"/>
  <c r="AB36" i="1" s="1"/>
  <c r="G29" i="1"/>
  <c r="AB29" i="1" s="1"/>
  <c r="G14" i="1"/>
  <c r="AB14" i="1" s="1"/>
  <c r="G44" i="1"/>
  <c r="AB44" i="1" s="1"/>
  <c r="G30" i="1"/>
  <c r="AB30" i="1" s="1"/>
  <c r="G20" i="1"/>
  <c r="AB20" i="1" s="1"/>
  <c r="G41" i="1"/>
  <c r="AB41" i="1" s="1"/>
  <c r="G19" i="1"/>
  <c r="AB19" i="1" s="1"/>
  <c r="G22" i="1"/>
  <c r="AB22" i="1" s="1"/>
  <c r="G12" i="1"/>
  <c r="AB12" i="1" s="1"/>
  <c r="G56" i="1"/>
  <c r="AB56" i="1" s="1"/>
  <c r="G52" i="1"/>
  <c r="AB52" i="1" s="1"/>
  <c r="G47" i="1"/>
  <c r="AB47" i="1" s="1"/>
  <c r="G11" i="1"/>
  <c r="AB11" i="1" s="1"/>
  <c r="G24" i="1"/>
  <c r="AB24" i="1" s="1"/>
  <c r="G35" i="1"/>
  <c r="AB35" i="1" s="1"/>
  <c r="F58" i="48" l="1"/>
  <c r="X18" i="1"/>
  <c r="X30" i="1"/>
  <c r="X42" i="1"/>
  <c r="X54" i="1"/>
  <c r="U15" i="1"/>
  <c r="U27" i="1"/>
  <c r="U39" i="1"/>
  <c r="U51" i="1"/>
  <c r="X33" i="1"/>
  <c r="Y33" i="1" s="1"/>
  <c r="X57" i="1"/>
  <c r="U30" i="1"/>
  <c r="U54" i="1"/>
  <c r="X10" i="1"/>
  <c r="X46" i="1"/>
  <c r="U19" i="1"/>
  <c r="U55" i="1"/>
  <c r="X36" i="1"/>
  <c r="U33" i="1"/>
  <c r="U48" i="1"/>
  <c r="X16" i="1"/>
  <c r="X52" i="1"/>
  <c r="U50" i="1"/>
  <c r="X19" i="1"/>
  <c r="X31" i="1"/>
  <c r="X43" i="1"/>
  <c r="X55" i="1"/>
  <c r="U16" i="1"/>
  <c r="U28" i="1"/>
  <c r="U40" i="1"/>
  <c r="U52" i="1"/>
  <c r="X22" i="1"/>
  <c r="X7" i="1"/>
  <c r="U43" i="1"/>
  <c r="X23" i="1"/>
  <c r="X35" i="1"/>
  <c r="X47" i="1"/>
  <c r="U8" i="1"/>
  <c r="U20" i="1"/>
  <c r="U32" i="1"/>
  <c r="U44" i="1"/>
  <c r="U56" i="1"/>
  <c r="X12" i="1"/>
  <c r="X48" i="1"/>
  <c r="U45" i="1"/>
  <c r="X26" i="1"/>
  <c r="Y26" i="1" s="1"/>
  <c r="U23" i="1"/>
  <c r="X15" i="1"/>
  <c r="Y15" i="1" s="1"/>
  <c r="U12" i="1"/>
  <c r="U49" i="1"/>
  <c r="X41" i="1"/>
  <c r="U14" i="1"/>
  <c r="X8" i="1"/>
  <c r="X20" i="1"/>
  <c r="X32" i="1"/>
  <c r="X44" i="1"/>
  <c r="X56" i="1"/>
  <c r="U17" i="1"/>
  <c r="U29" i="1"/>
  <c r="U41" i="1"/>
  <c r="U53" i="1"/>
  <c r="X9" i="1"/>
  <c r="X21" i="1"/>
  <c r="X45" i="1"/>
  <c r="U18" i="1"/>
  <c r="U42" i="1"/>
  <c r="X34" i="1"/>
  <c r="U31" i="1"/>
  <c r="X24" i="1"/>
  <c r="U21" i="1"/>
  <c r="X38" i="1"/>
  <c r="X40" i="1"/>
  <c r="U25" i="1"/>
  <c r="X17" i="1"/>
  <c r="U26" i="1"/>
  <c r="X11" i="1"/>
  <c r="U57" i="1"/>
  <c r="U11" i="1"/>
  <c r="U47" i="1"/>
  <c r="X51" i="1"/>
  <c r="U36" i="1"/>
  <c r="U9" i="1"/>
  <c r="X50" i="1"/>
  <c r="X28" i="1"/>
  <c r="U13" i="1"/>
  <c r="X13" i="1"/>
  <c r="X25" i="1"/>
  <c r="X37" i="1"/>
  <c r="X49" i="1"/>
  <c r="U10" i="1"/>
  <c r="U22" i="1"/>
  <c r="U34" i="1"/>
  <c r="U46" i="1"/>
  <c r="U7" i="1"/>
  <c r="X39" i="1"/>
  <c r="Y39" i="1" s="1"/>
  <c r="U24" i="1"/>
  <c r="U38" i="1"/>
  <c r="X14" i="1"/>
  <c r="U35" i="1"/>
  <c r="X27" i="1"/>
  <c r="U37" i="1"/>
  <c r="X29" i="1"/>
  <c r="X53" i="1"/>
  <c r="AC36" i="1"/>
  <c r="N7" i="1"/>
  <c r="N58" i="1" s="1"/>
  <c r="J58" i="1"/>
  <c r="AC54" i="1"/>
  <c r="AC16" i="1"/>
  <c r="AC53" i="1"/>
  <c r="AC24" i="1"/>
  <c r="AC12" i="1"/>
  <c r="AC35" i="1"/>
  <c r="AC48" i="1"/>
  <c r="AC9" i="1"/>
  <c r="AC26" i="1"/>
  <c r="AC15" i="1"/>
  <c r="AC46" i="1"/>
  <c r="AC47" i="1"/>
  <c r="AC21" i="1"/>
  <c r="AC11" i="1"/>
  <c r="AC38" i="1"/>
  <c r="AC34" i="1"/>
  <c r="AC10" i="1"/>
  <c r="AC40" i="1"/>
  <c r="AC22" i="1"/>
  <c r="AC50" i="1"/>
  <c r="AC43" i="1"/>
  <c r="AC8" i="1"/>
  <c r="AC25" i="1"/>
  <c r="AC17" i="1"/>
  <c r="AC51" i="1"/>
  <c r="AC39" i="1"/>
  <c r="AC27" i="1"/>
  <c r="AC30" i="1"/>
  <c r="AC45" i="1"/>
  <c r="AC42" i="1"/>
  <c r="AC19" i="1"/>
  <c r="AC32" i="1"/>
  <c r="AC41" i="1"/>
  <c r="AC20" i="1"/>
  <c r="AC52" i="1"/>
  <c r="AC37" i="1"/>
  <c r="AC44" i="1"/>
  <c r="AC56" i="1"/>
  <c r="AC29" i="1"/>
  <c r="AC55" i="1"/>
  <c r="AC18" i="1"/>
  <c r="AC14" i="1"/>
  <c r="AC49" i="1"/>
  <c r="AC57" i="1"/>
  <c r="AC28" i="1"/>
  <c r="AC23" i="1"/>
  <c r="AC31" i="1"/>
  <c r="AC13" i="1"/>
  <c r="AC33" i="1"/>
  <c r="J58" i="36"/>
  <c r="G58" i="1"/>
  <c r="AB58" i="1"/>
  <c r="Y32" i="1" l="1"/>
  <c r="Y35" i="1"/>
  <c r="Y57" i="1"/>
  <c r="Y56" i="1"/>
  <c r="Y40" i="1"/>
  <c r="Y44" i="1"/>
  <c r="Y19" i="1"/>
  <c r="Y20" i="1"/>
  <c r="Y52" i="1"/>
  <c r="Y16" i="1"/>
  <c r="Y28" i="1"/>
  <c r="Y47" i="1"/>
  <c r="Y31" i="1"/>
  <c r="Y51" i="1"/>
  <c r="Y48" i="1"/>
  <c r="Y14" i="1"/>
  <c r="Y50" i="1"/>
  <c r="Y38" i="1"/>
  <c r="Y27" i="1"/>
  <c r="Y37" i="1"/>
  <c r="Y10" i="1"/>
  <c r="Y18" i="1"/>
  <c r="U58" i="1"/>
  <c r="Y24" i="1"/>
  <c r="X58" i="1"/>
  <c r="Y7" i="1"/>
  <c r="Y22" i="1"/>
  <c r="Y53" i="1"/>
  <c r="Y34" i="1"/>
  <c r="Y12" i="1"/>
  <c r="Y23" i="1"/>
  <c r="Y29" i="1"/>
  <c r="Y36" i="1"/>
  <c r="Y49" i="1"/>
  <c r="Y8" i="1"/>
  <c r="Y54" i="1"/>
  <c r="Y11" i="1"/>
  <c r="Y45" i="1"/>
  <c r="Y42" i="1"/>
  <c r="Y25" i="1"/>
  <c r="Y21" i="1"/>
  <c r="Y41" i="1"/>
  <c r="Y55" i="1"/>
  <c r="Y46" i="1"/>
  <c r="Y30" i="1"/>
  <c r="Y13" i="1"/>
  <c r="Y17" i="1"/>
  <c r="Y9" i="1"/>
  <c r="Y43" i="1"/>
  <c r="AC7" i="1"/>
  <c r="AC58" i="1" s="1"/>
  <c r="Y58" i="1" l="1"/>
  <c r="Z36" i="1" s="1"/>
  <c r="AD36" i="1" s="1"/>
  <c r="AE36" i="1" s="1"/>
  <c r="Z11" i="1" l="1"/>
  <c r="AD11" i="1" s="1"/>
  <c r="AE11" i="1" s="1"/>
  <c r="Z49" i="1"/>
  <c r="AD49" i="1" s="1"/>
  <c r="AE49" i="1" s="1"/>
  <c r="Z21" i="1"/>
  <c r="AD21" i="1" s="1"/>
  <c r="AE21" i="1" s="1"/>
  <c r="Z23" i="1"/>
  <c r="AD23" i="1" s="1"/>
  <c r="AE23" i="1" s="1"/>
  <c r="Z25" i="1"/>
  <c r="AD25" i="1" s="1"/>
  <c r="AE25" i="1" s="1"/>
  <c r="Z24" i="1"/>
  <c r="AD24" i="1" s="1"/>
  <c r="AE24" i="1" s="1"/>
  <c r="Z9" i="1"/>
  <c r="AD9" i="1" s="1"/>
  <c r="AE9" i="1" s="1"/>
  <c r="Z53" i="1"/>
  <c r="AD53" i="1" s="1"/>
  <c r="AE53" i="1" s="1"/>
  <c r="Z41" i="1"/>
  <c r="AD41" i="1" s="1"/>
  <c r="AE41" i="1" s="1"/>
  <c r="Z8" i="1"/>
  <c r="AD8" i="1" s="1"/>
  <c r="AE8" i="1" s="1"/>
  <c r="Z29" i="1"/>
  <c r="AD29" i="1" s="1"/>
  <c r="AE29" i="1" s="1"/>
  <c r="Z43" i="1"/>
  <c r="AD43" i="1" s="1"/>
  <c r="AE43" i="1" s="1"/>
  <c r="Z34" i="1"/>
  <c r="AD34" i="1" s="1"/>
  <c r="AE34" i="1" s="1"/>
  <c r="Z54" i="1"/>
  <c r="AD54" i="1" s="1"/>
  <c r="AE54" i="1" s="1"/>
  <c r="Z46" i="1"/>
  <c r="AD46" i="1" s="1"/>
  <c r="AE46" i="1" s="1"/>
  <c r="Z12" i="1"/>
  <c r="AD12" i="1" s="1"/>
  <c r="AE12" i="1" s="1"/>
  <c r="Z30" i="1"/>
  <c r="AD30" i="1" s="1"/>
  <c r="AE30" i="1" s="1"/>
  <c r="Z45" i="1"/>
  <c r="AD45" i="1" s="1"/>
  <c r="AE45" i="1" s="1"/>
  <c r="Z7" i="1"/>
  <c r="Z13" i="1"/>
  <c r="AD13" i="1" s="1"/>
  <c r="AE13" i="1" s="1"/>
  <c r="Z42" i="1"/>
  <c r="AD42" i="1" s="1"/>
  <c r="AE42" i="1" s="1"/>
  <c r="Z47" i="1"/>
  <c r="AD47" i="1" s="1"/>
  <c r="AE47" i="1" s="1"/>
  <c r="Z31" i="1"/>
  <c r="AD31" i="1" s="1"/>
  <c r="AE31" i="1" s="1"/>
  <c r="Z40" i="1"/>
  <c r="AD40" i="1" s="1"/>
  <c r="AE40" i="1" s="1"/>
  <c r="Z15" i="1"/>
  <c r="AD15" i="1" s="1"/>
  <c r="AE15" i="1" s="1"/>
  <c r="Z38" i="1"/>
  <c r="AD38" i="1" s="1"/>
  <c r="AE38" i="1" s="1"/>
  <c r="Z27" i="1"/>
  <c r="AD27" i="1" s="1"/>
  <c r="AE27" i="1" s="1"/>
  <c r="Z35" i="1"/>
  <c r="AD35" i="1" s="1"/>
  <c r="AE35" i="1" s="1"/>
  <c r="Z50" i="1"/>
  <c r="AD50" i="1" s="1"/>
  <c r="AE50" i="1" s="1"/>
  <c r="Z52" i="1"/>
  <c r="AD52" i="1" s="1"/>
  <c r="AE52" i="1" s="1"/>
  <c r="Z39" i="1"/>
  <c r="AD39" i="1" s="1"/>
  <c r="AE39" i="1" s="1"/>
  <c r="Z28" i="1"/>
  <c r="AD28" i="1" s="1"/>
  <c r="AE28" i="1" s="1"/>
  <c r="Z16" i="1"/>
  <c r="AD16" i="1" s="1"/>
  <c r="AE16" i="1" s="1"/>
  <c r="Z37" i="1"/>
  <c r="AD37" i="1" s="1"/>
  <c r="AE37" i="1" s="1"/>
  <c r="Z33" i="1"/>
  <c r="AD33" i="1" s="1"/>
  <c r="AE33" i="1" s="1"/>
  <c r="Z26" i="1"/>
  <c r="AD26" i="1" s="1"/>
  <c r="AE26" i="1" s="1"/>
  <c r="Z10" i="1"/>
  <c r="AD10" i="1" s="1"/>
  <c r="AE10" i="1" s="1"/>
  <c r="Z32" i="1"/>
  <c r="AD32" i="1" s="1"/>
  <c r="AE32" i="1" s="1"/>
  <c r="Z19" i="1"/>
  <c r="AD19" i="1" s="1"/>
  <c r="AE19" i="1" s="1"/>
  <c r="Z18" i="1"/>
  <c r="AD18" i="1" s="1"/>
  <c r="AE18" i="1" s="1"/>
  <c r="Z57" i="1"/>
  <c r="AD57" i="1" s="1"/>
  <c r="AE57" i="1" s="1"/>
  <c r="Z14" i="1"/>
  <c r="AD14" i="1" s="1"/>
  <c r="AE14" i="1" s="1"/>
  <c r="Z56" i="1"/>
  <c r="AD56" i="1" s="1"/>
  <c r="AE56" i="1" s="1"/>
  <c r="Z51" i="1"/>
  <c r="AD51" i="1" s="1"/>
  <c r="AE51" i="1" s="1"/>
  <c r="Z44" i="1"/>
  <c r="AD44" i="1" s="1"/>
  <c r="AE44" i="1" s="1"/>
  <c r="Z20" i="1"/>
  <c r="AD20" i="1" s="1"/>
  <c r="AE20" i="1" s="1"/>
  <c r="Z48" i="1"/>
  <c r="AD48" i="1" s="1"/>
  <c r="AE48" i="1" s="1"/>
  <c r="Z22" i="1"/>
  <c r="AD22" i="1" s="1"/>
  <c r="AE22" i="1" s="1"/>
  <c r="Z55" i="1"/>
  <c r="AD55" i="1" s="1"/>
  <c r="AE55" i="1" s="1"/>
  <c r="Z17" i="1"/>
  <c r="AD17" i="1" s="1"/>
  <c r="AE17" i="1" s="1"/>
  <c r="AD7" i="1" l="1"/>
  <c r="Z58" i="1"/>
  <c r="AD58" i="1" l="1"/>
  <c r="AE7" i="1"/>
  <c r="AE58" i="1" l="1"/>
  <c r="AF7" i="1" l="1"/>
  <c r="L6" i="28" s="1"/>
  <c r="I7" i="48" s="1"/>
  <c r="M6" i="28"/>
  <c r="K7" i="48" s="1"/>
  <c r="AF31" i="1"/>
  <c r="AF57" i="1"/>
  <c r="AF24" i="1"/>
  <c r="AF27" i="1"/>
  <c r="AF32" i="1"/>
  <c r="AF40" i="1"/>
  <c r="AF28" i="1"/>
  <c r="AF35" i="1"/>
  <c r="AF8" i="1"/>
  <c r="AF52" i="1"/>
  <c r="AF48" i="1"/>
  <c r="AF56" i="1"/>
  <c r="AF19" i="1"/>
  <c r="AF46" i="1"/>
  <c r="AF53" i="1"/>
  <c r="AF39" i="1"/>
  <c r="AF13" i="1"/>
  <c r="AF43" i="1"/>
  <c r="AF10" i="1"/>
  <c r="AF38" i="1"/>
  <c r="AF36" i="1"/>
  <c r="AF41" i="1"/>
  <c r="AF45" i="1"/>
  <c r="AF23" i="1"/>
  <c r="AF15" i="1"/>
  <c r="AF55" i="1"/>
  <c r="AF18" i="1"/>
  <c r="AF37" i="1"/>
  <c r="AF34" i="1"/>
  <c r="AF49" i="1"/>
  <c r="AF51" i="1"/>
  <c r="AF26" i="1"/>
  <c r="AF29" i="1"/>
  <c r="AF16" i="1"/>
  <c r="AF14" i="1"/>
  <c r="AF11" i="1"/>
  <c r="AF30" i="1"/>
  <c r="AF17" i="1"/>
  <c r="AF20" i="1"/>
  <c r="AF12" i="1"/>
  <c r="AF25" i="1"/>
  <c r="AF22" i="1"/>
  <c r="AF54" i="1"/>
  <c r="AF44" i="1"/>
  <c r="AF47" i="1"/>
  <c r="AF33" i="1"/>
  <c r="AF50" i="1"/>
  <c r="AF42" i="1"/>
  <c r="AF21" i="1"/>
  <c r="AF9" i="1"/>
  <c r="O6" i="28" l="1"/>
  <c r="O7" i="48" s="1"/>
  <c r="J6" i="28"/>
  <c r="C7" i="48" s="1"/>
  <c r="K6" i="28"/>
  <c r="E7" i="48" s="1"/>
  <c r="N6" i="28"/>
  <c r="M7" i="48" s="1"/>
  <c r="G30" i="36"/>
  <c r="K30" i="36" s="1"/>
  <c r="L30" i="36" s="1"/>
  <c r="Q30" i="48" s="1"/>
  <c r="G40" i="36"/>
  <c r="G10" i="36"/>
  <c r="G24" i="36"/>
  <c r="K24" i="36" s="1"/>
  <c r="L24" i="36" s="1"/>
  <c r="Q24" i="48" s="1"/>
  <c r="G27" i="36"/>
  <c r="K27" i="36" s="1"/>
  <c r="L27" i="36" s="1"/>
  <c r="Q27" i="48" s="1"/>
  <c r="G14" i="36"/>
  <c r="K14" i="36" s="1"/>
  <c r="L14" i="36" s="1"/>
  <c r="Q14" i="48" s="1"/>
  <c r="G43" i="36"/>
  <c r="K43" i="36" s="1"/>
  <c r="L43" i="36" s="1"/>
  <c r="Q43" i="48" s="1"/>
  <c r="G29" i="36"/>
  <c r="K29" i="36" s="1"/>
  <c r="L29" i="36" s="1"/>
  <c r="Q29" i="48" s="1"/>
  <c r="G17" i="36"/>
  <c r="K17" i="36" s="1"/>
  <c r="L17" i="36" s="1"/>
  <c r="Q17" i="48" s="1"/>
  <c r="G36" i="36"/>
  <c r="K36" i="36" s="1"/>
  <c r="L36" i="36" s="1"/>
  <c r="Q36" i="48" s="1"/>
  <c r="G38" i="36"/>
  <c r="K38" i="36" s="1"/>
  <c r="L38" i="36" s="1"/>
  <c r="Q38" i="48" s="1"/>
  <c r="G16" i="36"/>
  <c r="K16" i="36" s="1"/>
  <c r="L16" i="36" s="1"/>
  <c r="Q16" i="48" s="1"/>
  <c r="G21" i="36"/>
  <c r="K21" i="36" s="1"/>
  <c r="L21" i="36" s="1"/>
  <c r="Q21" i="48" s="1"/>
  <c r="G31" i="36"/>
  <c r="K31" i="36" s="1"/>
  <c r="L31" i="36" s="1"/>
  <c r="Q31" i="48" s="1"/>
  <c r="G42" i="36"/>
  <c r="K42" i="36" s="1"/>
  <c r="L42" i="36" s="1"/>
  <c r="Q42" i="48" s="1"/>
  <c r="G39" i="36"/>
  <c r="K39" i="36" s="1"/>
  <c r="L39" i="36" s="1"/>
  <c r="Q39" i="48" s="1"/>
  <c r="G53" i="36"/>
  <c r="K53" i="36" s="1"/>
  <c r="L53" i="36" s="1"/>
  <c r="Q53" i="48" s="1"/>
  <c r="G34" i="36"/>
  <c r="K34" i="36" s="1"/>
  <c r="L34" i="36" s="1"/>
  <c r="Q34" i="48" s="1"/>
  <c r="G33" i="36"/>
  <c r="G48" i="36"/>
  <c r="G55" i="36"/>
  <c r="K55" i="36" s="1"/>
  <c r="L55" i="36" s="1"/>
  <c r="Q55" i="48" s="1"/>
  <c r="G25" i="36"/>
  <c r="K25" i="36" s="1"/>
  <c r="L25" i="36" s="1"/>
  <c r="Q25" i="48" s="1"/>
  <c r="G41" i="36"/>
  <c r="G32" i="36"/>
  <c r="K32" i="36" s="1"/>
  <c r="L32" i="36" s="1"/>
  <c r="Q32" i="48" s="1"/>
  <c r="G11" i="36"/>
  <c r="K11" i="36" s="1"/>
  <c r="L11" i="36" s="1"/>
  <c r="Q11" i="48" s="1"/>
  <c r="G9" i="36"/>
  <c r="K9" i="36" s="1"/>
  <c r="L9" i="36" s="1"/>
  <c r="Q9" i="48" s="1"/>
  <c r="G57" i="36"/>
  <c r="K57" i="36" s="1"/>
  <c r="L57" i="36" s="1"/>
  <c r="Q57" i="48" s="1"/>
  <c r="G13" i="36"/>
  <c r="K13" i="36" s="1"/>
  <c r="L13" i="36" s="1"/>
  <c r="Q13" i="48" s="1"/>
  <c r="G26" i="36"/>
  <c r="G50" i="36"/>
  <c r="K50" i="36" s="1"/>
  <c r="L50" i="36" s="1"/>
  <c r="Q50" i="48" s="1"/>
  <c r="G46" i="36"/>
  <c r="K46" i="36" s="1"/>
  <c r="L46" i="36" s="1"/>
  <c r="Q46" i="48" s="1"/>
  <c r="G44" i="36"/>
  <c r="G56" i="36"/>
  <c r="K56" i="36" s="1"/>
  <c r="L56" i="36" s="1"/>
  <c r="Q56" i="48" s="1"/>
  <c r="G54" i="36"/>
  <c r="K54" i="36" s="1"/>
  <c r="L54" i="36" s="1"/>
  <c r="Q54" i="48" s="1"/>
  <c r="G15" i="36"/>
  <c r="K15" i="36" s="1"/>
  <c r="L15" i="36" s="1"/>
  <c r="Q15" i="48" s="1"/>
  <c r="G51" i="36"/>
  <c r="K51" i="36" s="1"/>
  <c r="L51" i="36" s="1"/>
  <c r="Q51" i="48" s="1"/>
  <c r="G49" i="36"/>
  <c r="K49" i="36" s="1"/>
  <c r="L49" i="36" s="1"/>
  <c r="Q49" i="48" s="1"/>
  <c r="G47" i="36"/>
  <c r="K47" i="36" s="1"/>
  <c r="L47" i="36" s="1"/>
  <c r="Q47" i="48" s="1"/>
  <c r="G19" i="36"/>
  <c r="K19" i="36" s="1"/>
  <c r="L19" i="36" s="1"/>
  <c r="Q19" i="48" s="1"/>
  <c r="G37" i="36"/>
  <c r="K37" i="36" s="1"/>
  <c r="L37" i="36" s="1"/>
  <c r="Q37" i="48" s="1"/>
  <c r="G18" i="36"/>
  <c r="K18" i="36" s="1"/>
  <c r="L18" i="36" s="1"/>
  <c r="Q18" i="48" s="1"/>
  <c r="G22" i="36"/>
  <c r="K22" i="36" s="1"/>
  <c r="L22" i="36" s="1"/>
  <c r="Q22" i="48" s="1"/>
  <c r="G52" i="36"/>
  <c r="K52" i="36" s="1"/>
  <c r="L52" i="36" s="1"/>
  <c r="Q52" i="48" s="1"/>
  <c r="G8" i="36"/>
  <c r="K8" i="36" s="1"/>
  <c r="L8" i="36" s="1"/>
  <c r="Q8" i="48" s="1"/>
  <c r="G12" i="36"/>
  <c r="K12" i="36" s="1"/>
  <c r="L12" i="36" s="1"/>
  <c r="Q12" i="48" s="1"/>
  <c r="G23" i="36"/>
  <c r="K23" i="36" s="1"/>
  <c r="L23" i="36" s="1"/>
  <c r="Q23" i="48" s="1"/>
  <c r="G35" i="36"/>
  <c r="K35" i="36" s="1"/>
  <c r="L35" i="36" s="1"/>
  <c r="Q35" i="48" s="1"/>
  <c r="G20" i="36"/>
  <c r="K20" i="36" s="1"/>
  <c r="L20" i="36" s="1"/>
  <c r="Q20" i="48" s="1"/>
  <c r="G45" i="36"/>
  <c r="K45" i="36" s="1"/>
  <c r="L45" i="36" s="1"/>
  <c r="Q45" i="48" s="1"/>
  <c r="G28" i="36"/>
  <c r="G7" i="36"/>
  <c r="L12" i="28"/>
  <c r="I13" i="48" s="1"/>
  <c r="M12" i="28"/>
  <c r="K13" i="48" s="1"/>
  <c r="N12" i="28"/>
  <c r="M13" i="48" s="1"/>
  <c r="O12" i="28"/>
  <c r="O13" i="48" s="1"/>
  <c r="J12" i="28"/>
  <c r="C13" i="48" s="1"/>
  <c r="K12" i="28"/>
  <c r="E13" i="48" s="1"/>
  <c r="L38" i="28"/>
  <c r="I39" i="48" s="1"/>
  <c r="M38" i="28"/>
  <c r="K39" i="48" s="1"/>
  <c r="N38" i="28"/>
  <c r="M39" i="48" s="1"/>
  <c r="O38" i="28"/>
  <c r="O39" i="48" s="1"/>
  <c r="J38" i="28"/>
  <c r="C39" i="48" s="1"/>
  <c r="K38" i="28"/>
  <c r="E39" i="48" s="1"/>
  <c r="J19" i="28"/>
  <c r="C20" i="48" s="1"/>
  <c r="K19" i="28"/>
  <c r="E20" i="48" s="1"/>
  <c r="L19" i="28"/>
  <c r="I20" i="48" s="1"/>
  <c r="M19" i="28"/>
  <c r="K20" i="48" s="1"/>
  <c r="N19" i="28"/>
  <c r="M20" i="48" s="1"/>
  <c r="O19" i="28"/>
  <c r="O20" i="48" s="1"/>
  <c r="L56" i="28"/>
  <c r="I57" i="48" s="1"/>
  <c r="M56" i="28"/>
  <c r="K57" i="48" s="1"/>
  <c r="N56" i="28"/>
  <c r="M57" i="48" s="1"/>
  <c r="O56" i="28"/>
  <c r="O57" i="48" s="1"/>
  <c r="J56" i="28"/>
  <c r="C57" i="48" s="1"/>
  <c r="K56" i="28"/>
  <c r="E57" i="48" s="1"/>
  <c r="J11" i="28"/>
  <c r="C12" i="48" s="1"/>
  <c r="K11" i="28"/>
  <c r="E12" i="48" s="1"/>
  <c r="L11" i="28"/>
  <c r="I12" i="48" s="1"/>
  <c r="M11" i="28"/>
  <c r="K12" i="48" s="1"/>
  <c r="N11" i="28"/>
  <c r="M12" i="48" s="1"/>
  <c r="O11" i="28"/>
  <c r="O12" i="48" s="1"/>
  <c r="J23" i="28"/>
  <c r="C24" i="48" s="1"/>
  <c r="K23" i="28"/>
  <c r="E24" i="48" s="1"/>
  <c r="L23" i="28"/>
  <c r="I24" i="48" s="1"/>
  <c r="M23" i="28"/>
  <c r="K24" i="48" s="1"/>
  <c r="N23" i="28"/>
  <c r="M24" i="48" s="1"/>
  <c r="O23" i="28"/>
  <c r="O24" i="48" s="1"/>
  <c r="J45" i="28"/>
  <c r="C46" i="48" s="1"/>
  <c r="K45" i="28"/>
  <c r="E46" i="48" s="1"/>
  <c r="L45" i="28"/>
  <c r="I46" i="48" s="1"/>
  <c r="O45" i="28"/>
  <c r="O46" i="48" s="1"/>
  <c r="M45" i="28"/>
  <c r="K46" i="48" s="1"/>
  <c r="N45" i="28"/>
  <c r="M46" i="48" s="1"/>
  <c r="L14" i="28"/>
  <c r="I15" i="48" s="1"/>
  <c r="M14" i="28"/>
  <c r="K15" i="48" s="1"/>
  <c r="N14" i="28"/>
  <c r="M15" i="48" s="1"/>
  <c r="J14" i="28"/>
  <c r="C15" i="48" s="1"/>
  <c r="O14" i="28"/>
  <c r="O15" i="48" s="1"/>
  <c r="K14" i="28"/>
  <c r="E15" i="48" s="1"/>
  <c r="L10" i="28"/>
  <c r="I11" i="48" s="1"/>
  <c r="M10" i="28"/>
  <c r="K11" i="48" s="1"/>
  <c r="N10" i="28"/>
  <c r="M11" i="48" s="1"/>
  <c r="O10" i="28"/>
  <c r="O11" i="48" s="1"/>
  <c r="J10" i="28"/>
  <c r="C11" i="48" s="1"/>
  <c r="K10" i="28"/>
  <c r="E11" i="48" s="1"/>
  <c r="J31" i="28"/>
  <c r="C32" i="48" s="1"/>
  <c r="K31" i="28"/>
  <c r="E32" i="48" s="1"/>
  <c r="L31" i="28"/>
  <c r="I32" i="48" s="1"/>
  <c r="M31" i="28"/>
  <c r="K32" i="48" s="1"/>
  <c r="N31" i="28"/>
  <c r="M32" i="48" s="1"/>
  <c r="O31" i="28"/>
  <c r="O32" i="48" s="1"/>
  <c r="L8" i="28"/>
  <c r="I9" i="48" s="1"/>
  <c r="M8" i="28"/>
  <c r="K9" i="48" s="1"/>
  <c r="N8" i="28"/>
  <c r="M9" i="48" s="1"/>
  <c r="O8" i="28"/>
  <c r="O9" i="48" s="1"/>
  <c r="J8" i="28"/>
  <c r="C9" i="48" s="1"/>
  <c r="K8" i="28"/>
  <c r="E9" i="48" s="1"/>
  <c r="J29" i="28"/>
  <c r="C30" i="48" s="1"/>
  <c r="K29" i="28"/>
  <c r="E30" i="48" s="1"/>
  <c r="L29" i="28"/>
  <c r="I30" i="48" s="1"/>
  <c r="M29" i="28"/>
  <c r="K30" i="48" s="1"/>
  <c r="N29" i="28"/>
  <c r="M30" i="48" s="1"/>
  <c r="O29" i="28"/>
  <c r="O30" i="48" s="1"/>
  <c r="L30" i="28"/>
  <c r="I31" i="48" s="1"/>
  <c r="M30" i="28"/>
  <c r="K31" i="48" s="1"/>
  <c r="N30" i="28"/>
  <c r="M31" i="48" s="1"/>
  <c r="J30" i="28"/>
  <c r="C31" i="48" s="1"/>
  <c r="K30" i="28"/>
  <c r="E31" i="48" s="1"/>
  <c r="O30" i="28"/>
  <c r="O31" i="48" s="1"/>
  <c r="L22" i="28"/>
  <c r="I23" i="48" s="1"/>
  <c r="M22" i="28"/>
  <c r="K23" i="48" s="1"/>
  <c r="N22" i="28"/>
  <c r="M23" i="48" s="1"/>
  <c r="O22" i="28"/>
  <c r="O23" i="48" s="1"/>
  <c r="J22" i="28"/>
  <c r="C23" i="48" s="1"/>
  <c r="K22" i="28"/>
  <c r="E23" i="48" s="1"/>
  <c r="L34" i="28"/>
  <c r="I35" i="48" s="1"/>
  <c r="M34" i="28"/>
  <c r="K35" i="48" s="1"/>
  <c r="N34" i="28"/>
  <c r="M35" i="48" s="1"/>
  <c r="O34" i="28"/>
  <c r="O35" i="48" s="1"/>
  <c r="J34" i="28"/>
  <c r="C35" i="48" s="1"/>
  <c r="K34" i="28"/>
  <c r="E35" i="48" s="1"/>
  <c r="J33" i="28"/>
  <c r="C34" i="48" s="1"/>
  <c r="K33" i="28"/>
  <c r="E34" i="48" s="1"/>
  <c r="L33" i="28"/>
  <c r="I34" i="48" s="1"/>
  <c r="M33" i="28"/>
  <c r="K34" i="48" s="1"/>
  <c r="N33" i="28"/>
  <c r="M34" i="48" s="1"/>
  <c r="O33" i="28"/>
  <c r="O34" i="48" s="1"/>
  <c r="L26" i="28"/>
  <c r="I27" i="48" s="1"/>
  <c r="M26" i="28"/>
  <c r="K27" i="48" s="1"/>
  <c r="N26" i="28"/>
  <c r="M27" i="48" s="1"/>
  <c r="O26" i="28"/>
  <c r="O27" i="48" s="1"/>
  <c r="J26" i="28"/>
  <c r="C27" i="48" s="1"/>
  <c r="K26" i="28"/>
  <c r="E27" i="48" s="1"/>
  <c r="J17" i="28"/>
  <c r="C18" i="48" s="1"/>
  <c r="K17" i="28"/>
  <c r="E18" i="48" s="1"/>
  <c r="L17" i="28"/>
  <c r="I18" i="48" s="1"/>
  <c r="M17" i="28"/>
  <c r="K18" i="48" s="1"/>
  <c r="N17" i="28"/>
  <c r="M18" i="48" s="1"/>
  <c r="O17" i="28"/>
  <c r="O18" i="48" s="1"/>
  <c r="L54" i="28"/>
  <c r="I55" i="48" s="1"/>
  <c r="O54" i="28"/>
  <c r="O55" i="48" s="1"/>
  <c r="M54" i="28"/>
  <c r="K55" i="48" s="1"/>
  <c r="N54" i="28"/>
  <c r="M55" i="48" s="1"/>
  <c r="J54" i="28"/>
  <c r="C55" i="48" s="1"/>
  <c r="K54" i="28"/>
  <c r="E55" i="48" s="1"/>
  <c r="L20" i="28"/>
  <c r="I21" i="48" s="1"/>
  <c r="M20" i="28"/>
  <c r="K21" i="48" s="1"/>
  <c r="N20" i="28"/>
  <c r="M21" i="48" s="1"/>
  <c r="O20" i="28"/>
  <c r="O21" i="48" s="1"/>
  <c r="J20" i="28"/>
  <c r="C21" i="48" s="1"/>
  <c r="K20" i="28"/>
  <c r="E21" i="48" s="1"/>
  <c r="L18" i="28"/>
  <c r="I19" i="48" s="1"/>
  <c r="M18" i="28"/>
  <c r="K19" i="48" s="1"/>
  <c r="N18" i="28"/>
  <c r="M19" i="48" s="1"/>
  <c r="O18" i="28"/>
  <c r="O19" i="48" s="1"/>
  <c r="J18" i="28"/>
  <c r="C19" i="48" s="1"/>
  <c r="K18" i="28"/>
  <c r="E19" i="48" s="1"/>
  <c r="J41" i="28"/>
  <c r="C42" i="48" s="1"/>
  <c r="K41" i="28"/>
  <c r="E42" i="48" s="1"/>
  <c r="L41" i="28"/>
  <c r="I42" i="48" s="1"/>
  <c r="M41" i="28"/>
  <c r="K42" i="48" s="1"/>
  <c r="N41" i="28"/>
  <c r="M42" i="48" s="1"/>
  <c r="O41" i="28"/>
  <c r="O42" i="48" s="1"/>
  <c r="J55" i="28"/>
  <c r="C56" i="48" s="1"/>
  <c r="K55" i="28"/>
  <c r="E56" i="48" s="1"/>
  <c r="L55" i="28"/>
  <c r="I56" i="48" s="1"/>
  <c r="O55" i="28"/>
  <c r="O56" i="48" s="1"/>
  <c r="M55" i="28"/>
  <c r="K56" i="48" s="1"/>
  <c r="N55" i="28"/>
  <c r="M56" i="48" s="1"/>
  <c r="J49" i="28"/>
  <c r="C50" i="48" s="1"/>
  <c r="K49" i="28"/>
  <c r="E50" i="48" s="1"/>
  <c r="O49" i="28"/>
  <c r="O50" i="48" s="1"/>
  <c r="L49" i="28"/>
  <c r="I50" i="48" s="1"/>
  <c r="M49" i="28"/>
  <c r="K50" i="48" s="1"/>
  <c r="N49" i="28"/>
  <c r="M50" i="48" s="1"/>
  <c r="L44" i="28"/>
  <c r="I45" i="48" s="1"/>
  <c r="M44" i="28"/>
  <c r="K45" i="48" s="1"/>
  <c r="N44" i="28"/>
  <c r="M45" i="48" s="1"/>
  <c r="O44" i="28"/>
  <c r="O45" i="48" s="1"/>
  <c r="J44" i="28"/>
  <c r="C45" i="48" s="1"/>
  <c r="K44" i="28"/>
  <c r="E45" i="48" s="1"/>
  <c r="J15" i="28"/>
  <c r="C16" i="48" s="1"/>
  <c r="K15" i="28"/>
  <c r="E16" i="48" s="1"/>
  <c r="L15" i="28"/>
  <c r="I16" i="48" s="1"/>
  <c r="M15" i="28"/>
  <c r="K16" i="48" s="1"/>
  <c r="N15" i="28"/>
  <c r="M16" i="48" s="1"/>
  <c r="O15" i="28"/>
  <c r="O16" i="48" s="1"/>
  <c r="J51" i="28"/>
  <c r="C52" i="48" s="1"/>
  <c r="O51" i="28"/>
  <c r="O52" i="48" s="1"/>
  <c r="K51" i="28"/>
  <c r="E52" i="48" s="1"/>
  <c r="L51" i="28"/>
  <c r="I52" i="48" s="1"/>
  <c r="M51" i="28"/>
  <c r="K52" i="48" s="1"/>
  <c r="N51" i="28"/>
  <c r="M52" i="48" s="1"/>
  <c r="L46" i="28"/>
  <c r="I47" i="48" s="1"/>
  <c r="M46" i="28"/>
  <c r="K47" i="48" s="1"/>
  <c r="O46" i="28"/>
  <c r="O47" i="48" s="1"/>
  <c r="N46" i="28"/>
  <c r="M47" i="48" s="1"/>
  <c r="J46" i="28"/>
  <c r="C47" i="48" s="1"/>
  <c r="K46" i="28"/>
  <c r="E47" i="48" s="1"/>
  <c r="J35" i="28"/>
  <c r="C36" i="48" s="1"/>
  <c r="K35" i="28"/>
  <c r="E36" i="48" s="1"/>
  <c r="L35" i="28"/>
  <c r="I36" i="48" s="1"/>
  <c r="M35" i="28"/>
  <c r="K36" i="48" s="1"/>
  <c r="N35" i="28"/>
  <c r="M36" i="48" s="1"/>
  <c r="O35" i="28"/>
  <c r="O36" i="48" s="1"/>
  <c r="K44" i="36"/>
  <c r="L44" i="36" s="1"/>
  <c r="Q44" i="48" s="1"/>
  <c r="J43" i="28"/>
  <c r="C44" i="48" s="1"/>
  <c r="K43" i="28"/>
  <c r="E44" i="48" s="1"/>
  <c r="L43" i="28"/>
  <c r="I44" i="48" s="1"/>
  <c r="M43" i="28"/>
  <c r="K44" i="48" s="1"/>
  <c r="O43" i="28"/>
  <c r="O44" i="48" s="1"/>
  <c r="N43" i="28"/>
  <c r="M44" i="48" s="1"/>
  <c r="L50" i="28"/>
  <c r="I51" i="48" s="1"/>
  <c r="M50" i="28"/>
  <c r="K51" i="48" s="1"/>
  <c r="N50" i="28"/>
  <c r="M51" i="48" s="1"/>
  <c r="O50" i="28"/>
  <c r="O51" i="48" s="1"/>
  <c r="J50" i="28"/>
  <c r="C51" i="48" s="1"/>
  <c r="K50" i="28"/>
  <c r="E51" i="48" s="1"/>
  <c r="K10" i="36"/>
  <c r="L10" i="36" s="1"/>
  <c r="Q10" i="48" s="1"/>
  <c r="J9" i="28"/>
  <c r="C10" i="48" s="1"/>
  <c r="K9" i="28"/>
  <c r="E10" i="48" s="1"/>
  <c r="L9" i="28"/>
  <c r="I10" i="48" s="1"/>
  <c r="M9" i="28"/>
  <c r="K10" i="48" s="1"/>
  <c r="N9" i="28"/>
  <c r="M10" i="48" s="1"/>
  <c r="O9" i="28"/>
  <c r="O10" i="48" s="1"/>
  <c r="K28" i="36"/>
  <c r="L28" i="36" s="1"/>
  <c r="Q28" i="48" s="1"/>
  <c r="J27" i="28"/>
  <c r="C28" i="48" s="1"/>
  <c r="K27" i="28"/>
  <c r="E28" i="48" s="1"/>
  <c r="L27" i="28"/>
  <c r="I28" i="48" s="1"/>
  <c r="M27" i="28"/>
  <c r="K28" i="48" s="1"/>
  <c r="N27" i="28"/>
  <c r="M28" i="48" s="1"/>
  <c r="O27" i="28"/>
  <c r="O28" i="48" s="1"/>
  <c r="L24" i="28"/>
  <c r="I25" i="48" s="1"/>
  <c r="M24" i="28"/>
  <c r="K25" i="48" s="1"/>
  <c r="N24" i="28"/>
  <c r="M25" i="48" s="1"/>
  <c r="J24" i="28"/>
  <c r="C25" i="48" s="1"/>
  <c r="O24" i="28"/>
  <c r="O25" i="48" s="1"/>
  <c r="K24" i="28"/>
  <c r="E25" i="48" s="1"/>
  <c r="L36" i="28"/>
  <c r="I37" i="48" s="1"/>
  <c r="M36" i="28"/>
  <c r="K37" i="48" s="1"/>
  <c r="N36" i="28"/>
  <c r="M37" i="48" s="1"/>
  <c r="J36" i="28"/>
  <c r="C37" i="48" s="1"/>
  <c r="O36" i="28"/>
  <c r="O37" i="48" s="1"/>
  <c r="K36" i="28"/>
  <c r="E37" i="48" s="1"/>
  <c r="L52" i="28"/>
  <c r="I53" i="48" s="1"/>
  <c r="M52" i="28"/>
  <c r="K53" i="48" s="1"/>
  <c r="N52" i="28"/>
  <c r="M53" i="48" s="1"/>
  <c r="O52" i="28"/>
  <c r="O53" i="48" s="1"/>
  <c r="J52" i="28"/>
  <c r="C53" i="48" s="1"/>
  <c r="K52" i="28"/>
  <c r="E53" i="48" s="1"/>
  <c r="L16" i="28"/>
  <c r="I17" i="48" s="1"/>
  <c r="M16" i="28"/>
  <c r="K17" i="48" s="1"/>
  <c r="O16" i="28"/>
  <c r="O17" i="48" s="1"/>
  <c r="N16" i="28"/>
  <c r="M17" i="48" s="1"/>
  <c r="J16" i="28"/>
  <c r="C17" i="48" s="1"/>
  <c r="K16" i="28"/>
  <c r="E17" i="48" s="1"/>
  <c r="J13" i="28"/>
  <c r="C14" i="48" s="1"/>
  <c r="K13" i="28"/>
  <c r="E14" i="48" s="1"/>
  <c r="L13" i="28"/>
  <c r="I14" i="48" s="1"/>
  <c r="M13" i="28"/>
  <c r="K14" i="48" s="1"/>
  <c r="N13" i="28"/>
  <c r="M14" i="48" s="1"/>
  <c r="O13" i="28"/>
  <c r="O14" i="48" s="1"/>
  <c r="K48" i="36"/>
  <c r="L48" i="36" s="1"/>
  <c r="Q48" i="48" s="1"/>
  <c r="J47" i="28"/>
  <c r="C48" i="48" s="1"/>
  <c r="K47" i="28"/>
  <c r="E48" i="48" s="1"/>
  <c r="L47" i="28"/>
  <c r="I48" i="48" s="1"/>
  <c r="M47" i="28"/>
  <c r="K48" i="48" s="1"/>
  <c r="N47" i="28"/>
  <c r="M48" i="48" s="1"/>
  <c r="O47" i="28"/>
  <c r="O48" i="48" s="1"/>
  <c r="K33" i="36"/>
  <c r="L33" i="36" s="1"/>
  <c r="Q33" i="48" s="1"/>
  <c r="L32" i="28"/>
  <c r="I33" i="48" s="1"/>
  <c r="M32" i="28"/>
  <c r="K33" i="48" s="1"/>
  <c r="O32" i="28"/>
  <c r="O33" i="48" s="1"/>
  <c r="N32" i="28"/>
  <c r="M33" i="48" s="1"/>
  <c r="J32" i="28"/>
  <c r="C33" i="48" s="1"/>
  <c r="K32" i="28"/>
  <c r="E33" i="48" s="1"/>
  <c r="K41" i="36"/>
  <c r="L41" i="36" s="1"/>
  <c r="Q41" i="48" s="1"/>
  <c r="L40" i="28"/>
  <c r="I41" i="48" s="1"/>
  <c r="M40" i="28"/>
  <c r="K41" i="48" s="1"/>
  <c r="N40" i="28"/>
  <c r="M41" i="48" s="1"/>
  <c r="O40" i="28"/>
  <c r="O41" i="48" s="1"/>
  <c r="J40" i="28"/>
  <c r="C41" i="48" s="1"/>
  <c r="K40" i="28"/>
  <c r="E41" i="48" s="1"/>
  <c r="L28" i="28"/>
  <c r="I29" i="48" s="1"/>
  <c r="O28" i="28"/>
  <c r="O29" i="48" s="1"/>
  <c r="M28" i="28"/>
  <c r="K29" i="48" s="1"/>
  <c r="N28" i="28"/>
  <c r="M29" i="48" s="1"/>
  <c r="J28" i="28"/>
  <c r="C29" i="48" s="1"/>
  <c r="K28" i="28"/>
  <c r="E29" i="48" s="1"/>
  <c r="J7" i="28"/>
  <c r="C8" i="48" s="1"/>
  <c r="K7" i="28"/>
  <c r="E8" i="48" s="1"/>
  <c r="L7" i="28"/>
  <c r="I8" i="48" s="1"/>
  <c r="M7" i="28"/>
  <c r="K8" i="48" s="1"/>
  <c r="N7" i="28"/>
  <c r="M8" i="48" s="1"/>
  <c r="O7" i="28"/>
  <c r="O8" i="48" s="1"/>
  <c r="K26" i="36"/>
  <c r="L26" i="36" s="1"/>
  <c r="Q26" i="48" s="1"/>
  <c r="J25" i="28"/>
  <c r="C26" i="48" s="1"/>
  <c r="K25" i="28"/>
  <c r="E26" i="48" s="1"/>
  <c r="L25" i="28"/>
  <c r="I26" i="48" s="1"/>
  <c r="M25" i="28"/>
  <c r="K26" i="48" s="1"/>
  <c r="N25" i="28"/>
  <c r="M26" i="48" s="1"/>
  <c r="O25" i="28"/>
  <c r="O26" i="48" s="1"/>
  <c r="J37" i="28"/>
  <c r="C38" i="48" s="1"/>
  <c r="K37" i="28"/>
  <c r="E38" i="48" s="1"/>
  <c r="L37" i="28"/>
  <c r="I38" i="48" s="1"/>
  <c r="M37" i="28"/>
  <c r="K38" i="48" s="1"/>
  <c r="N37" i="28"/>
  <c r="M38" i="48" s="1"/>
  <c r="O37" i="28"/>
  <c r="O38" i="48" s="1"/>
  <c r="J53" i="28"/>
  <c r="C54" i="48" s="1"/>
  <c r="K53" i="28"/>
  <c r="E54" i="48" s="1"/>
  <c r="L53" i="28"/>
  <c r="I54" i="48" s="1"/>
  <c r="M53" i="28"/>
  <c r="K54" i="48" s="1"/>
  <c r="N53" i="28"/>
  <c r="M54" i="48" s="1"/>
  <c r="O53" i="28"/>
  <c r="O54" i="48" s="1"/>
  <c r="J21" i="28"/>
  <c r="C22" i="48" s="1"/>
  <c r="K21" i="28"/>
  <c r="E22" i="48" s="1"/>
  <c r="L21" i="28"/>
  <c r="I22" i="48" s="1"/>
  <c r="M21" i="28"/>
  <c r="K22" i="48" s="1"/>
  <c r="N21" i="28"/>
  <c r="M22" i="48" s="1"/>
  <c r="O21" i="28"/>
  <c r="O22" i="48" s="1"/>
  <c r="L48" i="28"/>
  <c r="I49" i="48" s="1"/>
  <c r="M48" i="28"/>
  <c r="K49" i="48" s="1"/>
  <c r="N48" i="28"/>
  <c r="M49" i="48" s="1"/>
  <c r="J48" i="28"/>
  <c r="C49" i="48" s="1"/>
  <c r="O48" i="28"/>
  <c r="O49" i="48" s="1"/>
  <c r="K48" i="28"/>
  <c r="E49" i="48" s="1"/>
  <c r="L42" i="28"/>
  <c r="I43" i="48" s="1"/>
  <c r="M42" i="28"/>
  <c r="K43" i="48" s="1"/>
  <c r="N42" i="28"/>
  <c r="M43" i="48" s="1"/>
  <c r="O42" i="28"/>
  <c r="O43" i="48" s="1"/>
  <c r="J42" i="28"/>
  <c r="C43" i="48" s="1"/>
  <c r="K42" i="28"/>
  <c r="E43" i="48" s="1"/>
  <c r="K40" i="36"/>
  <c r="L40" i="36" s="1"/>
  <c r="Q40" i="48" s="1"/>
  <c r="J39" i="28"/>
  <c r="C40" i="48" s="1"/>
  <c r="K39" i="28"/>
  <c r="E40" i="48" s="1"/>
  <c r="L39" i="28"/>
  <c r="I40" i="48" s="1"/>
  <c r="M39" i="28"/>
  <c r="K40" i="48" s="1"/>
  <c r="N39" i="28"/>
  <c r="M40" i="48" s="1"/>
  <c r="O39" i="28"/>
  <c r="O40" i="48" s="1"/>
  <c r="K7" i="36"/>
  <c r="AF58" i="1"/>
  <c r="B57" i="48" l="1"/>
  <c r="L50" i="48"/>
  <c r="D42" i="48"/>
  <c r="L55" i="48"/>
  <c r="D49" i="48"/>
  <c r="D10" i="48"/>
  <c r="B19" i="48"/>
  <c r="B18" i="48"/>
  <c r="N40" i="48"/>
  <c r="B53" i="48"/>
  <c r="B36" i="48"/>
  <c r="N8" i="48"/>
  <c r="I58" i="48"/>
  <c r="H7" i="48" s="1"/>
  <c r="K58" i="48"/>
  <c r="J7" i="48" s="1"/>
  <c r="C58" i="48"/>
  <c r="B32" i="48" s="1"/>
  <c r="M58" i="48"/>
  <c r="L57" i="48" s="1"/>
  <c r="E58" i="48"/>
  <c r="D30" i="48" s="1"/>
  <c r="O58" i="48"/>
  <c r="N14" i="48" s="1"/>
  <c r="P6" i="28"/>
  <c r="Q6" i="28" s="1"/>
  <c r="P32" i="28"/>
  <c r="Q32" i="28" s="1"/>
  <c r="P36" i="28"/>
  <c r="Q36" i="28" s="1"/>
  <c r="P41" i="28"/>
  <c r="Q41" i="28" s="1"/>
  <c r="O57" i="28"/>
  <c r="P12" i="28"/>
  <c r="Q12" i="28" s="1"/>
  <c r="N57" i="28"/>
  <c r="P8" i="28"/>
  <c r="Q8" i="28" s="1"/>
  <c r="L57" i="28"/>
  <c r="P40" i="28"/>
  <c r="Q40" i="28" s="1"/>
  <c r="P50" i="28"/>
  <c r="Q50" i="28" s="1"/>
  <c r="P54" i="28"/>
  <c r="Q54" i="28" s="1"/>
  <c r="M57" i="28"/>
  <c r="P21" i="28"/>
  <c r="Q21" i="28" s="1"/>
  <c r="P46" i="28"/>
  <c r="Q46" i="28" s="1"/>
  <c r="P30" i="28"/>
  <c r="Q30" i="28" s="1"/>
  <c r="P29" i="28"/>
  <c r="Q29" i="28" s="1"/>
  <c r="P11" i="28"/>
  <c r="Q11" i="28" s="1"/>
  <c r="P18" i="28"/>
  <c r="Q18" i="28" s="1"/>
  <c r="P17" i="28"/>
  <c r="Q17" i="28" s="1"/>
  <c r="P14" i="28"/>
  <c r="Q14" i="28" s="1"/>
  <c r="P48" i="28"/>
  <c r="Q48" i="28" s="1"/>
  <c r="P52" i="28"/>
  <c r="Q52" i="28" s="1"/>
  <c r="P43" i="28"/>
  <c r="Q43" i="28" s="1"/>
  <c r="P31" i="28"/>
  <c r="Q31" i="28" s="1"/>
  <c r="P55" i="28"/>
  <c r="Q55" i="28" s="1"/>
  <c r="P37" i="28"/>
  <c r="Q37" i="28" s="1"/>
  <c r="P13" i="28"/>
  <c r="Q13" i="28" s="1"/>
  <c r="P27" i="28"/>
  <c r="Q27" i="28" s="1"/>
  <c r="P33" i="28"/>
  <c r="Q33" i="28" s="1"/>
  <c r="P19" i="28"/>
  <c r="Q19" i="28" s="1"/>
  <c r="P51" i="28"/>
  <c r="Q51" i="28" s="1"/>
  <c r="J57" i="28"/>
  <c r="P24" i="28"/>
  <c r="Q24" i="28" s="1"/>
  <c r="P15" i="28"/>
  <c r="Q15" i="28" s="1"/>
  <c r="P26" i="28"/>
  <c r="Q26" i="28" s="1"/>
  <c r="P10" i="28"/>
  <c r="Q10" i="28" s="1"/>
  <c r="P39" i="28"/>
  <c r="Q39" i="28" s="1"/>
  <c r="P7" i="28"/>
  <c r="Q7" i="28" s="1"/>
  <c r="P23" i="28"/>
  <c r="Q23" i="28" s="1"/>
  <c r="P56" i="28"/>
  <c r="Q56" i="28" s="1"/>
  <c r="P45" i="28"/>
  <c r="Q45" i="28" s="1"/>
  <c r="P42" i="28"/>
  <c r="Q42" i="28" s="1"/>
  <c r="P16" i="28"/>
  <c r="Q16" i="28" s="1"/>
  <c r="P22" i="28"/>
  <c r="Q22" i="28" s="1"/>
  <c r="P9" i="28"/>
  <c r="Q9" i="28" s="1"/>
  <c r="P28" i="28"/>
  <c r="Q28" i="28" s="1"/>
  <c r="P49" i="28"/>
  <c r="Q49" i="28" s="1"/>
  <c r="P20" i="28"/>
  <c r="Q20" i="28" s="1"/>
  <c r="P38" i="28"/>
  <c r="Q38" i="28" s="1"/>
  <c r="P53" i="28"/>
  <c r="Q53" i="28" s="1"/>
  <c r="G58" i="36"/>
  <c r="P44" i="28"/>
  <c r="Q44" i="28" s="1"/>
  <c r="P34" i="28"/>
  <c r="Q34" i="28" s="1"/>
  <c r="P25" i="28"/>
  <c r="Q25" i="28" s="1"/>
  <c r="P47" i="28"/>
  <c r="Q47" i="28" s="1"/>
  <c r="P35" i="28"/>
  <c r="Q35" i="28" s="1"/>
  <c r="K58" i="36"/>
  <c r="L7" i="36"/>
  <c r="Q7" i="48" s="1"/>
  <c r="H20" i="48" l="1"/>
  <c r="H40" i="48"/>
  <c r="J13" i="48"/>
  <c r="H54" i="48"/>
  <c r="H52" i="48"/>
  <c r="J24" i="48"/>
  <c r="H55" i="48"/>
  <c r="J11" i="48"/>
  <c r="H16" i="48"/>
  <c r="J43" i="48"/>
  <c r="J12" i="48"/>
  <c r="H41" i="48"/>
  <c r="J15" i="48"/>
  <c r="D23" i="48"/>
  <c r="H43" i="48"/>
  <c r="J56" i="48"/>
  <c r="J48" i="48"/>
  <c r="J21" i="48"/>
  <c r="N36" i="48"/>
  <c r="D43" i="48"/>
  <c r="N43" i="48"/>
  <c r="B7" i="48"/>
  <c r="L36" i="48"/>
  <c r="B24" i="48"/>
  <c r="B44" i="48"/>
  <c r="H44" i="48"/>
  <c r="J47" i="48"/>
  <c r="D41" i="48"/>
  <c r="B10" i="48"/>
  <c r="N15" i="48"/>
  <c r="J10" i="48"/>
  <c r="L33" i="48"/>
  <c r="B46" i="48"/>
  <c r="H49" i="48"/>
  <c r="B14" i="48"/>
  <c r="H12" i="48"/>
  <c r="H26" i="48"/>
  <c r="J22" i="48"/>
  <c r="L9" i="48"/>
  <c r="H37" i="48"/>
  <c r="N38" i="48"/>
  <c r="B11" i="48"/>
  <c r="N27" i="48"/>
  <c r="L40" i="48"/>
  <c r="H15" i="48"/>
  <c r="B22" i="48"/>
  <c r="N22" i="48"/>
  <c r="H23" i="48"/>
  <c r="B17" i="48"/>
  <c r="L35" i="48"/>
  <c r="H30" i="48"/>
  <c r="D40" i="48"/>
  <c r="D57" i="48"/>
  <c r="H39" i="48"/>
  <c r="J18" i="48"/>
  <c r="H36" i="48"/>
  <c r="H22" i="48"/>
  <c r="H14" i="48"/>
  <c r="L17" i="48"/>
  <c r="B47" i="48"/>
  <c r="L42" i="48"/>
  <c r="B27" i="48"/>
  <c r="L10" i="48"/>
  <c r="N46" i="48"/>
  <c r="J46" i="48"/>
  <c r="J19" i="48"/>
  <c r="D51" i="48"/>
  <c r="J33" i="48"/>
  <c r="N49" i="48"/>
  <c r="J29" i="48"/>
  <c r="H13" i="48"/>
  <c r="L45" i="48"/>
  <c r="L21" i="48"/>
  <c r="D54" i="48"/>
  <c r="B39" i="48"/>
  <c r="B49" i="48"/>
  <c r="B43" i="48"/>
  <c r="H33" i="48"/>
  <c r="D32" i="48"/>
  <c r="J40" i="48"/>
  <c r="N26" i="48"/>
  <c r="N30" i="48"/>
  <c r="H31" i="48"/>
  <c r="J16" i="48"/>
  <c r="D53" i="48"/>
  <c r="L15" i="48"/>
  <c r="N55" i="48"/>
  <c r="B40" i="48"/>
  <c r="H24" i="48"/>
  <c r="J44" i="48"/>
  <c r="D13" i="48"/>
  <c r="N32" i="48"/>
  <c r="B52" i="48"/>
  <c r="H8" i="48"/>
  <c r="H38" i="48"/>
  <c r="H35" i="48"/>
  <c r="J25" i="48"/>
  <c r="H56" i="48"/>
  <c r="B56" i="48"/>
  <c r="N35" i="48"/>
  <c r="B35" i="48"/>
  <c r="D36" i="48"/>
  <c r="H48" i="48"/>
  <c r="H9" i="48"/>
  <c r="D19" i="48"/>
  <c r="N10" i="48"/>
  <c r="H11" i="48"/>
  <c r="B37" i="48"/>
  <c r="D46" i="48"/>
  <c r="N50" i="48"/>
  <c r="J39" i="48"/>
  <c r="L16" i="48"/>
  <c r="J55" i="48"/>
  <c r="L8" i="48"/>
  <c r="H32" i="48"/>
  <c r="H47" i="48"/>
  <c r="D18" i="48"/>
  <c r="H18" i="48"/>
  <c r="B51" i="48"/>
  <c r="B41" i="48"/>
  <c r="D31" i="48"/>
  <c r="H50" i="48"/>
  <c r="D14" i="48"/>
  <c r="B9" i="48"/>
  <c r="L49" i="48"/>
  <c r="J30" i="48"/>
  <c r="B31" i="48"/>
  <c r="B8" i="48"/>
  <c r="L56" i="48"/>
  <c r="L20" i="48"/>
  <c r="J41" i="48"/>
  <c r="H19" i="48"/>
  <c r="H25" i="48"/>
  <c r="D39" i="48"/>
  <c r="H34" i="48"/>
  <c r="N52" i="48"/>
  <c r="H46" i="48"/>
  <c r="D33" i="48"/>
  <c r="J51" i="48"/>
  <c r="J35" i="48"/>
  <c r="N57" i="48"/>
  <c r="N42" i="48"/>
  <c r="D11" i="48"/>
  <c r="N45" i="48"/>
  <c r="N25" i="48"/>
  <c r="N20" i="48"/>
  <c r="N44" i="48"/>
  <c r="D27" i="48"/>
  <c r="N7" i="48"/>
  <c r="D26" i="48"/>
  <c r="D34" i="48"/>
  <c r="N17" i="48"/>
  <c r="D37" i="48"/>
  <c r="B28" i="48"/>
  <c r="B45" i="48"/>
  <c r="N21" i="48"/>
  <c r="D21" i="48"/>
  <c r="D48" i="48"/>
  <c r="N54" i="48"/>
  <c r="N18" i="48"/>
  <c r="N37" i="48"/>
  <c r="N48" i="48"/>
  <c r="L34" i="48"/>
  <c r="L23" i="48"/>
  <c r="L13" i="48"/>
  <c r="D8" i="48"/>
  <c r="N47" i="48"/>
  <c r="D56" i="48"/>
  <c r="N56" i="48"/>
  <c r="N51" i="48"/>
  <c r="N41" i="48"/>
  <c r="D44" i="48"/>
  <c r="N19" i="48"/>
  <c r="N29" i="48"/>
  <c r="L29" i="48"/>
  <c r="H27" i="48"/>
  <c r="D9" i="48"/>
  <c r="H57" i="48"/>
  <c r="B54" i="48"/>
  <c r="L44" i="48"/>
  <c r="D45" i="48"/>
  <c r="D16" i="48"/>
  <c r="N28" i="48"/>
  <c r="N39" i="48"/>
  <c r="B26" i="48"/>
  <c r="L32" i="48"/>
  <c r="N33" i="48"/>
  <c r="D50" i="48"/>
  <c r="J28" i="48"/>
  <c r="B25" i="48"/>
  <c r="D20" i="48"/>
  <c r="L26" i="48"/>
  <c r="B42" i="48"/>
  <c r="J20" i="48"/>
  <c r="B38" i="48"/>
  <c r="B55" i="48"/>
  <c r="N23" i="48"/>
  <c r="L24" i="48"/>
  <c r="B16" i="48"/>
  <c r="D28" i="48"/>
  <c r="L47" i="48"/>
  <c r="D47" i="48"/>
  <c r="N53" i="48"/>
  <c r="D12" i="48"/>
  <c r="L54" i="48"/>
  <c r="L31" i="48"/>
  <c r="L38" i="48"/>
  <c r="N16" i="48"/>
  <c r="L7" i="48"/>
  <c r="J17" i="48"/>
  <c r="N12" i="48"/>
  <c r="J37" i="48"/>
  <c r="J50" i="48"/>
  <c r="D24" i="48"/>
  <c r="L22" i="48"/>
  <c r="H42" i="48"/>
  <c r="J27" i="48"/>
  <c r="L11" i="48"/>
  <c r="N13" i="48"/>
  <c r="H51" i="48"/>
  <c r="L51" i="48"/>
  <c r="B48" i="48"/>
  <c r="L46" i="48"/>
  <c r="L43" i="48"/>
  <c r="B34" i="48"/>
  <c r="L14" i="48"/>
  <c r="J36" i="48"/>
  <c r="L48" i="48"/>
  <c r="B15" i="48"/>
  <c r="L37" i="48"/>
  <c r="D52" i="48"/>
  <c r="D15" i="48"/>
  <c r="D17" i="48"/>
  <c r="H45" i="48"/>
  <c r="D55" i="48"/>
  <c r="B30" i="48"/>
  <c r="J57" i="48"/>
  <c r="J53" i="48"/>
  <c r="H28" i="48"/>
  <c r="L28" i="48"/>
  <c r="L41" i="48"/>
  <c r="J32" i="48"/>
  <c r="L18" i="48"/>
  <c r="B21" i="48"/>
  <c r="H29" i="48"/>
  <c r="J9" i="48"/>
  <c r="J49" i="48"/>
  <c r="N9" i="48"/>
  <c r="D29" i="48"/>
  <c r="J52" i="48"/>
  <c r="J42" i="48"/>
  <c r="B23" i="48"/>
  <c r="N24" i="48"/>
  <c r="H53" i="48"/>
  <c r="L53" i="48"/>
  <c r="L39" i="48"/>
  <c r="J31" i="48"/>
  <c r="B29" i="48"/>
  <c r="L19" i="48"/>
  <c r="D7" i="48"/>
  <c r="L25" i="48"/>
  <c r="B20" i="48"/>
  <c r="J26" i="48"/>
  <c r="N31" i="48"/>
  <c r="J14" i="48"/>
  <c r="H10" i="48"/>
  <c r="J23" i="48"/>
  <c r="B33" i="48"/>
  <c r="D38" i="48"/>
  <c r="J45" i="48"/>
  <c r="L27" i="48"/>
  <c r="N11" i="48"/>
  <c r="B13" i="48"/>
  <c r="L30" i="48"/>
  <c r="Q58" i="48"/>
  <c r="P7" i="48" s="1"/>
  <c r="B12" i="48"/>
  <c r="J54" i="48"/>
  <c r="D35" i="48"/>
  <c r="B50" i="48"/>
  <c r="H17" i="48"/>
  <c r="L12" i="48"/>
  <c r="D22" i="48"/>
  <c r="J34" i="48"/>
  <c r="D25" i="48"/>
  <c r="N34" i="48"/>
  <c r="J8" i="48"/>
  <c r="J38" i="48"/>
  <c r="L52" i="48"/>
  <c r="H21" i="48"/>
  <c r="P57" i="28"/>
  <c r="L58" i="36"/>
  <c r="M7" i="36" s="1"/>
  <c r="K57" i="28"/>
  <c r="H58" i="48" l="1"/>
  <c r="B58" i="48"/>
  <c r="J58" i="48"/>
  <c r="D58" i="48"/>
  <c r="P18" i="48"/>
  <c r="U18" i="48" s="1"/>
  <c r="P42" i="48"/>
  <c r="U42" i="48" s="1"/>
  <c r="P28" i="48"/>
  <c r="U28" i="48" s="1"/>
  <c r="P48" i="48"/>
  <c r="U48" i="48" s="1"/>
  <c r="P57" i="48"/>
  <c r="U57" i="48" s="1"/>
  <c r="P52" i="48"/>
  <c r="U52" i="48" s="1"/>
  <c r="P11" i="48"/>
  <c r="U11" i="48" s="1"/>
  <c r="P26" i="48"/>
  <c r="U26" i="48" s="1"/>
  <c r="P38" i="48"/>
  <c r="U38" i="48" s="1"/>
  <c r="P22" i="48"/>
  <c r="U22" i="48" s="1"/>
  <c r="P17" i="48"/>
  <c r="U17" i="48" s="1"/>
  <c r="P37" i="48"/>
  <c r="U37" i="48" s="1"/>
  <c r="P44" i="48"/>
  <c r="U44" i="48" s="1"/>
  <c r="P20" i="48"/>
  <c r="U20" i="48" s="1"/>
  <c r="P10" i="48"/>
  <c r="U10" i="48" s="1"/>
  <c r="P40" i="48"/>
  <c r="U40" i="48" s="1"/>
  <c r="P8" i="48"/>
  <c r="U8" i="48" s="1"/>
  <c r="P32" i="48"/>
  <c r="U32" i="48" s="1"/>
  <c r="P39" i="48"/>
  <c r="U39" i="48" s="1"/>
  <c r="P13" i="48"/>
  <c r="U13" i="48" s="1"/>
  <c r="P23" i="48"/>
  <c r="U23" i="48" s="1"/>
  <c r="P36" i="48"/>
  <c r="U36" i="48" s="1"/>
  <c r="P29" i="48"/>
  <c r="U29" i="48" s="1"/>
  <c r="P16" i="48"/>
  <c r="U16" i="48" s="1"/>
  <c r="P19" i="48"/>
  <c r="U19" i="48" s="1"/>
  <c r="P43" i="48"/>
  <c r="U43" i="48" s="1"/>
  <c r="P15" i="48"/>
  <c r="U15" i="48" s="1"/>
  <c r="P45" i="48"/>
  <c r="U45" i="48" s="1"/>
  <c r="P9" i="48"/>
  <c r="U9" i="48" s="1"/>
  <c r="P12" i="48"/>
  <c r="U12" i="48" s="1"/>
  <c r="P56" i="48"/>
  <c r="U56" i="48" s="1"/>
  <c r="P21" i="48"/>
  <c r="U21" i="48" s="1"/>
  <c r="P47" i="48"/>
  <c r="U47" i="48" s="1"/>
  <c r="P53" i="48"/>
  <c r="U53" i="48" s="1"/>
  <c r="P41" i="48"/>
  <c r="U41" i="48" s="1"/>
  <c r="P25" i="48"/>
  <c r="P30" i="48"/>
  <c r="U30" i="48" s="1"/>
  <c r="P46" i="48"/>
  <c r="U46" i="48" s="1"/>
  <c r="P14" i="48"/>
  <c r="U14" i="48" s="1"/>
  <c r="P50" i="48"/>
  <c r="U50" i="48" s="1"/>
  <c r="P49" i="48"/>
  <c r="U49" i="48" s="1"/>
  <c r="P31" i="48"/>
  <c r="U31" i="48" s="1"/>
  <c r="P55" i="48"/>
  <c r="U55" i="48" s="1"/>
  <c r="P27" i="48"/>
  <c r="U27" i="48" s="1"/>
  <c r="P51" i="48"/>
  <c r="U51" i="48" s="1"/>
  <c r="P54" i="48"/>
  <c r="U54" i="48" s="1"/>
  <c r="P24" i="48"/>
  <c r="U24" i="48" s="1"/>
  <c r="P33" i="48"/>
  <c r="U33" i="48" s="1"/>
  <c r="P34" i="48"/>
  <c r="U34" i="48" s="1"/>
  <c r="P35" i="48"/>
  <c r="U35" i="48" s="1"/>
  <c r="N58" i="48"/>
  <c r="U25" i="48"/>
  <c r="L58" i="48"/>
  <c r="U7" i="48"/>
  <c r="M56" i="36"/>
  <c r="M22" i="36"/>
  <c r="M31" i="36"/>
  <c r="M25" i="36"/>
  <c r="M50" i="36"/>
  <c r="M34" i="36"/>
  <c r="M53" i="36"/>
  <c r="M40" i="36"/>
  <c r="M38" i="36"/>
  <c r="M43" i="36"/>
  <c r="M26" i="36"/>
  <c r="M57" i="36"/>
  <c r="M39" i="36"/>
  <c r="M32" i="36"/>
  <c r="M48" i="36"/>
  <c r="M30" i="36"/>
  <c r="M37" i="36"/>
  <c r="M27" i="36"/>
  <c r="M19" i="36"/>
  <c r="M10" i="36"/>
  <c r="M20" i="36"/>
  <c r="M51" i="36"/>
  <c r="M14" i="36"/>
  <c r="M21" i="36"/>
  <c r="M41" i="36"/>
  <c r="M45" i="36"/>
  <c r="M23" i="36"/>
  <c r="M54" i="36"/>
  <c r="M44" i="36"/>
  <c r="M15" i="36"/>
  <c r="M47" i="36"/>
  <c r="M18" i="36"/>
  <c r="M46" i="36"/>
  <c r="M8" i="36"/>
  <c r="M42" i="36"/>
  <c r="M11" i="36"/>
  <c r="M52" i="36"/>
  <c r="M36" i="36"/>
  <c r="M17" i="36"/>
  <c r="M35" i="36"/>
  <c r="M16" i="36"/>
  <c r="M55" i="36"/>
  <c r="M33" i="36"/>
  <c r="M9" i="36"/>
  <c r="M13" i="36"/>
  <c r="M29" i="36"/>
  <c r="M49" i="36"/>
  <c r="M12" i="36"/>
  <c r="M28" i="36"/>
  <c r="M24" i="36"/>
  <c r="P58" i="48" l="1"/>
  <c r="U58" i="48" s="1"/>
  <c r="M58" i="36"/>
  <c r="T13" i="48" l="1"/>
  <c r="T31" i="48"/>
  <c r="T50" i="48"/>
  <c r="T20" i="48"/>
  <c r="T9" i="48"/>
  <c r="T36" i="48"/>
  <c r="T18" i="48"/>
  <c r="T53" i="48"/>
  <c r="T24" i="48"/>
  <c r="T57" i="48"/>
  <c r="T22" i="48"/>
  <c r="T56" i="48"/>
  <c r="T28" i="48"/>
  <c r="T48" i="48"/>
  <c r="T39" i="48"/>
  <c r="T12" i="48"/>
  <c r="T33" i="48"/>
  <c r="T41" i="48"/>
  <c r="T27" i="48"/>
  <c r="T21" i="48"/>
  <c r="T10" i="48"/>
  <c r="T54" i="48"/>
  <c r="T25" i="48"/>
  <c r="T8" i="48"/>
  <c r="T55" i="48"/>
  <c r="T51" i="48"/>
  <c r="T19" i="48"/>
  <c r="T35" i="48"/>
  <c r="T34" i="48"/>
  <c r="T42" i="48"/>
  <c r="T32" i="48"/>
  <c r="T45" i="48"/>
  <c r="T49" i="48"/>
  <c r="T47" i="48"/>
  <c r="T17" i="48"/>
  <c r="T38" i="48"/>
  <c r="T26" i="48"/>
  <c r="T52" i="48"/>
  <c r="T46" i="48"/>
  <c r="T15" i="48"/>
  <c r="T16" i="48"/>
  <c r="T43" i="48"/>
  <c r="T44" i="48"/>
  <c r="T37" i="48"/>
  <c r="T30" i="48"/>
  <c r="T23" i="48"/>
  <c r="T7" i="48"/>
  <c r="T29" i="48"/>
  <c r="T40" i="48"/>
  <c r="T11" i="48"/>
  <c r="T14" i="48"/>
  <c r="Q57" i="28"/>
  <c r="T58" i="48" l="1"/>
</calcChain>
</file>

<file path=xl/sharedStrings.xml><?xml version="1.0" encoding="utf-8"?>
<sst xmlns="http://schemas.openxmlformats.org/spreadsheetml/2006/main" count="669" uniqueCount="321">
  <si>
    <t>MUNICIPIO</t>
  </si>
  <si>
    <t>ABASOLO</t>
  </si>
  <si>
    <t>AGUALEGUAS</t>
  </si>
  <si>
    <t>ALLENDE</t>
  </si>
  <si>
    <t>APODACA</t>
  </si>
  <si>
    <t>ARAMBERRI</t>
  </si>
  <si>
    <t>BUSTAMANTE</t>
  </si>
  <si>
    <t>CHINA</t>
  </si>
  <si>
    <t>DOCTOR ARROYO</t>
  </si>
  <si>
    <t>DOCTOR COSS</t>
  </si>
  <si>
    <t>GALEANA</t>
  </si>
  <si>
    <t>GENERAL BRAVO</t>
  </si>
  <si>
    <t>GENERAL ESCOBEDO</t>
  </si>
  <si>
    <t>GENERAL TREVIÑO</t>
  </si>
  <si>
    <t>GENERAL ZARAGOZA</t>
  </si>
  <si>
    <t>GENERAL ZUAZUA</t>
  </si>
  <si>
    <t>GUADALUPE</t>
  </si>
  <si>
    <t>HIDALGO</t>
  </si>
  <si>
    <t>HIGUERAS</t>
  </si>
  <si>
    <t>HUALAHUISES</t>
  </si>
  <si>
    <t>ITURBIDE</t>
  </si>
  <si>
    <t>LAMPAZOS DE NARANJO</t>
  </si>
  <si>
    <t>LINARES</t>
  </si>
  <si>
    <t>MELCHOR OCAMPO</t>
  </si>
  <si>
    <t>MIER Y NORIEGA</t>
  </si>
  <si>
    <t>MINA</t>
  </si>
  <si>
    <t>MONTEMORELOS</t>
  </si>
  <si>
    <t>MONTERREY</t>
  </si>
  <si>
    <t>RAYONES</t>
  </si>
  <si>
    <t>SABINAS HIDALGO</t>
  </si>
  <si>
    <t>SALINAS VICTORIA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</si>
  <si>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</si>
  <si>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</si>
  <si>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</si>
  <si>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</si>
  <si>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</si>
  <si>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</si>
  <si>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</si>
  <si>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</si>
  <si>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</si>
  <si>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</si>
  <si>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</si>
  <si>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</si>
  <si>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</si>
  <si>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</si>
  <si>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</si>
  <si>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</si>
  <si>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</si>
  <si>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</si>
  <si>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</si>
  <si>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</si>
  <si>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</si>
  <si>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</si>
  <si>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</si>
  <si>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</si>
  <si>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t xml:space="preserve">FUENTE: </t>
  </si>
  <si>
    <t>ESTRUCTURA      %</t>
  </si>
  <si>
    <t>ESTRUCTURA     %</t>
  </si>
  <si>
    <t>COEFICIENTE  POBLACIÓN Y TERRITORIO</t>
  </si>
  <si>
    <t>COEFICIENTE  ÍNDICE MUNICIPAL DE POBREZA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</si>
  <si>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</si>
  <si>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</si>
  <si>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</si>
  <si>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</si>
  <si>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</si>
  <si>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</si>
  <si>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</si>
  <si>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</si>
  <si>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</si>
  <si>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</si>
  <si>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</si>
  <si>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</si>
  <si>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</si>
  <si>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</si>
  <si>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</si>
  <si>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</si>
  <si>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</si>
  <si>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MAE2=(PI*35%)+(PC*35%)+(CD*30%)</t>
  </si>
  <si>
    <t>FGP</t>
  </si>
  <si>
    <t>IEPS</t>
  </si>
  <si>
    <t>EFECTIVIDAD RECAUDACIÓN DE PREDIAL</t>
  </si>
  <si>
    <t>CER*50%</t>
  </si>
  <si>
    <t>CEPT*25%</t>
  </si>
  <si>
    <t>MAE1=(CEPT*25%)+(CIMP*25%)+(CER*50%)</t>
  </si>
  <si>
    <t>Fondo del Estado</t>
  </si>
  <si>
    <t>Porcentaje de distribución</t>
  </si>
  <si>
    <t>Fondo General de Participaciones (FGP)</t>
  </si>
  <si>
    <t>Impuesto Especial sobre Producción y Servicios (IEPS)</t>
  </si>
  <si>
    <t>SECRETARÍA DE FINANZAS Y TESORERÍA GENERAL DEL ESTADO</t>
  </si>
  <si>
    <t>FOFIR</t>
  </si>
  <si>
    <t>PROPORCION DE RECAUDACIÓN</t>
  </si>
  <si>
    <t>RECAUDACIÓN PONDERADO POR EFICIENCIA</t>
  </si>
  <si>
    <t>COEFICIENTE DE DISTRIBUCIÓN ANTES DE GARANTÍA</t>
  </si>
  <si>
    <t>Impuesto sobre la Venta Final de Gasolinas y Diesel (IEPSGD)</t>
  </si>
  <si>
    <t>Fondo de Fiscalización y Recaudación (FOFIR)</t>
  </si>
  <si>
    <t>Monto a distribuir</t>
  </si>
  <si>
    <t>DETERMINACIÓN PRELIMINAR DE LOS COEFICIENTES DE PARTICIPACIÓN DE RECURSOS A MUNICIPIOS POR VARIABLE (ARTÍCULO14 FRACC II LCH)</t>
  </si>
  <si>
    <t>MONTO OBS + ESTIM DE GASOLINAS</t>
  </si>
  <si>
    <t>Fondo de Compensacion ISAN</t>
  </si>
  <si>
    <t xml:space="preserve">Impuesto sobre Adquisición de Vehículos Nuevos (ISAN) </t>
  </si>
  <si>
    <t>ISAN</t>
  </si>
  <si>
    <t>COMP ISAN</t>
  </si>
  <si>
    <t>Fondo de Fomento Municipal (FFM) 30%</t>
  </si>
  <si>
    <t>Fondo de Fomento Municipal (FFM) 70%</t>
  </si>
  <si>
    <t>Las cifras de Recaudación y Facturación del Impuesto Predial fueron actualizadas para el Cálculo de Distribución. La población por Municipio para la entidad</t>
  </si>
  <si>
    <t>50%*CERi,t+20%*REi,t+30%*CCRi,t</t>
  </si>
  <si>
    <t>REi,t = Ri,t-1 /∑Ri,t-1</t>
  </si>
  <si>
    <t>CCRi,t=CRi,t /∑CRi,t</t>
  </si>
  <si>
    <t>CRi,t=(Ri,t-1/Ri,t-2)- 1</t>
  </si>
  <si>
    <t>Ri,t-2</t>
  </si>
  <si>
    <t>CERi,t = ERi,t-1 /∑ERi,t-1</t>
  </si>
  <si>
    <t>ERt-1 = Ri,t-1 / BGi,t-1</t>
  </si>
  <si>
    <t>Ri,t-1</t>
  </si>
  <si>
    <t>BGt-1</t>
  </si>
  <si>
    <t xml:space="preserve"> ESTIMACIÓN 30% FFM ANUAL</t>
  </si>
  <si>
    <t>DISTRIBUCIÓN POR RECAUDACION</t>
  </si>
  <si>
    <t>DISTRIBUCIÓN CRECIMIENTO RECAUDACION</t>
  </si>
  <si>
    <t xml:space="preserve">DISTRIBUCIÓN POR EFICIENCIA EN LA RECAUDACIÓN  </t>
  </si>
  <si>
    <t>COEFICIENTE  POR MONTO DE RECAUDACIÓN EN EL IMPUESTO PREDIAL</t>
  </si>
  <si>
    <t>COHEFICIENTE CRECIMIENTO RECAUDACION</t>
  </si>
  <si>
    <t>Tasa&gt;0</t>
  </si>
  <si>
    <t xml:space="preserve">TASA DE CRECIMIENTO EN LA RECAUDACIÓN EFECTIVA </t>
  </si>
  <si>
    <t>COEFICIENTE  DE EFICIENCIA RECAUDATORIA</t>
  </si>
  <si>
    <t>Eficiencia Recaudatoria</t>
  </si>
  <si>
    <t>COEFICIENTE DE DISTRIBUCIÓN  30% FFM Art 14 Frac III</t>
  </si>
  <si>
    <t>RECAUDACIÓN EN EL IMPUESTO PREDIAL</t>
  </si>
  <si>
    <t>CRECIMIENTO RECAUDACION</t>
  </si>
  <si>
    <t xml:space="preserve"> EFICIENCIA RECAUDATORIA</t>
  </si>
  <si>
    <t>BGt-2</t>
  </si>
  <si>
    <t>RPt-1</t>
  </si>
  <si>
    <t>CADEREYTA JIMÉNEZ</t>
  </si>
  <si>
    <t>EL CARMEN</t>
  </si>
  <si>
    <t>CERRALVO</t>
  </si>
  <si>
    <t>CIÉNEGA DE FLORES</t>
  </si>
  <si>
    <t>DOCTOR GONZÁLEZ</t>
  </si>
  <si>
    <t>GARCÍA</t>
  </si>
  <si>
    <t>GENERAL TERÁN</t>
  </si>
  <si>
    <t>LOS HERRERAS</t>
  </si>
  <si>
    <t>JUÁREZ</t>
  </si>
  <si>
    <t>MARÍN</t>
  </si>
  <si>
    <t>PARÁS</t>
  </si>
  <si>
    <t>PESQUERÍA</t>
  </si>
  <si>
    <t>LOS RAMONES</t>
  </si>
  <si>
    <t>SAN NICOLÁS DE LOS GARZA</t>
  </si>
  <si>
    <t>SAN PEDRO GARZA GARCÍA</t>
  </si>
  <si>
    <t>LOS ALDAMAS</t>
  </si>
  <si>
    <t>ANÁHUAC</t>
  </si>
  <si>
    <t>FFM 70%</t>
  </si>
  <si>
    <t>POBLACIÓN 2020</t>
  </si>
  <si>
    <t>POBLACIÓN  2020</t>
  </si>
  <si>
    <t xml:space="preserve">  Población 2020, Censo de Población y Vivienda, INEGI</t>
  </si>
  <si>
    <t xml:space="preserve">  Proyecciones de la Población 2015-2030, CONSEJO NACIONAL DE POBLACIÓN</t>
  </si>
  <si>
    <t>Total</t>
  </si>
  <si>
    <t>15</t>
  </si>
  <si>
    <t>11</t>
  </si>
  <si>
    <t>12</t>
  </si>
  <si>
    <t>13</t>
  </si>
  <si>
    <t>14</t>
  </si>
  <si>
    <t>17</t>
  </si>
  <si>
    <t>16</t>
  </si>
  <si>
    <t>18</t>
  </si>
  <si>
    <t>19</t>
  </si>
  <si>
    <t>20</t>
  </si>
  <si>
    <t>23</t>
  </si>
  <si>
    <t>21</t>
  </si>
  <si>
    <t>22</t>
  </si>
  <si>
    <t>25</t>
  </si>
  <si>
    <t>27</t>
  </si>
  <si>
    <t>26</t>
  </si>
  <si>
    <t>29</t>
  </si>
  <si>
    <t>30</t>
  </si>
  <si>
    <t>32</t>
  </si>
  <si>
    <t>33</t>
  </si>
  <si>
    <t>34</t>
  </si>
  <si>
    <t>35</t>
  </si>
  <si>
    <t>61</t>
  </si>
  <si>
    <t>36</t>
  </si>
  <si>
    <t>28</t>
  </si>
  <si>
    <t>37</t>
  </si>
  <si>
    <t>39</t>
  </si>
  <si>
    <t>38</t>
  </si>
  <si>
    <t>40</t>
  </si>
  <si>
    <t>41</t>
  </si>
  <si>
    <t>42</t>
  </si>
  <si>
    <t>43</t>
  </si>
  <si>
    <t>44</t>
  </si>
  <si>
    <t>46</t>
  </si>
  <si>
    <t>49</t>
  </si>
  <si>
    <t>48</t>
  </si>
  <si>
    <t>47</t>
  </si>
  <si>
    <t>45</t>
  </si>
  <si>
    <t>70</t>
  </si>
  <si>
    <t>50</t>
  </si>
  <si>
    <t>51</t>
  </si>
  <si>
    <t>52</t>
  </si>
  <si>
    <t>53</t>
  </si>
  <si>
    <t>54</t>
  </si>
  <si>
    <t>55</t>
  </si>
  <si>
    <t>58</t>
  </si>
  <si>
    <t>31</t>
  </si>
  <si>
    <t>57</t>
  </si>
  <si>
    <t>56</t>
  </si>
  <si>
    <t>59</t>
  </si>
  <si>
    <t>60</t>
  </si>
  <si>
    <t>Las sumas puede no coincidr por el cuestiones de redondeo</t>
  </si>
  <si>
    <t>Nombre del Municipio</t>
  </si>
  <si>
    <t>Fondo General de Participaciones</t>
  </si>
  <si>
    <t>Fondo de Fomento Municipal
70%</t>
  </si>
  <si>
    <t>Fondo de Fomento Municipal
30%</t>
  </si>
  <si>
    <t>Impuesto Especial Sobre Producción y Servicios</t>
  </si>
  <si>
    <t>Fondo de Fiscalización y Recaudación</t>
  </si>
  <si>
    <t>Impuesto Sobre Adquisición de Vehículos Nuevos</t>
  </si>
  <si>
    <t>Fondo Compensación ISAN</t>
  </si>
  <si>
    <t>Intensidad de la Pobreza</t>
  </si>
  <si>
    <t>Proporcion de Intensidad de la Pobreza</t>
  </si>
  <si>
    <t xml:space="preserve">Distribución del 85% por Pobreza </t>
  </si>
  <si>
    <t>Mejora en Pobreza Municipal</t>
  </si>
  <si>
    <t>Proporción de la eficacia en Pobreza</t>
  </si>
  <si>
    <t xml:space="preserve">Distribución del 15% por eficacia de Pobreza </t>
  </si>
  <si>
    <t>PP2M</t>
  </si>
  <si>
    <t>PP1M</t>
  </si>
  <si>
    <t>CPP1M</t>
  </si>
  <si>
    <t>ICPM=(PP1M/∑PP1M)</t>
  </si>
  <si>
    <t>IP=(ICPM*CPP!M)</t>
  </si>
  <si>
    <t>IP/∑IP</t>
  </si>
  <si>
    <t>(0.85*CIMP)*(IP)</t>
  </si>
  <si>
    <t>M=PP2M/PP1M</t>
  </si>
  <si>
    <t>EP/∑EP</t>
  </si>
  <si>
    <t>(0.15*CIMP)*(EP/∑EP)</t>
  </si>
  <si>
    <t>DIPM</t>
  </si>
  <si>
    <t>CDIPM</t>
  </si>
  <si>
    <t>Diferencia</t>
  </si>
  <si>
    <t>Cálculo de Distribución 2021</t>
  </si>
  <si>
    <t>FONDO DE ISR POR LA ENAJENACIÓN DE BIENES INMUEBLES</t>
  </si>
  <si>
    <t xml:space="preserve"> MUNICIPIO </t>
  </si>
  <si>
    <t>COEFICIENTE</t>
  </si>
  <si>
    <t>DISTRIBUCIÓN</t>
  </si>
  <si>
    <t xml:space="preserve"> ABASOLO </t>
  </si>
  <si>
    <t xml:space="preserve"> AGUALEGUAS </t>
  </si>
  <si>
    <t xml:space="preserve"> ALDAMAS, LOS </t>
  </si>
  <si>
    <t xml:space="preserve"> ALLENDE </t>
  </si>
  <si>
    <t xml:space="preserve"> ANAHUAC </t>
  </si>
  <si>
    <t xml:space="preserve"> APODACA </t>
  </si>
  <si>
    <t xml:space="preserve"> ARAMBERRI </t>
  </si>
  <si>
    <t xml:space="preserve"> BUSTAMANTE </t>
  </si>
  <si>
    <t xml:space="preserve"> CADEREYTA JIMENEZ </t>
  </si>
  <si>
    <t xml:space="preserve"> CARMEN </t>
  </si>
  <si>
    <t xml:space="preserve"> CERRALVO  </t>
  </si>
  <si>
    <t xml:space="preserve"> CHINA </t>
  </si>
  <si>
    <t xml:space="preserve"> CIENEGA DE FLORES </t>
  </si>
  <si>
    <t xml:space="preserve"> DOCTOR ARROYO </t>
  </si>
  <si>
    <t xml:space="preserve"> DOCTOR COSS </t>
  </si>
  <si>
    <t xml:space="preserve"> DOCTOR GONZALEZ </t>
  </si>
  <si>
    <t xml:space="preserve"> GALEANA </t>
  </si>
  <si>
    <t xml:space="preserve"> GARCIA </t>
  </si>
  <si>
    <t xml:space="preserve"> GENERAL BRAVO </t>
  </si>
  <si>
    <t xml:space="preserve"> GENERAL ESCOBEDO </t>
  </si>
  <si>
    <t xml:space="preserve"> GENERAL TERAN </t>
  </si>
  <si>
    <t xml:space="preserve"> GENERAL TREVIÑO </t>
  </si>
  <si>
    <t xml:space="preserve"> GENERAL ZARAGOZA </t>
  </si>
  <si>
    <t xml:space="preserve"> GENERAL ZUAZUA </t>
  </si>
  <si>
    <t xml:space="preserve"> GUADALUPE </t>
  </si>
  <si>
    <t xml:space="preserve"> HERRERAS, LOS </t>
  </si>
  <si>
    <t xml:space="preserve"> HIDALGO </t>
  </si>
  <si>
    <t xml:space="preserve"> HIGUERAS </t>
  </si>
  <si>
    <t xml:space="preserve"> HUALAHUISES </t>
  </si>
  <si>
    <t xml:space="preserve"> ITURBIDE </t>
  </si>
  <si>
    <t xml:space="preserve"> JUAREZ </t>
  </si>
  <si>
    <t xml:space="preserve"> LAMPAZOS DE NARANJO </t>
  </si>
  <si>
    <t xml:space="preserve"> LINARES </t>
  </si>
  <si>
    <t xml:space="preserve"> MARIN </t>
  </si>
  <si>
    <t xml:space="preserve"> MELCHOR OCAMPO </t>
  </si>
  <si>
    <t xml:space="preserve"> MIER Y NORIEGA </t>
  </si>
  <si>
    <t xml:space="preserve"> MINA </t>
  </si>
  <si>
    <t xml:space="preserve"> MONTEMORELOS </t>
  </si>
  <si>
    <t xml:space="preserve"> MONTERREY </t>
  </si>
  <si>
    <t xml:space="preserve"> PARAS </t>
  </si>
  <si>
    <t xml:space="preserve"> PESQUERIA </t>
  </si>
  <si>
    <t xml:space="preserve"> RAMONES, LOS </t>
  </si>
  <si>
    <t xml:space="preserve"> RAYONES </t>
  </si>
  <si>
    <t xml:space="preserve"> SABINAS HIDALGO </t>
  </si>
  <si>
    <t xml:space="preserve"> SALINAS VICTORIA </t>
  </si>
  <si>
    <t xml:space="preserve"> SAN NICOLAS DE LOS GARZA </t>
  </si>
  <si>
    <t xml:space="preserve"> SAN PEDRO GARZA GARCIA </t>
  </si>
  <si>
    <t xml:space="preserve"> SANTA CATARINA </t>
  </si>
  <si>
    <t xml:space="preserve"> SANTIAGO </t>
  </si>
  <si>
    <t xml:space="preserve"> VALLECILLO </t>
  </si>
  <si>
    <t xml:space="preserve"> VILLALDAMA </t>
  </si>
  <si>
    <t xml:space="preserve">         TOTAL </t>
  </si>
  <si>
    <t>SUBTOTAL</t>
  </si>
  <si>
    <t>Impuesto sobre la Renta de Enajenación de Bienes Inmuebles (ISR BI)</t>
  </si>
  <si>
    <t>PERSONAS EN POBREZA 2015</t>
  </si>
  <si>
    <t>PERSONAS EN POBREZA 2020</t>
  </si>
  <si>
    <t>RECAUDACIÓN 2020</t>
  </si>
  <si>
    <t>RECAUDACIÓN 2021</t>
  </si>
  <si>
    <t>FACTURACIÓN 2021
(2011-2021)</t>
  </si>
  <si>
    <t>ISAI 2021</t>
  </si>
  <si>
    <t>SUBSECRETARÍA DE POLITICA DE INGRESOS, COORDINACIÓN DE PLANEACIÓN HACENDARIA</t>
  </si>
  <si>
    <t>IEPS GYD</t>
  </si>
  <si>
    <t>Incidencia de la Pobreza 2020</t>
  </si>
  <si>
    <t>Carencias promedio en situación de pobreza 2020</t>
  </si>
  <si>
    <t>ISR BI</t>
  </si>
  <si>
    <t>2023</t>
  </si>
  <si>
    <t>PROYECCIÓN DE POBLACIÓN 2022</t>
  </si>
  <si>
    <t>Participaciones PEF 2023</t>
  </si>
  <si>
    <t>CÁLCULO DE PARTICIPACIONES A MUNICIPIOS 2023</t>
  </si>
  <si>
    <t>Coef Dist 2021</t>
  </si>
  <si>
    <t xml:space="preserve">CÁLCULO DE DISTRIBUCIÓN DE PARTICIPACIONES ESTIMACION 2023 </t>
  </si>
  <si>
    <t>Garantía</t>
  </si>
  <si>
    <t>PARTICIPACIONES AÑO ANTERIOR</t>
  </si>
  <si>
    <t>Total de Distrbución 2023</t>
  </si>
  <si>
    <t>Cálculo de Distribución Diferencia</t>
  </si>
  <si>
    <t>AÑO ACTUAL</t>
  </si>
  <si>
    <t>Porcentaje</t>
  </si>
  <si>
    <t>Monto</t>
  </si>
  <si>
    <t>ANUAL</t>
  </si>
  <si>
    <t>FACTURACIÓN  2020
(2016-2020)</t>
  </si>
  <si>
    <t>Distribución por Pobreza</t>
  </si>
  <si>
    <t>MONTO ESTIM. DE PARTICIPACIONES</t>
  </si>
  <si>
    <t>COEFICIENTE DE DISTRIBUCIÓN</t>
  </si>
  <si>
    <t>FUENTE:
Facturación de Predial.- Instituto Registral y Catastral
Recaudación de Predial.- Municipios del Estado
Población.- Censo de Población y Vivienda 2020
Territorio.- INEGI
Variables de Social 2015 Y 2020.- CONEVAL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</si>
</sst>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#,##0\ &quot;$&quot;;[Red]\-#,##0\ &quot;$&quot;"/>
    <numFmt numFmtId="169" formatCode="&quot;$&quot;\ #,##0.00"/>
    <numFmt numFmtId="170" formatCode="\U\ #,##0.00"/>
    <numFmt numFmtId="171" formatCode="_(* #,##0.000000_);_(* \(#,##0.000000\);_(* &quot;-&quot;??_);_(@_)"/>
    <numFmt numFmtId="172" formatCode="0.00000000%"/>
    <numFmt numFmtId="173" formatCode="_(* #,##0.00000000_);_(* \(#,##0.00000000\);_(* &quot;-&quot;??_);_(@_)"/>
    <numFmt numFmtId="174" formatCode="0.000000"/>
    <numFmt numFmtId="175" formatCode="0.00000000"/>
    <numFmt numFmtId="176" formatCode="0.0000000000"/>
    <numFmt numFmtId="177" formatCode="0.000000000"/>
    <numFmt numFmtId="178" formatCode="#,##0.0000;\-#,##0.0000"/>
    <numFmt numFmtId="179" formatCode="#,##0.00000000000;\-#,##0.00000000000"/>
    <numFmt numFmtId="180" formatCode="0.0000%"/>
    <numFmt numFmtId="181" formatCode="General_)"/>
    <numFmt numFmtId="182" formatCode="_-[$€-2]* #,##0.00_-;\-[$€-2]* #,##0.00_-;_-[$€-2]* &quot;-&quot;??_-"/>
    <numFmt numFmtId="183" formatCode="_-* #,##0_-;\-* #,##0_-;_-* &quot;-&quot;??_-;_-@_-"/>
    <numFmt numFmtId="184" formatCode="_-* #,##0.0000_-;\-* #,##0.0000_-;_-* &quot;-&quot;????_-;_-@_-"/>
    <numFmt numFmtId="185" formatCode="_-* #,##0.0000_-;\-* #,##0.0000_-;_-* &quot;-&quot;_-;_-@_-"/>
    <numFmt numFmtId="186" formatCode="_-* #,##0.0000_-;\-* #,##0.0000_-;_-* &quot;-&quot;??_-;_-@_-"/>
    <numFmt numFmtId="187" formatCode="#,##0.0000_ ;[Red]\-#,##0.0000\ "/>
    <numFmt numFmtId="188" formatCode="#,##0_ ;[Red]\-#,##0\ "/>
    <numFmt numFmtId="189" formatCode="#,##0.00_ ;[Red]\-#,##0.00\ "/>
    <numFmt numFmtId="190" formatCode="_-* #,##0.000000_-;\-* #,##0.000000_-;_-* &quot;-&quot;??_-;_-@_-"/>
    <numFmt numFmtId="191" formatCode="_-* #,##0.00000_-;\-* #,##0.00000_-;_-* &quot;-&quot;??_-;_-@_-"/>
    <numFmt numFmtId="192" formatCode="#,##0.0000000;\-#,##0.0000000"/>
    <numFmt numFmtId="193" formatCode="#,##0.00000000;\-#,##0.00000000"/>
  </numFmts>
  <fonts count="5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000000"/>
      <name val="Arial"/>
      <family val="2"/>
    </font>
    <font>
      <b/>
      <sz val="10"/>
      <color indexed="62"/>
      <name val="Arial"/>
      <family val="2"/>
    </font>
    <font>
      <b/>
      <sz val="10"/>
      <color rgb="FF006100"/>
      <name val="Arial"/>
      <family val="2"/>
    </font>
    <font>
      <b/>
      <sz val="9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2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68" fontId="7" fillId="0" borderId="0" applyFont="0" applyFill="0" applyBorder="0" applyAlignment="0" applyProtection="0"/>
    <xf numFmtId="0" fontId="21" fillId="3" borderId="0" applyNumberFormat="0" applyBorder="0" applyAlignment="0" applyProtection="0"/>
    <xf numFmtId="164" fontId="7" fillId="0" borderId="0" applyFont="0" applyFill="0" applyBorder="0" applyAlignment="0" applyProtection="0"/>
    <xf numFmtId="0" fontId="22" fillId="22" borderId="0" applyNumberFormat="0" applyBorder="0" applyAlignment="0" applyProtection="0"/>
    <xf numFmtId="0" fontId="30" fillId="0" borderId="0"/>
    <xf numFmtId="0" fontId="9" fillId="0" borderId="0"/>
    <xf numFmtId="37" fontId="8" fillId="0" borderId="0"/>
    <xf numFmtId="0" fontId="13" fillId="23" borderId="4" applyNumberFormat="0" applyFont="0" applyAlignment="0" applyProtection="0"/>
    <xf numFmtId="169" fontId="9" fillId="0" borderId="0" applyFont="0" applyFill="0" applyBorder="0" applyAlignment="0" applyProtection="0">
      <alignment horizontal="right"/>
    </xf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170" fontId="10" fillId="0" borderId="0" applyFont="0" applyFill="0" applyBorder="0" applyAlignment="0" applyProtection="0">
      <alignment horizontal="right"/>
    </xf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1" fontId="7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82" fontId="7" fillId="0" borderId="0" applyFont="0" applyFill="0" applyBorder="0" applyAlignment="0" applyProtection="0"/>
    <xf numFmtId="0" fontId="21" fillId="3" borderId="0" applyNumberFormat="0" applyBorder="0" applyAlignment="0" applyProtection="0"/>
    <xf numFmtId="41" fontId="7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23" borderId="4" applyNumberFormat="0" applyFon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6" fillId="0" borderId="0"/>
    <xf numFmtId="43" fontId="7" fillId="0" borderId="0" applyFont="0" applyFill="0" applyBorder="0" applyAlignment="0" applyProtection="0"/>
    <xf numFmtId="0" fontId="46" fillId="0" borderId="0"/>
    <xf numFmtId="0" fontId="5" fillId="0" borderId="0"/>
    <xf numFmtId="43" fontId="47" fillId="0" borderId="0" applyFont="0" applyFill="0" applyBorder="0" applyAlignment="0" applyProtection="0"/>
    <xf numFmtId="0" fontId="7" fillId="0" borderId="0"/>
    <xf numFmtId="9" fontId="4" fillId="0" borderId="0" applyFont="0" applyFill="0" applyBorder="0" applyAlignment="0" applyProtection="0"/>
    <xf numFmtId="0" fontId="7" fillId="0" borderId="0"/>
    <xf numFmtId="0" fontId="51" fillId="0" borderId="0"/>
    <xf numFmtId="43" fontId="5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2" fillId="2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3" fillId="0" borderId="0"/>
    <xf numFmtId="0" fontId="1" fillId="0" borderId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>
      <alignment horizontal="right"/>
    </xf>
  </cellStyleXfs>
  <cellXfs count="301">
    <xf numFmtId="0" fontId="0" fillId="0" borderId="0" xfId="0"/>
    <xf numFmtId="37" fontId="12" fillId="0" borderId="0" xfId="37" applyFont="1" applyAlignment="1" applyProtection="1">
      <alignment horizontal="center" vertical="center" wrapText="1"/>
      <protection hidden="1"/>
    </xf>
    <xf numFmtId="37" fontId="7" fillId="0" borderId="11" xfId="37" applyFont="1" applyBorder="1" applyAlignment="1" applyProtection="1">
      <alignment horizontal="left"/>
      <protection hidden="1"/>
    </xf>
    <xf numFmtId="37" fontId="7" fillId="0" borderId="20" xfId="37" applyFont="1" applyBorder="1" applyAlignment="1" applyProtection="1">
      <alignment horizontal="right"/>
      <protection hidden="1"/>
    </xf>
    <xf numFmtId="37" fontId="7" fillId="0" borderId="12" xfId="37" applyFont="1" applyBorder="1" applyAlignment="1" applyProtection="1">
      <alignment horizontal="left"/>
      <protection hidden="1"/>
    </xf>
    <xf numFmtId="37" fontId="7" fillId="0" borderId="22" xfId="37" applyFont="1" applyBorder="1" applyAlignment="1" applyProtection="1">
      <alignment horizontal="right"/>
      <protection hidden="1"/>
    </xf>
    <xf numFmtId="37" fontId="11" fillId="0" borderId="13" xfId="37" applyFont="1" applyBorder="1" applyAlignment="1" applyProtection="1">
      <alignment horizontal="left"/>
      <protection hidden="1"/>
    </xf>
    <xf numFmtId="37" fontId="11" fillId="0" borderId="14" xfId="37" applyFont="1" applyBorder="1" applyAlignment="1" applyProtection="1">
      <alignment horizontal="right"/>
      <protection hidden="1"/>
    </xf>
    <xf numFmtId="37" fontId="11" fillId="0" borderId="10" xfId="37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9" fontId="11" fillId="0" borderId="10" xfId="40" applyFont="1" applyFill="1" applyBorder="1" applyAlignment="1" applyProtection="1">
      <alignment horizontal="center" vertical="center" wrapText="1"/>
      <protection hidden="1"/>
    </xf>
    <xf numFmtId="37" fontId="7" fillId="0" borderId="0" xfId="37" applyFont="1" applyProtection="1">
      <protection hidden="1"/>
    </xf>
    <xf numFmtId="9" fontId="11" fillId="0" borderId="10" xfId="0" applyNumberFormat="1" applyFont="1" applyBorder="1" applyAlignment="1" applyProtection="1">
      <alignment horizontal="center" vertical="center" wrapText="1"/>
      <protection hidden="1"/>
    </xf>
    <xf numFmtId="37" fontId="32" fillId="0" borderId="0" xfId="37" applyFont="1" applyAlignment="1" applyProtection="1">
      <alignment horizontal="center" vertical="center"/>
      <protection hidden="1"/>
    </xf>
    <xf numFmtId="37" fontId="32" fillId="0" borderId="0" xfId="37" applyFont="1" applyProtection="1">
      <protection hidden="1"/>
    </xf>
    <xf numFmtId="37" fontId="37" fillId="0" borderId="0" xfId="37" applyFont="1" applyAlignment="1" applyProtection="1">
      <alignment horizontal="center" vertical="center" wrapText="1"/>
      <protection hidden="1"/>
    </xf>
    <xf numFmtId="37" fontId="37" fillId="0" borderId="0" xfId="37" applyFont="1" applyProtection="1">
      <protection hidden="1"/>
    </xf>
    <xf numFmtId="174" fontId="37" fillId="0" borderId="0" xfId="37" applyNumberFormat="1" applyFont="1" applyProtection="1">
      <protection hidden="1"/>
    </xf>
    <xf numFmtId="175" fontId="38" fillId="0" borderId="0" xfId="0" applyNumberFormat="1" applyFont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37" fontId="32" fillId="0" borderId="0" xfId="37" applyFont="1" applyAlignment="1" applyProtection="1">
      <alignment horizontal="center" vertical="center" wrapText="1"/>
      <protection hidden="1"/>
    </xf>
    <xf numFmtId="3" fontId="31" fillId="0" borderId="20" xfId="0" applyNumberFormat="1" applyFont="1" applyBorder="1" applyProtection="1">
      <protection hidden="1"/>
    </xf>
    <xf numFmtId="174" fontId="7" fillId="0" borderId="20" xfId="40" applyNumberFormat="1" applyFont="1" applyFill="1" applyBorder="1" applyProtection="1">
      <protection hidden="1"/>
    </xf>
    <xf numFmtId="165" fontId="7" fillId="0" borderId="20" xfId="33" applyNumberFormat="1" applyFont="1" applyFill="1" applyBorder="1" applyProtection="1">
      <protection hidden="1"/>
    </xf>
    <xf numFmtId="174" fontId="7" fillId="0" borderId="25" xfId="40" applyNumberFormat="1" applyFont="1" applyFill="1" applyBorder="1" applyProtection="1">
      <protection hidden="1"/>
    </xf>
    <xf numFmtId="171" fontId="7" fillId="0" borderId="20" xfId="33" applyNumberFormat="1" applyFont="1" applyFill="1" applyBorder="1" applyProtection="1">
      <protection hidden="1"/>
    </xf>
    <xf numFmtId="165" fontId="7" fillId="0" borderId="25" xfId="33" applyNumberFormat="1" applyFont="1" applyFill="1" applyBorder="1" applyProtection="1">
      <protection hidden="1"/>
    </xf>
    <xf numFmtId="37" fontId="7" fillId="0" borderId="11" xfId="37" applyFont="1" applyBorder="1" applyProtection="1">
      <protection hidden="1"/>
    </xf>
    <xf numFmtId="37" fontId="7" fillId="0" borderId="20" xfId="37" applyFont="1" applyBorder="1" applyProtection="1">
      <protection hidden="1"/>
    </xf>
    <xf numFmtId="175" fontId="7" fillId="0" borderId="21" xfId="40" applyNumberFormat="1" applyFont="1" applyBorder="1" applyProtection="1">
      <protection hidden="1"/>
    </xf>
    <xf numFmtId="3" fontId="31" fillId="0" borderId="22" xfId="0" applyNumberFormat="1" applyFont="1" applyBorder="1" applyProtection="1">
      <protection hidden="1"/>
    </xf>
    <xf numFmtId="174" fontId="7" fillId="0" borderId="22" xfId="40" applyNumberFormat="1" applyFont="1" applyFill="1" applyBorder="1" applyProtection="1">
      <protection hidden="1"/>
    </xf>
    <xf numFmtId="165" fontId="7" fillId="0" borderId="22" xfId="33" applyNumberFormat="1" applyFont="1" applyFill="1" applyBorder="1" applyProtection="1">
      <protection hidden="1"/>
    </xf>
    <xf numFmtId="174" fontId="7" fillId="0" borderId="26" xfId="40" applyNumberFormat="1" applyFont="1" applyFill="1" applyBorder="1" applyProtection="1">
      <protection hidden="1"/>
    </xf>
    <xf numFmtId="171" fontId="7" fillId="0" borderId="22" xfId="33" applyNumberFormat="1" applyFont="1" applyFill="1" applyBorder="1" applyProtection="1">
      <protection hidden="1"/>
    </xf>
    <xf numFmtId="165" fontId="7" fillId="0" borderId="26" xfId="33" applyNumberFormat="1" applyFont="1" applyFill="1" applyBorder="1" applyProtection="1">
      <protection hidden="1"/>
    </xf>
    <xf numFmtId="37" fontId="7" fillId="0" borderId="12" xfId="37" applyFont="1" applyBorder="1" applyProtection="1">
      <protection hidden="1"/>
    </xf>
    <xf numFmtId="37" fontId="7" fillId="0" borderId="22" xfId="37" applyFont="1" applyBorder="1" applyProtection="1">
      <protection hidden="1"/>
    </xf>
    <xf numFmtId="175" fontId="7" fillId="0" borderId="19" xfId="40" applyNumberFormat="1" applyFont="1" applyBorder="1" applyProtection="1">
      <protection hidden="1"/>
    </xf>
    <xf numFmtId="3" fontId="33" fillId="0" borderId="14" xfId="0" applyNumberFormat="1" applyFont="1" applyBorder="1" applyProtection="1">
      <protection hidden="1"/>
    </xf>
    <xf numFmtId="174" fontId="11" fillId="0" borderId="14" xfId="40" applyNumberFormat="1" applyFont="1" applyFill="1" applyBorder="1" applyProtection="1">
      <protection hidden="1"/>
    </xf>
    <xf numFmtId="165" fontId="11" fillId="0" borderId="14" xfId="33" applyNumberFormat="1" applyFont="1" applyFill="1" applyBorder="1" applyProtection="1">
      <protection hidden="1"/>
    </xf>
    <xf numFmtId="174" fontId="11" fillId="0" borderId="24" xfId="40" applyNumberFormat="1" applyFont="1" applyFill="1" applyBorder="1" applyProtection="1">
      <protection hidden="1"/>
    </xf>
    <xf numFmtId="171" fontId="11" fillId="0" borderId="14" xfId="33" applyNumberFormat="1" applyFont="1" applyFill="1" applyBorder="1" applyProtection="1">
      <protection hidden="1"/>
    </xf>
    <xf numFmtId="165" fontId="11" fillId="0" borderId="24" xfId="40" applyNumberFormat="1" applyFont="1" applyFill="1" applyBorder="1" applyProtection="1">
      <protection hidden="1"/>
    </xf>
    <xf numFmtId="37" fontId="11" fillId="0" borderId="13" xfId="37" applyFont="1" applyBorder="1" applyProtection="1">
      <protection hidden="1"/>
    </xf>
    <xf numFmtId="37" fontId="11" fillId="0" borderId="14" xfId="37" applyFont="1" applyBorder="1" applyProtection="1">
      <protection hidden="1"/>
    </xf>
    <xf numFmtId="175" fontId="11" fillId="0" borderId="15" xfId="40" applyNumberFormat="1" applyFont="1" applyBorder="1" applyProtection="1">
      <protection hidden="1"/>
    </xf>
    <xf numFmtId="174" fontId="7" fillId="0" borderId="0" xfId="37" applyNumberFormat="1" applyFont="1" applyProtection="1">
      <protection hidden="1"/>
    </xf>
    <xf numFmtId="39" fontId="7" fillId="0" borderId="0" xfId="37" applyNumberFormat="1" applyFont="1" applyProtection="1">
      <protection hidden="1"/>
    </xf>
    <xf numFmtId="175" fontId="7" fillId="0" borderId="0" xfId="37" applyNumberFormat="1" applyFont="1" applyProtection="1">
      <protection hidden="1"/>
    </xf>
    <xf numFmtId="166" fontId="7" fillId="0" borderId="0" xfId="40" applyNumberFormat="1" applyFont="1" applyProtection="1">
      <protection hidden="1"/>
    </xf>
    <xf numFmtId="166" fontId="7" fillId="0" borderId="0" xfId="40" applyNumberFormat="1" applyFont="1" applyFill="1" applyProtection="1">
      <protection hidden="1"/>
    </xf>
    <xf numFmtId="39" fontId="11" fillId="0" borderId="10" xfId="37" applyNumberFormat="1" applyFont="1" applyBorder="1" applyAlignment="1" applyProtection="1">
      <alignment horizontal="center" vertical="center" wrapText="1"/>
      <protection hidden="1"/>
    </xf>
    <xf numFmtId="37" fontId="34" fillId="0" borderId="0" xfId="37" applyFont="1" applyAlignment="1" applyProtection="1">
      <alignment horizontal="center" vertical="center" wrapText="1"/>
      <protection hidden="1"/>
    </xf>
    <xf numFmtId="39" fontId="32" fillId="0" borderId="0" xfId="37" applyNumberFormat="1" applyFont="1" applyAlignment="1" applyProtection="1">
      <alignment horizontal="center" vertical="center" wrapText="1"/>
      <protection hidden="1"/>
    </xf>
    <xf numFmtId="175" fontId="37" fillId="0" borderId="0" xfId="37" applyNumberFormat="1" applyFont="1" applyProtection="1">
      <protection hidden="1"/>
    </xf>
    <xf numFmtId="39" fontId="37" fillId="0" borderId="0" xfId="37" applyNumberFormat="1" applyFont="1" applyAlignment="1" applyProtection="1">
      <alignment horizontal="center" vertical="center" wrapText="1"/>
      <protection hidden="1"/>
    </xf>
    <xf numFmtId="175" fontId="37" fillId="0" borderId="0" xfId="37" applyNumberFormat="1" applyFont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37" fontId="41" fillId="0" borderId="0" xfId="37" applyFont="1" applyAlignment="1" applyProtection="1">
      <alignment horizontal="center"/>
      <protection hidden="1"/>
    </xf>
    <xf numFmtId="37" fontId="7" fillId="0" borderId="0" xfId="37" applyFont="1" applyAlignment="1" applyProtection="1">
      <alignment wrapText="1"/>
      <protection hidden="1"/>
    </xf>
    <xf numFmtId="37" fontId="7" fillId="0" borderId="27" xfId="37" applyFont="1" applyBorder="1" applyAlignment="1" applyProtection="1">
      <alignment wrapText="1"/>
      <protection hidden="1"/>
    </xf>
    <xf numFmtId="37" fontId="45" fillId="0" borderId="0" xfId="37" applyFont="1" applyProtection="1">
      <protection hidden="1"/>
    </xf>
    <xf numFmtId="174" fontId="32" fillId="0" borderId="0" xfId="0" applyNumberFormat="1" applyFont="1" applyAlignment="1" applyProtection="1">
      <alignment horizontal="center" vertical="center" wrapText="1"/>
      <protection hidden="1"/>
    </xf>
    <xf numFmtId="175" fontId="34" fillId="0" borderId="0" xfId="39" applyNumberFormat="1" applyFont="1" applyFill="1" applyBorder="1" applyAlignment="1" applyProtection="1">
      <alignment horizontal="center" vertical="center" wrapText="1"/>
      <protection hidden="1"/>
    </xf>
    <xf numFmtId="175" fontId="32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2" fillId="0" borderId="0" xfId="0" applyNumberFormat="1" applyFont="1" applyAlignment="1" applyProtection="1">
      <alignment horizontal="center" vertical="center" wrapText="1"/>
      <protection hidden="1"/>
    </xf>
    <xf numFmtId="169" fontId="32" fillId="0" borderId="0" xfId="39" applyFont="1" applyFill="1" applyBorder="1" applyAlignment="1" applyProtection="1">
      <alignment horizontal="center" vertical="center" wrapText="1"/>
      <protection hidden="1"/>
    </xf>
    <xf numFmtId="176" fontId="7" fillId="0" borderId="20" xfId="40" applyNumberFormat="1" applyFont="1" applyFill="1" applyBorder="1" applyProtection="1">
      <protection hidden="1"/>
    </xf>
    <xf numFmtId="176" fontId="7" fillId="0" borderId="22" xfId="40" applyNumberFormat="1" applyFont="1" applyFill="1" applyBorder="1" applyProtection="1">
      <protection hidden="1"/>
    </xf>
    <xf numFmtId="176" fontId="11" fillId="0" borderId="14" xfId="40" applyNumberFormat="1" applyFont="1" applyFill="1" applyBorder="1" applyProtection="1">
      <protection hidden="1"/>
    </xf>
    <xf numFmtId="177" fontId="7" fillId="0" borderId="20" xfId="40" applyNumberFormat="1" applyFont="1" applyFill="1" applyBorder="1" applyProtection="1">
      <protection hidden="1"/>
    </xf>
    <xf numFmtId="177" fontId="7" fillId="0" borderId="22" xfId="40" applyNumberFormat="1" applyFont="1" applyFill="1" applyBorder="1" applyProtection="1">
      <protection hidden="1"/>
    </xf>
    <xf numFmtId="177" fontId="11" fillId="0" borderId="14" xfId="40" applyNumberFormat="1" applyFont="1" applyFill="1" applyBorder="1" applyProtection="1">
      <protection hidden="1"/>
    </xf>
    <xf numFmtId="175" fontId="32" fillId="0" borderId="0" xfId="0" applyNumberFormat="1" applyFont="1" applyAlignment="1" applyProtection="1">
      <alignment horizontal="center" vertical="center" wrapText="1"/>
      <protection hidden="1"/>
    </xf>
    <xf numFmtId="175" fontId="40" fillId="0" borderId="0" xfId="37" applyNumberFormat="1" applyFont="1" applyAlignment="1" applyProtection="1">
      <alignment horizontal="center" vertical="center"/>
      <protection hidden="1"/>
    </xf>
    <xf numFmtId="175" fontId="39" fillId="0" borderId="10" xfId="0" applyNumberFormat="1" applyFont="1" applyBorder="1" applyAlignment="1" applyProtection="1">
      <alignment horizontal="center" vertical="center" wrapText="1"/>
      <protection hidden="1"/>
    </xf>
    <xf numFmtId="175" fontId="7" fillId="0" borderId="21" xfId="40" applyNumberFormat="1" applyFont="1" applyFill="1" applyBorder="1" applyProtection="1">
      <protection hidden="1"/>
    </xf>
    <xf numFmtId="175" fontId="7" fillId="0" borderId="19" xfId="40" applyNumberFormat="1" applyFont="1" applyFill="1" applyBorder="1" applyProtection="1">
      <protection hidden="1"/>
    </xf>
    <xf numFmtId="175" fontId="11" fillId="0" borderId="15" xfId="40" applyNumberFormat="1" applyFont="1" applyFill="1" applyBorder="1" applyProtection="1">
      <protection hidden="1"/>
    </xf>
    <xf numFmtId="37" fontId="41" fillId="0" borderId="0" xfId="37" applyFont="1" applyProtection="1">
      <protection hidden="1"/>
    </xf>
    <xf numFmtId="0" fontId="39" fillId="0" borderId="10" xfId="0" applyFont="1" applyBorder="1" applyAlignment="1" applyProtection="1">
      <alignment horizontal="center" vertical="center" wrapText="1"/>
      <protection hidden="1"/>
    </xf>
    <xf numFmtId="165" fontId="33" fillId="0" borderId="14" xfId="33" applyNumberFormat="1" applyFont="1" applyFill="1" applyBorder="1" applyProtection="1">
      <protection hidden="1"/>
    </xf>
    <xf numFmtId="0" fontId="11" fillId="0" borderId="28" xfId="0" applyFont="1" applyBorder="1" applyAlignment="1" applyProtection="1">
      <alignment horizontal="center" vertical="center" wrapText="1"/>
      <protection hidden="1"/>
    </xf>
    <xf numFmtId="175" fontId="11" fillId="0" borderId="28" xfId="0" applyNumberFormat="1" applyFont="1" applyBorder="1" applyAlignment="1" applyProtection="1">
      <alignment horizontal="center" vertical="center" wrapText="1"/>
      <protection hidden="1"/>
    </xf>
    <xf numFmtId="175" fontId="32" fillId="0" borderId="0" xfId="37" applyNumberFormat="1" applyFont="1" applyProtection="1">
      <protection hidden="1"/>
    </xf>
    <xf numFmtId="175" fontId="32" fillId="0" borderId="0" xfId="37" applyNumberFormat="1" applyFont="1" applyAlignment="1" applyProtection="1">
      <alignment horizontal="center" vertical="center" wrapText="1"/>
      <protection hidden="1"/>
    </xf>
    <xf numFmtId="175" fontId="7" fillId="0" borderId="16" xfId="33" applyNumberFormat="1" applyFont="1" applyFill="1" applyBorder="1" applyProtection="1">
      <protection hidden="1"/>
    </xf>
    <xf numFmtId="175" fontId="7" fillId="0" borderId="21" xfId="37" applyNumberFormat="1" applyFont="1" applyBorder="1" applyProtection="1">
      <protection hidden="1"/>
    </xf>
    <xf numFmtId="175" fontId="7" fillId="0" borderId="17" xfId="33" applyNumberFormat="1" applyFont="1" applyFill="1" applyBorder="1" applyProtection="1">
      <protection hidden="1"/>
    </xf>
    <xf numFmtId="175" fontId="7" fillId="0" borderId="19" xfId="37" applyNumberFormat="1" applyFont="1" applyBorder="1" applyProtection="1">
      <protection hidden="1"/>
    </xf>
    <xf numFmtId="175" fontId="11" fillId="0" borderId="18" xfId="40" applyNumberFormat="1" applyFont="1" applyFill="1" applyBorder="1" applyProtection="1">
      <protection hidden="1"/>
    </xf>
    <xf numFmtId="175" fontId="11" fillId="0" borderId="15" xfId="37" applyNumberFormat="1" applyFont="1" applyBorder="1" applyProtection="1">
      <protection hidden="1"/>
    </xf>
    <xf numFmtId="0" fontId="7" fillId="0" borderId="0" xfId="53"/>
    <xf numFmtId="0" fontId="7" fillId="0" borderId="0" xfId="53" applyAlignment="1">
      <alignment vertical="center"/>
    </xf>
    <xf numFmtId="3" fontId="7" fillId="0" borderId="0" xfId="53" applyNumberFormat="1" applyAlignment="1">
      <alignment horizontal="center" vertical="center"/>
    </xf>
    <xf numFmtId="0" fontId="7" fillId="0" borderId="0" xfId="53" applyAlignment="1">
      <alignment horizontal="center" vertical="center"/>
    </xf>
    <xf numFmtId="183" fontId="0" fillId="0" borderId="0" xfId="51" applyNumberFormat="1" applyFont="1"/>
    <xf numFmtId="183" fontId="7" fillId="0" borderId="0" xfId="51" applyNumberFormat="1" applyFont="1"/>
    <xf numFmtId="167" fontId="48" fillId="0" borderId="0" xfId="40" applyNumberFormat="1" applyFont="1" applyProtection="1">
      <protection hidden="1"/>
    </xf>
    <xf numFmtId="37" fontId="49" fillId="0" borderId="0" xfId="37" applyFont="1" applyAlignment="1" applyProtection="1">
      <alignment horizontal="center" vertical="center" wrapText="1"/>
      <protection hidden="1"/>
    </xf>
    <xf numFmtId="37" fontId="11" fillId="0" borderId="0" xfId="37" applyFont="1" applyProtection="1">
      <protection hidden="1"/>
    </xf>
    <xf numFmtId="172" fontId="7" fillId="0" borderId="0" xfId="40" applyNumberFormat="1" applyFont="1" applyProtection="1">
      <protection hidden="1"/>
    </xf>
    <xf numFmtId="164" fontId="7" fillId="0" borderId="0" xfId="33" applyFont="1" applyBorder="1" applyProtection="1">
      <protection hidden="1"/>
    </xf>
    <xf numFmtId="167" fontId="48" fillId="0" borderId="0" xfId="40" applyNumberFormat="1" applyFont="1" applyBorder="1" applyProtection="1">
      <protection hidden="1"/>
    </xf>
    <xf numFmtId="180" fontId="7" fillId="0" borderId="0" xfId="40" applyNumberFormat="1" applyFont="1" applyProtection="1">
      <protection hidden="1"/>
    </xf>
    <xf numFmtId="179" fontId="7" fillId="0" borderId="0" xfId="37" applyNumberFormat="1" applyFont="1" applyProtection="1">
      <protection hidden="1"/>
    </xf>
    <xf numFmtId="178" fontId="7" fillId="0" borderId="0" xfId="37" applyNumberFormat="1" applyFont="1" applyProtection="1">
      <protection hidden="1"/>
    </xf>
    <xf numFmtId="37" fontId="7" fillId="0" borderId="23" xfId="37" applyFont="1" applyBorder="1" applyProtection="1">
      <protection hidden="1"/>
    </xf>
    <xf numFmtId="0" fontId="7" fillId="24" borderId="0" xfId="106" applyFill="1"/>
    <xf numFmtId="183" fontId="0" fillId="24" borderId="0" xfId="51" applyNumberFormat="1" applyFont="1" applyFill="1"/>
    <xf numFmtId="184" fontId="11" fillId="24" borderId="36" xfId="106" applyNumberFormat="1" applyFont="1" applyFill="1" applyBorder="1"/>
    <xf numFmtId="183" fontId="11" fillId="24" borderId="37" xfId="51" applyNumberFormat="1" applyFont="1" applyFill="1" applyBorder="1"/>
    <xf numFmtId="183" fontId="11" fillId="24" borderId="38" xfId="106" applyNumberFormat="1" applyFont="1" applyFill="1" applyBorder="1"/>
    <xf numFmtId="183" fontId="11" fillId="24" borderId="39" xfId="106" applyNumberFormat="1" applyFont="1" applyFill="1" applyBorder="1"/>
    <xf numFmtId="183" fontId="11" fillId="24" borderId="40" xfId="106" applyNumberFormat="1" applyFont="1" applyFill="1" applyBorder="1"/>
    <xf numFmtId="0" fontId="11" fillId="24" borderId="41" xfId="106" applyFont="1" applyFill="1" applyBorder="1"/>
    <xf numFmtId="185" fontId="11" fillId="24" borderId="37" xfId="106" applyNumberFormat="1" applyFont="1" applyFill="1" applyBorder="1"/>
    <xf numFmtId="186" fontId="11" fillId="24" borderId="39" xfId="51" applyNumberFormat="1" applyFont="1" applyFill="1" applyBorder="1"/>
    <xf numFmtId="186" fontId="11" fillId="24" borderId="39" xfId="106" applyNumberFormat="1" applyFont="1" applyFill="1" applyBorder="1"/>
    <xf numFmtId="186" fontId="11" fillId="24" borderId="38" xfId="51" applyNumberFormat="1" applyFont="1" applyFill="1" applyBorder="1"/>
    <xf numFmtId="186" fontId="11" fillId="24" borderId="39" xfId="107" applyNumberFormat="1" applyFont="1" applyFill="1" applyBorder="1"/>
    <xf numFmtId="183" fontId="11" fillId="24" borderId="39" xfId="51" applyNumberFormat="1" applyFont="1" applyFill="1" applyBorder="1"/>
    <xf numFmtId="183" fontId="11" fillId="24" borderId="40" xfId="51" applyNumberFormat="1" applyFont="1" applyFill="1" applyBorder="1"/>
    <xf numFmtId="184" fontId="7" fillId="24" borderId="35" xfId="106" applyNumberFormat="1" applyFill="1" applyBorder="1"/>
    <xf numFmtId="41" fontId="7" fillId="24" borderId="42" xfId="106" applyNumberFormat="1" applyFill="1" applyBorder="1"/>
    <xf numFmtId="183" fontId="0" fillId="24" borderId="43" xfId="51" applyNumberFormat="1" applyFont="1" applyFill="1" applyBorder="1"/>
    <xf numFmtId="183" fontId="0" fillId="24" borderId="0" xfId="51" applyNumberFormat="1" applyFont="1" applyFill="1" applyBorder="1"/>
    <xf numFmtId="183" fontId="0" fillId="24" borderId="44" xfId="51" applyNumberFormat="1" applyFont="1" applyFill="1" applyBorder="1"/>
    <xf numFmtId="0" fontId="11" fillId="24" borderId="34" xfId="106" applyFont="1" applyFill="1" applyBorder="1"/>
    <xf numFmtId="185" fontId="7" fillId="24" borderId="42" xfId="106" applyNumberFormat="1" applyFill="1" applyBorder="1"/>
    <xf numFmtId="186" fontId="0" fillId="24" borderId="0" xfId="51" applyNumberFormat="1" applyFont="1" applyFill="1" applyBorder="1"/>
    <xf numFmtId="186" fontId="0" fillId="24" borderId="43" xfId="51" applyNumberFormat="1" applyFont="1" applyFill="1" applyBorder="1"/>
    <xf numFmtId="186" fontId="0" fillId="24" borderId="0" xfId="107" applyNumberFormat="1" applyFont="1" applyFill="1" applyBorder="1"/>
    <xf numFmtId="184" fontId="7" fillId="24" borderId="45" xfId="106" applyNumberFormat="1" applyFill="1" applyBorder="1"/>
    <xf numFmtId="41" fontId="0" fillId="24" borderId="46" xfId="51" applyNumberFormat="1" applyFont="1" applyFill="1" applyBorder="1"/>
    <xf numFmtId="183" fontId="0" fillId="24" borderId="47" xfId="51" applyNumberFormat="1" applyFont="1" applyFill="1" applyBorder="1"/>
    <xf numFmtId="183" fontId="0" fillId="24" borderId="48" xfId="51" applyNumberFormat="1" applyFont="1" applyFill="1" applyBorder="1"/>
    <xf numFmtId="183" fontId="0" fillId="24" borderId="49" xfId="51" applyNumberFormat="1" applyFont="1" applyFill="1" applyBorder="1"/>
    <xf numFmtId="0" fontId="11" fillId="24" borderId="50" xfId="106" applyFont="1" applyFill="1" applyBorder="1"/>
    <xf numFmtId="185" fontId="7" fillId="24" borderId="46" xfId="106" applyNumberFormat="1" applyFill="1" applyBorder="1"/>
    <xf numFmtId="186" fontId="0" fillId="24" borderId="48" xfId="51" applyNumberFormat="1" applyFont="1" applyFill="1" applyBorder="1"/>
    <xf numFmtId="186" fontId="0" fillId="24" borderId="47" xfId="51" applyNumberFormat="1" applyFont="1" applyFill="1" applyBorder="1"/>
    <xf numFmtId="186" fontId="0" fillId="24" borderId="48" xfId="107" applyNumberFormat="1" applyFont="1" applyFill="1" applyBorder="1"/>
    <xf numFmtId="0" fontId="11" fillId="24" borderId="0" xfId="106" applyFont="1" applyFill="1"/>
    <xf numFmtId="0" fontId="11" fillId="0" borderId="0" xfId="106" applyFont="1"/>
    <xf numFmtId="0" fontId="32" fillId="24" borderId="0" xfId="106" applyFont="1" applyFill="1" applyAlignment="1">
      <alignment horizontal="center" vertical="center" wrapText="1"/>
    </xf>
    <xf numFmtId="0" fontId="11" fillId="24" borderId="33" xfId="106" applyFont="1" applyFill="1" applyBorder="1" applyAlignment="1">
      <alignment horizontal="center" vertical="center" wrapText="1"/>
    </xf>
    <xf numFmtId="0" fontId="11" fillId="24" borderId="51" xfId="106" applyFont="1" applyFill="1" applyBorder="1" applyAlignment="1">
      <alignment horizontal="center" vertical="center" wrapText="1"/>
    </xf>
    <xf numFmtId="0" fontId="11" fillId="24" borderId="52" xfId="106" applyFont="1" applyFill="1" applyBorder="1" applyAlignment="1">
      <alignment horizontal="center" vertical="center" wrapText="1"/>
    </xf>
    <xf numFmtId="0" fontId="11" fillId="24" borderId="32" xfId="106" applyFont="1" applyFill="1" applyBorder="1" applyAlignment="1">
      <alignment horizontal="center" vertical="center" wrapText="1"/>
    </xf>
    <xf numFmtId="0" fontId="11" fillId="24" borderId="53" xfId="106" applyFont="1" applyFill="1" applyBorder="1" applyAlignment="1">
      <alignment horizontal="center" vertical="center" wrapText="1"/>
    </xf>
    <xf numFmtId="0" fontId="11" fillId="24" borderId="31" xfId="106" applyFont="1" applyFill="1" applyBorder="1" applyAlignment="1">
      <alignment horizontal="center" vertical="center"/>
    </xf>
    <xf numFmtId="0" fontId="11" fillId="24" borderId="0" xfId="106" applyFont="1" applyFill="1" applyAlignment="1">
      <alignment horizontal="center" vertical="center" wrapText="1"/>
    </xf>
    <xf numFmtId="0" fontId="7" fillId="0" borderId="55" xfId="53" applyBorder="1" applyAlignment="1">
      <alignment vertical="center" wrapText="1"/>
    </xf>
    <xf numFmtId="43" fontId="7" fillId="0" borderId="0" xfId="53" applyNumberFormat="1"/>
    <xf numFmtId="43" fontId="0" fillId="0" borderId="0" xfId="51" applyFont="1"/>
    <xf numFmtId="0" fontId="11" fillId="0" borderId="55" xfId="53" applyFont="1" applyBorder="1" applyAlignment="1">
      <alignment horizontal="center" vertical="center" wrapText="1"/>
    </xf>
    <xf numFmtId="0" fontId="11" fillId="0" borderId="55" xfId="53" applyFont="1" applyBorder="1" applyAlignment="1">
      <alignment horizontal="center" vertical="center"/>
    </xf>
    <xf numFmtId="187" fontId="7" fillId="24" borderId="48" xfId="106" applyNumberFormat="1" applyFill="1" applyBorder="1"/>
    <xf numFmtId="187" fontId="7" fillId="24" borderId="0" xfId="106" applyNumberFormat="1" applyFill="1"/>
    <xf numFmtId="175" fontId="39" fillId="0" borderId="0" xfId="0" applyNumberFormat="1" applyFont="1" applyAlignment="1" applyProtection="1">
      <alignment horizontal="center" vertical="center" wrapText="1"/>
      <protection hidden="1"/>
    </xf>
    <xf numFmtId="175" fontId="7" fillId="0" borderId="56" xfId="33" applyNumberFormat="1" applyFont="1" applyFill="1" applyBorder="1" applyProtection="1">
      <protection hidden="1"/>
    </xf>
    <xf numFmtId="175" fontId="11" fillId="0" borderId="56" xfId="40" applyNumberFormat="1" applyFont="1" applyFill="1" applyBorder="1" applyProtection="1">
      <protection hidden="1"/>
    </xf>
    <xf numFmtId="10" fontId="7" fillId="0" borderId="0" xfId="40" applyNumberFormat="1" applyFont="1" applyAlignment="1" applyProtection="1">
      <alignment horizontal="center"/>
      <protection hidden="1"/>
    </xf>
    <xf numFmtId="188" fontId="0" fillId="0" borderId="0" xfId="51" applyNumberFormat="1" applyFont="1" applyFill="1" applyBorder="1"/>
    <xf numFmtId="0" fontId="11" fillId="0" borderId="50" xfId="106" applyFont="1" applyBorder="1"/>
    <xf numFmtId="0" fontId="11" fillId="0" borderId="34" xfId="106" applyFont="1" applyBorder="1"/>
    <xf numFmtId="189" fontId="7" fillId="0" borderId="0" xfId="53" applyNumberFormat="1"/>
    <xf numFmtId="189" fontId="7" fillId="0" borderId="0" xfId="51" applyNumberFormat="1" applyFont="1"/>
    <xf numFmtId="189" fontId="0" fillId="0" borderId="0" xfId="51" applyNumberFormat="1" applyFont="1"/>
    <xf numFmtId="164" fontId="7" fillId="0" borderId="0" xfId="33" applyFont="1"/>
    <xf numFmtId="164" fontId="0" fillId="0" borderId="0" xfId="33" applyFont="1"/>
    <xf numFmtId="183" fontId="0" fillId="0" borderId="0" xfId="51" applyNumberFormat="1" applyFont="1" applyFill="1" applyBorder="1"/>
    <xf numFmtId="188" fontId="7" fillId="0" borderId="55" xfId="33" applyNumberFormat="1" applyFont="1" applyFill="1" applyBorder="1" applyAlignment="1">
      <alignment vertical="center" wrapText="1"/>
    </xf>
    <xf numFmtId="188" fontId="7" fillId="0" borderId="55" xfId="53" applyNumberFormat="1" applyBorder="1" applyAlignment="1">
      <alignment horizontal="center" vertical="center" wrapText="1"/>
    </xf>
    <xf numFmtId="188" fontId="11" fillId="0" borderId="55" xfId="53" applyNumberFormat="1" applyFont="1" applyBorder="1" applyAlignment="1">
      <alignment horizontal="center" vertical="center"/>
    </xf>
    <xf numFmtId="188" fontId="11" fillId="0" borderId="55" xfId="53" applyNumberFormat="1" applyFont="1" applyBorder="1" applyAlignment="1">
      <alignment vertical="center"/>
    </xf>
    <xf numFmtId="174" fontId="39" fillId="0" borderId="10" xfId="0" applyNumberFormat="1" applyFont="1" applyBorder="1" applyAlignment="1" applyProtection="1">
      <alignment horizontal="center" vertical="center" wrapText="1"/>
      <protection hidden="1"/>
    </xf>
    <xf numFmtId="37" fontId="50" fillId="0" borderId="0" xfId="37" applyFont="1" applyAlignment="1" applyProtection="1">
      <alignment horizontal="center" vertical="center"/>
      <protection hidden="1"/>
    </xf>
    <xf numFmtId="37" fontId="7" fillId="0" borderId="0" xfId="37" applyFont="1" applyAlignment="1" applyProtection="1">
      <alignment horizontal="center" vertical="center" wrapText="1"/>
      <protection hidden="1"/>
    </xf>
    <xf numFmtId="174" fontId="7" fillId="0" borderId="0" xfId="37" applyNumberFormat="1" applyFont="1" applyAlignment="1" applyProtection="1">
      <alignment horizontal="center" vertical="center" wrapText="1"/>
      <protection hidden="1"/>
    </xf>
    <xf numFmtId="174" fontId="55" fillId="0" borderId="0" xfId="0" applyNumberFormat="1" applyFont="1" applyAlignment="1" applyProtection="1">
      <alignment horizontal="center" vertical="center" wrapText="1"/>
      <protection hidden="1"/>
    </xf>
    <xf numFmtId="165" fontId="31" fillId="0" borderId="20" xfId="33" applyNumberFormat="1" applyFont="1" applyBorder="1" applyProtection="1">
      <protection hidden="1"/>
    </xf>
    <xf numFmtId="171" fontId="31" fillId="0" borderId="20" xfId="33" applyNumberFormat="1" applyFont="1" applyBorder="1" applyProtection="1">
      <protection hidden="1"/>
    </xf>
    <xf numFmtId="190" fontId="31" fillId="0" borderId="20" xfId="33" applyNumberFormat="1" applyFont="1" applyBorder="1" applyProtection="1">
      <protection hidden="1"/>
    </xf>
    <xf numFmtId="173" fontId="31" fillId="0" borderId="20" xfId="33" applyNumberFormat="1" applyFont="1" applyBorder="1" applyProtection="1">
      <protection hidden="1"/>
    </xf>
    <xf numFmtId="174" fontId="7" fillId="0" borderId="21" xfId="40" applyNumberFormat="1" applyFont="1" applyFill="1" applyBorder="1" applyProtection="1">
      <protection hidden="1"/>
    </xf>
    <xf numFmtId="165" fontId="31" fillId="0" borderId="22" xfId="33" applyNumberFormat="1" applyFont="1" applyBorder="1" applyProtection="1">
      <protection hidden="1"/>
    </xf>
    <xf numFmtId="171" fontId="31" fillId="0" borderId="22" xfId="33" applyNumberFormat="1" applyFont="1" applyBorder="1" applyProtection="1">
      <protection hidden="1"/>
    </xf>
    <xf numFmtId="190" fontId="31" fillId="0" borderId="22" xfId="33" applyNumberFormat="1" applyFont="1" applyBorder="1" applyProtection="1">
      <protection hidden="1"/>
    </xf>
    <xf numFmtId="173" fontId="31" fillId="0" borderId="22" xfId="33" applyNumberFormat="1" applyFont="1" applyBorder="1" applyProtection="1">
      <protection hidden="1"/>
    </xf>
    <xf numFmtId="174" fontId="7" fillId="0" borderId="19" xfId="40" applyNumberFormat="1" applyFont="1" applyFill="1" applyBorder="1" applyProtection="1">
      <protection hidden="1"/>
    </xf>
    <xf numFmtId="165" fontId="11" fillId="0" borderId="13" xfId="33" applyNumberFormat="1" applyFont="1" applyFill="1" applyBorder="1" applyAlignment="1" applyProtection="1">
      <protection hidden="1"/>
    </xf>
    <xf numFmtId="165" fontId="11" fillId="0" borderId="14" xfId="33" applyNumberFormat="1" applyFont="1" applyFill="1" applyBorder="1" applyAlignment="1" applyProtection="1">
      <protection hidden="1"/>
    </xf>
    <xf numFmtId="171" fontId="11" fillId="0" borderId="14" xfId="33" applyNumberFormat="1" applyFont="1" applyFill="1" applyBorder="1" applyAlignment="1" applyProtection="1">
      <protection hidden="1"/>
    </xf>
    <xf numFmtId="173" fontId="11" fillId="0" borderId="14" xfId="33" applyNumberFormat="1" applyFont="1" applyFill="1" applyBorder="1" applyAlignment="1" applyProtection="1">
      <protection hidden="1"/>
    </xf>
    <xf numFmtId="165" fontId="11" fillId="0" borderId="15" xfId="33" applyNumberFormat="1" applyFont="1" applyFill="1" applyBorder="1" applyAlignment="1" applyProtection="1">
      <protection hidden="1"/>
    </xf>
    <xf numFmtId="174" fontId="11" fillId="0" borderId="15" xfId="40" applyNumberFormat="1" applyFont="1" applyFill="1" applyBorder="1" applyProtection="1">
      <protection hidden="1"/>
    </xf>
    <xf numFmtId="174" fontId="32" fillId="0" borderId="0" xfId="39" applyNumberFormat="1" applyFont="1" applyFill="1" applyBorder="1" applyAlignment="1" applyProtection="1">
      <alignment horizontal="center" vertical="center" wrapText="1"/>
      <protection hidden="1"/>
    </xf>
    <xf numFmtId="49" fontId="42" fillId="0" borderId="10" xfId="54" applyNumberFormat="1" applyFont="1" applyFill="1" applyBorder="1" applyAlignment="1" applyProtection="1">
      <alignment horizontal="center" vertical="center" wrapText="1"/>
      <protection hidden="1"/>
    </xf>
    <xf numFmtId="165" fontId="11" fillId="0" borderId="15" xfId="33" applyNumberFormat="1" applyFont="1" applyFill="1" applyBorder="1" applyProtection="1">
      <protection hidden="1"/>
    </xf>
    <xf numFmtId="0" fontId="31" fillId="0" borderId="0" xfId="118" applyFont="1"/>
    <xf numFmtId="0" fontId="33" fillId="0" borderId="60" xfId="118" applyFont="1" applyBorder="1"/>
    <xf numFmtId="183" fontId="33" fillId="0" borderId="61" xfId="119" applyNumberFormat="1" applyFont="1" applyBorder="1" applyAlignment="1">
      <alignment horizontal="center" vertical="center"/>
    </xf>
    <xf numFmtId="0" fontId="33" fillId="0" borderId="61" xfId="118" applyFont="1" applyBorder="1" applyAlignment="1">
      <alignment horizontal="center"/>
    </xf>
    <xf numFmtId="0" fontId="31" fillId="0" borderId="63" xfId="118" applyFont="1" applyBorder="1"/>
    <xf numFmtId="183" fontId="31" fillId="0" borderId="22" xfId="119" applyNumberFormat="1" applyFont="1" applyBorder="1" applyAlignment="1">
      <alignment horizontal="center"/>
    </xf>
    <xf numFmtId="191" fontId="31" fillId="0" borderId="22" xfId="118" applyNumberFormat="1" applyFont="1" applyBorder="1" applyAlignment="1">
      <alignment horizontal="center"/>
    </xf>
    <xf numFmtId="191" fontId="31" fillId="0" borderId="22" xfId="118" applyNumberFormat="1" applyFont="1" applyBorder="1"/>
    <xf numFmtId="0" fontId="31" fillId="24" borderId="63" xfId="118" applyFont="1" applyFill="1" applyBorder="1"/>
    <xf numFmtId="0" fontId="7" fillId="0" borderId="63" xfId="118" applyFont="1" applyBorder="1"/>
    <xf numFmtId="0" fontId="33" fillId="0" borderId="65" xfId="118" applyFont="1" applyBorder="1"/>
    <xf numFmtId="183" fontId="33" fillId="0" borderId="66" xfId="119" applyNumberFormat="1" applyFont="1" applyBorder="1"/>
    <xf numFmtId="191" fontId="31" fillId="0" borderId="66" xfId="118" applyNumberFormat="1" applyFont="1" applyBorder="1"/>
    <xf numFmtId="183" fontId="31" fillId="0" borderId="0" xfId="119" applyNumberFormat="1" applyFont="1"/>
    <xf numFmtId="0" fontId="11" fillId="0" borderId="55" xfId="53" applyFont="1" applyBorder="1" applyAlignment="1">
      <alignment vertical="center" wrapText="1"/>
    </xf>
    <xf numFmtId="188" fontId="11" fillId="0" borderId="55" xfId="33" applyNumberFormat="1" applyFont="1" applyFill="1" applyBorder="1" applyAlignment="1">
      <alignment vertical="center" wrapText="1"/>
    </xf>
    <xf numFmtId="188" fontId="11" fillId="0" borderId="55" xfId="53" applyNumberFormat="1" applyFont="1" applyBorder="1" applyAlignment="1">
      <alignment horizontal="center" vertical="center" wrapText="1"/>
    </xf>
    <xf numFmtId="188" fontId="11" fillId="0" borderId="55" xfId="33" applyNumberFormat="1" applyFont="1" applyFill="1" applyBorder="1" applyAlignment="1">
      <alignment horizontal="center" vertical="center" wrapText="1"/>
    </xf>
    <xf numFmtId="37" fontId="11" fillId="0" borderId="20" xfId="37" applyFont="1" applyBorder="1" applyAlignment="1" applyProtection="1">
      <alignment horizontal="right"/>
      <protection hidden="1"/>
    </xf>
    <xf numFmtId="37" fontId="11" fillId="0" borderId="22" xfId="37" applyFont="1" applyBorder="1" applyAlignment="1" applyProtection="1">
      <alignment horizontal="right"/>
      <protection hidden="1"/>
    </xf>
    <xf numFmtId="37" fontId="11" fillId="0" borderId="25" xfId="37" applyFont="1" applyBorder="1" applyAlignment="1" applyProtection="1">
      <alignment horizontal="right"/>
      <protection hidden="1"/>
    </xf>
    <xf numFmtId="165" fontId="11" fillId="0" borderId="21" xfId="33" applyNumberFormat="1" applyFont="1" applyFill="1" applyBorder="1" applyProtection="1">
      <protection hidden="1"/>
    </xf>
    <xf numFmtId="37" fontId="11" fillId="0" borderId="26" xfId="40" applyNumberFormat="1" applyFont="1" applyFill="1" applyBorder="1" applyProtection="1">
      <protection hidden="1"/>
    </xf>
    <xf numFmtId="165" fontId="11" fillId="0" borderId="19" xfId="33" applyNumberFormat="1" applyFont="1" applyFill="1" applyBorder="1" applyProtection="1">
      <protection hidden="1"/>
    </xf>
    <xf numFmtId="0" fontId="11" fillId="0" borderId="0" xfId="53" applyFont="1" applyAlignment="1">
      <alignment horizontal="center" vertical="center"/>
    </xf>
    <xf numFmtId="189" fontId="7" fillId="0" borderId="55" xfId="53" applyNumberFormat="1" applyBorder="1" applyAlignment="1">
      <alignment horizontal="center" vertical="center" wrapText="1"/>
    </xf>
    <xf numFmtId="183" fontId="11" fillId="0" borderId="68" xfId="51" applyNumberFormat="1" applyFont="1" applyFill="1" applyBorder="1"/>
    <xf numFmtId="188" fontId="11" fillId="0" borderId="69" xfId="51" applyNumberFormat="1" applyFont="1" applyFill="1" applyBorder="1"/>
    <xf numFmtId="183" fontId="11" fillId="0" borderId="70" xfId="51" applyNumberFormat="1" applyFont="1" applyFill="1" applyBorder="1"/>
    <xf numFmtId="183" fontId="32" fillId="24" borderId="0" xfId="51" applyNumberFormat="1" applyFont="1" applyFill="1" applyAlignment="1">
      <alignment horizontal="center" vertical="center"/>
    </xf>
    <xf numFmtId="0" fontId="37" fillId="24" borderId="0" xfId="106" applyFont="1" applyFill="1"/>
    <xf numFmtId="9" fontId="32" fillId="24" borderId="0" xfId="107" applyFont="1" applyFill="1" applyAlignment="1">
      <alignment horizontal="center" vertical="center"/>
    </xf>
    <xf numFmtId="0" fontId="32" fillId="24" borderId="0" xfId="106" applyFont="1" applyFill="1"/>
    <xf numFmtId="165" fontId="11" fillId="0" borderId="72" xfId="33" applyNumberFormat="1" applyFont="1" applyFill="1" applyBorder="1"/>
    <xf numFmtId="188" fontId="11" fillId="0" borderId="71" xfId="51" applyNumberFormat="1" applyFont="1" applyFill="1" applyBorder="1"/>
    <xf numFmtId="183" fontId="33" fillId="0" borderId="62" xfId="119" applyNumberFormat="1" applyFont="1" applyBorder="1" applyAlignment="1">
      <alignment horizontal="center"/>
    </xf>
    <xf numFmtId="183" fontId="31" fillId="0" borderId="64" xfId="119" applyNumberFormat="1" applyFont="1" applyBorder="1" applyAlignment="1"/>
    <xf numFmtId="183" fontId="31" fillId="0" borderId="67" xfId="119" applyNumberFormat="1" applyFont="1" applyBorder="1"/>
    <xf numFmtId="192" fontId="7" fillId="0" borderId="0" xfId="37" applyNumberFormat="1" applyFont="1" applyProtection="1">
      <protection hidden="1"/>
    </xf>
    <xf numFmtId="193" fontId="7" fillId="0" borderId="0" xfId="37" applyNumberFormat="1" applyFont="1" applyProtection="1">
      <protection hidden="1"/>
    </xf>
    <xf numFmtId="193" fontId="32" fillId="0" borderId="0" xfId="37" applyNumberFormat="1" applyFont="1" applyProtection="1">
      <protection hidden="1"/>
    </xf>
    <xf numFmtId="193" fontId="37" fillId="0" borderId="0" xfId="37" applyNumberFormat="1" applyFont="1" applyProtection="1">
      <protection hidden="1"/>
    </xf>
    <xf numFmtId="37" fontId="11" fillId="0" borderId="30" xfId="37" applyFont="1" applyBorder="1" applyAlignment="1" applyProtection="1">
      <alignment horizontal="center" vertical="center" wrapText="1"/>
      <protection hidden="1"/>
    </xf>
    <xf numFmtId="37" fontId="11" fillId="0" borderId="73" xfId="37" applyFont="1" applyBorder="1" applyAlignment="1" applyProtection="1">
      <alignment horizontal="center" vertical="center" wrapText="1"/>
      <protection hidden="1"/>
    </xf>
    <xf numFmtId="192" fontId="7" fillId="0" borderId="74" xfId="37" applyNumberFormat="1" applyFont="1" applyBorder="1" applyAlignment="1" applyProtection="1">
      <protection hidden="1"/>
    </xf>
    <xf numFmtId="192" fontId="7" fillId="0" borderId="23" xfId="37" applyNumberFormat="1" applyFont="1" applyBorder="1" applyAlignment="1" applyProtection="1">
      <protection hidden="1"/>
    </xf>
    <xf numFmtId="37" fontId="11" fillId="24" borderId="10" xfId="37" applyFont="1" applyFill="1" applyBorder="1" applyAlignment="1" applyProtection="1">
      <alignment horizontal="center" vertical="center" wrapText="1"/>
      <protection hidden="1"/>
    </xf>
    <xf numFmtId="9" fontId="11" fillId="24" borderId="10" xfId="40" applyFont="1" applyFill="1" applyBorder="1" applyAlignment="1" applyProtection="1">
      <alignment horizontal="center" vertical="center" wrapText="1"/>
      <protection hidden="1"/>
    </xf>
    <xf numFmtId="174" fontId="11" fillId="24" borderId="10" xfId="40" applyNumberFormat="1" applyFont="1" applyFill="1" applyBorder="1" applyAlignment="1" applyProtection="1">
      <alignment horizontal="center" vertical="center" wrapText="1"/>
      <protection hidden="1"/>
    </xf>
    <xf numFmtId="171" fontId="11" fillId="0" borderId="75" xfId="33" applyNumberFormat="1" applyFont="1" applyBorder="1" applyAlignment="1" applyProtection="1">
      <alignment horizontal="left"/>
      <protection hidden="1"/>
    </xf>
    <xf numFmtId="188" fontId="0" fillId="0" borderId="54" xfId="51" applyNumberFormat="1" applyFont="1" applyFill="1" applyBorder="1"/>
    <xf numFmtId="188" fontId="11" fillId="0" borderId="76" xfId="51" applyNumberFormat="1" applyFont="1" applyFill="1" applyBorder="1"/>
    <xf numFmtId="188" fontId="0" fillId="0" borderId="43" xfId="51" applyNumberFormat="1" applyFont="1" applyFill="1" applyBorder="1"/>
    <xf numFmtId="188" fontId="0" fillId="0" borderId="78" xfId="51" applyNumberFormat="1" applyFont="1" applyFill="1" applyBorder="1"/>
    <xf numFmtId="165" fontId="11" fillId="0" borderId="79" xfId="33" applyNumberFormat="1" applyFont="1" applyFill="1" applyBorder="1"/>
    <xf numFmtId="188" fontId="0" fillId="0" borderId="43" xfId="33" applyNumberFormat="1" applyFont="1" applyFill="1" applyBorder="1"/>
    <xf numFmtId="188" fontId="0" fillId="0" borderId="78" xfId="33" applyNumberFormat="1" applyFont="1" applyFill="1" applyBorder="1"/>
    <xf numFmtId="0" fontId="54" fillId="26" borderId="80" xfId="0" applyFont="1" applyFill="1" applyBorder="1" applyAlignment="1">
      <alignment horizontal="center" vertical="center"/>
    </xf>
    <xf numFmtId="0" fontId="54" fillId="26" borderId="85" xfId="0" applyFont="1" applyFill="1" applyBorder="1" applyAlignment="1">
      <alignment horizontal="center" vertical="center"/>
    </xf>
    <xf numFmtId="0" fontId="54" fillId="26" borderId="86" xfId="0" applyFont="1" applyFill="1" applyBorder="1" applyAlignment="1">
      <alignment horizontal="center" vertical="center"/>
    </xf>
    <xf numFmtId="0" fontId="54" fillId="26" borderId="87" xfId="0" applyFont="1" applyFill="1" applyBorder="1" applyAlignment="1">
      <alignment horizontal="center" vertical="center" wrapText="1"/>
    </xf>
    <xf numFmtId="0" fontId="54" fillId="26" borderId="88" xfId="0" applyFont="1" applyFill="1" applyBorder="1" applyAlignment="1">
      <alignment horizontal="center" vertical="center"/>
    </xf>
    <xf numFmtId="0" fontId="54" fillId="26" borderId="88" xfId="0" applyFont="1" applyFill="1" applyBorder="1" applyAlignment="1">
      <alignment horizontal="center" vertical="center" wrapText="1"/>
    </xf>
    <xf numFmtId="43" fontId="11" fillId="0" borderId="89" xfId="51" applyFont="1" applyFill="1" applyBorder="1" applyAlignment="1">
      <alignment horizontal="center" vertical="center"/>
    </xf>
    <xf numFmtId="190" fontId="7" fillId="0" borderId="44" xfId="51" applyNumberFormat="1" applyFont="1" applyFill="1" applyBorder="1"/>
    <xf numFmtId="190" fontId="11" fillId="0" borderId="77" xfId="51" applyNumberFormat="1" applyFont="1" applyFill="1" applyBorder="1"/>
    <xf numFmtId="188" fontId="7" fillId="0" borderId="0" xfId="53" applyNumberFormat="1"/>
    <xf numFmtId="0" fontId="11" fillId="0" borderId="0" xfId="53" applyFont="1" applyAlignment="1">
      <alignment horizontal="center" vertical="center"/>
    </xf>
    <xf numFmtId="183" fontId="11" fillId="0" borderId="0" xfId="51" applyNumberFormat="1" applyFont="1" applyAlignment="1">
      <alignment horizontal="center"/>
    </xf>
    <xf numFmtId="0" fontId="54" fillId="26" borderId="81" xfId="0" applyFont="1" applyFill="1" applyBorder="1" applyAlignment="1">
      <alignment horizontal="center" vertical="center" wrapText="1"/>
    </xf>
    <xf numFmtId="0" fontId="54" fillId="26" borderId="82" xfId="0" applyFont="1" applyFill="1" applyBorder="1" applyAlignment="1">
      <alignment horizontal="center" vertical="center" wrapText="1"/>
    </xf>
    <xf numFmtId="183" fontId="54" fillId="26" borderId="81" xfId="33" applyNumberFormat="1" applyFont="1" applyFill="1" applyBorder="1" applyAlignment="1">
      <alignment horizontal="center" vertical="center" wrapText="1"/>
    </xf>
    <xf numFmtId="183" fontId="54" fillId="26" borderId="82" xfId="33" applyNumberFormat="1" applyFont="1" applyFill="1" applyBorder="1" applyAlignment="1">
      <alignment horizontal="center" vertical="center" wrapText="1"/>
    </xf>
    <xf numFmtId="183" fontId="54" fillId="26" borderId="83" xfId="33" applyNumberFormat="1" applyFont="1" applyFill="1" applyBorder="1" applyAlignment="1">
      <alignment horizontal="center" vertical="center" wrapText="1"/>
    </xf>
    <xf numFmtId="43" fontId="11" fillId="0" borderId="83" xfId="51" applyFont="1" applyFill="1" applyBorder="1" applyAlignment="1">
      <alignment horizontal="center" vertical="center"/>
    </xf>
    <xf numFmtId="43" fontId="11" fillId="0" borderId="84" xfId="51" applyFont="1" applyFill="1" applyBorder="1" applyAlignment="1">
      <alignment horizontal="center" vertical="center"/>
    </xf>
    <xf numFmtId="37" fontId="7" fillId="0" borderId="0" xfId="37" applyFont="1" applyAlignment="1" applyProtection="1">
      <alignment horizontal="left" vertical="top" wrapText="1"/>
      <protection hidden="1"/>
    </xf>
    <xf numFmtId="0" fontId="40" fillId="0" borderId="27" xfId="0" applyFont="1" applyBorder="1" applyAlignment="1">
      <alignment horizontal="center"/>
    </xf>
    <xf numFmtId="37" fontId="40" fillId="0" borderId="27" xfId="37" applyFont="1" applyBorder="1" applyAlignment="1" applyProtection="1">
      <alignment horizontal="center"/>
      <protection hidden="1"/>
    </xf>
    <xf numFmtId="49" fontId="42" fillId="0" borderId="29" xfId="54" applyNumberFormat="1" applyFont="1" applyFill="1" applyBorder="1" applyAlignment="1" applyProtection="1">
      <alignment horizontal="center" vertical="center" wrapText="1"/>
      <protection hidden="1"/>
    </xf>
    <xf numFmtId="49" fontId="42" fillId="0" borderId="30" xfId="54" applyNumberFormat="1" applyFont="1" applyFill="1" applyBorder="1" applyAlignment="1" applyProtection="1">
      <alignment horizontal="center" vertical="center" wrapText="1"/>
      <protection hidden="1"/>
    </xf>
    <xf numFmtId="49" fontId="42" fillId="0" borderId="58" xfId="54" applyNumberFormat="1" applyFont="1" applyFill="1" applyBorder="1" applyAlignment="1" applyProtection="1">
      <alignment horizontal="center" vertical="center" wrapText="1"/>
      <protection hidden="1"/>
    </xf>
    <xf numFmtId="49" fontId="42" fillId="0" borderId="57" xfId="54" applyNumberFormat="1" applyFont="1" applyFill="1" applyBorder="1" applyAlignment="1" applyProtection="1">
      <alignment horizontal="center" vertical="center" wrapText="1"/>
      <protection hidden="1"/>
    </xf>
    <xf numFmtId="49" fontId="42" fillId="0" borderId="59" xfId="54" applyNumberFormat="1" applyFont="1" applyFill="1" applyBorder="1" applyAlignment="1" applyProtection="1">
      <alignment horizontal="center" vertical="center" wrapText="1"/>
      <protection hidden="1"/>
    </xf>
    <xf numFmtId="37" fontId="44" fillId="0" borderId="0" xfId="37" applyFont="1" applyAlignment="1" applyProtection="1">
      <alignment horizontal="center" vertical="center" wrapText="1"/>
      <protection hidden="1"/>
    </xf>
    <xf numFmtId="37" fontId="7" fillId="0" borderId="0" xfId="37" applyFont="1" applyAlignment="1" applyProtection="1">
      <alignment horizontal="center" vertical="center" wrapText="1"/>
      <protection hidden="1"/>
    </xf>
    <xf numFmtId="37" fontId="11" fillId="0" borderId="29" xfId="37" applyFont="1" applyBorder="1" applyAlignment="1" applyProtection="1">
      <alignment horizontal="center" vertical="center" wrapText="1"/>
      <protection hidden="1"/>
    </xf>
    <xf numFmtId="37" fontId="11" fillId="0" borderId="30" xfId="37" applyFont="1" applyBorder="1" applyAlignment="1" applyProtection="1">
      <alignment horizontal="center" vertical="center" wrapText="1"/>
      <protection hidden="1"/>
    </xf>
    <xf numFmtId="37" fontId="41" fillId="0" borderId="0" xfId="37" applyFont="1" applyAlignment="1" applyProtection="1">
      <alignment horizontal="center" wrapText="1"/>
      <protection hidden="1"/>
    </xf>
    <xf numFmtId="37" fontId="43" fillId="0" borderId="0" xfId="37" applyFont="1" applyAlignment="1" applyProtection="1">
      <alignment horizontal="center" wrapText="1"/>
      <protection hidden="1"/>
    </xf>
    <xf numFmtId="37" fontId="40" fillId="0" borderId="27" xfId="37" applyFont="1" applyBorder="1" applyAlignment="1" applyProtection="1">
      <alignment horizontal="center" vertical="center"/>
      <protection hidden="1"/>
    </xf>
    <xf numFmtId="37" fontId="7" fillId="0" borderId="27" xfId="37" applyFont="1" applyBorder="1" applyAlignment="1" applyProtection="1">
      <alignment horizontal="center" vertical="center"/>
      <protection hidden="1"/>
    </xf>
    <xf numFmtId="37" fontId="40" fillId="0" borderId="27" xfId="37" applyFont="1" applyBorder="1" applyAlignment="1" applyProtection="1">
      <alignment horizontal="center" vertical="center" wrapText="1"/>
      <protection hidden="1"/>
    </xf>
    <xf numFmtId="0" fontId="40" fillId="0" borderId="27" xfId="0" applyFont="1" applyBorder="1" applyAlignment="1">
      <alignment horizontal="center" vertical="center"/>
    </xf>
    <xf numFmtId="0" fontId="11" fillId="24" borderId="54" xfId="106" applyFont="1" applyFill="1" applyBorder="1" applyAlignment="1">
      <alignment horizontal="center" vertical="center"/>
    </xf>
    <xf numFmtId="0" fontId="7" fillId="24" borderId="0" xfId="106" applyFill="1" applyAlignment="1">
      <alignment horizontal="center" vertical="center"/>
    </xf>
    <xf numFmtId="0" fontId="56" fillId="25" borderId="0" xfId="112" applyNumberFormat="1" applyFont="1" applyBorder="1" applyAlignment="1">
      <alignment horizontal="center"/>
    </xf>
    <xf numFmtId="49" fontId="57" fillId="0" borderId="27" xfId="118" applyNumberFormat="1" applyFont="1" applyBorder="1" applyAlignment="1">
      <alignment horizontal="center"/>
    </xf>
  </cellXfs>
  <cellStyles count="121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Buena 3" xfId="112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Millares 4" xfId="110"/>
    <cellStyle name="Millares 5" xfId="114"/>
    <cellStyle name="Millares 5 2" xfId="119"/>
    <cellStyle name="Millares 6" xfId="116"/>
    <cellStyle name="Moneda 2" xfId="111"/>
    <cellStyle name="Neutral" xfId="34" builtinId="28" customBuiltin="1"/>
    <cellStyle name="Neutral 2" xfId="91"/>
    <cellStyle name="Normal" xfId="0" builtinId="0"/>
    <cellStyle name="Normal 2" xfId="35"/>
    <cellStyle name="Normal 2 2" xfId="103"/>
    <cellStyle name="Normal 2 3" xfId="106"/>
    <cellStyle name="Normal 2 4" xfId="108"/>
    <cellStyle name="Normal 2 5" xfId="117"/>
    <cellStyle name="Normal 3" xfId="36"/>
    <cellStyle name="Normal 4" xfId="53"/>
    <cellStyle name="Normal 5" xfId="101"/>
    <cellStyle name="Normal 6" xfId="104"/>
    <cellStyle name="Normal 7" xfId="109"/>
    <cellStyle name="Normal 8" xfId="113"/>
    <cellStyle name="Normal 8 2" xfId="118"/>
    <cellStyle name="Normal 9" xfId="115"/>
    <cellStyle name="Normal_FGPAGO95" xfId="37"/>
    <cellStyle name="Notas" xfId="38" builtinId="10" customBuiltin="1"/>
    <cellStyle name="Notas 2" xfId="92"/>
    <cellStyle name="PESOS" xfId="39"/>
    <cellStyle name="PESOS 2" xfId="120"/>
    <cellStyle name="Porcentaje" xfId="40" builtinId="5"/>
    <cellStyle name="Porcentaje 2" xfId="107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2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Invisible" pivot="0" table="0" count="0"/>
  </tableStyles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PREDIAL2018INFORMACIONCOMPLETARORDEN%20NL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Normal="100" zoomScaleSheetLayoutView="100" workbookViewId="0">
      <selection activeCell="B6" sqref="B6"/>
    </sheetView>
  </sheetViews>
  <sheetFormatPr baseColWidth="10" defaultColWidth="11.42578125" defaultRowHeight="12.75"/>
  <cols>
    <col min="1" max="1" width="59" style="94" customWidth="1"/>
    <col min="2" max="6" width="17.28515625" style="94" customWidth="1"/>
    <col min="7" max="7" width="18.28515625" style="94" customWidth="1"/>
    <col min="8" max="8" width="17.140625" style="94" customWidth="1"/>
    <col min="9" max="16384" width="11.42578125" style="94"/>
  </cols>
  <sheetData>
    <row r="1" spans="1:7" ht="18.75" customHeight="1">
      <c r="A1" s="270" t="s">
        <v>304</v>
      </c>
      <c r="B1" s="270"/>
      <c r="C1" s="270"/>
      <c r="D1" s="270"/>
      <c r="E1" s="270"/>
      <c r="F1" s="227"/>
    </row>
    <row r="3" spans="1:7" ht="25.5">
      <c r="A3" s="158" t="s">
        <v>84</v>
      </c>
      <c r="B3" s="158" t="s">
        <v>315</v>
      </c>
      <c r="C3" s="158" t="s">
        <v>36</v>
      </c>
      <c r="D3" s="158" t="s">
        <v>85</v>
      </c>
      <c r="E3" s="158" t="s">
        <v>95</v>
      </c>
      <c r="F3" s="158" t="s">
        <v>308</v>
      </c>
      <c r="G3" s="158" t="s">
        <v>231</v>
      </c>
    </row>
    <row r="4" spans="1:7" ht="25.5" customHeight="1">
      <c r="A4" s="155" t="s">
        <v>86</v>
      </c>
      <c r="B4" s="175">
        <v>44015370352</v>
      </c>
      <c r="C4" s="175">
        <f t="shared" ref="C4:C9" si="0">SUM(B4:B4)</f>
        <v>44015370352</v>
      </c>
      <c r="D4" s="176">
        <v>20</v>
      </c>
      <c r="E4" s="228">
        <f>+D4/100*C4</f>
        <v>8803074070.3999996</v>
      </c>
      <c r="F4" s="176">
        <v>6575127028.2700005</v>
      </c>
      <c r="G4" s="176">
        <f t="shared" ref="G4:G9" si="1">+E4-F4</f>
        <v>2227947042.1299992</v>
      </c>
    </row>
    <row r="5" spans="1:7" ht="25.5" customHeight="1">
      <c r="A5" s="155" t="s">
        <v>103</v>
      </c>
      <c r="B5" s="175">
        <v>1210535433</v>
      </c>
      <c r="C5" s="175">
        <f t="shared" si="0"/>
        <v>1210535433</v>
      </c>
      <c r="D5" s="176">
        <v>100</v>
      </c>
      <c r="E5" s="228">
        <f t="shared" ref="E5:E9" si="2">+D5/100*C5</f>
        <v>1210535433</v>
      </c>
      <c r="F5" s="176">
        <v>897976680.16000021</v>
      </c>
      <c r="G5" s="176">
        <f t="shared" si="1"/>
        <v>312558752.83999979</v>
      </c>
    </row>
    <row r="6" spans="1:7" ht="25.5" customHeight="1">
      <c r="A6" s="155" t="s">
        <v>87</v>
      </c>
      <c r="B6" s="175">
        <v>1249165880</v>
      </c>
      <c r="C6" s="175">
        <f t="shared" si="0"/>
        <v>1249165880</v>
      </c>
      <c r="D6" s="176">
        <v>20</v>
      </c>
      <c r="E6" s="228">
        <f t="shared" si="2"/>
        <v>249833176</v>
      </c>
      <c r="F6" s="176">
        <v>220792307.32999998</v>
      </c>
      <c r="G6" s="176">
        <f t="shared" si="1"/>
        <v>29040868.670000017</v>
      </c>
    </row>
    <row r="7" spans="1:7" ht="25.5" customHeight="1">
      <c r="A7" s="155" t="s">
        <v>94</v>
      </c>
      <c r="B7" s="175">
        <v>2259487068</v>
      </c>
      <c r="C7" s="175">
        <f t="shared" si="0"/>
        <v>2259487068</v>
      </c>
      <c r="D7" s="176">
        <v>20</v>
      </c>
      <c r="E7" s="228">
        <f t="shared" si="2"/>
        <v>451897413.60000002</v>
      </c>
      <c r="F7" s="176">
        <v>372200568.05000001</v>
      </c>
      <c r="G7" s="176">
        <f t="shared" si="1"/>
        <v>79696845.550000012</v>
      </c>
    </row>
    <row r="8" spans="1:7" ht="25.5" customHeight="1">
      <c r="A8" s="155" t="s">
        <v>99</v>
      </c>
      <c r="B8" s="175">
        <f>1191162006</f>
        <v>1191162006</v>
      </c>
      <c r="C8" s="175">
        <f t="shared" si="0"/>
        <v>1191162006</v>
      </c>
      <c r="D8" s="176">
        <v>20</v>
      </c>
      <c r="E8" s="228">
        <f t="shared" si="2"/>
        <v>238232401.20000002</v>
      </c>
      <c r="F8" s="176">
        <v>183055003.22</v>
      </c>
      <c r="G8" s="176">
        <f t="shared" si="1"/>
        <v>55177397.980000019</v>
      </c>
    </row>
    <row r="9" spans="1:7" ht="25.5" customHeight="1">
      <c r="A9" s="155" t="s">
        <v>98</v>
      </c>
      <c r="B9" s="175">
        <v>224271228</v>
      </c>
      <c r="C9" s="175">
        <f t="shared" si="0"/>
        <v>224271228</v>
      </c>
      <c r="D9" s="176">
        <v>20</v>
      </c>
      <c r="E9" s="228">
        <f t="shared" si="2"/>
        <v>44854245.600000001</v>
      </c>
      <c r="F9" s="176">
        <v>39228897.590000004</v>
      </c>
      <c r="G9" s="176">
        <f t="shared" si="1"/>
        <v>5625348.0099999979</v>
      </c>
    </row>
    <row r="10" spans="1:7" ht="25.5" customHeight="1">
      <c r="A10" s="217" t="s">
        <v>289</v>
      </c>
      <c r="B10" s="218">
        <f t="shared" ref="B10:C10" si="3">SUM(B4:B9)</f>
        <v>50149991967</v>
      </c>
      <c r="C10" s="218">
        <f t="shared" si="3"/>
        <v>50149991967</v>
      </c>
      <c r="D10" s="219"/>
      <c r="E10" s="220">
        <f>SUM(E4:E9)</f>
        <v>10998426739.800001</v>
      </c>
      <c r="F10" s="220">
        <f>SUM(F4:F9)</f>
        <v>8288380484.6200008</v>
      </c>
      <c r="G10" s="219">
        <f>SUM(G4:G9)</f>
        <v>2710046255.1799994</v>
      </c>
    </row>
    <row r="11" spans="1:7" ht="25.5" customHeight="1">
      <c r="A11" s="155" t="s">
        <v>102</v>
      </c>
      <c r="B11" s="175">
        <v>464869712</v>
      </c>
      <c r="C11" s="175">
        <f>SUM(B11:B11)</f>
        <v>464869712</v>
      </c>
      <c r="D11" s="176">
        <v>100</v>
      </c>
      <c r="E11" s="176">
        <f>+D11/100*C11</f>
        <v>464869712</v>
      </c>
      <c r="F11" s="176"/>
      <c r="G11" s="176"/>
    </row>
    <row r="12" spans="1:7" ht="25.5" customHeight="1">
      <c r="A12" s="155" t="s">
        <v>93</v>
      </c>
      <c r="B12" s="175">
        <v>1401566493</v>
      </c>
      <c r="C12" s="175">
        <f>SUM(B12:B12)</f>
        <v>1401566493</v>
      </c>
      <c r="D12" s="176">
        <v>20</v>
      </c>
      <c r="E12" s="176">
        <f>+D12/100*C12</f>
        <v>280313298.60000002</v>
      </c>
      <c r="F12" s="176"/>
      <c r="G12" s="176"/>
    </row>
    <row r="13" spans="1:7" ht="25.5" customHeight="1">
      <c r="A13" s="155" t="s">
        <v>290</v>
      </c>
      <c r="B13" s="175">
        <v>728193544</v>
      </c>
      <c r="C13" s="175">
        <f>SUM(B13:B13)</f>
        <v>728193544</v>
      </c>
      <c r="D13" s="176">
        <v>20</v>
      </c>
      <c r="E13" s="176">
        <f t="shared" ref="E13" si="4">+D13/100*C13</f>
        <v>145638708.80000001</v>
      </c>
      <c r="F13" s="176"/>
      <c r="G13" s="176"/>
    </row>
    <row r="14" spans="1:7" ht="25.5" customHeight="1">
      <c r="A14" s="217" t="s">
        <v>289</v>
      </c>
      <c r="B14" s="218">
        <f t="shared" ref="B14:C14" si="5">SUM(B11:B13)</f>
        <v>2594629749</v>
      </c>
      <c r="C14" s="218">
        <f t="shared" si="5"/>
        <v>2594629749</v>
      </c>
      <c r="D14" s="219"/>
      <c r="E14" s="220">
        <f>SUM(E11:E13)</f>
        <v>890821719.4000001</v>
      </c>
      <c r="F14" s="219"/>
      <c r="G14" s="219"/>
    </row>
    <row r="15" spans="1:7" ht="21.75" customHeight="1">
      <c r="A15" s="159" t="s">
        <v>36</v>
      </c>
      <c r="B15" s="178">
        <f t="shared" ref="B15:C15" si="6">SUM(B14,B10)</f>
        <v>52744621716</v>
      </c>
      <c r="C15" s="178">
        <f t="shared" si="6"/>
        <v>52744621716</v>
      </c>
      <c r="D15" s="177"/>
      <c r="E15" s="177">
        <f>SUM(E14,E10)</f>
        <v>11889248459.200001</v>
      </c>
      <c r="F15" s="177"/>
      <c r="G15" s="177"/>
    </row>
    <row r="16" spans="1:7">
      <c r="A16" s="95"/>
      <c r="B16" s="95"/>
      <c r="C16" s="95"/>
      <c r="D16" s="96"/>
      <c r="E16" s="97"/>
      <c r="F16" s="96"/>
    </row>
    <row r="19" spans="2:2">
      <c r="B19" s="269"/>
    </row>
  </sheetData>
  <mergeCells count="1">
    <mergeCell ref="A1:E1"/>
  </mergeCells>
  <pageMargins left="0.31496062992125984" right="0.31496062992125984" top="0.74803149606299213" bottom="0.74803149606299213" header="0.31496062992125984" footer="0.31496062992125984"/>
  <pageSetup scale="80" orientation="landscape" r:id="rId1"/>
  <headerFooter>
    <oddHeader>&amp;LANEXO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showGridLines="0" tabSelected="1" zoomScale="110" zoomScaleNormal="110" zoomScaleSheetLayoutView="100" workbookViewId="0">
      <selection activeCell="A2" sqref="A2:U2"/>
    </sheetView>
  </sheetViews>
  <sheetFormatPr baseColWidth="10" defaultColWidth="11.42578125" defaultRowHeight="12.75"/>
  <cols>
    <col min="1" max="1" width="30.85546875" style="98" customWidth="1"/>
    <col min="2" max="2" width="11" style="98" customWidth="1"/>
    <col min="3" max="3" width="14.5703125" style="171" customWidth="1"/>
    <col min="4" max="4" width="11" style="171" customWidth="1"/>
    <col min="5" max="5" width="14.5703125" style="173" customWidth="1"/>
    <col min="6" max="6" width="11" style="173" customWidth="1"/>
    <col min="7" max="7" width="14.5703125" style="173" customWidth="1"/>
    <col min="8" max="8" width="11" style="173" customWidth="1"/>
    <col min="9" max="9" width="14.5703125" style="157" customWidth="1"/>
    <col min="10" max="10" width="11" style="157" customWidth="1"/>
    <col min="11" max="11" width="14.5703125" style="157" customWidth="1"/>
    <col min="12" max="12" width="11" style="157" customWidth="1"/>
    <col min="13" max="13" width="14.5703125" style="157" customWidth="1"/>
    <col min="14" max="14" width="11" style="157" customWidth="1"/>
    <col min="15" max="15" width="14.5703125" style="157" customWidth="1"/>
    <col min="16" max="16" width="11" style="157" customWidth="1"/>
    <col min="17" max="17" width="14.5703125" style="157" customWidth="1"/>
    <col min="18" max="18" width="11" style="157" customWidth="1"/>
    <col min="19" max="19" width="14.5703125" style="157" customWidth="1"/>
    <col min="20" max="20" width="11" style="157" customWidth="1"/>
    <col min="21" max="21" width="14.5703125" style="157" customWidth="1"/>
    <col min="22" max="22" width="12.5703125" style="98" bestFit="1" customWidth="1"/>
    <col min="23" max="16384" width="11.42578125" style="98"/>
  </cols>
  <sheetData>
    <row r="1" spans="1:21">
      <c r="A1" s="271" t="s">
        <v>88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12.75" customHeight="1">
      <c r="A2" s="271" t="s">
        <v>297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1:21" ht="12.75" customHeight="1">
      <c r="A3" s="271" t="s">
        <v>307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ht="13.5" thickBo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</row>
    <row r="5" spans="1:21" ht="30.75" customHeight="1">
      <c r="A5" s="260" t="s">
        <v>205</v>
      </c>
      <c r="B5" s="272" t="s">
        <v>206</v>
      </c>
      <c r="C5" s="273"/>
      <c r="D5" s="274" t="s">
        <v>207</v>
      </c>
      <c r="E5" s="275"/>
      <c r="F5" s="274" t="s">
        <v>208</v>
      </c>
      <c r="G5" s="275"/>
      <c r="H5" s="274" t="s">
        <v>209</v>
      </c>
      <c r="I5" s="275"/>
      <c r="J5" s="274" t="s">
        <v>210</v>
      </c>
      <c r="K5" s="275"/>
      <c r="L5" s="274" t="s">
        <v>211</v>
      </c>
      <c r="M5" s="275"/>
      <c r="N5" s="274" t="s">
        <v>212</v>
      </c>
      <c r="O5" s="275"/>
      <c r="P5" s="274" t="s">
        <v>298</v>
      </c>
      <c r="Q5" s="276"/>
      <c r="R5" s="274" t="s">
        <v>301</v>
      </c>
      <c r="S5" s="275"/>
      <c r="T5" s="277" t="s">
        <v>152</v>
      </c>
      <c r="U5" s="278"/>
    </row>
    <row r="6" spans="1:21">
      <c r="A6" s="261"/>
      <c r="B6" s="262" t="s">
        <v>313</v>
      </c>
      <c r="C6" s="263" t="s">
        <v>314</v>
      </c>
      <c r="D6" s="264" t="s">
        <v>313</v>
      </c>
      <c r="E6" s="265" t="s">
        <v>314</v>
      </c>
      <c r="F6" s="262" t="s">
        <v>313</v>
      </c>
      <c r="G6" s="263" t="s">
        <v>314</v>
      </c>
      <c r="H6" s="264" t="s">
        <v>313</v>
      </c>
      <c r="I6" s="265" t="s">
        <v>314</v>
      </c>
      <c r="J6" s="262" t="s">
        <v>313</v>
      </c>
      <c r="K6" s="263" t="s">
        <v>314</v>
      </c>
      <c r="L6" s="262" t="s">
        <v>313</v>
      </c>
      <c r="M6" s="263" t="s">
        <v>314</v>
      </c>
      <c r="N6" s="262" t="s">
        <v>313</v>
      </c>
      <c r="O6" s="263" t="s">
        <v>314</v>
      </c>
      <c r="P6" s="264" t="s">
        <v>313</v>
      </c>
      <c r="Q6" s="265" t="s">
        <v>314</v>
      </c>
      <c r="R6" s="262" t="s">
        <v>313</v>
      </c>
      <c r="S6" s="263" t="s">
        <v>314</v>
      </c>
      <c r="T6" s="264" t="s">
        <v>313</v>
      </c>
      <c r="U6" s="266" t="s">
        <v>314</v>
      </c>
    </row>
    <row r="7" spans="1:21">
      <c r="A7" s="229" t="s">
        <v>1</v>
      </c>
      <c r="B7" s="267">
        <f>+C7/C$58</f>
        <v>1.1410907393977357E-3</v>
      </c>
      <c r="C7" s="255">
        <f>ROUND(IF('PART PEF2023'!G$4&lt;1,'CALCULO GARANTIA'!B6*'PART PEF2023'!E$4,'CALCULO GARANTIA'!J6+'CALCULO GARANTIA'!C6),2)</f>
        <v>10045106.300000001</v>
      </c>
      <c r="D7" s="267">
        <f>+E7/E$58</f>
        <v>1.1381608521656551E-3</v>
      </c>
      <c r="E7" s="166">
        <f>ROUND(+IF('PART PEF2023'!G$5&lt;1,'CALCULO GARANTIA'!B6*'PART PEF2023'!E$5,'CALCULO GARANTIA'!K6+'CALCULO GARANTIA'!D6),2)</f>
        <v>1377784.04</v>
      </c>
      <c r="F7" s="267">
        <f>+G7/G$58</f>
        <v>2.0255344145527685E-2</v>
      </c>
      <c r="G7" s="258">
        <f>ROUND(+'PART PEF2023'!E$11*'Art.14 Frac.III'!R5,2)</f>
        <v>9416096</v>
      </c>
      <c r="H7" s="267">
        <f>+I7/I$58</f>
        <v>1.2195323093245713E-3</v>
      </c>
      <c r="I7" s="166">
        <f>ROUND(+IF('PART PEF2023'!G$6&lt;1,'CALCULO GARANTIA'!B6*'PART PEF2023'!E$6,'CALCULO GARANTIA'!L6+'CALCULO GARANTIA'!E6),2)</f>
        <v>304679.63</v>
      </c>
      <c r="J7" s="267">
        <f>+K7/K$58</f>
        <v>1.1850713103331296E-3</v>
      </c>
      <c r="K7" s="255">
        <f>ROUND(+IF('PART PEF2023'!G$7&lt;1,'CALCULO GARANTIA'!B6*'PART PEF2023'!E$7,'CALCULO GARANTIA'!M6+'CALCULO GARANTIA'!F6),2)</f>
        <v>535530.66</v>
      </c>
      <c r="L7" s="267">
        <f>+M7/M$58</f>
        <v>1.1534008328897203E-3</v>
      </c>
      <c r="M7" s="166">
        <f>ROUND(+IF('PART PEF2023'!G$8&lt;1,'CALCULO GARANTIA'!B6*'PART PEF2023'!E$8,'CALCULO GARANTIA'!N6+'CALCULO GARANTIA'!G6),2)</f>
        <v>274777.45</v>
      </c>
      <c r="N7" s="267">
        <f>+O7/O$58</f>
        <v>1.214274351497671E-3</v>
      </c>
      <c r="O7" s="255">
        <f>ROUND(+IF('PART PEF2023'!G$9&lt;1,'CALCULO GARANTIA'!B6*'PART PEF2023'!E$9,'CALCULO GARANTIA'!O6+'CALCULO GARANTIA'!H6),2)</f>
        <v>54465.36</v>
      </c>
      <c r="P7" s="267">
        <f>+Q7/Q$58</f>
        <v>5.7192216994588212E-4</v>
      </c>
      <c r="Q7" s="166">
        <f>+ROUND('COEF Art 14 F II'!L7,2)</f>
        <v>160317.39000000001</v>
      </c>
      <c r="R7" s="267">
        <f>+S7/S$58</f>
        <v>1.6375612084774564E-4</v>
      </c>
      <c r="S7" s="255">
        <f>+'ISR BI'!D4</f>
        <v>23849.23</v>
      </c>
      <c r="T7" s="267">
        <f>+U7/U$58</f>
        <v>1.8666113462213344E-3</v>
      </c>
      <c r="U7" s="230">
        <f>SUM(C7:S7)</f>
        <v>22192606.08690146</v>
      </c>
    </row>
    <row r="8" spans="1:21">
      <c r="A8" s="229" t="s">
        <v>2</v>
      </c>
      <c r="B8" s="267">
        <f t="shared" ref="B8:D57" si="0">+C8/C$58</f>
        <v>2.1761511645515741E-3</v>
      </c>
      <c r="C8" s="255">
        <f>ROUND(IF('PART PEF2023'!G$4&lt;1,'CALCULO GARANTIA'!B7*'PART PEF2023'!E$4,'CALCULO GARANTIA'!J7+'CALCULO GARANTIA'!C7),2)</f>
        <v>19156819.890000001</v>
      </c>
      <c r="D8" s="267">
        <f t="shared" si="0"/>
        <v>2.1701253911169081E-3</v>
      </c>
      <c r="E8" s="166">
        <f>ROUND(+IF('PART PEF2023'!G$5&lt;1,'CALCULO GARANTIA'!B7*'PART PEF2023'!E$5,'CALCULO GARANTIA'!K7+'CALCULO GARANTIA'!D7),2)</f>
        <v>2627013.6800000002</v>
      </c>
      <c r="F8" s="267">
        <f t="shared" ref="F8" si="1">+G8/G$58</f>
        <v>2.0363992953339755E-2</v>
      </c>
      <c r="G8" s="258">
        <f>ROUND(+'PART PEF2023'!E$11*'Art.14 Frac.III'!R6,2)</f>
        <v>9466603.5399999991</v>
      </c>
      <c r="H8" s="267">
        <f t="shared" ref="H8" si="2">+I8/I$58</f>
        <v>2.3374785906746381E-3</v>
      </c>
      <c r="I8" s="166">
        <f>ROUND(+IF('PART PEF2023'!G$6&lt;1,'CALCULO GARANTIA'!B7*'PART PEF2023'!E$6,'CALCULO GARANTIA'!L7+'CALCULO GARANTIA'!E7),2)</f>
        <v>583979.69999999995</v>
      </c>
      <c r="J8" s="267">
        <f t="shared" ref="J8" si="3">+K8/K$58</f>
        <v>2.266604099315863E-3</v>
      </c>
      <c r="K8" s="255">
        <f>ROUND(+IF('PART PEF2023'!G$7&lt;1,'CALCULO GARANTIA'!B7*'PART PEF2023'!E$7,'CALCULO GARANTIA'!M7+'CALCULO GARANTIA'!F7),2)</f>
        <v>1024272.53</v>
      </c>
      <c r="L8" s="267">
        <f t="shared" ref="L8" si="4">+M8/M$58</f>
        <v>2.2014688064771765E-3</v>
      </c>
      <c r="M8" s="166">
        <f>ROUND(+IF('PART PEF2023'!G$8&lt;1,'CALCULO GARANTIA'!B7*'PART PEF2023'!E$8,'CALCULO GARANTIA'!N7+'CALCULO GARANTIA'!G7),2)</f>
        <v>524461.19999999995</v>
      </c>
      <c r="N8" s="267">
        <f t="shared" ref="N8" si="5">+O8/O$58</f>
        <v>2.3266647020975281E-3</v>
      </c>
      <c r="O8" s="255">
        <f>ROUND(+IF('PART PEF2023'!G$9&lt;1,'CALCULO GARANTIA'!B7*'PART PEF2023'!E$9,'CALCULO GARANTIA'!O7+'CALCULO GARANTIA'!H7),2)</f>
        <v>104360.79</v>
      </c>
      <c r="P8" s="267">
        <f t="shared" ref="P8" si="6">+Q8/Q$58</f>
        <v>7.5135814480405095E-4</v>
      </c>
      <c r="Q8" s="166">
        <f>+ROUND('COEF Art 14 F II'!L8,2)</f>
        <v>210615.67999999999</v>
      </c>
      <c r="R8" s="267">
        <f t="shared" ref="R8" si="7">+S8/S$58</f>
        <v>1.5392336407792133E-4</v>
      </c>
      <c r="S8" s="255">
        <f>+'ISR BI'!D5</f>
        <v>22417.200000000001</v>
      </c>
      <c r="T8" s="267">
        <f t="shared" ref="T8" si="8">+U8/U$58</f>
        <v>2.8362216784036478E-3</v>
      </c>
      <c r="U8" s="230">
        <f t="shared" ref="U8:U58" si="9">SUM(C8:S8)</f>
        <v>33720544.242571615</v>
      </c>
    </row>
    <row r="9" spans="1:21">
      <c r="A9" s="229" t="s">
        <v>145</v>
      </c>
      <c r="B9" s="267">
        <f t="shared" si="0"/>
        <v>2.3440313241612967E-3</v>
      </c>
      <c r="C9" s="255">
        <f>ROUND(IF('PART PEF2023'!G$4&lt;1,'CALCULO GARANTIA'!B8*'PART PEF2023'!E$4,'CALCULO GARANTIA'!J8+'CALCULO GARANTIA'!C8),2)</f>
        <v>20634681.370000001</v>
      </c>
      <c r="D9" s="267">
        <f t="shared" si="0"/>
        <v>2.3389288432336211E-3</v>
      </c>
      <c r="E9" s="166">
        <f>ROUND(+IF('PART PEF2023'!G$5&lt;1,'CALCULO GARANTIA'!B8*'PART PEF2023'!E$5,'CALCULO GARANTIA'!K8+'CALCULO GARANTIA'!D8),2)</f>
        <v>2831356.24</v>
      </c>
      <c r="F9" s="267">
        <f t="shared" ref="F9" si="10">+G9/G$58</f>
        <v>9.4775529271644045E-3</v>
      </c>
      <c r="G9" s="258">
        <f>ROUND(+'PART PEF2023'!E$11*'Art.14 Frac.III'!R7,2)</f>
        <v>4405827.3</v>
      </c>
      <c r="H9" s="267">
        <f t="shared" ref="H9" si="11">+I9/I$58</f>
        <v>2.4806397615857014E-3</v>
      </c>
      <c r="I9" s="166">
        <f>ROUND(+IF('PART PEF2023'!G$6&lt;1,'CALCULO GARANTIA'!B8*'PART PEF2023'!E$6,'CALCULO GARANTIA'!L8+'CALCULO GARANTIA'!E8),2)</f>
        <v>619746.11</v>
      </c>
      <c r="J9" s="267">
        <f t="shared" ref="J9" si="12">+K9/K$58</f>
        <v>2.420624830381276E-3</v>
      </c>
      <c r="K9" s="255">
        <f>ROUND(+IF('PART PEF2023'!G$7&lt;1,'CALCULO GARANTIA'!B8*'PART PEF2023'!E$7,'CALCULO GARANTIA'!M8+'CALCULO GARANTIA'!F8),2)</f>
        <v>1093874.1000000001</v>
      </c>
      <c r="L9" s="267">
        <f t="shared" ref="L9" si="13">+M9/M$58</f>
        <v>2.36546971398715E-3</v>
      </c>
      <c r="M9" s="166">
        <f>ROUND(+IF('PART PEF2023'!G$8&lt;1,'CALCULO GARANTIA'!B8*'PART PEF2023'!E$8,'CALCULO GARANTIA'!N8+'CALCULO GARANTIA'!G8),2)</f>
        <v>563531.53</v>
      </c>
      <c r="N9" s="267">
        <f t="shared" ref="N9" si="14">+O9/O$58</f>
        <v>2.4714826543707426E-3</v>
      </c>
      <c r="O9" s="255">
        <f>ROUND(+IF('PART PEF2023'!G$9&lt;1,'CALCULO GARANTIA'!B8*'PART PEF2023'!E$9,'CALCULO GARANTIA'!O8+'CALCULO GARANTIA'!H8),2)</f>
        <v>110856.49</v>
      </c>
      <c r="P9" s="267">
        <f t="shared" ref="P9" si="15">+Q9/Q$58</f>
        <v>6.6017363758424268E-4</v>
      </c>
      <c r="Q9" s="166">
        <f>+ROUND('COEF Art 14 F II'!L9,2)</f>
        <v>185055.45</v>
      </c>
      <c r="R9" s="267">
        <f t="shared" ref="R9" si="16">+S9/S$58</f>
        <v>8.8059006460509142E-6</v>
      </c>
      <c r="S9" s="255">
        <f>+'ISR BI'!D6</f>
        <v>1282.48</v>
      </c>
      <c r="T9" s="267">
        <f t="shared" ref="T9" si="17">+U9/U$58</f>
        <v>2.5608188083749914E-3</v>
      </c>
      <c r="U9" s="230">
        <f t="shared" si="9"/>
        <v>30446211.092223685</v>
      </c>
    </row>
    <row r="10" spans="1:21">
      <c r="A10" s="229" t="s">
        <v>3</v>
      </c>
      <c r="B10" s="267">
        <f t="shared" si="0"/>
        <v>6.9210771444780037E-3</v>
      </c>
      <c r="C10" s="255">
        <f>ROUND(IF('PART PEF2023'!G$4&lt;1,'CALCULO GARANTIA'!B9*'PART PEF2023'!E$4,'CALCULO GARANTIA'!J9+'CALCULO GARANTIA'!C9),2)</f>
        <v>60926754.75</v>
      </c>
      <c r="D10" s="267">
        <f t="shared" si="0"/>
        <v>6.9161837991403938E-3</v>
      </c>
      <c r="E10" s="166">
        <f>ROUND(+IF('PART PEF2023'!G$5&lt;1,'CALCULO GARANTIA'!B9*'PART PEF2023'!E$5,'CALCULO GARANTIA'!K9+'CALCULO GARANTIA'!D9),2)</f>
        <v>8372285.5499999998</v>
      </c>
      <c r="F10" s="267">
        <f t="shared" ref="F10" si="18">+G10/G$58</f>
        <v>2.0067860367289247E-2</v>
      </c>
      <c r="G10" s="258">
        <f>ROUND(+'PART PEF2023'!E$11*'Art.14 Frac.III'!R8,2)</f>
        <v>9328940.4700000007</v>
      </c>
      <c r="H10" s="267">
        <f t="shared" ref="H10" si="19">+I10/I$58</f>
        <v>7.0520863507059833E-3</v>
      </c>
      <c r="I10" s="166">
        <f>ROUND(+IF('PART PEF2023'!G$6&lt;1,'CALCULO GARANTIA'!B9*'PART PEF2023'!E$6,'CALCULO GARANTIA'!L9+'CALCULO GARANTIA'!E9),2)</f>
        <v>1761845.13</v>
      </c>
      <c r="J10" s="267">
        <f t="shared" ref="J10" si="20">+K10/K$58</f>
        <v>6.9945312924881752E-3</v>
      </c>
      <c r="K10" s="255">
        <f>ROUND(+IF('PART PEF2023'!G$7&lt;1,'CALCULO GARANTIA'!B9*'PART PEF2023'!E$7,'CALCULO GARANTIA'!M9+'CALCULO GARANTIA'!F9),2)</f>
        <v>3160810.6</v>
      </c>
      <c r="L10" s="267">
        <f t="shared" ref="L10" si="21">+M10/M$58</f>
        <v>6.9416368279956332E-3</v>
      </c>
      <c r="M10" s="166">
        <f>ROUND(+IF('PART PEF2023'!G$8&lt;1,'CALCULO GARANTIA'!B9*'PART PEF2023'!E$8,'CALCULO GARANTIA'!N9+'CALCULO GARANTIA'!G9),2)</f>
        <v>1653722.81</v>
      </c>
      <c r="N10" s="267">
        <f t="shared" ref="N10" si="22">+O10/O$58</f>
        <v>7.0433047240809465E-3</v>
      </c>
      <c r="O10" s="255">
        <f>ROUND(+IF('PART PEF2023'!G$9&lt;1,'CALCULO GARANTIA'!B9*'PART PEF2023'!E$9,'CALCULO GARANTIA'!O9+'CALCULO GARANTIA'!H9),2)</f>
        <v>315922.12</v>
      </c>
      <c r="P10" s="267">
        <f t="shared" ref="P10" si="23">+Q10/Q$58</f>
        <v>6.3854018661960122E-3</v>
      </c>
      <c r="Q10" s="166">
        <f>+ROUND('COEF Art 14 F II'!L10,2)</f>
        <v>1789913.06</v>
      </c>
      <c r="R10" s="267">
        <f t="shared" ref="R10" si="24">+S10/S$58</f>
        <v>1.1419887292256748E-2</v>
      </c>
      <c r="S10" s="255">
        <f>+'ISR BI'!D7</f>
        <v>1663177.64</v>
      </c>
      <c r="T10" s="267">
        <f t="shared" ref="T10" si="25">+U10/U$58</f>
        <v>7.4835152489541312E-3</v>
      </c>
      <c r="U10" s="230">
        <f t="shared" si="9"/>
        <v>88973372.202820882</v>
      </c>
    </row>
    <row r="11" spans="1:21">
      <c r="A11" s="229" t="s">
        <v>146</v>
      </c>
      <c r="B11" s="267">
        <f t="shared" si="0"/>
        <v>8.0037126038357224E-3</v>
      </c>
      <c r="C11" s="255">
        <f>ROUND(IF('PART PEF2023'!G$4&lt;1,'CALCULO GARANTIA'!B10*'PART PEF2023'!E$4,'CALCULO GARANTIA'!J10+'CALCULO GARANTIA'!C10),2)</f>
        <v>70457274.890000001</v>
      </c>
      <c r="D11" s="267">
        <f t="shared" si="0"/>
        <v>7.9837416621905705E-3</v>
      </c>
      <c r="E11" s="166">
        <f>ROUND(+IF('PART PEF2023'!G$5&lt;1,'CALCULO GARANTIA'!B10*'PART PEF2023'!E$5,'CALCULO GARANTIA'!K10+'CALCULO GARANTIA'!D10),2)</f>
        <v>9664602.1699999999</v>
      </c>
      <c r="F11" s="267">
        <f t="shared" ref="F11" si="26">+G11/G$58</f>
        <v>5.840330999720607E-3</v>
      </c>
      <c r="G11" s="258">
        <f>ROUND(+'PART PEF2023'!E$11*'Art.14 Frac.III'!R9,2)</f>
        <v>2714992.99</v>
      </c>
      <c r="H11" s="267">
        <f t="shared" ref="H11" si="27">+I11/I$58</f>
        <v>8.5383927573826467E-3</v>
      </c>
      <c r="I11" s="166">
        <f>ROUND(+IF('PART PEF2023'!G$6&lt;1,'CALCULO GARANTIA'!B10*'PART PEF2023'!E$6,'CALCULO GARANTIA'!L10+'CALCULO GARANTIA'!E10),2)</f>
        <v>2133173.7799999998</v>
      </c>
      <c r="J11" s="267">
        <f t="shared" ref="J11" si="28">+K11/K$58</f>
        <v>8.303496673294988E-3</v>
      </c>
      <c r="K11" s="255">
        <f>ROUND(+IF('PART PEF2023'!G$7&lt;1,'CALCULO GARANTIA'!B10*'PART PEF2023'!E$7,'CALCULO GARANTIA'!M10+'CALCULO GARANTIA'!F10),2)</f>
        <v>3752328.67</v>
      </c>
      <c r="L11" s="267">
        <f t="shared" ref="L11" si="29">+M11/M$58</f>
        <v>8.0876217091051649E-3</v>
      </c>
      <c r="M11" s="166">
        <f>ROUND(+IF('PART PEF2023'!G$8&lt;1,'CALCULO GARANTIA'!B10*'PART PEF2023'!E$8,'CALCULO GARANTIA'!N10+'CALCULO GARANTIA'!G10),2)</f>
        <v>1926733.54</v>
      </c>
      <c r="N11" s="267">
        <f t="shared" ref="N11" si="30">+O11/O$58</f>
        <v>8.5025527642577179E-3</v>
      </c>
      <c r="O11" s="255">
        <f>ROUND(+IF('PART PEF2023'!G$9&lt;1,'CALCULO GARANTIA'!B10*'PART PEF2023'!E$9,'CALCULO GARANTIA'!O10+'CALCULO GARANTIA'!H10),2)</f>
        <v>381375.59</v>
      </c>
      <c r="P11" s="267">
        <f t="shared" ref="P11" si="31">+Q11/Q$58</f>
        <v>3.8510898890331846E-3</v>
      </c>
      <c r="Q11" s="166">
        <f>+ROUND('COEF Art 14 F II'!L11,2)</f>
        <v>1079511.71</v>
      </c>
      <c r="R11" s="267">
        <f t="shared" ref="R11" si="32">+S11/S$58</f>
        <v>1.6730073480524426E-3</v>
      </c>
      <c r="S11" s="255">
        <f>+'ISR BI'!D8</f>
        <v>243654.63</v>
      </c>
      <c r="T11" s="267">
        <f t="shared" ref="T11" si="33">+U11/U$58</f>
        <v>7.7678289151448653E-3</v>
      </c>
      <c r="U11" s="230">
        <f t="shared" si="9"/>
        <v>92353648.02278024</v>
      </c>
    </row>
    <row r="12" spans="1:21">
      <c r="A12" s="229" t="s">
        <v>4</v>
      </c>
      <c r="B12" s="267">
        <f t="shared" si="0"/>
        <v>6.7605753997811102E-2</v>
      </c>
      <c r="C12" s="255">
        <f>ROUND(IF('PART PEF2023'!G$4&lt;1,'CALCULO GARANTIA'!B11*'PART PEF2023'!E$4,'CALCULO GARANTIA'!J11+'CALCULO GARANTIA'!C11),2)</f>
        <v>595138460.02999997</v>
      </c>
      <c r="D12" s="267">
        <f t="shared" si="0"/>
        <v>6.7724094293405132E-2</v>
      </c>
      <c r="E12" s="166">
        <f>ROUND(+IF('PART PEF2023'!G$5&lt;1,'CALCULO GARANTIA'!B11*'PART PEF2023'!E$5,'CALCULO GARANTIA'!K11+'CALCULO GARANTIA'!D11),2)</f>
        <v>81982415.810000002</v>
      </c>
      <c r="F12" s="267">
        <f t="shared" ref="F12" si="34">+G12/G$58</f>
        <v>4.6893145962998796E-2</v>
      </c>
      <c r="G12" s="258">
        <f>ROUND(+'PART PEF2023'!E$11*'Art.14 Frac.III'!R10,2)</f>
        <v>21799203.260000002</v>
      </c>
      <c r="H12" s="267">
        <f t="shared" ref="H12" si="35">+I12/I$58</f>
        <v>6.4437440101494978E-2</v>
      </c>
      <c r="I12" s="166">
        <f>ROUND(+IF('PART PEF2023'!G$6&lt;1,'CALCULO GARANTIA'!B11*'PART PEF2023'!E$6,'CALCULO GARANTIA'!L11+'CALCULO GARANTIA'!E11),2)</f>
        <v>16098610.310000001</v>
      </c>
      <c r="J12" s="267">
        <f t="shared" ref="J12" si="36">+K12/K$58</f>
        <v>6.5829346127396729E-2</v>
      </c>
      <c r="K12" s="255">
        <f>ROUND(+IF('PART PEF2023'!G$7&lt;1,'CALCULO GARANTIA'!B11*'PART PEF2023'!E$7,'CALCULO GARANTIA'!M11+'CALCULO GARANTIA'!F11),2)</f>
        <v>29748111.25</v>
      </c>
      <c r="L12" s="267">
        <f t="shared" ref="L12" si="37">+M12/M$58</f>
        <v>6.7108540095539043E-2</v>
      </c>
      <c r="M12" s="166">
        <f>ROUND(+IF('PART PEF2023'!G$8&lt;1,'CALCULO GARANTIA'!B11*'PART PEF2023'!E$8,'CALCULO GARANTIA'!N11+'CALCULO GARANTIA'!G11),2)</f>
        <v>15987428.65</v>
      </c>
      <c r="N12" s="267">
        <f t="shared" ref="N12" si="38">+O12/O$58</f>
        <v>6.4649814316651941E-2</v>
      </c>
      <c r="O12" s="255">
        <f>ROUND(+IF('PART PEF2023'!G$9&lt;1,'CALCULO GARANTIA'!B11*'PART PEF2023'!E$9,'CALCULO GARANTIA'!O11+'CALCULO GARANTIA'!H11),2)</f>
        <v>2899818.65</v>
      </c>
      <c r="P12" s="267">
        <f t="shared" ref="P12" si="39">+Q12/Q$58</f>
        <v>0.10682174573789557</v>
      </c>
      <c r="Q12" s="166">
        <f>+ROUND('COEF Art 14 F II'!L12,2)</f>
        <v>29943555.91</v>
      </c>
      <c r="R12" s="267">
        <f t="shared" ref="R12" si="40">+S12/S$58</f>
        <v>0.13436448194229222</v>
      </c>
      <c r="S12" s="255">
        <f>+'ISR BI'!D9</f>
        <v>19568669.66</v>
      </c>
      <c r="T12" s="267">
        <f t="shared" ref="T12" si="41">+U12/U$58</f>
        <v>6.8395094643018989E-2</v>
      </c>
      <c r="U12" s="230">
        <f t="shared" si="9"/>
        <v>813166274.14782846</v>
      </c>
    </row>
    <row r="13" spans="1:21">
      <c r="A13" s="229" t="s">
        <v>5</v>
      </c>
      <c r="B13" s="267">
        <f t="shared" si="0"/>
        <v>8.8477984459575804E-3</v>
      </c>
      <c r="C13" s="255">
        <f>ROUND(IF('PART PEF2023'!G$4&lt;1,'CALCULO GARANTIA'!B12*'PART PEF2023'!E$4,'CALCULO GARANTIA'!J12+'CALCULO GARANTIA'!C12),2)</f>
        <v>77887825.079999998</v>
      </c>
      <c r="D13" s="267">
        <f t="shared" si="0"/>
        <v>8.8191750930763559E-3</v>
      </c>
      <c r="E13" s="166">
        <f>ROUND(+IF('PART PEF2023'!G$5&lt;1,'CALCULO GARANTIA'!B12*'PART PEF2023'!E$5,'CALCULO GARANTIA'!K12+'CALCULO GARANTIA'!D12),2)</f>
        <v>10675923.939999999</v>
      </c>
      <c r="F13" s="267">
        <f t="shared" ref="F13" si="42">+G13/G$58</f>
        <v>1.3819082387508671E-2</v>
      </c>
      <c r="G13" s="258">
        <f>ROUND(+'PART PEF2023'!E$11*'Art.14 Frac.III'!R11,2)</f>
        <v>6424072.8499999996</v>
      </c>
      <c r="H13" s="267">
        <f t="shared" ref="H13" si="43">+I13/I$58</f>
        <v>9.6141287919937774E-3</v>
      </c>
      <c r="I13" s="166">
        <f>ROUND(+IF('PART PEF2023'!G$6&lt;1,'CALCULO GARANTIA'!B12*'PART PEF2023'!E$6,'CALCULO GARANTIA'!L12+'CALCULO GARANTIA'!E12),2)</f>
        <v>2401928.33</v>
      </c>
      <c r="J13" s="267">
        <f t="shared" ref="J13" si="44">+K13/K$58</f>
        <v>9.2774639650131593E-3</v>
      </c>
      <c r="K13" s="255">
        <f>ROUND(+IF('PART PEF2023'!G$7&lt;1,'CALCULO GARANTIA'!B12*'PART PEF2023'!E$7,'CALCULO GARANTIA'!M12+'CALCULO GARANTIA'!F12),2)</f>
        <v>4192461.97</v>
      </c>
      <c r="L13" s="267">
        <f t="shared" ref="L13" si="45">+M13/M$58</f>
        <v>8.9680611829847032E-3</v>
      </c>
      <c r="M13" s="166">
        <f>ROUND(+IF('PART PEF2023'!G$8&lt;1,'CALCULO GARANTIA'!B12*'PART PEF2023'!E$8,'CALCULO GARANTIA'!N12+'CALCULO GARANTIA'!G12),2)</f>
        <v>2136482.75</v>
      </c>
      <c r="N13" s="267">
        <f t="shared" ref="N13" si="46">+O13/O$58</f>
        <v>9.5627612094845368E-3</v>
      </c>
      <c r="O13" s="255">
        <f>ROUND(+IF('PART PEF2023'!G$9&lt;1,'CALCULO GARANTIA'!B12*'PART PEF2023'!E$9,'CALCULO GARANTIA'!O12+'CALCULO GARANTIA'!H12),2)</f>
        <v>428930.44</v>
      </c>
      <c r="P13" s="267">
        <f t="shared" ref="P13" si="47">+Q13/Q$58</f>
        <v>3.4179668420483565E-3</v>
      </c>
      <c r="Q13" s="166">
        <f>+ROUND('COEF Art 14 F II'!L13,2)</f>
        <v>958101.56</v>
      </c>
      <c r="R13" s="267">
        <f t="shared" ref="R13" si="48">+S13/S$58</f>
        <v>5.050438897804178E-4</v>
      </c>
      <c r="S13" s="255">
        <f>+'ISR BI'!D10</f>
        <v>73553.94</v>
      </c>
      <c r="T13" s="267">
        <f t="shared" ref="T13" si="49">+U13/U$58</f>
        <v>8.846587840622578E-3</v>
      </c>
      <c r="U13" s="230">
        <f t="shared" si="9"/>
        <v>105179280.92398366</v>
      </c>
    </row>
    <row r="14" spans="1:21">
      <c r="A14" s="229" t="s">
        <v>6</v>
      </c>
      <c r="B14" s="267">
        <f t="shared" si="0"/>
        <v>1.5614427869205224E-3</v>
      </c>
      <c r="C14" s="255">
        <f>ROUND(IF('PART PEF2023'!G$4&lt;1,'CALCULO GARANTIA'!B13*'PART PEF2023'!E$4,'CALCULO GARANTIA'!J13+'CALCULO GARANTIA'!C13),2)</f>
        <v>13745496.51</v>
      </c>
      <c r="D14" s="267">
        <f t="shared" si="0"/>
        <v>1.5600137497173124E-3</v>
      </c>
      <c r="E14" s="166">
        <f>ROUND(+IF('PART PEF2023'!G$5&lt;1,'CALCULO GARANTIA'!B13*'PART PEF2023'!E$5,'CALCULO GARANTIA'!K13+'CALCULO GARANTIA'!D13),2)</f>
        <v>1888451.92</v>
      </c>
      <c r="F14" s="267">
        <f t="shared" ref="F14" si="50">+G14/G$58</f>
        <v>1.9007353074079778E-2</v>
      </c>
      <c r="G14" s="258">
        <f>ROUND(+'PART PEF2023'!E$11*'Art.14 Frac.III'!R12,2)</f>
        <v>8835942.75</v>
      </c>
      <c r="H14" s="267">
        <f t="shared" ref="H14" si="51">+I14/I$58</f>
        <v>1.5997021152065979E-3</v>
      </c>
      <c r="I14" s="166">
        <f>ROUND(+IF('PART PEF2023'!G$6&lt;1,'CALCULO GARANTIA'!B13*'PART PEF2023'!E$6,'CALCULO GARANTIA'!L13+'CALCULO GARANTIA'!E13),2)</f>
        <v>399658.66</v>
      </c>
      <c r="J14" s="267">
        <f t="shared" ref="J14" si="52">+K14/K$58</f>
        <v>1.5828940121532342E-3</v>
      </c>
      <c r="K14" s="255">
        <f>ROUND(+IF('PART PEF2023'!G$7&lt;1,'CALCULO GARANTIA'!B13*'PART PEF2023'!E$7,'CALCULO GARANTIA'!M13+'CALCULO GARANTIA'!F13),2)</f>
        <v>715305.71</v>
      </c>
      <c r="L14" s="267">
        <f t="shared" ref="L14" si="53">+M14/M$58</f>
        <v>1.5674469890411219E-3</v>
      </c>
      <c r="M14" s="166">
        <f>ROUND(+IF('PART PEF2023'!G$8&lt;1,'CALCULO GARANTIA'!B13*'PART PEF2023'!E$8,'CALCULO GARANTIA'!N13+'CALCULO GARANTIA'!G13),2)</f>
        <v>373416.66</v>
      </c>
      <c r="N14" s="267">
        <f t="shared" ref="N14" si="54">+O14/O$58</f>
        <v>1.5971375513230933E-3</v>
      </c>
      <c r="O14" s="255">
        <f>ROUND(+IF('PART PEF2023'!G$9&lt;1,'CALCULO GARANTIA'!B13*'PART PEF2023'!E$9,'CALCULO GARANTIA'!O13+'CALCULO GARANTIA'!H13),2)</f>
        <v>71638.399999999994</v>
      </c>
      <c r="P14" s="267">
        <f t="shared" ref="P14" si="55">+Q14/Q$58</f>
        <v>9.0102749766578488E-4</v>
      </c>
      <c r="Q14" s="166">
        <f>+ROUND('COEF Art 14 F II'!L14,2)</f>
        <v>252569.99</v>
      </c>
      <c r="R14" s="267">
        <f t="shared" ref="R14" si="56">+S14/S$58</f>
        <v>8.0608377373872438E-5</v>
      </c>
      <c r="S14" s="255">
        <f>+'ISR BI'!D11</f>
        <v>11739.7</v>
      </c>
      <c r="T14" s="267">
        <f t="shared" ref="T14" si="57">+U14/U$58</f>
        <v>2.2115965025424999E-3</v>
      </c>
      <c r="U14" s="230">
        <f t="shared" si="9"/>
        <v>26294220.327896178</v>
      </c>
    </row>
    <row r="15" spans="1:21">
      <c r="A15" s="229" t="s">
        <v>130</v>
      </c>
      <c r="B15" s="267">
        <f t="shared" si="0"/>
        <v>1.5561995150099697E-2</v>
      </c>
      <c r="C15" s="255">
        <f>ROUND(IF('PART PEF2023'!G$4&lt;1,'CALCULO GARANTIA'!B14*'PART PEF2023'!E$4,'CALCULO GARANTIA'!J14+'CALCULO GARANTIA'!C14),2)</f>
        <v>136993395.99000001</v>
      </c>
      <c r="D15" s="267">
        <f t="shared" si="0"/>
        <v>1.5548617286942318E-2</v>
      </c>
      <c r="E15" s="166">
        <f>ROUND(+IF('PART PEF2023'!G$5&lt;1,'CALCULO GARANTIA'!B14*'PART PEF2023'!E$5,'CALCULO GARANTIA'!K14+'CALCULO GARANTIA'!D14),2)</f>
        <v>18822152.16</v>
      </c>
      <c r="F15" s="267">
        <f t="shared" ref="F15" si="58">+G15/G$58</f>
        <v>2.2071330857833697E-2</v>
      </c>
      <c r="G15" s="258">
        <f>ROUND(+'PART PEF2023'!E$11*'Art.14 Frac.III'!R13,2)</f>
        <v>10260293.220000001</v>
      </c>
      <c r="H15" s="267">
        <f t="shared" ref="H15" si="59">+I15/I$58</f>
        <v>1.5920159382496146E-2</v>
      </c>
      <c r="I15" s="166">
        <f>ROUND(+IF('PART PEF2023'!G$6&lt;1,'CALCULO GARANTIA'!B14*'PART PEF2023'!E$6,'CALCULO GARANTIA'!L14+'CALCULO GARANTIA'!E14),2)</f>
        <v>3977383.98</v>
      </c>
      <c r="J15" s="267">
        <f t="shared" ref="J15" si="60">+K15/K$58</f>
        <v>1.5762810378133502E-2</v>
      </c>
      <c r="K15" s="255">
        <f>ROUND(+IF('PART PEF2023'!G$7&lt;1,'CALCULO GARANTIA'!B14*'PART PEF2023'!E$7,'CALCULO GARANTIA'!M14+'CALCULO GARANTIA'!F14),2)</f>
        <v>7123173.2400000002</v>
      </c>
      <c r="L15" s="267">
        <f t="shared" ref="L15" si="61">+M15/M$58</f>
        <v>1.5618203026916617E-2</v>
      </c>
      <c r="M15" s="166">
        <f>ROUND(+IF('PART PEF2023'!G$8&lt;1,'CALCULO GARANTIA'!B14*'PART PEF2023'!E$8,'CALCULO GARANTIA'!N14+'CALCULO GARANTIA'!G14),2)</f>
        <v>3720762.01</v>
      </c>
      <c r="N15" s="267">
        <f t="shared" ref="N15" si="62">+O15/O$58</f>
        <v>1.5896151418964867E-2</v>
      </c>
      <c r="O15" s="255">
        <f>ROUND(+IF('PART PEF2023'!G$9&lt;1,'CALCULO GARANTIA'!B14*'PART PEF2023'!E$9,'CALCULO GARANTIA'!O14+'CALCULO GARANTIA'!H14),2)</f>
        <v>713009.88</v>
      </c>
      <c r="P15" s="267">
        <f t="shared" ref="P15" si="63">+Q15/Q$58</f>
        <v>1.8039137619423665E-2</v>
      </c>
      <c r="Q15" s="166">
        <f>+ROUND('COEF Art 14 F II'!L15,2)</f>
        <v>5056610.17</v>
      </c>
      <c r="R15" s="267">
        <f t="shared" ref="R15" si="64">+S15/S$58</f>
        <v>8.5967109996379805E-3</v>
      </c>
      <c r="S15" s="255">
        <f>+'ISR BI'!D12</f>
        <v>1252013.8899999999</v>
      </c>
      <c r="T15" s="267">
        <f t="shared" ref="T15" si="65">+U15/U$58</f>
        <v>1.580577571290907E-2</v>
      </c>
      <c r="U15" s="230">
        <f t="shared" si="9"/>
        <v>187918794.66745308</v>
      </c>
    </row>
    <row r="16" spans="1:21">
      <c r="A16" s="229" t="s">
        <v>131</v>
      </c>
      <c r="B16" s="267">
        <f t="shared" si="0"/>
        <v>4.5092636938429201E-3</v>
      </c>
      <c r="C16" s="255">
        <f>ROUND(IF('PART PEF2023'!G$4&lt;1,'CALCULO GARANTIA'!B15*'PART PEF2023'!E$4,'CALCULO GARANTIA'!J15+'CALCULO GARANTIA'!C15),2)</f>
        <v>39695382.299999997</v>
      </c>
      <c r="D16" s="267">
        <f t="shared" si="0"/>
        <v>4.5436009885057209E-3</v>
      </c>
      <c r="E16" s="166">
        <f>ROUND(+IF('PART PEF2023'!G$5&lt;1,'CALCULO GARANTIA'!B15*'PART PEF2023'!E$5,'CALCULO GARANTIA'!K15+'CALCULO GARANTIA'!D15),2)</f>
        <v>5500189.9900000002</v>
      </c>
      <c r="F16" s="267">
        <f t="shared" ref="F16" si="66">+G16/G$58</f>
        <v>8.7758547275214299E-3</v>
      </c>
      <c r="G16" s="258">
        <f>ROUND(+'PART PEF2023'!E$11*'Art.14 Frac.III'!R14,2)</f>
        <v>4079629.06</v>
      </c>
      <c r="H16" s="267">
        <f t="shared" ref="H16" si="67">+I16/I$58</f>
        <v>3.5899543230215251E-3</v>
      </c>
      <c r="I16" s="166">
        <f>ROUND(+IF('PART PEF2023'!G$6&lt;1,'CALCULO GARANTIA'!B15*'PART PEF2023'!E$6,'CALCULO GARANTIA'!L15+'CALCULO GARANTIA'!E15),2)</f>
        <v>896889.69</v>
      </c>
      <c r="J16" s="267">
        <f t="shared" ref="J16" si="68">+K16/K$58</f>
        <v>3.9938260010427048E-3</v>
      </c>
      <c r="K16" s="255">
        <f>ROUND(+IF('PART PEF2023'!G$7&lt;1,'CALCULO GARANTIA'!B15*'PART PEF2023'!E$7,'CALCULO GARANTIA'!M15+'CALCULO GARANTIA'!F15),2)</f>
        <v>1804799.64</v>
      </c>
      <c r="L16" s="267">
        <f t="shared" ref="L16" si="69">+M16/M$58</f>
        <v>4.3649934460260574E-3</v>
      </c>
      <c r="M16" s="166">
        <f>ROUND(+IF('PART PEF2023'!G$8&lt;1,'CALCULO GARANTIA'!B15*'PART PEF2023'!E$8,'CALCULO GARANTIA'!N15+'CALCULO GARANTIA'!G15),2)</f>
        <v>1039882.87</v>
      </c>
      <c r="N16" s="267">
        <f t="shared" ref="N16" si="70">+O16/O$58</f>
        <v>3.6515762950092797E-3</v>
      </c>
      <c r="O16" s="255">
        <f>ROUND(+IF('PART PEF2023'!G$9&lt;1,'CALCULO GARANTIA'!B15*'PART PEF2023'!E$9,'CALCULO GARANTIA'!O15+'CALCULO GARANTIA'!H15),2)</f>
        <v>163788.70000000001</v>
      </c>
      <c r="P16" s="267">
        <f t="shared" ref="P16" si="71">+Q16/Q$58</f>
        <v>1.2209777121148685E-2</v>
      </c>
      <c r="Q16" s="166">
        <f>+ROUND('COEF Art 14 F II'!L16,2)</f>
        <v>3422562.9</v>
      </c>
      <c r="R16" s="267">
        <f t="shared" ref="R16" si="72">+S16/S$58</f>
        <v>3.6653374254808462E-3</v>
      </c>
      <c r="S16" s="255">
        <f>+'ISR BI'!D13</f>
        <v>533815.01</v>
      </c>
      <c r="T16" s="267">
        <f t="shared" ref="T16" si="73">+U16/U$58</f>
        <v>4.8057655084315963E-3</v>
      </c>
      <c r="U16" s="230">
        <f t="shared" si="9"/>
        <v>57136940.204794921</v>
      </c>
    </row>
    <row r="17" spans="1:21">
      <c r="A17" s="229" t="s">
        <v>132</v>
      </c>
      <c r="B17" s="267">
        <f t="shared" si="0"/>
        <v>3.8221855775384238E-3</v>
      </c>
      <c r="C17" s="255">
        <f>ROUND(IF('PART PEF2023'!G$4&lt;1,'CALCULO GARANTIA'!B16*'PART PEF2023'!E$4,'CALCULO GARANTIA'!J16+'CALCULO GARANTIA'!C16),2)</f>
        <v>33646982.75</v>
      </c>
      <c r="D17" s="267">
        <f t="shared" si="0"/>
        <v>3.8202828219072878E-3</v>
      </c>
      <c r="E17" s="166">
        <f>ROUND(+IF('PART PEF2023'!G$5&lt;1,'CALCULO GARANTIA'!B16*'PART PEF2023'!E$5,'CALCULO GARANTIA'!K16+'CALCULO GARANTIA'!D16),2)</f>
        <v>4624587.72</v>
      </c>
      <c r="F17" s="267">
        <f t="shared" ref="F17" si="74">+G17/G$58</f>
        <v>1.0362695515187963E-2</v>
      </c>
      <c r="G17" s="258">
        <f>ROUND(+'PART PEF2023'!E$11*'Art.14 Frac.III'!R15,2)</f>
        <v>4817303.28</v>
      </c>
      <c r="H17" s="267">
        <f t="shared" ref="H17" si="75">+I17/I$58</f>
        <v>3.8731277235669777E-3</v>
      </c>
      <c r="I17" s="166">
        <f>ROUND(+IF('PART PEF2023'!G$6&lt;1,'CALCULO GARANTIA'!B16*'PART PEF2023'!E$6,'CALCULO GARANTIA'!L16+'CALCULO GARANTIA'!E16),2)</f>
        <v>967635.8</v>
      </c>
      <c r="J17" s="267">
        <f t="shared" ref="J17" si="76">+K17/K$58</f>
        <v>3.8507477756253407E-3</v>
      </c>
      <c r="K17" s="255">
        <f>ROUND(+IF('PART PEF2023'!G$7&lt;1,'CALCULO GARANTIA'!B16*'PART PEF2023'!E$7,'CALCULO GARANTIA'!M16+'CALCULO GARANTIA'!F16),2)</f>
        <v>1740142.96</v>
      </c>
      <c r="L17" s="267">
        <f t="shared" ref="L17" si="77">+M17/M$58</f>
        <v>3.8301800900670041E-3</v>
      </c>
      <c r="M17" s="166">
        <f>ROUND(+IF('PART PEF2023'!G$8&lt;1,'CALCULO GARANTIA'!B16*'PART PEF2023'!E$8,'CALCULO GARANTIA'!N16+'CALCULO GARANTIA'!G16),2)</f>
        <v>912473</v>
      </c>
      <c r="N17" s="267">
        <f t="shared" ref="N17" si="78">+O17/O$58</f>
        <v>3.869713059253925E-3</v>
      </c>
      <c r="O17" s="255">
        <f>ROUND(+IF('PART PEF2023'!G$9&lt;1,'CALCULO GARANTIA'!B16*'PART PEF2023'!E$9,'CALCULO GARANTIA'!O16+'CALCULO GARANTIA'!H16),2)</f>
        <v>173573.06</v>
      </c>
      <c r="P17" s="267">
        <f t="shared" ref="P17" si="79">+Q17/Q$58</f>
        <v>2.0178712634221058E-3</v>
      </c>
      <c r="Q17" s="166">
        <f>+ROUND('COEF Art 14 F II'!L17,2)</f>
        <v>565636.15</v>
      </c>
      <c r="R17" s="267">
        <f t="shared" ref="R17" si="80">+S17/S$58</f>
        <v>3.3296669818230583E-4</v>
      </c>
      <c r="S17" s="255">
        <f>+'ISR BI'!D14</f>
        <v>48492.84</v>
      </c>
      <c r="T17" s="267">
        <f t="shared" ref="T17" si="81">+U17/U$58</f>
        <v>3.9949394381849747E-3</v>
      </c>
      <c r="U17" s="230">
        <f t="shared" si="9"/>
        <v>47496827.591957584</v>
      </c>
    </row>
    <row r="18" spans="1:21">
      <c r="A18" s="229" t="s">
        <v>7</v>
      </c>
      <c r="B18" s="267">
        <f t="shared" si="0"/>
        <v>7.3211492615388079E-3</v>
      </c>
      <c r="C18" s="255">
        <f>ROUND(IF('PART PEF2023'!G$4&lt;1,'CALCULO GARANTIA'!B17*'PART PEF2023'!E$4,'CALCULO GARANTIA'!J17+'CALCULO GARANTIA'!C17),2)</f>
        <v>64448619.229999997</v>
      </c>
      <c r="D18" s="267">
        <f t="shared" si="0"/>
        <v>7.3026574927195888E-3</v>
      </c>
      <c r="E18" s="166">
        <f>ROUND(+IF('PART PEF2023'!G$5&lt;1,'CALCULO GARANTIA'!B17*'PART PEF2023'!E$5,'CALCULO GARANTIA'!K17+'CALCULO GARANTIA'!D17),2)</f>
        <v>8840125.6500000004</v>
      </c>
      <c r="F18" s="267">
        <f t="shared" ref="F18" si="82">+G18/G$58</f>
        <v>2.0722154833305934E-2</v>
      </c>
      <c r="G18" s="258">
        <f>ROUND(+'PART PEF2023'!E$11*'Art.14 Frac.III'!R16,2)</f>
        <v>9633102.1500000004</v>
      </c>
      <c r="H18" s="267">
        <f t="shared" ref="H18" si="83">+I18/I$58</f>
        <v>7.8162276993547653E-3</v>
      </c>
      <c r="I18" s="166">
        <f>ROUND(+IF('PART PEF2023'!G$6&lt;1,'CALCULO GARANTIA'!B17*'PART PEF2023'!E$6,'CALCULO GARANTIA'!L17+'CALCULO GARANTIA'!E17),2)</f>
        <v>1952752.99</v>
      </c>
      <c r="J18" s="267">
        <f t="shared" ref="J18" si="84">+K18/K$58</f>
        <v>7.5987294618495311E-3</v>
      </c>
      <c r="K18" s="255">
        <f>ROUND(+IF('PART PEF2023'!G$7&lt;1,'CALCULO GARANTIA'!B17*'PART PEF2023'!E$7,'CALCULO GARANTIA'!M17+'CALCULO GARANTIA'!F17),2)</f>
        <v>3433846.19</v>
      </c>
      <c r="L18" s="267">
        <f t="shared" ref="L18" si="85">+M18/M$58</f>
        <v>7.3988435699737839E-3</v>
      </c>
      <c r="M18" s="166">
        <f>ROUND(+IF('PART PEF2023'!G$8&lt;1,'CALCULO GARANTIA'!B17*'PART PEF2023'!E$8,'CALCULO GARANTIA'!N17+'CALCULO GARANTIA'!G17),2)</f>
        <v>1762644.27</v>
      </c>
      <c r="N18" s="267">
        <f t="shared" ref="N18" si="86">+O18/O$58</f>
        <v>7.7830422795511162E-3</v>
      </c>
      <c r="O18" s="255">
        <f>ROUND(+IF('PART PEF2023'!G$9&lt;1,'CALCULO GARANTIA'!B17*'PART PEF2023'!E$9,'CALCULO GARANTIA'!O17+'CALCULO GARANTIA'!H17),2)</f>
        <v>349102.49</v>
      </c>
      <c r="P18" s="267">
        <f t="shared" ref="P18" si="87">+Q18/Q$58</f>
        <v>2.7298726953798543E-3</v>
      </c>
      <c r="Q18" s="166">
        <f>+ROUND('COEF Art 14 F II'!L18,2)</f>
        <v>765219.62</v>
      </c>
      <c r="R18" s="267">
        <f t="shared" ref="R18" si="88">+S18/S$58</f>
        <v>3.5588450641661518E-4</v>
      </c>
      <c r="S18" s="255">
        <f>+'ISR BI'!D15</f>
        <v>51830.559999999998</v>
      </c>
      <c r="T18" s="267">
        <f t="shared" ref="T18" si="89">+U18/U$58</f>
        <v>7.6739285467444813E-3</v>
      </c>
      <c r="U18" s="230">
        <f t="shared" si="9"/>
        <v>91237243.211707398</v>
      </c>
    </row>
    <row r="19" spans="1:21">
      <c r="A19" s="229" t="s">
        <v>133</v>
      </c>
      <c r="B19" s="267">
        <f t="shared" si="0"/>
        <v>4.9482089712636363E-3</v>
      </c>
      <c r="C19" s="255">
        <f>ROUND(IF('PART PEF2023'!G$4&lt;1,'CALCULO GARANTIA'!B18*'PART PEF2023'!E$4,'CALCULO GARANTIA'!J18+'CALCULO GARANTIA'!C18),2)</f>
        <v>43559450.090000004</v>
      </c>
      <c r="D19" s="267">
        <f t="shared" si="0"/>
        <v>4.9628663533717492E-3</v>
      </c>
      <c r="E19" s="166">
        <f>ROUND(+IF('PART PEF2023'!G$5&lt;1,'CALCULO GARANTIA'!B18*'PART PEF2023'!E$5,'CALCULO GARANTIA'!K18+'CALCULO GARANTIA'!D18),2)</f>
        <v>6007725.5700000003</v>
      </c>
      <c r="F19" s="267">
        <f t="shared" ref="F19" si="90">+G19/G$58</f>
        <v>1.2298821652702201E-2</v>
      </c>
      <c r="G19" s="258">
        <f>ROUND(+'PART PEF2023'!E$11*'Art.14 Frac.III'!R17,2)</f>
        <v>5717349.6799999997</v>
      </c>
      <c r="H19" s="267">
        <f t="shared" ref="H19" si="91">+I19/I$58</f>
        <v>4.555788260376387E-3</v>
      </c>
      <c r="I19" s="166">
        <f>ROUND(+IF('PART PEF2023'!G$6&lt;1,'CALCULO GARANTIA'!B18*'PART PEF2023'!E$6,'CALCULO GARANTIA'!L18+'CALCULO GARANTIA'!E18),2)</f>
        <v>1138187.05</v>
      </c>
      <c r="J19" s="267">
        <f t="shared" ref="J19" si="92">+K19/K$58</f>
        <v>4.7281868096172948E-3</v>
      </c>
      <c r="K19" s="255">
        <f>ROUND(+IF('PART PEF2023'!G$7&lt;1,'CALCULO GARANTIA'!B18*'PART PEF2023'!E$7,'CALCULO GARANTIA'!M18+'CALCULO GARANTIA'!F18),2)</f>
        <v>2136655.39</v>
      </c>
      <c r="L19" s="267">
        <f t="shared" ref="L19" si="93">+M19/M$58</f>
        <v>4.8866250937716748E-3</v>
      </c>
      <c r="M19" s="166">
        <f>ROUND(+IF('PART PEF2023'!G$8&lt;1,'CALCULO GARANTIA'!B18*'PART PEF2023'!E$8,'CALCULO GARANTIA'!N18+'CALCULO GARANTIA'!G18),2)</f>
        <v>1164152.43</v>
      </c>
      <c r="N19" s="267">
        <f t="shared" ref="N19" si="94">+O19/O$58</f>
        <v>4.5820924464322968E-3</v>
      </c>
      <c r="O19" s="255">
        <f>ROUND(+IF('PART PEF2023'!G$9&lt;1,'CALCULO GARANTIA'!B18*'PART PEF2023'!E$9,'CALCULO GARANTIA'!O18+'CALCULO GARANTIA'!H18),2)</f>
        <v>205526.3</v>
      </c>
      <c r="P19" s="267">
        <f t="shared" ref="P19" si="95">+Q19/Q$58</f>
        <v>9.5066829269583562E-3</v>
      </c>
      <c r="Q19" s="166">
        <f>+ROUND('COEF Art 14 F II'!L19,2)</f>
        <v>2664849.65</v>
      </c>
      <c r="R19" s="267">
        <f t="shared" ref="R19" si="96">+S19/S$58</f>
        <v>2.176259736094539E-2</v>
      </c>
      <c r="S19" s="255">
        <f>+'ISR BI'!D16</f>
        <v>3169476.58</v>
      </c>
      <c r="T19" s="267">
        <f t="shared" ref="T19" si="97">+U19/U$58</f>
        <v>5.5313313527567904E-3</v>
      </c>
      <c r="U19" s="230">
        <f t="shared" si="9"/>
        <v>65763372.807283655</v>
      </c>
    </row>
    <row r="20" spans="1:21">
      <c r="A20" s="229" t="s">
        <v>8</v>
      </c>
      <c r="B20" s="267">
        <f t="shared" si="0"/>
        <v>1.9870938033747065E-2</v>
      </c>
      <c r="C20" s="255">
        <f>ROUND(IF('PART PEF2023'!G$4&lt;1,'CALCULO GARANTIA'!B19*'PART PEF2023'!E$4,'CALCULO GARANTIA'!J19+'CALCULO GARANTIA'!C19),2)</f>
        <v>174925339.36000001</v>
      </c>
      <c r="D20" s="267">
        <f t="shared" si="0"/>
        <v>1.9805635222575106E-2</v>
      </c>
      <c r="E20" s="166">
        <f>ROUND(+IF('PART PEF2023'!G$5&lt;1,'CALCULO GARANTIA'!B19*'PART PEF2023'!E$5,'CALCULO GARANTIA'!K19+'CALCULO GARANTIA'!D19),2)</f>
        <v>23975423.210000001</v>
      </c>
      <c r="F20" s="267">
        <f t="shared" ref="F20" si="98">+G20/G$58</f>
        <v>9.9640463986629419E-3</v>
      </c>
      <c r="G20" s="258">
        <f>ROUND(+'PART PEF2023'!E$11*'Art.14 Frac.III'!R18,2)</f>
        <v>4631983.38</v>
      </c>
      <c r="H20" s="267">
        <f t="shared" ref="H20" si="99">+I20/I$58</f>
        <v>2.1619284066969391E-2</v>
      </c>
      <c r="I20" s="166">
        <f>ROUND(+IF('PART PEF2023'!G$6&lt;1,'CALCULO GARANTIA'!B19*'PART PEF2023'!E$6,'CALCULO GARANTIA'!L19+'CALCULO GARANTIA'!E19),2)</f>
        <v>5401214.4000000004</v>
      </c>
      <c r="J20" s="267">
        <f t="shared" ref="J20" si="100">+K20/K$58</f>
        <v>2.0851199382149042E-2</v>
      </c>
      <c r="K20" s="255">
        <f>ROUND(+IF('PART PEF2023'!G$7&lt;1,'CALCULO GARANTIA'!B19*'PART PEF2023'!E$7,'CALCULO GARANTIA'!M19+'CALCULO GARANTIA'!F19),2)</f>
        <v>9422603.0700000003</v>
      </c>
      <c r="L20" s="267">
        <f t="shared" ref="L20" si="101">+M20/M$58</f>
        <v>2.0145311700764747E-2</v>
      </c>
      <c r="M20" s="166">
        <f>ROUND(+IF('PART PEF2023'!G$8&lt;1,'CALCULO GARANTIA'!B19*'PART PEF2023'!E$8,'CALCULO GARANTIA'!N19+'CALCULO GARANTIA'!G19),2)</f>
        <v>4799265.9800000004</v>
      </c>
      <c r="N20" s="267">
        <f t="shared" ref="N20" si="102">+O20/O$58</f>
        <v>2.1502091427104044E-2</v>
      </c>
      <c r="O20" s="255">
        <f>ROUND(+IF('PART PEF2023'!G$9&lt;1,'CALCULO GARANTIA'!B19*'PART PEF2023'!E$9,'CALCULO GARANTIA'!O19+'CALCULO GARANTIA'!H19),2)</f>
        <v>964460.09</v>
      </c>
      <c r="P20" s="267">
        <f t="shared" ref="P20" si="103">+Q20/Q$58</f>
        <v>7.6352185596948331E-3</v>
      </c>
      <c r="Q20" s="166">
        <f>+ROUND('COEF Art 14 F II'!L20,2)</f>
        <v>2140253.2999999998</v>
      </c>
      <c r="R20" s="267">
        <f t="shared" ref="R20" si="104">+S20/S$58</f>
        <v>7.454618410661533E-5</v>
      </c>
      <c r="S20" s="255">
        <f>+'ISR BI'!D17</f>
        <v>10856.81</v>
      </c>
      <c r="T20" s="267">
        <f t="shared" ref="T20" si="105">+U20/U$58</f>
        <v>1.9031598199501346E-2</v>
      </c>
      <c r="U20" s="230">
        <f t="shared" si="9"/>
        <v>226271399.72159731</v>
      </c>
    </row>
    <row r="21" spans="1:21">
      <c r="A21" s="229" t="s">
        <v>9</v>
      </c>
      <c r="B21" s="267">
        <f t="shared" si="0"/>
        <v>2.5674000956004712E-3</v>
      </c>
      <c r="C21" s="255">
        <f>ROUND(IF('PART PEF2023'!G$4&lt;1,'CALCULO GARANTIA'!B20*'PART PEF2023'!E$4,'CALCULO GARANTIA'!J20+'CALCULO GARANTIA'!C20),2)</f>
        <v>22601013.210000001</v>
      </c>
      <c r="D21" s="267">
        <f t="shared" si="0"/>
        <v>2.5600669137951625E-3</v>
      </c>
      <c r="E21" s="166">
        <f>ROUND(+IF('PART PEF2023'!G$5&lt;1,'CALCULO GARANTIA'!B20*'PART PEF2023'!E$5,'CALCULO GARANTIA'!K20+'CALCULO GARANTIA'!D20),2)</f>
        <v>3099051.71</v>
      </c>
      <c r="F21" s="267">
        <f t="shared" ref="F21" si="106">+G21/G$58</f>
        <v>1.0094330193095417E-2</v>
      </c>
      <c r="G21" s="258">
        <f>ROUND(+'PART PEF2023'!E$11*'Art.14 Frac.III'!R19,2)</f>
        <v>4692548.37</v>
      </c>
      <c r="H21" s="267">
        <f t="shared" ref="H21" si="107">+I21/I$58</f>
        <v>2.763730667082518E-3</v>
      </c>
      <c r="I21" s="166">
        <f>ROUND(+IF('PART PEF2023'!G$6&lt;1,'CALCULO GARANTIA'!B20*'PART PEF2023'!E$6,'CALCULO GARANTIA'!L20+'CALCULO GARANTIA'!E20),2)</f>
        <v>690471.61</v>
      </c>
      <c r="J21" s="267">
        <f t="shared" ref="J21" si="108">+K21/K$58</f>
        <v>2.6774785908193753E-3</v>
      </c>
      <c r="K21" s="255">
        <f>ROUND(+IF('PART PEF2023'!G$7&lt;1,'CALCULO GARANTIA'!B20*'PART PEF2023'!E$7,'CALCULO GARANTIA'!M20+'CALCULO GARANTIA'!F20),2)</f>
        <v>1209945.6499999999</v>
      </c>
      <c r="L21" s="267">
        <f t="shared" ref="L21" si="109">+M21/M$58</f>
        <v>2.5982108932462613E-3</v>
      </c>
      <c r="M21" s="166">
        <f>ROUND(+IF('PART PEF2023'!G$8&lt;1,'CALCULO GARANTIA'!B20*'PART PEF2023'!E$8,'CALCULO GARANTIA'!N20+'CALCULO GARANTIA'!G20),2)</f>
        <v>618978.02</v>
      </c>
      <c r="N21" s="267">
        <f t="shared" ref="N21" si="110">+O21/O$58</f>
        <v>2.7505706164968769E-3</v>
      </c>
      <c r="O21" s="255">
        <f>ROUND(+IF('PART PEF2023'!G$9&lt;1,'CALCULO GARANTIA'!B20*'PART PEF2023'!E$9,'CALCULO GARANTIA'!O20+'CALCULO GARANTIA'!H20),2)</f>
        <v>123374.77</v>
      </c>
      <c r="P21" s="267">
        <f t="shared" ref="P21" si="111">+Q21/Q$58</f>
        <v>6.4708760128728328E-4</v>
      </c>
      <c r="Q21" s="166">
        <f>+ROUND('COEF Art 14 F II'!L21,2)</f>
        <v>181387.26</v>
      </c>
      <c r="R21" s="267">
        <f t="shared" ref="R21" si="112">+S21/S$58</f>
        <v>1.5489494643508574E-5</v>
      </c>
      <c r="S21" s="255">
        <f>+'ISR BI'!D18</f>
        <v>2255.87</v>
      </c>
      <c r="T21" s="267">
        <f t="shared" ref="T21" si="113">+U21/U$58</f>
        <v>2.7940392183559287E-3</v>
      </c>
      <c r="U21" s="230">
        <f t="shared" si="9"/>
        <v>33219026.494106967</v>
      </c>
    </row>
    <row r="22" spans="1:21">
      <c r="A22" s="229" t="s">
        <v>134</v>
      </c>
      <c r="B22" s="267">
        <f t="shared" si="0"/>
        <v>1.8075292520198878E-3</v>
      </c>
      <c r="C22" s="255">
        <f>ROUND(IF('PART PEF2023'!G$4&lt;1,'CALCULO GARANTIA'!B21*'PART PEF2023'!E$4,'CALCULO GARANTIA'!J21+'CALCULO GARANTIA'!C21),2)</f>
        <v>15911813.890000001</v>
      </c>
      <c r="D22" s="267">
        <f t="shared" si="0"/>
        <v>1.8025500125943034E-3</v>
      </c>
      <c r="E22" s="166">
        <f>ROUND(+IF('PART PEF2023'!G$5&lt;1,'CALCULO GARANTIA'!B21*'PART PEF2023'!E$5,'CALCULO GARANTIA'!K21+'CALCULO GARANTIA'!D21),2)</f>
        <v>2182050.66</v>
      </c>
      <c r="F22" s="267">
        <f t="shared" ref="F22" si="114">+G22/G$58</f>
        <v>3.3343806315778407E-2</v>
      </c>
      <c r="G22" s="258">
        <f>ROUND(+'PART PEF2023'!E$11*'Art.14 Frac.III'!R20,2)</f>
        <v>15500525.640000001</v>
      </c>
      <c r="H22" s="267">
        <f t="shared" ref="H22" si="115">+I22/I$58</f>
        <v>1.9408379938957764E-3</v>
      </c>
      <c r="I22" s="166">
        <f>ROUND(+IF('PART PEF2023'!G$6&lt;1,'CALCULO GARANTIA'!B21*'PART PEF2023'!E$6,'CALCULO GARANTIA'!L21+'CALCULO GARANTIA'!E21),2)</f>
        <v>484885.72</v>
      </c>
      <c r="J22" s="267">
        <f t="shared" ref="J22" si="116">+K22/K$58</f>
        <v>1.8822726895840244E-3</v>
      </c>
      <c r="K22" s="255">
        <f>ROUND(+IF('PART PEF2023'!G$7&lt;1,'CALCULO GARANTIA'!B21*'PART PEF2023'!E$7,'CALCULO GARANTIA'!M21+'CALCULO GARANTIA'!F21),2)</f>
        <v>850594.16</v>
      </c>
      <c r="L22" s="267">
        <f t="shared" ref="L22" si="117">+M22/M$58</f>
        <v>1.8284498151846967E-3</v>
      </c>
      <c r="M22" s="166">
        <f>ROUND(+IF('PART PEF2023'!G$8&lt;1,'CALCULO GARANTIA'!B21*'PART PEF2023'!E$8,'CALCULO GARANTIA'!N21+'CALCULO GARANTIA'!G21),2)</f>
        <v>435595.99</v>
      </c>
      <c r="N22" s="267">
        <f t="shared" ref="N22" si="118">+O22/O$58</f>
        <v>1.9319020712875615E-3</v>
      </c>
      <c r="O22" s="255">
        <f>ROUND(+IF('PART PEF2023'!G$9&lt;1,'CALCULO GARANTIA'!B21*'PART PEF2023'!E$9,'CALCULO GARANTIA'!O21+'CALCULO GARANTIA'!H21),2)</f>
        <v>86654.01</v>
      </c>
      <c r="P22" s="267">
        <f t="shared" ref="P22" si="119">+Q22/Q$58</f>
        <v>7.2398830527692977E-4</v>
      </c>
      <c r="Q22" s="166">
        <f>+ROUND('COEF Art 14 F II'!L22,2)</f>
        <v>202943.55</v>
      </c>
      <c r="R22" s="267">
        <f t="shared" ref="R22" si="120">+S22/S$58</f>
        <v>2.8708102633995058E-4</v>
      </c>
      <c r="S22" s="255">
        <f>+'ISR BI'!D19</f>
        <v>41810.11</v>
      </c>
      <c r="T22" s="267">
        <f t="shared" ref="T22" si="121">+U22/U$58</f>
        <v>3.0024499758963966E-3</v>
      </c>
      <c r="U22" s="230">
        <f t="shared" si="9"/>
        <v>35696873.77374088</v>
      </c>
    </row>
    <row r="23" spans="1:21">
      <c r="A23" s="229" t="s">
        <v>10</v>
      </c>
      <c r="B23" s="267">
        <f t="shared" si="0"/>
        <v>1.5808045097273911E-2</v>
      </c>
      <c r="C23" s="255">
        <f>ROUND(IF('PART PEF2023'!G$4&lt;1,'CALCULO GARANTIA'!B22*'PART PEF2023'!E$4,'CALCULO GARANTIA'!J22+'CALCULO GARANTIA'!C22),2)</f>
        <v>139159391.90000001</v>
      </c>
      <c r="D23" s="267">
        <f t="shared" si="0"/>
        <v>1.5765848350842947E-2</v>
      </c>
      <c r="E23" s="166">
        <f>ROUND(+IF('PART PEF2023'!G$5&lt;1,'CALCULO GARANTIA'!B22*'PART PEF2023'!E$5,'CALCULO GARANTIA'!K22+'CALCULO GARANTIA'!D22),2)</f>
        <v>19085118.059999999</v>
      </c>
      <c r="F23" s="267">
        <f t="shared" ref="F23" si="122">+G23/G$58</f>
        <v>6.134994077256534E-3</v>
      </c>
      <c r="G23" s="258">
        <f>ROUND(+'PART PEF2023'!E$11*'Art.14 Frac.III'!R21,2)</f>
        <v>2851972.93</v>
      </c>
      <c r="H23" s="267">
        <f t="shared" ref="H23" si="123">+I23/I$58</f>
        <v>1.6937774793433634E-2</v>
      </c>
      <c r="I23" s="166">
        <f>ROUND(+IF('PART PEF2023'!G$6&lt;1,'CALCULO GARANTIA'!B22*'PART PEF2023'!E$6,'CALCULO GARANTIA'!L22+'CALCULO GARANTIA'!E22),2)</f>
        <v>4231618.07</v>
      </c>
      <c r="J23" s="267">
        <f t="shared" ref="J23" si="124">+K23/K$58</f>
        <v>1.6441461086925076E-2</v>
      </c>
      <c r="K23" s="255">
        <f>ROUND(+IF('PART PEF2023'!G$7&lt;1,'CALCULO GARANTIA'!B22*'PART PEF2023'!E$7,'CALCULO GARANTIA'!M22+'CALCULO GARANTIA'!F22),2)</f>
        <v>7429853.7400000002</v>
      </c>
      <c r="L23" s="267">
        <f t="shared" ref="L23" si="125">+M23/M$58</f>
        <v>1.5985337260330815E-2</v>
      </c>
      <c r="M23" s="166">
        <f>ROUND(+IF('PART PEF2023'!G$8&lt;1,'CALCULO GARANTIA'!B22*'PART PEF2023'!E$8,'CALCULO GARANTIA'!N22+'CALCULO GARANTIA'!G22),2)</f>
        <v>3808225.2799999998</v>
      </c>
      <c r="N23" s="267">
        <f t="shared" ref="N23" si="126">+O23/O$58</f>
        <v>1.6862048167662853E-2</v>
      </c>
      <c r="O23" s="255">
        <f>ROUND(+IF('PART PEF2023'!G$9&lt;1,'CALCULO GARANTIA'!B22*'PART PEF2023'!E$9,'CALCULO GARANTIA'!O22+'CALCULO GARANTIA'!H22),2)</f>
        <v>756334.45</v>
      </c>
      <c r="P23" s="267">
        <f t="shared" ref="P23" si="127">+Q23/Q$58</f>
        <v>8.165325303620824E-3</v>
      </c>
      <c r="Q23" s="166">
        <f>+ROUND('COEF Art 14 F II'!L23,2)</f>
        <v>2288849.27</v>
      </c>
      <c r="R23" s="267">
        <f t="shared" ref="R23" si="128">+S23/S$58</f>
        <v>4.3870273584582185E-4</v>
      </c>
      <c r="S23" s="255">
        <f>+'ISR BI'!D20</f>
        <v>63892.1</v>
      </c>
      <c r="T23" s="267">
        <f t="shared" ref="T23" si="129">+U23/U$58</f>
        <v>1.5112414917778009E-2</v>
      </c>
      <c r="U23" s="230">
        <f t="shared" si="9"/>
        <v>179675255.89673147</v>
      </c>
    </row>
    <row r="24" spans="1:21">
      <c r="A24" s="229" t="s">
        <v>135</v>
      </c>
      <c r="B24" s="267">
        <f t="shared" si="0"/>
        <v>2.6343758840901389E-2</v>
      </c>
      <c r="C24" s="255">
        <f>ROUND(IF('PART PEF2023'!G$4&lt;1,'CALCULO GARANTIA'!B23*'PART PEF2023'!E$4,'CALCULO GARANTIA'!J23+'CALCULO GARANTIA'!C23),2)</f>
        <v>231906060.37</v>
      </c>
      <c r="D24" s="267">
        <f t="shared" si="0"/>
        <v>2.6428313106635026E-2</v>
      </c>
      <c r="E24" s="166">
        <f>ROUND(+IF('PART PEF2023'!G$5&lt;1,'CALCULO GARANTIA'!B23*'PART PEF2023'!E$5,'CALCULO GARANTIA'!K23+'CALCULO GARANTIA'!D23),2)</f>
        <v>31992409.449999999</v>
      </c>
      <c r="F24" s="267">
        <f t="shared" ref="F24" si="130">+G24/G$58</f>
        <v>2.0853136113488952E-2</v>
      </c>
      <c r="G24" s="258">
        <f>ROUND(+'PART PEF2023'!E$11*'Art.14 Frac.III'!R22,2)</f>
        <v>9693991.3800000008</v>
      </c>
      <c r="H24" s="267">
        <f t="shared" ref="H24" si="131">+I24/I$58</f>
        <v>2.4079995170236325E-2</v>
      </c>
      <c r="I24" s="166">
        <f>ROUND(+IF('PART PEF2023'!G$6&lt;1,'CALCULO GARANTIA'!B23*'PART PEF2023'!E$6,'CALCULO GARANTIA'!L23+'CALCULO GARANTIA'!E23),2)</f>
        <v>6015981.6699999999</v>
      </c>
      <c r="J24" s="267">
        <f t="shared" ref="J24" si="132">+K24/K$58</f>
        <v>2.5074513507913711E-2</v>
      </c>
      <c r="K24" s="255">
        <f>ROUND(+IF('PART PEF2023'!G$7&lt;1,'CALCULO GARANTIA'!B23*'PART PEF2023'!E$7,'CALCULO GARANTIA'!M23+'CALCULO GARANTIA'!F23),2)</f>
        <v>11331107.800000001</v>
      </c>
      <c r="L24" s="267">
        <f t="shared" ref="L24" si="133">+M24/M$58</f>
        <v>2.5988498953266416E-2</v>
      </c>
      <c r="M24" s="166">
        <f>ROUND(+IF('PART PEF2023'!G$8&lt;1,'CALCULO GARANTIA'!B23*'PART PEF2023'!E$8,'CALCULO GARANTIA'!N23+'CALCULO GARANTIA'!G23),2)</f>
        <v>6191302.5099999998</v>
      </c>
      <c r="N24" s="267">
        <f t="shared" ref="N24" si="134">+O24/O$58</f>
        <v>2.4231736711177298E-2</v>
      </c>
      <c r="O24" s="255">
        <f>ROUND(+IF('PART PEF2023'!G$9&lt;1,'CALCULO GARANTIA'!B23*'PART PEF2023'!E$9,'CALCULO GARANTIA'!O23+'CALCULO GARANTIA'!H23),2)</f>
        <v>1086896.27</v>
      </c>
      <c r="P24" s="267">
        <f t="shared" ref="P24" si="135">+Q24/Q$58</f>
        <v>5.4898577152272143E-2</v>
      </c>
      <c r="Q24" s="166">
        <f>+ROUND('COEF Art 14 F II'!L24,2)</f>
        <v>15388801.25</v>
      </c>
      <c r="R24" s="267">
        <f t="shared" ref="R24" si="136">+S24/S$58</f>
        <v>9.2977931695795296E-2</v>
      </c>
      <c r="S24" s="255">
        <f>+'ISR BI'!D21</f>
        <v>13541185.92</v>
      </c>
      <c r="T24" s="267">
        <f t="shared" ref="T24" si="137">+U24/U$58</f>
        <v>2.751626713978949E-2</v>
      </c>
      <c r="U24" s="230">
        <f t="shared" si="9"/>
        <v>327147736.91453272</v>
      </c>
    </row>
    <row r="25" spans="1:21">
      <c r="A25" s="229" t="s">
        <v>11</v>
      </c>
      <c r="B25" s="267">
        <f t="shared" si="0"/>
        <v>3.4070457376641134E-3</v>
      </c>
      <c r="C25" s="255">
        <f>ROUND(IF('PART PEF2023'!G$4&lt;1,'CALCULO GARANTIA'!B24*'PART PEF2023'!E$4,'CALCULO GARANTIA'!J24+'CALCULO GARANTIA'!C24),2)</f>
        <v>29992475.989999998</v>
      </c>
      <c r="D25" s="267">
        <f t="shared" si="0"/>
        <v>3.4063824879382947E-3</v>
      </c>
      <c r="E25" s="166">
        <f>ROUND(+IF('PART PEF2023'!G$5&lt;1,'CALCULO GARANTIA'!B24*'PART PEF2023'!E$5,'CALCULO GARANTIA'!K24+'CALCULO GARANTIA'!D24),2)</f>
        <v>4123546.7</v>
      </c>
      <c r="F25" s="267">
        <f t="shared" ref="F25" si="138">+G25/G$58</f>
        <v>0.11324169563579302</v>
      </c>
      <c r="G25" s="258">
        <f>ROUND(+'PART PEF2023'!E$11*'Art.14 Frac.III'!R23,2)</f>
        <v>52642634.439999998</v>
      </c>
      <c r="H25" s="267">
        <f t="shared" ref="H25" si="139">+I25/I$58</f>
        <v>3.4248027980298681E-3</v>
      </c>
      <c r="I25" s="166">
        <f>ROUND(+IF('PART PEF2023'!G$6&lt;1,'CALCULO GARANTIA'!B24*'PART PEF2023'!E$6,'CALCULO GARANTIA'!L24+'CALCULO GARANTIA'!E24),2)</f>
        <v>855629.36</v>
      </c>
      <c r="J25" s="267">
        <f t="shared" ref="J25" si="140">+K25/K$58</f>
        <v>3.4170017436121478E-3</v>
      </c>
      <c r="K25" s="255">
        <f>ROUND(+IF('PART PEF2023'!G$7&lt;1,'CALCULO GARANTIA'!B24*'PART PEF2023'!E$7,'CALCULO GARANTIA'!M24+'CALCULO GARANTIA'!F24),2)</f>
        <v>1544134.25</v>
      </c>
      <c r="L25" s="267">
        <f t="shared" ref="L25" si="141">+M25/M$58</f>
        <v>3.4098324401127056E-3</v>
      </c>
      <c r="M25" s="166">
        <f>ROUND(+IF('PART PEF2023'!G$8&lt;1,'CALCULO GARANTIA'!B24*'PART PEF2023'!E$8,'CALCULO GARANTIA'!N24+'CALCULO GARANTIA'!G24),2)</f>
        <v>812332.57</v>
      </c>
      <c r="N25" s="267">
        <f t="shared" ref="N25" si="142">+O25/O$58</f>
        <v>3.4236125903266534E-3</v>
      </c>
      <c r="O25" s="255">
        <f>ROUND(+IF('PART PEF2023'!G$9&lt;1,'CALCULO GARANTIA'!B24*'PART PEF2023'!E$9,'CALCULO GARANTIA'!O24+'CALCULO GARANTIA'!H24),2)</f>
        <v>153563.56</v>
      </c>
      <c r="P25" s="267">
        <f t="shared" ref="P25" si="143">+Q25/Q$58</f>
        <v>1.7084930054759805E-3</v>
      </c>
      <c r="Q25" s="166">
        <f>+ROUND('COEF Art 14 F II'!L25,2)</f>
        <v>478913.31</v>
      </c>
      <c r="R25" s="267">
        <f t="shared" ref="R25" si="144">+S25/S$58</f>
        <v>1.7486594194696226E-4</v>
      </c>
      <c r="S25" s="255">
        <f>+'ISR BI'!D22</f>
        <v>25467.25</v>
      </c>
      <c r="T25" s="267">
        <f t="shared" ref="T25" si="145">+U25/U$58</f>
        <v>7.6227440121475233E-3</v>
      </c>
      <c r="U25" s="230">
        <f t="shared" si="9"/>
        <v>90628697.562206686</v>
      </c>
    </row>
    <row r="26" spans="1:21">
      <c r="A26" s="229" t="s">
        <v>12</v>
      </c>
      <c r="B26" s="267">
        <f t="shared" si="0"/>
        <v>4.9167567758390804E-2</v>
      </c>
      <c r="C26" s="255">
        <f>ROUND(IF('PART PEF2023'!G$4&lt;1,'CALCULO GARANTIA'!B25*'PART PEF2023'!E$4,'CALCULO GARANTIA'!J25+'CALCULO GARANTIA'!C25),2)</f>
        <v>432825740.83999997</v>
      </c>
      <c r="D26" s="267">
        <f t="shared" si="0"/>
        <v>4.9210915827855826E-2</v>
      </c>
      <c r="E26" s="166">
        <f>ROUND(+IF('PART PEF2023'!G$5&lt;1,'CALCULO GARANTIA'!B25*'PART PEF2023'!E$5,'CALCULO GARANTIA'!K25+'CALCULO GARANTIA'!D25),2)</f>
        <v>59571557.299999997</v>
      </c>
      <c r="F26" s="267">
        <f t="shared" ref="F26" si="146">+G26/G$58</f>
        <v>2.882254574403274E-2</v>
      </c>
      <c r="G26" s="258">
        <f>ROUND(+'PART PEF2023'!E$11*'Art.14 Frac.III'!R24,2)</f>
        <v>13398728.539999999</v>
      </c>
      <c r="H26" s="267">
        <f t="shared" ref="H26" si="147">+I26/I$58</f>
        <v>4.8007013939895739E-2</v>
      </c>
      <c r="I26" s="166">
        <f>ROUND(+IF('PART PEF2023'!G$6&lt;1,'CALCULO GARANTIA'!B25*'PART PEF2023'!E$6,'CALCULO GARANTIA'!L25+'CALCULO GARANTIA'!E25),2)</f>
        <v>11993744.76</v>
      </c>
      <c r="J26" s="267">
        <f t="shared" ref="J26" si="148">+K26/K$58</f>
        <v>4.8516869300601388E-2</v>
      </c>
      <c r="K26" s="255">
        <f>ROUND(+IF('PART PEF2023'!G$7&lt;1,'CALCULO GARANTIA'!B25*'PART PEF2023'!E$7,'CALCULO GARANTIA'!M25+'CALCULO GARANTIA'!F25),2)</f>
        <v>21924647.75</v>
      </c>
      <c r="L26" s="267">
        <f t="shared" ref="L26" si="149">+M26/M$58</f>
        <v>4.8985438251673202E-2</v>
      </c>
      <c r="M26" s="166">
        <f>ROUND(+IF('PART PEF2023'!G$8&lt;1,'CALCULO GARANTIA'!B25*'PART PEF2023'!E$8,'CALCULO GARANTIA'!N25+'CALCULO GARANTIA'!G25),2)</f>
        <v>11669918.58</v>
      </c>
      <c r="N26" s="267">
        <f t="shared" ref="N26" si="150">+O26/O$58</f>
        <v>4.8084806703763895E-2</v>
      </c>
      <c r="O26" s="255">
        <f>ROUND(+IF('PART PEF2023'!G$9&lt;1,'CALCULO GARANTIA'!B25*'PART PEF2023'!E$9,'CALCULO GARANTIA'!O25+'CALCULO GARANTIA'!H25),2)</f>
        <v>2156807.73</v>
      </c>
      <c r="P26" s="267">
        <f t="shared" ref="P26" si="151">+Q26/Q$58</f>
        <v>7.4853988322336404E-2</v>
      </c>
      <c r="Q26" s="166">
        <f>+ROUND('COEF Art 14 F II'!L26,2)</f>
        <v>20982568.379999999</v>
      </c>
      <c r="R26" s="267">
        <f t="shared" ref="R26" si="152">+S26/S$58</f>
        <v>4.7351888700117896E-2</v>
      </c>
      <c r="S26" s="255">
        <f>+'ISR BI'!D23</f>
        <v>6896267.9299999997</v>
      </c>
      <c r="T26" s="267">
        <f t="shared" ref="T26" si="153">+U26/U$58</f>
        <v>4.8903005417738649E-2</v>
      </c>
      <c r="U26" s="230">
        <f t="shared" si="9"/>
        <v>581419982.20383346</v>
      </c>
    </row>
    <row r="27" spans="1:21">
      <c r="A27" s="229" t="s">
        <v>136</v>
      </c>
      <c r="B27" s="267">
        <f t="shared" si="0"/>
        <v>6.3151316091657646E-3</v>
      </c>
      <c r="C27" s="255">
        <f>ROUND(IF('PART PEF2023'!G$4&lt;1,'CALCULO GARANTIA'!B26*'PART PEF2023'!E$4,'CALCULO GARANTIA'!J26+'CALCULO GARANTIA'!C26),2)</f>
        <v>55592571.32</v>
      </c>
      <c r="D27" s="267">
        <f t="shared" si="0"/>
        <v>6.3024611523287821E-3</v>
      </c>
      <c r="E27" s="166">
        <f>ROUND(+IF('PART PEF2023'!G$5&lt;1,'CALCULO GARANTIA'!B26*'PART PEF2023'!E$5,'CALCULO GARANTIA'!K26+'CALCULO GARANTIA'!D26),2)</f>
        <v>7629352.54</v>
      </c>
      <c r="F27" s="267">
        <f t="shared" ref="F27" si="154">+G27/G$58</f>
        <v>1.9241613700620601E-2</v>
      </c>
      <c r="G27" s="258">
        <f>ROUND(+'PART PEF2023'!E$11*'Art.14 Frac.III'!R25,2)</f>
        <v>8944843.4199999999</v>
      </c>
      <c r="H27" s="267">
        <f t="shared" ref="H27" si="155">+I27/I$58</f>
        <v>6.6543565871302135E-3</v>
      </c>
      <c r="I27" s="166">
        <f>ROUND(+IF('PART PEF2023'!G$6&lt;1,'CALCULO GARANTIA'!B26*'PART PEF2023'!E$6,'CALCULO GARANTIA'!L26+'CALCULO GARANTIA'!E26),2)</f>
        <v>1662479.04</v>
      </c>
      <c r="J27" s="267">
        <f t="shared" ref="J27" si="156">+K27/K$58</f>
        <v>6.5053280278175047E-3</v>
      </c>
      <c r="K27" s="255">
        <f>ROUND(+IF('PART PEF2023'!G$7&lt;1,'CALCULO GARANTIA'!B26*'PART PEF2023'!E$7,'CALCULO GARANTIA'!M26+'CALCULO GARANTIA'!F26),2)</f>
        <v>2939740.91</v>
      </c>
      <c r="L27" s="267">
        <f t="shared" ref="L27" si="157">+M27/M$58</f>
        <v>6.3683673260518225E-3</v>
      </c>
      <c r="M27" s="166">
        <f>ROUND(+IF('PART PEF2023'!G$8&lt;1,'CALCULO GARANTIA'!B26*'PART PEF2023'!E$8,'CALCULO GARANTIA'!N26+'CALCULO GARANTIA'!G26),2)</f>
        <v>1517151.44</v>
      </c>
      <c r="N27" s="267">
        <f t="shared" ref="N27" si="158">+O27/O$58</f>
        <v>6.6316179428438284E-3</v>
      </c>
      <c r="O27" s="255">
        <f>ROUND(+IF('PART PEF2023'!G$9&lt;1,'CALCULO GARANTIA'!B26*'PART PEF2023'!E$9,'CALCULO GARANTIA'!O26+'CALCULO GARANTIA'!H26),2)</f>
        <v>297456.21999999997</v>
      </c>
      <c r="P27" s="267">
        <f t="shared" ref="P27" si="159">+Q27/Q$58</f>
        <v>3.2077814163327034E-3</v>
      </c>
      <c r="Q27" s="166">
        <f>+ROUND('COEF Art 14 F II'!L27,2)</f>
        <v>899183.79</v>
      </c>
      <c r="R27" s="267">
        <f t="shared" ref="R27" si="160">+S27/S$58</f>
        <v>1.5201529305565943E-3</v>
      </c>
      <c r="S27" s="255">
        <f>+'ISR BI'!D24</f>
        <v>221393.11</v>
      </c>
      <c r="T27" s="267">
        <f t="shared" ref="T27" si="161">+U27/U$58</f>
        <v>6.7038864623265478E-3</v>
      </c>
      <c r="U27" s="230">
        <f t="shared" si="9"/>
        <v>79704171.846431687</v>
      </c>
    </row>
    <row r="28" spans="1:21">
      <c r="A28" s="229" t="s">
        <v>13</v>
      </c>
      <c r="B28" s="267">
        <f t="shared" si="0"/>
        <v>1.0657585378628682E-3</v>
      </c>
      <c r="C28" s="255">
        <f>ROUND(IF('PART PEF2023'!G$4&lt;1,'CALCULO GARANTIA'!B27*'PART PEF2023'!E$4,'CALCULO GARANTIA'!J27+'CALCULO GARANTIA'!C27),2)</f>
        <v>9381951.3499999996</v>
      </c>
      <c r="D28" s="267">
        <f t="shared" si="0"/>
        <v>1.0644527825233847E-3</v>
      </c>
      <c r="E28" s="166">
        <f>ROUND(+IF('PART PEF2023'!G$5&lt;1,'CALCULO GARANTIA'!B27*'PART PEF2023'!E$5,'CALCULO GARANTIA'!K27+'CALCULO GARANTIA'!D27),2)</f>
        <v>1288557.81</v>
      </c>
      <c r="F28" s="267">
        <f t="shared" ref="F28" si="162">+G28/G$58</f>
        <v>1.2975191809464982E-2</v>
      </c>
      <c r="G28" s="258">
        <f>ROUND(+'PART PEF2023'!E$11*'Art.14 Frac.III'!R26,2)</f>
        <v>6031773.6799999997</v>
      </c>
      <c r="H28" s="267">
        <f t="shared" ref="H28" si="163">+I28/I$58</f>
        <v>1.1007174646254472E-3</v>
      </c>
      <c r="I28" s="166">
        <f>ROUND(+IF('PART PEF2023'!G$6&lt;1,'CALCULO GARANTIA'!B27*'PART PEF2023'!E$6,'CALCULO GARANTIA'!L27+'CALCULO GARANTIA'!E27),2)</f>
        <v>274995.74</v>
      </c>
      <c r="J28" s="267">
        <f t="shared" ref="J28" si="164">+K28/K$58</f>
        <v>1.085359276916033E-3</v>
      </c>
      <c r="K28" s="255">
        <f>ROUND(+IF('PART PEF2023'!G$7&lt;1,'CALCULO GARANTIA'!B27*'PART PEF2023'!E$7,'CALCULO GARANTIA'!M27+'CALCULO GARANTIA'!F27),2)</f>
        <v>490471.05</v>
      </c>
      <c r="L28" s="267">
        <f t="shared" ref="L28" si="165">+M28/M$58</f>
        <v>1.0712447537881873E-3</v>
      </c>
      <c r="M28" s="166">
        <f>ROUND(+IF('PART PEF2023'!G$8&lt;1,'CALCULO GARANTIA'!B27*'PART PEF2023'!E$8,'CALCULO GARANTIA'!N27+'CALCULO GARANTIA'!G27),2)</f>
        <v>255205.21</v>
      </c>
      <c r="N28" s="267">
        <f t="shared" ref="N28" si="166">+O28/O$58</f>
        <v>1.0983742860902394E-3</v>
      </c>
      <c r="O28" s="255">
        <f>ROUND(+IF('PART PEF2023'!G$9&lt;1,'CALCULO GARANTIA'!B27*'PART PEF2023'!E$9,'CALCULO GARANTIA'!O27+'CALCULO GARANTIA'!H27),2)</f>
        <v>49266.75</v>
      </c>
      <c r="P28" s="267">
        <f t="shared" ref="P28" si="167">+Q28/Q$58</f>
        <v>4.4534126858582082E-4</v>
      </c>
      <c r="Q28" s="166">
        <f>+ROUND('COEF Art 14 F II'!L28,2)</f>
        <v>124835.08</v>
      </c>
      <c r="R28" s="267">
        <f t="shared" ref="R28" si="168">+S28/S$58</f>
        <v>1.4659083546155477E-5</v>
      </c>
      <c r="S28" s="255">
        <f>+'ISR BI'!D25</f>
        <v>2134.9299999999998</v>
      </c>
      <c r="T28" s="267">
        <f t="shared" ref="T28" si="169">+U28/U$58</f>
        <v>1.5054939484401052E-3</v>
      </c>
      <c r="U28" s="230">
        <f t="shared" si="9"/>
        <v>17899191.618855339</v>
      </c>
    </row>
    <row r="29" spans="1:21">
      <c r="A29" s="229" t="s">
        <v>14</v>
      </c>
      <c r="B29" s="267">
        <f t="shared" si="0"/>
        <v>4.4904321994497457E-3</v>
      </c>
      <c r="C29" s="255">
        <f>ROUND(IF('PART PEF2023'!G$4&lt;1,'CALCULO GARANTIA'!B28*'PART PEF2023'!E$4,'CALCULO GARANTIA'!J28+'CALCULO GARANTIA'!C28),2)</f>
        <v>39529607.259999998</v>
      </c>
      <c r="D29" s="267">
        <f t="shared" si="0"/>
        <v>4.4768298574867083E-3</v>
      </c>
      <c r="E29" s="166">
        <f>ROUND(+IF('PART PEF2023'!G$5&lt;1,'CALCULO GARANTIA'!B28*'PART PEF2023'!E$5,'CALCULO GARANTIA'!K28+'CALCULO GARANTIA'!D28),2)</f>
        <v>5419361.1699999999</v>
      </c>
      <c r="F29" s="267">
        <f t="shared" ref="F29" si="170">+G29/G$58</f>
        <v>8.3881904307595654E-3</v>
      </c>
      <c r="G29" s="258">
        <f>ROUND(+'PART PEF2023'!E$11*'Art.14 Frac.III'!R27,2)</f>
        <v>3899415.67</v>
      </c>
      <c r="H29" s="267">
        <f t="shared" ref="H29" si="171">+I29/I$58</f>
        <v>4.8546065006645749E-3</v>
      </c>
      <c r="I29" s="166">
        <f>ROUND(+IF('PART PEF2023'!G$6&lt;1,'CALCULO GARANTIA'!B28*'PART PEF2023'!E$6,'CALCULO GARANTIA'!L28+'CALCULO GARANTIA'!E28),2)</f>
        <v>1212841.76</v>
      </c>
      <c r="J29" s="267">
        <f t="shared" ref="J29" si="172">+K29/K$58</f>
        <v>4.6946171994680271E-3</v>
      </c>
      <c r="K29" s="255">
        <f>ROUND(+IF('PART PEF2023'!G$7&lt;1,'CALCULO GARANTIA'!B28*'PART PEF2023'!E$7,'CALCULO GARANTIA'!M28+'CALCULO GARANTIA'!F28),2)</f>
        <v>2121485.37</v>
      </c>
      <c r="L29" s="267">
        <f t="shared" ref="L29" si="173">+M29/M$58</f>
        <v>4.5475832607423366E-3</v>
      </c>
      <c r="M29" s="166">
        <f>ROUND(+IF('PART PEF2023'!G$8&lt;1,'CALCULO GARANTIA'!B28*'PART PEF2023'!E$8,'CALCULO GARANTIA'!N28+'CALCULO GARANTIA'!G28),2)</f>
        <v>1083381.68</v>
      </c>
      <c r="N29" s="267">
        <f t="shared" ref="N29" si="174">+O29/O$58</f>
        <v>4.8301958276988181E-3</v>
      </c>
      <c r="O29" s="255">
        <f>ROUND(+IF('PART PEF2023'!G$9&lt;1,'CALCULO GARANTIA'!B28*'PART PEF2023'!E$9,'CALCULO GARANTIA'!O28+'CALCULO GARANTIA'!H28),2)</f>
        <v>216654.79</v>
      </c>
      <c r="P29" s="267">
        <f t="shared" ref="P29" si="175">+Q29/Q$58</f>
        <v>1.5410630253986815E-3</v>
      </c>
      <c r="Q29" s="166">
        <f>+ROUND('COEF Art 14 F II'!L29,2)</f>
        <v>431980.46</v>
      </c>
      <c r="R29" s="267">
        <f t="shared" ref="R29" si="176">+S29/S$58</f>
        <v>1.357743429722185E-6</v>
      </c>
      <c r="S29" s="255">
        <f>+'ISR BI'!D26</f>
        <v>197.74</v>
      </c>
      <c r="T29" s="267">
        <f t="shared" ref="T29" si="177">+U29/U$58</f>
        <v>4.5347631586739922E-3</v>
      </c>
      <c r="U29" s="230">
        <f t="shared" si="9"/>
        <v>53914925.93333444</v>
      </c>
    </row>
    <row r="30" spans="1:21">
      <c r="A30" s="229" t="s">
        <v>15</v>
      </c>
      <c r="B30" s="267">
        <f t="shared" si="0"/>
        <v>6.1809100042415337E-3</v>
      </c>
      <c r="C30" s="255">
        <f>ROUND(IF('PART PEF2023'!G$4&lt;1,'CALCULO GARANTIA'!B29*'PART PEF2023'!E$4,'CALCULO GARANTIA'!J29+'CALCULO GARANTIA'!C29),2)</f>
        <v>54411008.590000004</v>
      </c>
      <c r="D30" s="267">
        <f t="shared" si="0"/>
        <v>6.2020201188113444E-3</v>
      </c>
      <c r="E30" s="166">
        <f>ROUND(+IF('PART PEF2023'!G$5&lt;1,'CALCULO GARANTIA'!B29*'PART PEF2023'!E$5,'CALCULO GARANTIA'!K29+'CALCULO GARANTIA'!D29),2)</f>
        <v>7507765.1100000003</v>
      </c>
      <c r="F30" s="267">
        <f t="shared" ref="F30" si="178">+G30/G$58</f>
        <v>1.7132101498335599E-2</v>
      </c>
      <c r="G30" s="258">
        <f>ROUND(+'PART PEF2023'!E$11*'Art.14 Frac.III'!R28,2)</f>
        <v>7964195.0899999999</v>
      </c>
      <c r="H30" s="267">
        <f t="shared" ref="H30" si="179">+I30/I$58</f>
        <v>5.615730836071765E-3</v>
      </c>
      <c r="I30" s="166">
        <f>ROUND(+IF('PART PEF2023'!G$6&lt;1,'CALCULO GARANTIA'!B29*'PART PEF2023'!E$6,'CALCULO GARANTIA'!L29+'CALCULO GARANTIA'!E29),2)</f>
        <v>1402995.87</v>
      </c>
      <c r="J30" s="267">
        <f t="shared" ref="J30" si="180">+K30/K$58</f>
        <v>5.8640257735518963E-3</v>
      </c>
      <c r="K30" s="255">
        <f>ROUND(+IF('PART PEF2023'!G$7&lt;1,'CALCULO GARANTIA'!B29*'PART PEF2023'!E$7,'CALCULO GARANTIA'!M29+'CALCULO GARANTIA'!F29),2)</f>
        <v>2649938.08</v>
      </c>
      <c r="L30" s="267">
        <f t="shared" ref="L30" si="181">+M30/M$58</f>
        <v>6.0922145875480244E-3</v>
      </c>
      <c r="M30" s="166">
        <f>ROUND(+IF('PART PEF2023'!G$8&lt;1,'CALCULO GARANTIA'!B29*'PART PEF2023'!E$8,'CALCULO GARANTIA'!N29+'CALCULO GARANTIA'!G29),2)</f>
        <v>1451362.91</v>
      </c>
      <c r="N30" s="267">
        <f t="shared" ref="N30" si="182">+O30/O$58</f>
        <v>5.6536150937619139E-3</v>
      </c>
      <c r="O30" s="255">
        <f>ROUND(+IF('PART PEF2023'!G$9&lt;1,'CALCULO GARANTIA'!B29*'PART PEF2023'!E$9,'CALCULO GARANTIA'!O29+'CALCULO GARANTIA'!H29),2)</f>
        <v>253588.64</v>
      </c>
      <c r="P30" s="267">
        <f t="shared" ref="P30" si="183">+Q30/Q$58</f>
        <v>1.4838015680216464E-2</v>
      </c>
      <c r="Q30" s="166">
        <f>+ROUND('COEF Art 14 F II'!L30,2)</f>
        <v>4159293.12</v>
      </c>
      <c r="R30" s="267">
        <f t="shared" ref="R30" si="184">+S30/S$58</f>
        <v>2.13988226445057E-3</v>
      </c>
      <c r="S30" s="255">
        <f>+'ISR BI'!D27</f>
        <v>311649.69</v>
      </c>
      <c r="T30" s="267">
        <f t="shared" ref="T30" si="185">+U30/U$58</f>
        <v>6.7381716669995609E-3</v>
      </c>
      <c r="U30" s="230">
        <f t="shared" si="9"/>
        <v>80111797.163537607</v>
      </c>
    </row>
    <row r="31" spans="1:21">
      <c r="A31" s="229" t="s">
        <v>16</v>
      </c>
      <c r="B31" s="267">
        <f t="shared" si="0"/>
        <v>7.6631770505714777E-2</v>
      </c>
      <c r="C31" s="255">
        <f>ROUND(IF('PART PEF2023'!G$4&lt;1,'CALCULO GARANTIA'!B30*'PART PEF2023'!E$4,'CALCULO GARANTIA'!J30+'CALCULO GARANTIA'!C30),2)</f>
        <v>674595151.90999997</v>
      </c>
      <c r="D31" s="267">
        <f t="shared" si="0"/>
        <v>7.6555241716745381E-2</v>
      </c>
      <c r="E31" s="166">
        <f>ROUND(+IF('PART PEF2023'!G$5&lt;1,'CALCULO GARANTIA'!B30*'PART PEF2023'!E$5,'CALCULO GARANTIA'!K30+'CALCULO GARANTIA'!D30),2)</f>
        <v>92672832.680000007</v>
      </c>
      <c r="F31" s="267">
        <f t="shared" ref="F31" si="186">+G31/G$58</f>
        <v>3.0073234151890293E-2</v>
      </c>
      <c r="G31" s="258">
        <f>ROUND(+'PART PEF2023'!E$11*'Art.14 Frac.III'!R29,2)</f>
        <v>13980135.699999999</v>
      </c>
      <c r="H31" s="267">
        <f t="shared" ref="H31" si="187">+I31/I$58</f>
        <v>7.8680668714393831E-2</v>
      </c>
      <c r="I31" s="166">
        <f>ROUND(+IF('PART PEF2023'!G$6&lt;1,'CALCULO GARANTIA'!B30*'PART PEF2023'!E$6,'CALCULO GARANTIA'!L30+'CALCULO GARANTIA'!E30),2)</f>
        <v>19657041.350000001</v>
      </c>
      <c r="J31" s="267">
        <f t="shared" ref="J31" si="188">+K31/K$58</f>
        <v>7.7780545245118488E-2</v>
      </c>
      <c r="K31" s="255">
        <f>ROUND(+IF('PART PEF2023'!G$7&lt;1,'CALCULO GARANTIA'!B30*'PART PEF2023'!E$7,'CALCULO GARANTIA'!M30+'CALCULO GARANTIA'!F30),2)</f>
        <v>35148827.219999999</v>
      </c>
      <c r="L31" s="267">
        <f t="shared" ref="L31" si="189">+M31/M$58</f>
        <v>7.695331082316019E-2</v>
      </c>
      <c r="M31" s="166">
        <f>ROUND(+IF('PART PEF2023'!G$8&lt;1,'CALCULO GARANTIA'!B30*'PART PEF2023'!E$8,'CALCULO GARANTIA'!N30+'CALCULO GARANTIA'!G30),2)</f>
        <v>18332772.02</v>
      </c>
      <c r="N31" s="267">
        <f t="shared" ref="N31" si="190">+O31/O$58</f>
        <v>7.8543329668988277E-2</v>
      </c>
      <c r="O31" s="255">
        <f>ROUND(+IF('PART PEF2023'!G$9&lt;1,'CALCULO GARANTIA'!B30*'PART PEF2023'!E$9,'CALCULO GARANTIA'!O30+'CALCULO GARANTIA'!H30),2)</f>
        <v>3523001.8</v>
      </c>
      <c r="P31" s="267">
        <f t="shared" ref="P31" si="191">+Q31/Q$58</f>
        <v>0.1023847029139844</v>
      </c>
      <c r="Q31" s="166">
        <f>+ROUND('COEF Art 14 F II'!L31,2)</f>
        <v>28699793.800000001</v>
      </c>
      <c r="R31" s="267">
        <f t="shared" ref="R31" si="192">+S31/S$58</f>
        <v>5.6360883566391455E-2</v>
      </c>
      <c r="S31" s="255">
        <f>+'ISR BI'!D28</f>
        <v>8208326.3099999996</v>
      </c>
      <c r="T31" s="267">
        <f t="shared" ref="T31" si="193">+U31/U$58</f>
        <v>7.5262779294814439E-2</v>
      </c>
      <c r="U31" s="230">
        <f t="shared" si="9"/>
        <v>894817883.36733174</v>
      </c>
    </row>
    <row r="32" spans="1:21">
      <c r="A32" s="229" t="s">
        <v>137</v>
      </c>
      <c r="B32" s="267">
        <f t="shared" si="0"/>
        <v>1.7775166827871157E-3</v>
      </c>
      <c r="C32" s="255">
        <f>ROUND(IF('PART PEF2023'!G$4&lt;1,'CALCULO GARANTIA'!B31*'PART PEF2023'!E$4,'CALCULO GARANTIA'!J31+'CALCULO GARANTIA'!C31),2)</f>
        <v>15647611.02</v>
      </c>
      <c r="D32" s="267">
        <f t="shared" si="0"/>
        <v>1.7715933227045E-3</v>
      </c>
      <c r="E32" s="166">
        <f>ROUND(+IF('PART PEF2023'!G$5&lt;1,'CALCULO GARANTIA'!B31*'PART PEF2023'!E$5,'CALCULO GARANTIA'!K31+'CALCULO GARANTIA'!D31),2)</f>
        <v>2144576.4900000002</v>
      </c>
      <c r="F32" s="267">
        <f t="shared" ref="F32" si="194">+G32/G$58</f>
        <v>9.8554240713887124E-3</v>
      </c>
      <c r="G32" s="258">
        <f>ROUND(+'PART PEF2023'!E$11*'Art.14 Frac.III'!R30,2)</f>
        <v>4581488.1500000004</v>
      </c>
      <c r="H32" s="267">
        <f t="shared" ref="H32" si="195">+I32/I$58</f>
        <v>1.9361022737675413E-3</v>
      </c>
      <c r="I32" s="166">
        <f>ROUND(+IF('PART PEF2023'!G$6&lt;1,'CALCULO GARANTIA'!B31*'PART PEF2023'!E$6,'CALCULO GARANTIA'!L31+'CALCULO GARANTIA'!E31),2)</f>
        <v>483702.58</v>
      </c>
      <c r="J32" s="267">
        <f t="shared" ref="J32" si="196">+K32/K$58</f>
        <v>1.8664323466532576E-3</v>
      </c>
      <c r="K32" s="255">
        <f>ROUND(+IF('PART PEF2023'!G$7&lt;1,'CALCULO GARANTIA'!B31*'PART PEF2023'!E$7,'CALCULO GARANTIA'!M31+'CALCULO GARANTIA'!F31),2)</f>
        <v>843435.95</v>
      </c>
      <c r="L32" s="267">
        <f t="shared" ref="L32" si="197">+M32/M$58</f>
        <v>1.8024040297753077E-3</v>
      </c>
      <c r="M32" s="166">
        <f>ROUND(+IF('PART PEF2023'!G$8&lt;1,'CALCULO GARANTIA'!B31*'PART PEF2023'!E$8,'CALCULO GARANTIA'!N31+'CALCULO GARANTIA'!G31),2)</f>
        <v>429391.04</v>
      </c>
      <c r="N32" s="267">
        <f t="shared" ref="N32" si="198">+O32/O$58</f>
        <v>1.9254721336957521E-3</v>
      </c>
      <c r="O32" s="255">
        <f>ROUND(+IF('PART PEF2023'!G$9&lt;1,'CALCULO GARANTIA'!B31*'PART PEF2023'!E$9,'CALCULO GARANTIA'!O31+'CALCULO GARANTIA'!H31),2)</f>
        <v>86365.6</v>
      </c>
      <c r="P32" s="267">
        <f t="shared" ref="P32" si="199">+Q32/Q$58</f>
        <v>5.1661605326348218E-4</v>
      </c>
      <c r="Q32" s="166">
        <f>+ROUND('COEF Art 14 F II'!L32,2)</f>
        <v>144814.35</v>
      </c>
      <c r="R32" s="267">
        <f t="shared" ref="R32" si="200">+S32/S$58</f>
        <v>1.0807772280194249E-5</v>
      </c>
      <c r="S32" s="255">
        <f>+'ISR BI'!D29</f>
        <v>1574.03</v>
      </c>
      <c r="T32" s="267">
        <f t="shared" ref="T32" si="201">+U32/U$58</f>
        <v>2.0491588931729164E-3</v>
      </c>
      <c r="U32" s="230">
        <f t="shared" si="9"/>
        <v>24362959.229684848</v>
      </c>
    </row>
    <row r="33" spans="1:21">
      <c r="A33" s="229" t="s">
        <v>17</v>
      </c>
      <c r="B33" s="267">
        <f t="shared" si="0"/>
        <v>3.1006823550067801E-3</v>
      </c>
      <c r="C33" s="255">
        <f>ROUND(IF('PART PEF2023'!G$4&lt;1,'CALCULO GARANTIA'!B32*'PART PEF2023'!E$4,'CALCULO GARANTIA'!J32+'CALCULO GARANTIA'!C32),2)</f>
        <v>27295536.440000001</v>
      </c>
      <c r="D33" s="267">
        <f t="shared" si="0"/>
        <v>3.0913134865668988E-3</v>
      </c>
      <c r="E33" s="166">
        <f>ROUND(+IF('PART PEF2023'!G$5&lt;1,'CALCULO GARANTIA'!B32*'PART PEF2023'!E$5,'CALCULO GARANTIA'!K32+'CALCULO GARANTIA'!D32),2)</f>
        <v>3742144.51</v>
      </c>
      <c r="F33" s="267">
        <f t="shared" ref="F33" si="202">+G33/G$58</f>
        <v>8.3986613861133652E-3</v>
      </c>
      <c r="G33" s="258">
        <f>ROUND(+'PART PEF2023'!E$11*'Art.14 Frac.III'!R31,2)</f>
        <v>3904283.3</v>
      </c>
      <c r="H33" s="267">
        <f t="shared" ref="H33" si="203">+I33/I$58</f>
        <v>3.35151433291266E-3</v>
      </c>
      <c r="I33" s="166">
        <f>ROUND(+IF('PART PEF2023'!G$6&lt;1,'CALCULO GARANTIA'!B32*'PART PEF2023'!E$6,'CALCULO GARANTIA'!L32+'CALCULO GARANTIA'!E32),2)</f>
        <v>837319.47</v>
      </c>
      <c r="J33" s="267">
        <f t="shared" ref="J33" si="204">+K33/K$58</f>
        <v>3.241318640276632E-3</v>
      </c>
      <c r="K33" s="255">
        <f>ROUND(+IF('PART PEF2023'!G$7&lt;1,'CALCULO GARANTIA'!B32*'PART PEF2023'!E$7,'CALCULO GARANTIA'!M32+'CALCULO GARANTIA'!F32),2)</f>
        <v>1464743.51</v>
      </c>
      <c r="L33" s="267">
        <f t="shared" ref="L33" si="205">+M33/M$58</f>
        <v>3.1400462579302527E-3</v>
      </c>
      <c r="M33" s="166">
        <f>ROUND(+IF('PART PEF2023'!G$8&lt;1,'CALCULO GARANTIA'!B32*'PART PEF2023'!E$8,'CALCULO GARANTIA'!N32+'CALCULO GARANTIA'!G32),2)</f>
        <v>748060.76</v>
      </c>
      <c r="N33" s="267">
        <f t="shared" ref="N33" si="206">+O33/O$58</f>
        <v>3.3347008285577544E-3</v>
      </c>
      <c r="O33" s="255">
        <f>ROUND(+IF('PART PEF2023'!G$9&lt;1,'CALCULO GARANTIA'!B32*'PART PEF2023'!E$9,'CALCULO GARANTIA'!O32+'CALCULO GARANTIA'!H32),2)</f>
        <v>149575.49</v>
      </c>
      <c r="P33" s="267">
        <f t="shared" ref="P33" si="207">+Q33/Q$58</f>
        <v>2.4671564405043178E-3</v>
      </c>
      <c r="Q33" s="166">
        <f>+ROUND('COEF Art 14 F II'!L33,2)</f>
        <v>691576.76</v>
      </c>
      <c r="R33" s="267">
        <f t="shared" ref="R33" si="208">+S33/S$58</f>
        <v>6.2959154711830361E-5</v>
      </c>
      <c r="S33" s="255">
        <f>+'ISR BI'!D30</f>
        <v>9169.2900000000009</v>
      </c>
      <c r="T33" s="267">
        <f t="shared" ref="T33" si="209">+U33/U$58</f>
        <v>3.267019750178372E-3</v>
      </c>
      <c r="U33" s="230">
        <f t="shared" si="9"/>
        <v>38842409.55708766</v>
      </c>
    </row>
    <row r="34" spans="1:21">
      <c r="A34" s="229" t="s">
        <v>18</v>
      </c>
      <c r="B34" s="267">
        <f t="shared" si="0"/>
        <v>1.8590850604078355E-3</v>
      </c>
      <c r="C34" s="255">
        <f>ROUND(IF('PART PEF2023'!G$4&lt;1,'CALCULO GARANTIA'!B33*'PART PEF2023'!E$4,'CALCULO GARANTIA'!J33+'CALCULO GARANTIA'!C33),2)</f>
        <v>16365663.49</v>
      </c>
      <c r="D34" s="267">
        <f t="shared" si="0"/>
        <v>1.8553142178036523E-3</v>
      </c>
      <c r="E34" s="166">
        <f>ROUND(+IF('PART PEF2023'!G$5&lt;1,'CALCULO GARANTIA'!B33*'PART PEF2023'!E$5,'CALCULO GARANTIA'!K33+'CALCULO GARANTIA'!D33),2)</f>
        <v>2245923.6</v>
      </c>
      <c r="F34" s="267">
        <f t="shared" ref="F34" si="210">+G34/G$58</f>
        <v>2.5985034252393822E-2</v>
      </c>
      <c r="G34" s="258">
        <f>ROUND(+'PART PEF2023'!E$11*'Art.14 Frac.III'!R32,2)</f>
        <v>12079655.390000001</v>
      </c>
      <c r="H34" s="267">
        <f t="shared" ref="H34" si="211">+I34/I$58</f>
        <v>1.9600412881818495E-3</v>
      </c>
      <c r="I34" s="166">
        <f>ROUND(+IF('PART PEF2023'!G$6&lt;1,'CALCULO GARANTIA'!B33*'PART PEF2023'!E$6,'CALCULO GARANTIA'!L33+'CALCULO GARANTIA'!E33),2)</f>
        <v>489683.34</v>
      </c>
      <c r="J34" s="267">
        <f t="shared" ref="J34" si="212">+K34/K$58</f>
        <v>1.915689145504198E-3</v>
      </c>
      <c r="K34" s="255">
        <f>ROUND(+IF('PART PEF2023'!G$7&lt;1,'CALCULO GARANTIA'!B33*'PART PEF2023'!E$7,'CALCULO GARANTIA'!M33+'CALCULO GARANTIA'!F33),2)</f>
        <v>865694.97</v>
      </c>
      <c r="L34" s="267">
        <f t="shared" ref="L34" si="213">+M34/M$58</f>
        <v>1.8749284635248523E-3</v>
      </c>
      <c r="M34" s="166">
        <f>ROUND(+IF('PART PEF2023'!G$8&lt;1,'CALCULO GARANTIA'!B33*'PART PEF2023'!E$8,'CALCULO GARANTIA'!N33+'CALCULO GARANTIA'!G33),2)</f>
        <v>446668.71</v>
      </c>
      <c r="N34" s="267">
        <f t="shared" ref="N34" si="214">+O34/O$58</f>
        <v>1.9532741841603346E-3</v>
      </c>
      <c r="O34" s="255">
        <f>ROUND(+IF('PART PEF2023'!G$9&lt;1,'CALCULO GARANTIA'!B33*'PART PEF2023'!E$9,'CALCULO GARANTIA'!O33+'CALCULO GARANTIA'!H33),2)</f>
        <v>87612.64</v>
      </c>
      <c r="P34" s="267">
        <f t="shared" ref="P34" si="215">+Q34/Q$58</f>
        <v>5.8249013091953245E-4</v>
      </c>
      <c r="Q34" s="166">
        <f>+ROUND('COEF Art 14 F II'!L34,2)</f>
        <v>163279.73000000001</v>
      </c>
      <c r="R34" s="267">
        <f t="shared" ref="R34" si="216">+S34/S$58</f>
        <v>8.5113017694845626E-5</v>
      </c>
      <c r="S34" s="255">
        <f>+'ISR BI'!D31</f>
        <v>12395.75</v>
      </c>
      <c r="T34" s="267">
        <f t="shared" ref="T34" si="217">+U34/U$58</f>
        <v>2.7551428289692261E-3</v>
      </c>
      <c r="U34" s="230">
        <f t="shared" si="9"/>
        <v>32756577.656211887</v>
      </c>
    </row>
    <row r="35" spans="1:21">
      <c r="A35" s="229" t="s">
        <v>19</v>
      </c>
      <c r="B35" s="267">
        <f t="shared" si="0"/>
        <v>2.5183836228833529E-3</v>
      </c>
      <c r="C35" s="255">
        <f>ROUND(IF('PART PEF2023'!G$4&lt;1,'CALCULO GARANTIA'!B34*'PART PEF2023'!E$4,'CALCULO GARANTIA'!J34+'CALCULO GARANTIA'!C34),2)</f>
        <v>22169517.57</v>
      </c>
      <c r="D35" s="267">
        <f t="shared" si="0"/>
        <v>2.511612355257676E-3</v>
      </c>
      <c r="E35" s="166">
        <f>ROUND(+IF('PART PEF2023'!G$5&lt;1,'CALCULO GARANTIA'!B34*'PART PEF2023'!E$5,'CALCULO GARANTIA'!K34+'CALCULO GARANTIA'!D34),2)</f>
        <v>3040395.75</v>
      </c>
      <c r="F35" s="267">
        <f t="shared" ref="F35" si="218">+G35/G$58</f>
        <v>1.1356103814436759E-2</v>
      </c>
      <c r="G35" s="258">
        <f>ROUND(+'PART PEF2023'!E$11*'Art.14 Frac.III'!R33,2)</f>
        <v>5279108.71</v>
      </c>
      <c r="H35" s="267">
        <f t="shared" ref="H35" si="219">+I35/I$58</f>
        <v>2.6996701997735501E-3</v>
      </c>
      <c r="I35" s="166">
        <f>ROUND(+IF('PART PEF2023'!G$6&lt;1,'CALCULO GARANTIA'!B34*'PART PEF2023'!E$6,'CALCULO GARANTIA'!L34+'CALCULO GARANTIA'!E34),2)</f>
        <v>674467.18</v>
      </c>
      <c r="J35" s="267">
        <f t="shared" ref="J35" si="220">+K35/K$58</f>
        <v>2.6200272551354154E-3</v>
      </c>
      <c r="K35" s="255">
        <f>ROUND(+IF('PART PEF2023'!G$7&lt;1,'CALCULO GARANTIA'!B34*'PART PEF2023'!E$7,'CALCULO GARANTIA'!M34+'CALCULO GARANTIA'!F34),2)</f>
        <v>1183983.54</v>
      </c>
      <c r="L35" s="267">
        <f t="shared" ref="L35" si="221">+M35/M$58</f>
        <v>2.5468335409767721E-3</v>
      </c>
      <c r="M35" s="166">
        <f>ROUND(+IF('PART PEF2023'!G$8&lt;1,'CALCULO GARANTIA'!B34*'PART PEF2023'!E$8,'CALCULO GARANTIA'!N34+'CALCULO GARANTIA'!G34),2)</f>
        <v>606738.27</v>
      </c>
      <c r="N35" s="267">
        <f t="shared" ref="N35" si="222">+O35/O$58</f>
        <v>2.6875186141381638E-3</v>
      </c>
      <c r="O35" s="255">
        <f>ROUND(+IF('PART PEF2023'!G$9&lt;1,'CALCULO GARANTIA'!B34*'PART PEF2023'!E$9,'CALCULO GARANTIA'!O34+'CALCULO GARANTIA'!H34),2)</f>
        <v>120546.62</v>
      </c>
      <c r="P35" s="267">
        <f t="shared" ref="P35" si="223">+Q35/Q$58</f>
        <v>1.3658074087534566E-3</v>
      </c>
      <c r="Q35" s="166">
        <f>+ROUND('COEF Art 14 F II'!L35,2)</f>
        <v>382853.98</v>
      </c>
      <c r="R35" s="267">
        <f t="shared" ref="R35" si="224">+S35/S$58</f>
        <v>3.8519244271237367E-4</v>
      </c>
      <c r="S35" s="255">
        <f>+'ISR BI'!D32</f>
        <v>56098.93</v>
      </c>
      <c r="T35" s="267">
        <f t="shared" ref="T35" si="225">+U35/U$58</f>
        <v>2.8188249802885701E-3</v>
      </c>
      <c r="U35" s="230">
        <f t="shared" si="9"/>
        <v>33513710.576172762</v>
      </c>
    </row>
    <row r="36" spans="1:21">
      <c r="A36" s="229" t="s">
        <v>20</v>
      </c>
      <c r="B36" s="267">
        <f t="shared" si="0"/>
        <v>2.4349772055198629E-3</v>
      </c>
      <c r="C36" s="255">
        <f>ROUND(IF('PART PEF2023'!G$4&lt;1,'CALCULO GARANTIA'!B35*'PART PEF2023'!E$4,'CALCULO GARANTIA'!J35+'CALCULO GARANTIA'!C35),2)</f>
        <v>21435284.699999999</v>
      </c>
      <c r="D36" s="267">
        <f t="shared" si="0"/>
        <v>2.4292294548638798E-3</v>
      </c>
      <c r="E36" s="166">
        <f>ROUND(+IF('PART PEF2023'!G$5&lt;1,'CALCULO GARANTIA'!B35*'PART PEF2023'!E$5,'CALCULO GARANTIA'!K35+'CALCULO GARANTIA'!D35),2)</f>
        <v>2940668.33</v>
      </c>
      <c r="F36" s="267">
        <f t="shared" ref="F36" si="226">+G36/G$58</f>
        <v>1.0755345768100591E-2</v>
      </c>
      <c r="G36" s="258">
        <f>ROUND(+'PART PEF2023'!E$11*'Art.14 Frac.III'!R34,2)</f>
        <v>4999834.49</v>
      </c>
      <c r="H36" s="267">
        <f t="shared" ref="H36" si="227">+I36/I$58</f>
        <v>2.5888612173562246E-3</v>
      </c>
      <c r="I36" s="166">
        <f>ROUND(+IF('PART PEF2023'!G$6&lt;1,'CALCULO GARANTIA'!B35*'PART PEF2023'!E$6,'CALCULO GARANTIA'!L35+'CALCULO GARANTIA'!E35),2)</f>
        <v>646783.42000000004</v>
      </c>
      <c r="J36" s="267">
        <f t="shared" ref="J36" si="228">+K36/K$58</f>
        <v>2.521256784974162E-3</v>
      </c>
      <c r="K36" s="255">
        <f>ROUND(+IF('PART PEF2023'!G$7&lt;1,'CALCULO GARANTIA'!B35*'PART PEF2023'!E$7,'CALCULO GARANTIA'!M35+'CALCULO GARANTIA'!F35),2)</f>
        <v>1139349.42</v>
      </c>
      <c r="L36" s="267">
        <f t="shared" ref="L36" si="229">+M36/M$58</f>
        <v>2.4591267055835992E-3</v>
      </c>
      <c r="M36" s="166">
        <f>ROUND(+IF('PART PEF2023'!G$8&lt;1,'CALCULO GARANTIA'!B35*'PART PEF2023'!E$8,'CALCULO GARANTIA'!N35+'CALCULO GARANTIA'!G35),2)</f>
        <v>585843.66</v>
      </c>
      <c r="N36" s="267">
        <f t="shared" ref="N36" si="230">+O36/O$58</f>
        <v>2.5785463210246159E-3</v>
      </c>
      <c r="O36" s="255">
        <f>ROUND(+IF('PART PEF2023'!G$9&lt;1,'CALCULO GARANTIA'!B35*'PART PEF2023'!E$9,'CALCULO GARANTIA'!O35+'CALCULO GARANTIA'!H35),2)</f>
        <v>115658.75</v>
      </c>
      <c r="P36" s="267">
        <f t="shared" ref="P36" si="231">+Q36/Q$58</f>
        <v>9.2561095494168605E-4</v>
      </c>
      <c r="Q36" s="166">
        <f>+ROUND('COEF Art 14 F II'!L36,2)</f>
        <v>259461.06</v>
      </c>
      <c r="R36" s="267">
        <f t="shared" ref="R36" si="232">+S36/S$58</f>
        <v>7.4595552849710823E-6</v>
      </c>
      <c r="S36" s="255">
        <f>+'ISR BI'!D33</f>
        <v>1086.4000000000001</v>
      </c>
      <c r="T36" s="267">
        <f t="shared" ref="T36" si="233">+U36/U$58</f>
        <v>2.7019344698629108E-3</v>
      </c>
      <c r="U36" s="230">
        <f t="shared" si="9"/>
        <v>32123970.254265431</v>
      </c>
    </row>
    <row r="37" spans="1:21">
      <c r="A37" s="229" t="s">
        <v>138</v>
      </c>
      <c r="B37" s="267">
        <f t="shared" si="0"/>
        <v>3.0897917838002928E-2</v>
      </c>
      <c r="C37" s="255">
        <f>ROUND(IF('PART PEF2023'!G$4&lt;1,'CALCULO GARANTIA'!B36*'PART PEF2023'!E$4,'CALCULO GARANTIA'!J36+'CALCULO GARANTIA'!C36),2)</f>
        <v>271996659.35000002</v>
      </c>
      <c r="D37" s="267">
        <f t="shared" si="0"/>
        <v>3.1012564512021192E-2</v>
      </c>
      <c r="E37" s="166">
        <f>ROUND(+IF('PART PEF2023'!G$5&lt;1,'CALCULO GARANTIA'!B36*'PART PEF2023'!E$5,'CALCULO GARANTIA'!K36+'CALCULO GARANTIA'!D36),2)</f>
        <v>37541808.210000001</v>
      </c>
      <c r="F37" s="267">
        <f t="shared" ref="F37" si="234">+G37/G$58</f>
        <v>2.1117484826300055E-2</v>
      </c>
      <c r="G37" s="258">
        <f>ROUND(+'PART PEF2023'!E$11*'Art.14 Frac.III'!R35,2)</f>
        <v>9816879.0899999999</v>
      </c>
      <c r="H37" s="267">
        <f t="shared" ref="H37" si="235">+I37/I$58</f>
        <v>2.7828492968722907E-2</v>
      </c>
      <c r="I37" s="166">
        <f>ROUND(+IF('PART PEF2023'!G$6&lt;1,'CALCULO GARANTIA'!B36*'PART PEF2023'!E$6,'CALCULO GARANTIA'!L36+'CALCULO GARANTIA'!E36),2)</f>
        <v>6952480.7800000003</v>
      </c>
      <c r="J37" s="267">
        <f t="shared" ref="J37" si="236">+K37/K$58</f>
        <v>2.9176954979037339E-2</v>
      </c>
      <c r="K37" s="255">
        <f>ROUND(+IF('PART PEF2023'!G$7&lt;1,'CALCULO GARANTIA'!B36*'PART PEF2023'!E$7,'CALCULO GARANTIA'!M36+'CALCULO GARANTIA'!F36),2)</f>
        <v>13184990.49</v>
      </c>
      <c r="L37" s="267">
        <f t="shared" ref="L37" si="237">+M37/M$58</f>
        <v>3.0416222909176276E-2</v>
      </c>
      <c r="M37" s="166">
        <f>ROUND(+IF('PART PEF2023'!G$8&lt;1,'CALCULO GARANTIA'!B36*'PART PEF2023'!E$8,'CALCULO GARANTIA'!N36+'CALCULO GARANTIA'!G36),2)</f>
        <v>7246129.8200000003</v>
      </c>
      <c r="N37" s="267">
        <f t="shared" ref="N37" si="238">+O37/O$58</f>
        <v>2.8034238518541886E-2</v>
      </c>
      <c r="O37" s="255">
        <f>ROUND(+IF('PART PEF2023'!G$9&lt;1,'CALCULO GARANTIA'!B36*'PART PEF2023'!E$9,'CALCULO GARANTIA'!O36+'CALCULO GARANTIA'!H36),2)</f>
        <v>1257454.6200000001</v>
      </c>
      <c r="P37" s="267">
        <f t="shared" ref="P37" si="239">+Q37/Q$58</f>
        <v>6.8037228184506832E-2</v>
      </c>
      <c r="Q37" s="166">
        <f>+ROUND('COEF Art 14 F II'!L37,2)</f>
        <v>19071739.859999999</v>
      </c>
      <c r="R37" s="267">
        <f t="shared" ref="R37" si="240">+S37/S$58</f>
        <v>2.9721774694165523E-2</v>
      </c>
      <c r="S37" s="255">
        <f>+'ISR BI'!D34</f>
        <v>4328640.8899999997</v>
      </c>
      <c r="T37" s="267">
        <f t="shared" ref="T37" si="241">+U37/U$58</f>
        <v>3.1238036987810035E-2</v>
      </c>
      <c r="U37" s="230">
        <f t="shared" si="9"/>
        <v>371396783.37534493</v>
      </c>
    </row>
    <row r="38" spans="1:21">
      <c r="A38" s="229" t="s">
        <v>21</v>
      </c>
      <c r="B38" s="267">
        <f t="shared" si="0"/>
        <v>4.591752370433657E-3</v>
      </c>
      <c r="C38" s="255">
        <f>ROUND(IF('PART PEF2023'!G$4&lt;1,'CALCULO GARANTIA'!B37*'PART PEF2023'!E$4,'CALCULO GARANTIA'!J37+'CALCULO GARANTIA'!C37),2)</f>
        <v>40421536.229999997</v>
      </c>
      <c r="D38" s="267">
        <f t="shared" si="0"/>
        <v>4.5862863396250548E-3</v>
      </c>
      <c r="E38" s="166">
        <f>ROUND(+IF('PART PEF2023'!G$5&lt;1,'CALCULO GARANTIA'!B37*'PART PEF2023'!E$5,'CALCULO GARANTIA'!K37+'CALCULO GARANTIA'!D37),2)</f>
        <v>5551862.1200000001</v>
      </c>
      <c r="F38" s="267">
        <f t="shared" ref="F38" si="242">+G38/G$58</f>
        <v>9.6719811242721738E-3</v>
      </c>
      <c r="G38" s="258">
        <f>ROUND(+'PART PEF2023'!E$11*'Art.14 Frac.III'!R36,2)</f>
        <v>4496211.08</v>
      </c>
      <c r="H38" s="267">
        <f t="shared" ref="H38" si="243">+I38/I$58</f>
        <v>4.7380940323325437E-3</v>
      </c>
      <c r="I38" s="166">
        <f>ROUND(+IF('PART PEF2023'!G$6&lt;1,'CALCULO GARANTIA'!B37*'PART PEF2023'!E$6,'CALCULO GARANTIA'!L37+'CALCULO GARANTIA'!E37),2)</f>
        <v>1183733.08</v>
      </c>
      <c r="J38" s="267">
        <f t="shared" ref="J38" si="244">+K38/K$58</f>
        <v>4.6738030728141079E-3</v>
      </c>
      <c r="K38" s="255">
        <f>ROUND(+IF('PART PEF2023'!G$7&lt;1,'CALCULO GARANTIA'!B37*'PART PEF2023'!E$7,'CALCULO GARANTIA'!M37+'CALCULO GARANTIA'!F37),2)</f>
        <v>2112079.52</v>
      </c>
      <c r="L38" s="267">
        <f t="shared" ref="L38" si="245">+M38/M$58</f>
        <v>4.6147182512701734E-3</v>
      </c>
      <c r="M38" s="166">
        <f>ROUND(+IF('PART PEF2023'!G$8&lt;1,'CALCULO GARANTIA'!B37*'PART PEF2023'!E$8,'CALCULO GARANTIA'!N37+'CALCULO GARANTIA'!G37),2)</f>
        <v>1099375.4099999999</v>
      </c>
      <c r="N38" s="267">
        <f t="shared" ref="N38" si="246">+O38/O$58</f>
        <v>4.7282846275920245E-3</v>
      </c>
      <c r="O38" s="255">
        <f>ROUND(+IF('PART PEF2023'!G$9&lt;1,'CALCULO GARANTIA'!B37*'PART PEF2023'!E$9,'CALCULO GARANTIA'!O37+'CALCULO GARANTIA'!H37),2)</f>
        <v>212083.64</v>
      </c>
      <c r="P38" s="267">
        <f t="shared" ref="P38" si="247">+Q38/Q$58</f>
        <v>1.8223499297082581E-3</v>
      </c>
      <c r="Q38" s="166">
        <f>+ROUND('COEF Art 14 F II'!L38,2)</f>
        <v>510828.92</v>
      </c>
      <c r="R38" s="267">
        <f t="shared" ref="R38" si="248">+S38/S$58</f>
        <v>8.0646897352838461E-4</v>
      </c>
      <c r="S38" s="255">
        <f>+'ISR BI'!D35</f>
        <v>117453.1</v>
      </c>
      <c r="T38" s="267">
        <f t="shared" ref="T38" si="249">+U38/U$58</f>
        <v>4.685339303772477E-3</v>
      </c>
      <c r="U38" s="230">
        <f t="shared" si="9"/>
        <v>55705163.135641977</v>
      </c>
    </row>
    <row r="39" spans="1:21">
      <c r="A39" s="229" t="s">
        <v>22</v>
      </c>
      <c r="B39" s="267">
        <f t="shared" si="0"/>
        <v>1.6002479041178738E-2</v>
      </c>
      <c r="C39" s="255">
        <f>ROUND(IF('PART PEF2023'!G$4&lt;1,'CALCULO GARANTIA'!B38*'PART PEF2023'!E$4,'CALCULO GARANTIA'!J38+'CALCULO GARANTIA'!C38),2)</f>
        <v>140871008.31</v>
      </c>
      <c r="D39" s="267">
        <f t="shared" si="0"/>
        <v>1.5965619934067643E-2</v>
      </c>
      <c r="E39" s="166">
        <f>ROUND(+IF('PART PEF2023'!G$5&lt;1,'CALCULO GARANTIA'!B38*'PART PEF2023'!E$5,'CALCULO GARANTIA'!K38+'CALCULO GARANTIA'!D38),2)</f>
        <v>19326948.640000001</v>
      </c>
      <c r="F39" s="267">
        <f t="shared" ref="F39" si="250">+G39/G$58</f>
        <v>1.5356971416411168E-2</v>
      </c>
      <c r="G39" s="258">
        <f>ROUND(+'PART PEF2023'!E$11*'Art.14 Frac.III'!R37,2)</f>
        <v>7138990.8799999999</v>
      </c>
      <c r="H39" s="267">
        <f t="shared" ref="H39" si="251">+I39/I$58</f>
        <v>1.698930457906583E-2</v>
      </c>
      <c r="I39" s="166">
        <f>ROUND(+IF('PART PEF2023'!G$6&lt;1,'CALCULO GARANTIA'!B38*'PART PEF2023'!E$6,'CALCULO GARANTIA'!L38+'CALCULO GARANTIA'!E38),2)</f>
        <v>4244491.92</v>
      </c>
      <c r="J39" s="267">
        <f t="shared" ref="J39" si="252">+K39/K$58</f>
        <v>1.6555771632753034E-2</v>
      </c>
      <c r="K39" s="255">
        <f>ROUND(+IF('PART PEF2023'!G$7&lt;1,'CALCULO GARANTIA'!B38*'PART PEF2023'!E$7,'CALCULO GARANTIA'!M38+'CALCULO GARANTIA'!F38),2)</f>
        <v>7481510.3799999999</v>
      </c>
      <c r="L39" s="267">
        <f t="shared" ref="L39" si="253">+M39/M$58</f>
        <v>1.6157344845312671E-2</v>
      </c>
      <c r="M39" s="166">
        <f>ROUND(+IF('PART PEF2023'!G$8&lt;1,'CALCULO GARANTIA'!B38*'PART PEF2023'!E$8,'CALCULO GARANTIA'!N38+'CALCULO GARANTIA'!G38),2)</f>
        <v>3849203.06</v>
      </c>
      <c r="N39" s="267">
        <f t="shared" ref="N39" si="254">+O39/O$58</f>
        <v>1.6923156987189825E-2</v>
      </c>
      <c r="O39" s="255">
        <f>ROUND(+IF('PART PEF2023'!G$9&lt;1,'CALCULO GARANTIA'!B38*'PART PEF2023'!E$9,'CALCULO GARANTIA'!O38+'CALCULO GARANTIA'!H38),2)</f>
        <v>759075.44</v>
      </c>
      <c r="P39" s="267">
        <f t="shared" ref="P39" si="255">+Q39/Q$58</f>
        <v>1.3826763693900608E-2</v>
      </c>
      <c r="Q39" s="166">
        <f>+ROUND('COEF Art 14 F II'!L39,2)</f>
        <v>3875825.74</v>
      </c>
      <c r="R39" s="267">
        <f t="shared" ref="R39" si="256">+S39/S$58</f>
        <v>3.1268060100291956E-3</v>
      </c>
      <c r="S39" s="255">
        <f>+'ISR BI'!D36</f>
        <v>455383.99</v>
      </c>
      <c r="T39" s="267">
        <f t="shared" ref="T39" si="257">+U39/U$58</f>
        <v>1.5812810960568288E-2</v>
      </c>
      <c r="U39" s="230">
        <f t="shared" si="9"/>
        <v>188002438.47490174</v>
      </c>
    </row>
    <row r="40" spans="1:21">
      <c r="A40" s="229" t="s">
        <v>139</v>
      </c>
      <c r="B40" s="267">
        <f t="shared" si="0"/>
        <v>3.3299408599169193E-3</v>
      </c>
      <c r="C40" s="255">
        <f>ROUND(IF('PART PEF2023'!G$4&lt;1,'CALCULO GARANTIA'!B39*'PART PEF2023'!E$4,'CALCULO GARANTIA'!J39+'CALCULO GARANTIA'!C39),2)</f>
        <v>29313716.039999999</v>
      </c>
      <c r="D40" s="267">
        <f t="shared" si="0"/>
        <v>3.3203708461791064E-3</v>
      </c>
      <c r="E40" s="166">
        <f>ROUND(+IF('PART PEF2023'!G$5&lt;1,'CALCULO GARANTIA'!B39*'PART PEF2023'!E$5,'CALCULO GARANTIA'!K39+'CALCULO GARANTIA'!D39),2)</f>
        <v>4019426.56</v>
      </c>
      <c r="F40" s="267">
        <f t="shared" ref="F40" si="258">+G40/G$58</f>
        <v>1.4078413199734657E-2</v>
      </c>
      <c r="G40" s="258">
        <f>ROUND(+'PART PEF2023'!E$11*'Art.14 Frac.III'!R38,2)</f>
        <v>6544627.8899999997</v>
      </c>
      <c r="H40" s="267">
        <f t="shared" ref="H40" si="259">+I40/I$58</f>
        <v>3.5861579096891829E-3</v>
      </c>
      <c r="I40" s="166">
        <f>ROUND(+IF('PART PEF2023'!G$6&lt;1,'CALCULO GARANTIA'!B39*'PART PEF2023'!E$6,'CALCULO GARANTIA'!L39+'CALCULO GARANTIA'!E39),2)</f>
        <v>895941.22</v>
      </c>
      <c r="J40" s="267">
        <f t="shared" ref="J40" si="260">+K40/K$58</f>
        <v>3.4735964246917642E-3</v>
      </c>
      <c r="K40" s="255">
        <f>ROUND(+IF('PART PEF2023'!G$7&lt;1,'CALCULO GARANTIA'!B39*'PART PEF2023'!E$7,'CALCULO GARANTIA'!M39+'CALCULO GARANTIA'!F39),2)</f>
        <v>1569709.24</v>
      </c>
      <c r="L40" s="267">
        <f t="shared" ref="L40" si="261">+M40/M$58</f>
        <v>3.3701498026914717E-3</v>
      </c>
      <c r="M40" s="166">
        <f>ROUND(+IF('PART PEF2023'!G$8&lt;1,'CALCULO GARANTIA'!B39*'PART PEF2023'!E$8,'CALCULO GARANTIA'!N39+'CALCULO GARANTIA'!G39),2)</f>
        <v>802878.88</v>
      </c>
      <c r="N40" s="267">
        <f t="shared" ref="N40" si="262">+O40/O$58</f>
        <v>3.5689834445529096E-3</v>
      </c>
      <c r="O40" s="255">
        <f>ROUND(+IF('PART PEF2023'!G$9&lt;1,'CALCULO GARANTIA'!B39*'PART PEF2023'!E$9,'CALCULO GARANTIA'!O39+'CALCULO GARANTIA'!H39),2)</f>
        <v>160084.06</v>
      </c>
      <c r="P40" s="267">
        <f t="shared" ref="P40" si="263">+Q40/Q$58</f>
        <v>1.2720958005950273E-3</v>
      </c>
      <c r="Q40" s="166">
        <f>+ROUND('COEF Art 14 F II'!L40,2)</f>
        <v>356585.37</v>
      </c>
      <c r="R40" s="267">
        <f t="shared" ref="R40" si="264">+S40/S$58</f>
        <v>9.1916689658819834E-4</v>
      </c>
      <c r="S40" s="255">
        <f>+'ISR BI'!D37</f>
        <v>133866.28</v>
      </c>
      <c r="T40" s="267">
        <f t="shared" ref="T40" si="265">+U40/U$58</f>
        <v>3.6837345686274677E-3</v>
      </c>
      <c r="U40" s="230">
        <f t="shared" si="9"/>
        <v>43796835.57358893</v>
      </c>
    </row>
    <row r="41" spans="1:21">
      <c r="A41" s="229" t="s">
        <v>23</v>
      </c>
      <c r="B41" s="267">
        <f t="shared" si="0"/>
        <v>2.8204476074330269E-3</v>
      </c>
      <c r="C41" s="255">
        <f>ROUND(IF('PART PEF2023'!G$4&lt;1,'CALCULO GARANTIA'!B40*'PART PEF2023'!E$4,'CALCULO GARANTIA'!J40+'CALCULO GARANTIA'!C40),2)</f>
        <v>24828609.199999999</v>
      </c>
      <c r="D41" s="267">
        <f t="shared" si="0"/>
        <v>2.8035682620122042E-3</v>
      </c>
      <c r="E41" s="166">
        <f>ROUND(+IF('PART PEF2023'!G$5&lt;1,'CALCULO GARANTIA'!B40*'PART PEF2023'!E$5,'CALCULO GARANTIA'!K40+'CALCULO GARANTIA'!D40),2)</f>
        <v>3393818.72</v>
      </c>
      <c r="F41" s="267">
        <f t="shared" ref="F41" si="266">+G41/G$58</f>
        <v>1.2280049511230793E-2</v>
      </c>
      <c r="G41" s="258">
        <f>ROUND(+'PART PEF2023'!E$11*'Art.14 Frac.III'!R39,2)</f>
        <v>5708623.0800000001</v>
      </c>
      <c r="H41" s="267">
        <f t="shared" ref="H41" si="267">+I41/I$58</f>
        <v>3.2723568714362488E-3</v>
      </c>
      <c r="I41" s="166">
        <f>ROUND(+IF('PART PEF2023'!G$6&lt;1,'CALCULO GARANTIA'!B40*'PART PEF2023'!E$6,'CALCULO GARANTIA'!L40+'CALCULO GARANTIA'!E40),2)</f>
        <v>817543.31</v>
      </c>
      <c r="J41" s="267">
        <f t="shared" ref="J41" si="268">+K41/K$58</f>
        <v>3.0738237449041005E-3</v>
      </c>
      <c r="K41" s="255">
        <f>ROUND(+IF('PART PEF2023'!G$7&lt;1,'CALCULO GARANTIA'!B40*'PART PEF2023'!E$7,'CALCULO GARANTIA'!M40+'CALCULO GARANTIA'!F40),2)</f>
        <v>1389053</v>
      </c>
      <c r="L41" s="267">
        <f t="shared" ref="L41" si="269">+M41/M$58</f>
        <v>2.8913672382246004E-3</v>
      </c>
      <c r="M41" s="166">
        <f>ROUND(+IF('PART PEF2023'!G$8&lt;1,'CALCULO GARANTIA'!B40*'PART PEF2023'!E$8,'CALCULO GARANTIA'!N40+'CALCULO GARANTIA'!G40),2)</f>
        <v>688817.36</v>
      </c>
      <c r="N41" s="267">
        <f t="shared" ref="N41" si="270">+O41/O$58</f>
        <v>3.242065004601914E-3</v>
      </c>
      <c r="O41" s="255">
        <f>ROUND(+IF('PART PEF2023'!G$9&lt;1,'CALCULO GARANTIA'!B40*'PART PEF2023'!E$9,'CALCULO GARANTIA'!O40+'CALCULO GARANTIA'!H40),2)</f>
        <v>145420.38</v>
      </c>
      <c r="P41" s="267">
        <f t="shared" ref="P41" si="271">+Q41/Q$58</f>
        <v>2.6316639406133403E-4</v>
      </c>
      <c r="Q41" s="166">
        <f>+ROUND('COEF Art 14 F II'!L41,2)</f>
        <v>73769.039999999994</v>
      </c>
      <c r="R41" s="267">
        <f t="shared" ref="R41" si="272">+S41/S$58</f>
        <v>3.2545468431635435E-5</v>
      </c>
      <c r="S41" s="255">
        <f>+'ISR BI'!D38</f>
        <v>4739.88</v>
      </c>
      <c r="T41" s="267">
        <f t="shared" ref="T41" si="273">+U41/U$58</f>
        <v>3.1162940281805507E-3</v>
      </c>
      <c r="U41" s="230">
        <f t="shared" si="9"/>
        <v>37050393.997858956</v>
      </c>
    </row>
    <row r="42" spans="1:21">
      <c r="A42" s="229" t="s">
        <v>24</v>
      </c>
      <c r="B42" s="267">
        <f t="shared" si="0"/>
        <v>3.6362679813776028E-3</v>
      </c>
      <c r="C42" s="255">
        <f>ROUND(IF('PART PEF2023'!G$4&lt;1,'CALCULO GARANTIA'!B41*'PART PEF2023'!E$4,'CALCULO GARANTIA'!J41+'CALCULO GARANTIA'!C41),2)</f>
        <v>32010336.379999999</v>
      </c>
      <c r="D42" s="267">
        <f t="shared" si="0"/>
        <v>3.6302453114563241E-3</v>
      </c>
      <c r="E42" s="166">
        <f>ROUND(+IF('PART PEF2023'!G$5&lt;1,'CALCULO GARANTIA'!B41*'PART PEF2023'!E$5,'CALCULO GARANTIA'!K41+'CALCULO GARANTIA'!D41),2)</f>
        <v>4394540.58</v>
      </c>
      <c r="F42" s="267">
        <f t="shared" ref="F42" si="274">+G42/G$58</f>
        <v>1.9931024134783964E-2</v>
      </c>
      <c r="G42" s="258">
        <f>ROUND(+'PART PEF2023'!E$11*'Art.14 Frac.III'!R40,2)</f>
        <v>9265329.4499999993</v>
      </c>
      <c r="H42" s="267">
        <f t="shared" ref="H42" si="275">+I42/I$58</f>
        <v>3.797512465789776E-3</v>
      </c>
      <c r="I42" s="166">
        <f>ROUND(+IF('PART PEF2023'!G$6&lt;1,'CALCULO GARANTIA'!B41*'PART PEF2023'!E$6,'CALCULO GARANTIA'!L41+'CALCULO GARANTIA'!E41),2)</f>
        <v>948744.6</v>
      </c>
      <c r="J42" s="267">
        <f t="shared" ref="J42" si="276">+K42/K$58</f>
        <v>3.7266744166725191E-3</v>
      </c>
      <c r="K42" s="255">
        <f>ROUND(+IF('PART PEF2023'!G$7&lt;1,'CALCULO GARANTIA'!B41*'PART PEF2023'!E$7,'CALCULO GARANTIA'!M41+'CALCULO GARANTIA'!F41),2)</f>
        <v>1684074.53</v>
      </c>
      <c r="L42" s="267">
        <f t="shared" ref="L42" si="277">+M42/M$58</f>
        <v>3.6615726303234394E-3</v>
      </c>
      <c r="M42" s="166">
        <f>ROUND(+IF('PART PEF2023'!G$8&lt;1,'CALCULO GARANTIA'!B41*'PART PEF2023'!E$8,'CALCULO GARANTIA'!N41+'CALCULO GARANTIA'!G41),2)</f>
        <v>872305.24</v>
      </c>
      <c r="N42" s="267">
        <f t="shared" ref="N42" si="278">+O42/O$58</f>
        <v>3.7867039717224223E-3</v>
      </c>
      <c r="O42" s="255">
        <f>ROUND(+IF('PART PEF2023'!G$9&lt;1,'CALCULO GARANTIA'!B41*'PART PEF2023'!E$9,'CALCULO GARANTIA'!O41+'CALCULO GARANTIA'!H41),2)</f>
        <v>169849.75</v>
      </c>
      <c r="P42" s="267">
        <f t="shared" ref="P42" si="279">+Q42/Q$58</f>
        <v>1.7596545810117336E-3</v>
      </c>
      <c r="Q42" s="166">
        <f>+ROUND('COEF Art 14 F II'!L42,2)</f>
        <v>493254.58</v>
      </c>
      <c r="R42" s="267">
        <f t="shared" ref="R42" si="280">+S42/S$58</f>
        <v>5.7896695658022972E-7</v>
      </c>
      <c r="S42" s="255">
        <f>+'ISR BI'!D39</f>
        <v>84.32</v>
      </c>
      <c r="T42" s="267">
        <f t="shared" ref="T42" si="281">+U42/U$58</f>
        <v>4.1918982186157647E-3</v>
      </c>
      <c r="U42" s="230">
        <f t="shared" si="9"/>
        <v>49838519.470293969</v>
      </c>
    </row>
    <row r="43" spans="1:21">
      <c r="A43" s="229" t="s">
        <v>25</v>
      </c>
      <c r="B43" s="267">
        <f t="shared" si="0"/>
        <v>4.9496677707576821E-3</v>
      </c>
      <c r="C43" s="255">
        <f>ROUND(IF('PART PEF2023'!G$4&lt;1,'CALCULO GARANTIA'!B42*'PART PEF2023'!E$4,'CALCULO GARANTIA'!J42+'CALCULO GARANTIA'!C42),2)</f>
        <v>43572292.009999998</v>
      </c>
      <c r="D43" s="267">
        <f t="shared" si="0"/>
        <v>4.9404237637048999E-3</v>
      </c>
      <c r="E43" s="166">
        <f>ROUND(+IF('PART PEF2023'!G$5&lt;1,'CALCULO GARANTIA'!B42*'PART PEF2023'!E$5,'CALCULO GARANTIA'!K42+'CALCULO GARANTIA'!D42),2)</f>
        <v>5980558.0199999996</v>
      </c>
      <c r="F43" s="267">
        <f t="shared" ref="F43" si="282">+G43/G$58</f>
        <v>6.3017523064848495E-3</v>
      </c>
      <c r="G43" s="258">
        <f>ROUND(+'PART PEF2023'!E$11*'Art.14 Frac.III'!R41,2)</f>
        <v>2929493.78</v>
      </c>
      <c r="H43" s="267">
        <f t="shared" ref="H43" si="283">+I43/I$58</f>
        <v>5.1971566831133338E-3</v>
      </c>
      <c r="I43" s="166">
        <f>ROUND(+IF('PART PEF2023'!G$6&lt;1,'CALCULO GARANTIA'!B42*'PART PEF2023'!E$6,'CALCULO GARANTIA'!L42+'CALCULO GARANTIA'!E42),2)</f>
        <v>1298422.1599999999</v>
      </c>
      <c r="J43" s="267">
        <f t="shared" ref="J43" si="284">+K43/K$58</f>
        <v>5.0884296769635358E-3</v>
      </c>
      <c r="K43" s="255">
        <f>ROUND(+IF('PART PEF2023'!G$7&lt;1,'CALCULO GARANTIA'!B42*'PART PEF2023'!E$7,'CALCULO GARANTIA'!M42+'CALCULO GARANTIA'!F42),2)</f>
        <v>2299448.21</v>
      </c>
      <c r="L43" s="267">
        <f t="shared" ref="L43" si="285">+M43/M$58</f>
        <v>4.9885070370954427E-3</v>
      </c>
      <c r="M43" s="166">
        <f>ROUND(+IF('PART PEF2023'!G$8&lt;1,'CALCULO GARANTIA'!B42*'PART PEF2023'!E$8,'CALCULO GARANTIA'!N42+'CALCULO GARANTIA'!G42),2)</f>
        <v>1188424.01</v>
      </c>
      <c r="N43" s="267">
        <f t="shared" ref="N43" si="286">+O43/O$58</f>
        <v>5.1805673429539158E-3</v>
      </c>
      <c r="O43" s="255">
        <f>ROUND(+IF('PART PEF2023'!G$9&lt;1,'CALCULO GARANTIA'!B42*'PART PEF2023'!E$9,'CALCULO GARANTIA'!O42+'CALCULO GARANTIA'!H42),2)</f>
        <v>232370.44</v>
      </c>
      <c r="P43" s="267">
        <f t="shared" ref="P43" si="287">+Q43/Q$58</f>
        <v>1.8087694823337931E-3</v>
      </c>
      <c r="Q43" s="166">
        <f>+ROUND('COEF Art 14 F II'!L43,2)</f>
        <v>507022.14</v>
      </c>
      <c r="R43" s="267">
        <f t="shared" ref="R43" si="288">+S43/S$58</f>
        <v>2.4239888068532516E-4</v>
      </c>
      <c r="S43" s="255">
        <f>+'ISR BI'!D40</f>
        <v>35302.660000000003</v>
      </c>
      <c r="T43" s="267">
        <f t="shared" ref="T43" si="289">+U43/U$58</f>
        <v>4.8820018880021288E-3</v>
      </c>
      <c r="U43" s="230">
        <f t="shared" si="9"/>
        <v>58043333.463747993</v>
      </c>
    </row>
    <row r="44" spans="1:21">
      <c r="A44" s="229" t="s">
        <v>26</v>
      </c>
      <c r="B44" s="267">
        <f t="shared" si="0"/>
        <v>1.1561387272869856E-2</v>
      </c>
      <c r="C44" s="255">
        <f>ROUND(IF('PART PEF2023'!G$4&lt;1,'CALCULO GARANTIA'!B43*'PART PEF2023'!E$4,'CALCULO GARANTIA'!J43+'CALCULO GARANTIA'!C43),2)</f>
        <v>101775748.52</v>
      </c>
      <c r="D44" s="267">
        <f t="shared" si="0"/>
        <v>1.153867017786005E-2</v>
      </c>
      <c r="E44" s="166">
        <f>ROUND(+IF('PART PEF2023'!G$5&lt;1,'CALCULO GARANTIA'!B43*'PART PEF2023'!E$5,'CALCULO GARANTIA'!K43+'CALCULO GARANTIA'!D43),2)</f>
        <v>13967969.1</v>
      </c>
      <c r="F44" s="267">
        <f t="shared" ref="F44" si="290">+G44/G$58</f>
        <v>1.9060660375800481E-2</v>
      </c>
      <c r="G44" s="258">
        <f>ROUND(+'PART PEF2023'!E$11*'Art.14 Frac.III'!R42,2)</f>
        <v>8860723.6999999993</v>
      </c>
      <c r="H44" s="267">
        <f t="shared" ref="H44" si="291">+I44/I$58</f>
        <v>1.2169590041677157E-2</v>
      </c>
      <c r="I44" s="166">
        <f>ROUND(+IF('PART PEF2023'!G$6&lt;1,'CALCULO GARANTIA'!B43*'PART PEF2023'!E$6,'CALCULO GARANTIA'!L43+'CALCULO GARANTIA'!E43),2)</f>
        <v>3040367.33</v>
      </c>
      <c r="J44" s="267">
        <f t="shared" ref="J44" si="292">+K44/K$58</f>
        <v>1.1902393947921773E-2</v>
      </c>
      <c r="K44" s="255">
        <f>ROUND(+IF('PART PEF2023'!G$7&lt;1,'CALCULO GARANTIA'!B43*'PART PEF2023'!E$7,'CALCULO GARANTIA'!M43+'CALCULO GARANTIA'!F43),2)</f>
        <v>5378661.04</v>
      </c>
      <c r="L44" s="267">
        <f t="shared" ref="L44" si="293">+M44/M$58</f>
        <v>1.1656834526546742E-2</v>
      </c>
      <c r="M44" s="166">
        <f>ROUND(+IF('PART PEF2023'!G$8&lt;1,'CALCULO GARANTIA'!B43*'PART PEF2023'!E$8,'CALCULO GARANTIA'!N43+'CALCULO GARANTIA'!G43),2)</f>
        <v>2777035.68</v>
      </c>
      <c r="N44" s="267">
        <f t="shared" ref="N44" si="294">+O44/O$58</f>
        <v>1.2128821978865518E-2</v>
      </c>
      <c r="O44" s="255">
        <f>ROUND(+IF('PART PEF2023'!G$9&lt;1,'CALCULO GARANTIA'!B43*'PART PEF2023'!E$9,'CALCULO GARANTIA'!O43+'CALCULO GARANTIA'!H43),2)</f>
        <v>544029.16</v>
      </c>
      <c r="P44" s="267">
        <f t="shared" ref="P44" si="295">+Q44/Q$58</f>
        <v>1.0769954636750864E-2</v>
      </c>
      <c r="Q44" s="166">
        <f>+ROUND('COEF Art 14 F II'!L44,2)</f>
        <v>3018961.51</v>
      </c>
      <c r="R44" s="267">
        <f t="shared" ref="R44" si="296">+S44/S$58</f>
        <v>1.2429404207102568E-2</v>
      </c>
      <c r="S44" s="255">
        <f>+'ISR BI'!D41</f>
        <v>1810202.38</v>
      </c>
      <c r="T44" s="267">
        <f t="shared" ref="T44" si="297">+U44/U$58</f>
        <v>1.1874064110212213E-2</v>
      </c>
      <c r="U44" s="230">
        <f t="shared" si="9"/>
        <v>141173698.52165633</v>
      </c>
    </row>
    <row r="45" spans="1:21">
      <c r="A45" s="229" t="s">
        <v>27</v>
      </c>
      <c r="B45" s="267">
        <f t="shared" si="0"/>
        <v>0.26735544916811521</v>
      </c>
      <c r="C45" s="255">
        <f>ROUND(IF('PART PEF2023'!G$4&lt;1,'CALCULO GARANTIA'!B44*'PART PEF2023'!E$4,'CALCULO GARANTIA'!J44+'CALCULO GARANTIA'!C44),2)</f>
        <v>2353549822.1599998</v>
      </c>
      <c r="D45" s="267">
        <f t="shared" si="0"/>
        <v>0.26745262414801207</v>
      </c>
      <c r="E45" s="166">
        <f>ROUND(+IF('PART PEF2023'!G$5&lt;1,'CALCULO GARANTIA'!B44*'PART PEF2023'!E$5,'CALCULO GARANTIA'!K44+'CALCULO GARANTIA'!D44),2)</f>
        <v>323760878.18000001</v>
      </c>
      <c r="F45" s="267">
        <f t="shared" ref="F45" si="298">+G45/G$58</f>
        <v>0</v>
      </c>
      <c r="G45" s="258">
        <f>ROUND(+'PART PEF2023'!E$11*'Art.14 Frac.III'!R43,2)</f>
        <v>0</v>
      </c>
      <c r="H45" s="267">
        <f t="shared" ref="H45" si="299">+I45/I$58</f>
        <v>0.26475379241020114</v>
      </c>
      <c r="I45" s="166">
        <f>ROUND(+IF('PART PEF2023'!G$6&lt;1,'CALCULO GARANTIA'!B44*'PART PEF2023'!E$6,'CALCULO GARANTIA'!L44+'CALCULO GARANTIA'!E44),2)</f>
        <v>66144280.799999997</v>
      </c>
      <c r="J45" s="267">
        <f t="shared" ref="J45" si="300">+K45/K$58</f>
        <v>0.2658967542405819</v>
      </c>
      <c r="K45" s="255">
        <f>ROUND(+IF('PART PEF2023'!G$7&lt;1,'CALCULO GARANTIA'!B44*'PART PEF2023'!E$7,'CALCULO GARANTIA'!M44+'CALCULO GARANTIA'!F44),2)</f>
        <v>120158055.51000001</v>
      </c>
      <c r="L45" s="267">
        <f t="shared" ref="L45" si="301">+M45/M$58</f>
        <v>0.26694716256753903</v>
      </c>
      <c r="M45" s="166">
        <f>ROUND(+IF('PART PEF2023'!G$8&lt;1,'CALCULO GARANTIA'!B44*'PART PEF2023'!E$8,'CALCULO GARANTIA'!N44+'CALCULO GARANTIA'!G44),2)</f>
        <v>63595463.539999999</v>
      </c>
      <c r="N45" s="267">
        <f t="shared" ref="N45" si="302">+O45/O$58</f>
        <v>0.26492818323870598</v>
      </c>
      <c r="O45" s="255">
        <f>ROUND(+IF('PART PEF2023'!G$9&lt;1,'CALCULO GARANTIA'!B44*'PART PEF2023'!E$9,'CALCULO GARANTIA'!O44+'CALCULO GARANTIA'!H44),2)</f>
        <v>11883153.800000001</v>
      </c>
      <c r="P45" s="267">
        <f t="shared" ref="P45" si="303">+Q45/Q$58</f>
        <v>0.22347603621685608</v>
      </c>
      <c r="Q45" s="166">
        <f>+ROUND('COEF Art 14 F II'!L45,2)</f>
        <v>62643304.869999997</v>
      </c>
      <c r="R45" s="267">
        <f t="shared" ref="R45" si="304">+S45/S$58</f>
        <v>0.25759085593749842</v>
      </c>
      <c r="S45" s="255">
        <f>+'ISR BI'!D42</f>
        <v>37515199.659999996</v>
      </c>
      <c r="T45" s="267">
        <f t="shared" ref="T45" si="305">+U45/U$58</f>
        <v>0.25563013244430632</v>
      </c>
      <c r="U45" s="230">
        <f t="shared" si="9"/>
        <v>3039250160.3310456</v>
      </c>
    </row>
    <row r="46" spans="1:21">
      <c r="A46" s="229" t="s">
        <v>140</v>
      </c>
      <c r="B46" s="267">
        <f t="shared" si="0"/>
        <v>1.4996045806706672E-3</v>
      </c>
      <c r="C46" s="255">
        <f>ROUND(IF('PART PEF2023'!G$4&lt;1,'CALCULO GARANTIA'!B45*'PART PEF2023'!E$4,'CALCULO GARANTIA'!J45+'CALCULO GARANTIA'!C45),2)</f>
        <v>13201130.199999999</v>
      </c>
      <c r="D46" s="267">
        <f t="shared" si="0"/>
        <v>1.5017257821977362E-3</v>
      </c>
      <c r="E46" s="166">
        <f>ROUND(+IF('PART PEF2023'!G$5&lt;1,'CALCULO GARANTIA'!B45*'PART PEF2023'!E$5,'CALCULO GARANTIA'!K45+'CALCULO GARANTIA'!D45),2)</f>
        <v>1817892.27</v>
      </c>
      <c r="F46" s="267">
        <f t="shared" ref="F46" si="306">+G46/G$58</f>
        <v>8.6371950808894274E-3</v>
      </c>
      <c r="G46" s="258">
        <f>ROUND(+'PART PEF2023'!E$11*'Art.14 Frac.III'!R44,2)</f>
        <v>4015170.39</v>
      </c>
      <c r="H46" s="267">
        <f t="shared" ref="H46" si="307">+I46/I$58</f>
        <v>1.4428137041598067E-3</v>
      </c>
      <c r="I46" s="166">
        <f>ROUND(+IF('PART PEF2023'!G$6&lt;1,'CALCULO GARANTIA'!B45*'PART PEF2023'!E$6,'CALCULO GARANTIA'!L45+'CALCULO GARANTIA'!E45),2)</f>
        <v>360462.73</v>
      </c>
      <c r="J46" s="267">
        <f t="shared" ref="J46" si="308">+K46/K$58</f>
        <v>1.4677631252724339E-3</v>
      </c>
      <c r="K46" s="255">
        <f>ROUND(+IF('PART PEF2023'!G$7&lt;1,'CALCULO GARANTIA'!B45*'PART PEF2023'!E$7,'CALCULO GARANTIA'!M45+'CALCULO GARANTIA'!F45),2)</f>
        <v>663278.36</v>
      </c>
      <c r="L46" s="267">
        <f t="shared" ref="L46" si="309">+M46/M$58</f>
        <v>1.490692190342072E-3</v>
      </c>
      <c r="M46" s="166">
        <f>ROUND(+IF('PART PEF2023'!G$8&lt;1,'CALCULO GARANTIA'!B45*'PART PEF2023'!E$8,'CALCULO GARANTIA'!N45+'CALCULO GARANTIA'!G45),2)</f>
        <v>355131.18</v>
      </c>
      <c r="N46" s="267">
        <f t="shared" ref="N46" si="310">+O46/O$58</f>
        <v>1.4466204729911634E-3</v>
      </c>
      <c r="O46" s="255">
        <f>ROUND(+IF('PART PEF2023'!G$9&lt;1,'CALCULO GARANTIA'!B45*'PART PEF2023'!E$9,'CALCULO GARANTIA'!O45+'CALCULO GARANTIA'!H45),2)</f>
        <v>64887.07</v>
      </c>
      <c r="P46" s="267">
        <f t="shared" ref="P46" si="311">+Q46/Q$58</f>
        <v>6.6470924116191746E-4</v>
      </c>
      <c r="Q46" s="166">
        <f>+ROUND('COEF Art 14 F II'!L46,2)</f>
        <v>186326.84</v>
      </c>
      <c r="R46" s="267">
        <f t="shared" ref="R46" si="312">+S46/S$58</f>
        <v>5.1308611982743111E-5</v>
      </c>
      <c r="S46" s="255">
        <f>+'ISR BI'!D43</f>
        <v>7472.52</v>
      </c>
      <c r="T46" s="267">
        <f t="shared" ref="T46" si="313">+U46/U$58</f>
        <v>1.7386928731239276E-3</v>
      </c>
      <c r="U46" s="230">
        <f t="shared" si="9"/>
        <v>20671751.576702829</v>
      </c>
    </row>
    <row r="47" spans="1:21">
      <c r="A47" s="229" t="s">
        <v>141</v>
      </c>
      <c r="B47" s="267">
        <f t="shared" si="0"/>
        <v>7.7023583804388023E-3</v>
      </c>
      <c r="C47" s="255">
        <f>ROUND(IF('PART PEF2023'!G$4&lt;1,'CALCULO GARANTIA'!B46*'PART PEF2023'!E$4,'CALCULO GARANTIA'!J46+'CALCULO GARANTIA'!C46),2)</f>
        <v>67804431.340000004</v>
      </c>
      <c r="D47" s="267">
        <f t="shared" si="0"/>
        <v>7.7403956832381316E-3</v>
      </c>
      <c r="E47" s="166">
        <f>ROUND(+IF('PART PEF2023'!G$5&lt;1,'CALCULO GARANTIA'!B46*'PART PEF2023'!E$5,'CALCULO GARANTIA'!K46+'CALCULO GARANTIA'!D46),2)</f>
        <v>9370023.2400000002</v>
      </c>
      <c r="F47" s="267">
        <f t="shared" ref="F47" si="314">+G47/G$58</f>
        <v>1.5128488967993136E-2</v>
      </c>
      <c r="G47" s="258">
        <f>ROUND(+'PART PEF2023'!E$11*'Art.14 Frac.III'!R45,2)</f>
        <v>7032776.3099999996</v>
      </c>
      <c r="H47" s="267">
        <f t="shared" ref="H47" si="315">+I47/I$58</f>
        <v>6.683989120808519E-3</v>
      </c>
      <c r="I47" s="166">
        <f>ROUND(+IF('PART PEF2023'!G$6&lt;1,'CALCULO GARANTIA'!B46*'PART PEF2023'!E$6,'CALCULO GARANTIA'!L46+'CALCULO GARANTIA'!E46),2)</f>
        <v>1669882.23</v>
      </c>
      <c r="J47" s="267">
        <f t="shared" ref="J47" si="316">+K47/K$58</f>
        <v>7.1313798518006875E-3</v>
      </c>
      <c r="K47" s="255">
        <f>ROUND(+IF('PART PEF2023'!G$7&lt;1,'CALCULO GARANTIA'!B46*'PART PEF2023'!E$7,'CALCULO GARANTIA'!M46+'CALCULO GARANTIA'!F46),2)</f>
        <v>3222652.11</v>
      </c>
      <c r="L47" s="267">
        <f t="shared" ref="L47" si="317">+M47/M$58</f>
        <v>7.542542369227162E-3</v>
      </c>
      <c r="M47" s="166">
        <f>ROUND(+IF('PART PEF2023'!G$8&lt;1,'CALCULO GARANTIA'!B46*'PART PEF2023'!E$8,'CALCULO GARANTIA'!N46+'CALCULO GARANTIA'!G46),2)</f>
        <v>1796877.98</v>
      </c>
      <c r="N47" s="267">
        <f t="shared" ref="N47" si="318">+O47/O$58</f>
        <v>6.7522511165025046E-3</v>
      </c>
      <c r="O47" s="255">
        <f>ROUND(+IF('PART PEF2023'!G$9&lt;1,'CALCULO GARANTIA'!B46*'PART PEF2023'!E$9,'CALCULO GARANTIA'!O46+'CALCULO GARANTIA'!H46),2)</f>
        <v>302867.13</v>
      </c>
      <c r="P47" s="267">
        <f t="shared" ref="P47" si="319">+Q47/Q$58</f>
        <v>2.0133360379927405E-2</v>
      </c>
      <c r="Q47" s="166">
        <f>+ROUND('COEF Art 14 F II'!L47,2)</f>
        <v>5643648.6600000001</v>
      </c>
      <c r="R47" s="267">
        <f t="shared" ref="R47" si="320">+S47/S$58</f>
        <v>9.559842581523913E-3</v>
      </c>
      <c r="S47" s="255">
        <f>+'ISR BI'!D44</f>
        <v>1392283.13</v>
      </c>
      <c r="T47" s="267">
        <f t="shared" ref="T47" si="321">+U47/U$58</f>
        <v>8.2625443047780796E-3</v>
      </c>
      <c r="U47" s="230">
        <f t="shared" si="9"/>
        <v>98235442.210672244</v>
      </c>
    </row>
    <row r="48" spans="1:21">
      <c r="A48" s="229" t="s">
        <v>142</v>
      </c>
      <c r="B48" s="267">
        <f t="shared" si="0"/>
        <v>2.6611022107253194E-3</v>
      </c>
      <c r="C48" s="255">
        <f>ROUND(IF('PART PEF2023'!G$4&lt;1,'CALCULO GARANTIA'!B47*'PART PEF2023'!E$4,'CALCULO GARANTIA'!J47+'CALCULO GARANTIA'!C47),2)</f>
        <v>23425879.870000001</v>
      </c>
      <c r="D48" s="267">
        <f t="shared" si="0"/>
        <v>2.6567642155089243E-3</v>
      </c>
      <c r="E48" s="166">
        <f>ROUND(+IF('PART PEF2023'!G$5&lt;1,'CALCULO GARANTIA'!B47*'PART PEF2023'!E$5,'CALCULO GARANTIA'!K47+'CALCULO GARANTIA'!D47),2)</f>
        <v>3216107.22</v>
      </c>
      <c r="F48" s="267">
        <f t="shared" ref="F48" si="322">+G48/G$58</f>
        <v>9.5270405134808816E-3</v>
      </c>
      <c r="G48" s="258">
        <f>ROUND(+'PART PEF2023'!E$11*'Art.14 Frac.III'!R46,2)</f>
        <v>4428832.58</v>
      </c>
      <c r="H48" s="267">
        <f t="shared" ref="H48" si="323">+I48/I$58</f>
        <v>2.7772430438407218E-3</v>
      </c>
      <c r="I48" s="166">
        <f>ROUND(+IF('PART PEF2023'!G$6&lt;1,'CALCULO GARANTIA'!B47*'PART PEF2023'!E$6,'CALCULO GARANTIA'!L47+'CALCULO GARANTIA'!E47),2)</f>
        <v>693847.45</v>
      </c>
      <c r="J48" s="267">
        <f t="shared" ref="J48" si="324">+K48/K$58</f>
        <v>2.7262199629539395E-3</v>
      </c>
      <c r="K48" s="255">
        <f>ROUND(+IF('PART PEF2023'!G$7&lt;1,'CALCULO GARANTIA'!B47*'PART PEF2023'!E$7,'CALCULO GARANTIA'!M47+'CALCULO GARANTIA'!F47),2)</f>
        <v>1231971.75</v>
      </c>
      <c r="L48" s="267">
        <f t="shared" ref="L48" si="325">+M48/M$58</f>
        <v>2.6793285745533601E-3</v>
      </c>
      <c r="M48" s="166">
        <f>ROUND(+IF('PART PEF2023'!G$8&lt;1,'CALCULO GARANTIA'!B47*'PART PEF2023'!E$8,'CALCULO GARANTIA'!N47+'CALCULO GARANTIA'!G47),2)</f>
        <v>638302.88</v>
      </c>
      <c r="N48" s="267">
        <f t="shared" ref="N48" si="326">+O48/O$58</f>
        <v>2.7694580147459985E-3</v>
      </c>
      <c r="O48" s="255">
        <f>ROUND(+IF('PART PEF2023'!G$9&lt;1,'CALCULO GARANTIA'!B47*'PART PEF2023'!E$9,'CALCULO GARANTIA'!O47+'CALCULO GARANTIA'!H47),2)</f>
        <v>124221.95</v>
      </c>
      <c r="P48" s="267">
        <f t="shared" ref="P48" si="327">+Q48/Q$58</f>
        <v>1.2546821066162573E-3</v>
      </c>
      <c r="Q48" s="166">
        <f>+ROUND('COEF Art 14 F II'!L48,2)</f>
        <v>351704.08</v>
      </c>
      <c r="R48" s="267">
        <f t="shared" ref="R48" si="328">+S48/S$58</f>
        <v>8.3618469976189569E-4</v>
      </c>
      <c r="S48" s="255">
        <f>+'ISR BI'!D45</f>
        <v>121780.86</v>
      </c>
      <c r="T48" s="267">
        <f t="shared" ref="T48" si="329">+U48/U$58</f>
        <v>2.8792945794426437E-3</v>
      </c>
      <c r="U48" s="230">
        <f t="shared" si="9"/>
        <v>34232648.665226921</v>
      </c>
    </row>
    <row r="49" spans="1:21">
      <c r="A49" s="229" t="s">
        <v>28</v>
      </c>
      <c r="B49" s="267">
        <f t="shared" si="0"/>
        <v>2.8805079142951474E-3</v>
      </c>
      <c r="C49" s="255">
        <f>ROUND(IF('PART PEF2023'!G$4&lt;1,'CALCULO GARANTIA'!B48*'PART PEF2023'!E$4,'CALCULO GARANTIA'!J48+'CALCULO GARANTIA'!C48),2)</f>
        <v>25357324.530000001</v>
      </c>
      <c r="D49" s="267">
        <f t="shared" si="0"/>
        <v>2.8735978767504616E-3</v>
      </c>
      <c r="E49" s="166">
        <f>ROUND(+IF('PART PEF2023'!G$5&lt;1,'CALCULO GARANTIA'!B48*'PART PEF2023'!E$5,'CALCULO GARANTIA'!K48+'CALCULO GARANTIA'!D48),2)</f>
        <v>3478592.05</v>
      </c>
      <c r="F49" s="267">
        <f t="shared" ref="F49" si="330">+G49/G$58</f>
        <v>1.7105712663609347E-2</v>
      </c>
      <c r="G49" s="258">
        <f>ROUND(+'PART PEF2023'!E$11*'Art.14 Frac.III'!R47,2)</f>
        <v>7951927.7199999997</v>
      </c>
      <c r="H49" s="267">
        <f t="shared" ref="H49" si="331">+I49/I$58</f>
        <v>3.0655098431920462E-3</v>
      </c>
      <c r="I49" s="166">
        <f>ROUND(+IF('PART PEF2023'!G$6&lt;1,'CALCULO GARANTIA'!B48*'PART PEF2023'!E$6,'CALCULO GARANTIA'!L48+'CALCULO GARANTIA'!E48),2)</f>
        <v>765866.06</v>
      </c>
      <c r="J49" s="267">
        <f t="shared" ref="J49" si="332">+K49/K$58</f>
        <v>2.9842346505942778E-3</v>
      </c>
      <c r="K49" s="255">
        <f>ROUND(+IF('PART PEF2023'!G$7&lt;1,'CALCULO GARANTIA'!B48*'PART PEF2023'!E$7,'CALCULO GARANTIA'!M48+'CALCULO GARANTIA'!F48),2)</f>
        <v>1348567.92</v>
      </c>
      <c r="L49" s="267">
        <f t="shared" ref="L49" si="333">+M49/M$58</f>
        <v>2.9095408786599338E-3</v>
      </c>
      <c r="M49" s="166">
        <f>ROUND(+IF('PART PEF2023'!G$8&lt;1,'CALCULO GARANTIA'!B48*'PART PEF2023'!E$8,'CALCULO GARANTIA'!N48+'CALCULO GARANTIA'!G48),2)</f>
        <v>693146.91</v>
      </c>
      <c r="N49" s="267">
        <f t="shared" ref="N49" si="334">+O49/O$58</f>
        <v>3.0531089785950814E-3</v>
      </c>
      <c r="O49" s="255">
        <f>ROUND(+IF('PART PEF2023'!G$9&lt;1,'CALCULO GARANTIA'!B48*'PART PEF2023'!E$9,'CALCULO GARANTIA'!O48+'CALCULO GARANTIA'!H48),2)</f>
        <v>136944.9</v>
      </c>
      <c r="P49" s="267">
        <f t="shared" ref="P49" si="335">+Q49/Q$58</f>
        <v>8.9213394886716944E-4</v>
      </c>
      <c r="Q49" s="166">
        <f>+ROUND('COEF Art 14 F II'!L49,2)</f>
        <v>250077.01</v>
      </c>
      <c r="R49" s="267">
        <f t="shared" ref="R49" si="336">+S49/S$58</f>
        <v>3.896628888274198E-5</v>
      </c>
      <c r="S49" s="255">
        <f>+'ISR BI'!D46</f>
        <v>5675</v>
      </c>
      <c r="T49" s="267">
        <f t="shared" ref="T49" si="337">+U49/U$58</f>
        <v>3.3633851831152725E-3</v>
      </c>
      <c r="U49" s="230">
        <f t="shared" si="9"/>
        <v>39988122.132922806</v>
      </c>
    </row>
    <row r="50" spans="1:21">
      <c r="A50" s="229" t="s">
        <v>29</v>
      </c>
      <c r="B50" s="267">
        <f t="shared" si="0"/>
        <v>8.1767927878498466E-3</v>
      </c>
      <c r="C50" s="255">
        <f>ROUND(IF('PART PEF2023'!G$4&lt;1,'CALCULO GARANTIA'!B49*'PART PEF2023'!E$4,'CALCULO GARANTIA'!J49+'CALCULO GARANTIA'!C49),2)</f>
        <v>71980912.569999993</v>
      </c>
      <c r="D50" s="267">
        <f t="shared" si="0"/>
        <v>8.1546721730697182E-3</v>
      </c>
      <c r="E50" s="166">
        <f>ROUND(+IF('PART PEF2023'!G$5&lt;1,'CALCULO GARANTIA'!B49*'PART PEF2023'!E$5,'CALCULO GARANTIA'!K49+'CALCULO GARANTIA'!D49),2)</f>
        <v>9871519.6099999994</v>
      </c>
      <c r="F50" s="267">
        <f t="shared" ref="F50" si="338">+G50/G$58</f>
        <v>1.4289087432676897E-2</v>
      </c>
      <c r="G50" s="258">
        <f>ROUND(+'PART PEF2023'!E$11*'Art.14 Frac.III'!R48,2)</f>
        <v>6642563.96</v>
      </c>
      <c r="H50" s="267">
        <f t="shared" ref="H50" si="339">+I50/I$58</f>
        <v>8.7690260981437562E-3</v>
      </c>
      <c r="I50" s="166">
        <f>ROUND(+IF('PART PEF2023'!G$6&lt;1,'CALCULO GARANTIA'!B49*'PART PEF2023'!E$6,'CALCULO GARANTIA'!L49+'CALCULO GARANTIA'!E49),2)</f>
        <v>2190793.64</v>
      </c>
      <c r="J50" s="267">
        <f t="shared" ref="J50" si="340">+K50/K$58</f>
        <v>8.5088457131867294E-3</v>
      </c>
      <c r="K50" s="255">
        <f>ROUND(+IF('PART PEF2023'!G$7&lt;1,'CALCULO GARANTIA'!B49*'PART PEF2023'!E$7,'CALCULO GARANTIA'!M49+'CALCULO GARANTIA'!F49),2)</f>
        <v>3845125.37</v>
      </c>
      <c r="L50" s="267">
        <f t="shared" ref="L50" si="341">+M50/M$58</f>
        <v>8.2697339229602165E-3</v>
      </c>
      <c r="M50" s="166">
        <f>ROUND(+IF('PART PEF2023'!G$8&lt;1,'CALCULO GARANTIA'!B49*'PART PEF2023'!E$8,'CALCULO GARANTIA'!N49+'CALCULO GARANTIA'!G49),2)</f>
        <v>1970118.57</v>
      </c>
      <c r="N50" s="267">
        <f t="shared" ref="N50" si="342">+O50/O$58</f>
        <v>8.7293283985743104E-3</v>
      </c>
      <c r="O50" s="255">
        <f>ROUND(+IF('PART PEF2023'!G$9&lt;1,'CALCULO GARANTIA'!B49*'PART PEF2023'!E$9,'CALCULO GARANTIA'!O49+'CALCULO GARANTIA'!H49),2)</f>
        <v>391547.44</v>
      </c>
      <c r="P50" s="267">
        <f t="shared" ref="P50" si="343">+Q50/Q$58</f>
        <v>6.0126395658632514E-3</v>
      </c>
      <c r="Q50" s="166">
        <f>+ROUND('COEF Art 14 F II'!L50,2)</f>
        <v>1685422.83</v>
      </c>
      <c r="R50" s="267">
        <f t="shared" ref="R50" si="344">+S50/S$58</f>
        <v>1.1979306973093726E-3</v>
      </c>
      <c r="S50" s="255">
        <f>+'ISR BI'!D47</f>
        <v>174465.08</v>
      </c>
      <c r="T50" s="267">
        <f t="shared" ref="T50" si="345">+U50/U$58</f>
        <v>8.3060312354016411E-3</v>
      </c>
      <c r="U50" s="230">
        <f t="shared" si="9"/>
        <v>98752469.13393122</v>
      </c>
    </row>
    <row r="51" spans="1:21">
      <c r="A51" s="229" t="s">
        <v>30</v>
      </c>
      <c r="B51" s="267">
        <f t="shared" si="0"/>
        <v>8.5665048534933463E-3</v>
      </c>
      <c r="C51" s="255">
        <f>ROUND(IF('PART PEF2023'!G$4&lt;1,'CALCULO GARANTIA'!B50*'PART PEF2023'!E$4,'CALCULO GARANTIA'!J50+'CALCULO GARANTIA'!C50),2)</f>
        <v>75411576.75</v>
      </c>
      <c r="D51" s="267">
        <f t="shared" si="0"/>
        <v>8.5773751820447559E-3</v>
      </c>
      <c r="E51" s="166">
        <f>ROUND(+IF('PART PEF2023'!G$5&lt;1,'CALCULO GARANTIA'!B50*'PART PEF2023'!E$5,'CALCULO GARANTIA'!K50+'CALCULO GARANTIA'!D50),2)</f>
        <v>10383216.58</v>
      </c>
      <c r="F51" s="267">
        <f t="shared" ref="F51" si="346">+G51/G$58</f>
        <v>1.5298243757255267E-2</v>
      </c>
      <c r="G51" s="258">
        <f>ROUND(+'PART PEF2023'!E$11*'Art.14 Frac.III'!R49,2)</f>
        <v>7111690.1699999999</v>
      </c>
      <c r="H51" s="267">
        <f t="shared" ref="H51" si="347">+I51/I$58</f>
        <v>8.2754745130267614E-3</v>
      </c>
      <c r="I51" s="166">
        <f>ROUND(+IF('PART PEF2023'!G$6&lt;1,'CALCULO GARANTIA'!B50*'PART PEF2023'!E$6,'CALCULO GARANTIA'!L50+'CALCULO GARANTIA'!E50),2)</f>
        <v>2067488.08</v>
      </c>
      <c r="J51" s="267">
        <f t="shared" ref="J51" si="348">+K51/K$58</f>
        <v>8.4033301944620806E-3</v>
      </c>
      <c r="K51" s="255">
        <f>ROUND(+IF('PART PEF2023'!G$7&lt;1,'CALCULO GARANTIA'!B50*'PART PEF2023'!E$7,'CALCULO GARANTIA'!M50+'CALCULO GARANTIA'!F50),2)</f>
        <v>3797443.18</v>
      </c>
      <c r="L51" s="267">
        <f t="shared" ref="L51" si="349">+M51/M$58</f>
        <v>8.5208325127874122E-3</v>
      </c>
      <c r="M51" s="166">
        <f>ROUND(+IF('PART PEF2023'!G$8&lt;1,'CALCULO GARANTIA'!B50*'PART PEF2023'!E$8,'CALCULO GARANTIA'!N50+'CALCULO GARANTIA'!G50),2)</f>
        <v>2029938.39</v>
      </c>
      <c r="N51" s="267">
        <f t="shared" ref="N51" si="350">+O51/O$58</f>
        <v>8.2949824468132455E-3</v>
      </c>
      <c r="O51" s="255">
        <f>ROUND(+IF('PART PEF2023'!G$9&lt;1,'CALCULO GARANTIA'!B50*'PART PEF2023'!E$9,'CALCULO GARANTIA'!O50+'CALCULO GARANTIA'!H50),2)</f>
        <v>372065.18</v>
      </c>
      <c r="P51" s="267">
        <f t="shared" ref="P51" si="351">+Q51/Q$58</f>
        <v>1.2209036449903199E-2</v>
      </c>
      <c r="Q51" s="166">
        <f>+ROUND('COEF Art 14 F II'!L51,2)</f>
        <v>3422355.28</v>
      </c>
      <c r="R51" s="267">
        <f t="shared" ref="R51" si="352">+S51/S$58</f>
        <v>1.3799042276746753E-2</v>
      </c>
      <c r="S51" s="255">
        <f>+'ISR BI'!D48</f>
        <v>2009674.7</v>
      </c>
      <c r="T51" s="267">
        <f t="shared" ref="T51" si="353">+U51/U$58</f>
        <v>8.9665422240582E-3</v>
      </c>
      <c r="U51" s="230">
        <f t="shared" si="9"/>
        <v>106605448.39337835</v>
      </c>
    </row>
    <row r="52" spans="1:21">
      <c r="A52" s="229" t="s">
        <v>143</v>
      </c>
      <c r="B52" s="267">
        <f t="shared" si="0"/>
        <v>7.0867260978246804E-2</v>
      </c>
      <c r="C52" s="255">
        <f>ROUND(IF('PART PEF2023'!G$4&lt;1,'CALCULO GARANTIA'!B51*'PART PEF2023'!E$4,'CALCULO GARANTIA'!J51+'CALCULO GARANTIA'!C51),2)</f>
        <v>623849747.55999994</v>
      </c>
      <c r="D52" s="267">
        <f t="shared" si="0"/>
        <v>7.0840356434242441E-2</v>
      </c>
      <c r="E52" s="166">
        <f>ROUND(+IF('PART PEF2023'!G$5&lt;1,'CALCULO GARANTIA'!B51*'PART PEF2023'!E$5,'CALCULO GARANTIA'!K51+'CALCULO GARANTIA'!D51),2)</f>
        <v>85754761.549999997</v>
      </c>
      <c r="F52" s="267">
        <f t="shared" ref="F52" si="354">+G52/G$58</f>
        <v>4.5971224854978003E-2</v>
      </c>
      <c r="G52" s="258">
        <f>ROUND(+'PART PEF2023'!E$11*'Art.14 Frac.III'!R50,2)</f>
        <v>21370630.059999999</v>
      </c>
      <c r="H52" s="267">
        <f t="shared" ref="H52" si="355">+I52/I$58</f>
        <v>7.1587573878880137E-2</v>
      </c>
      <c r="I52" s="166">
        <f>ROUND(+IF('PART PEF2023'!G$6&lt;1,'CALCULO GARANTIA'!B51*'PART PEF2023'!E$6,'CALCULO GARANTIA'!L51+'CALCULO GARANTIA'!E51),2)</f>
        <v>17884950.940000001</v>
      </c>
      <c r="J52" s="267">
        <f t="shared" ref="J52" si="356">+K52/K$58</f>
        <v>7.1271125470049074E-2</v>
      </c>
      <c r="K52" s="255">
        <f>ROUND(+IF('PART PEF2023'!G$7&lt;1,'CALCULO GARANTIA'!B51*'PART PEF2023'!E$7,'CALCULO GARANTIA'!M51+'CALCULO GARANTIA'!F51),2)</f>
        <v>32207237.260000002</v>
      </c>
      <c r="L52" s="267">
        <f t="shared" ref="L52" si="357">+M52/M$58</f>
        <v>7.0980302060904527E-2</v>
      </c>
      <c r="M52" s="166">
        <f>ROUND(+IF('PART PEF2023'!G$8&lt;1,'CALCULO GARANTIA'!B51*'PART PEF2023'!E$8,'CALCULO GARANTIA'!N51+'CALCULO GARANTIA'!G51),2)</f>
        <v>16909807.800000001</v>
      </c>
      <c r="N52" s="267">
        <f t="shared" ref="N52" si="358">+O52/O$58</f>
        <v>7.1539290793124113E-2</v>
      </c>
      <c r="O52" s="255">
        <f>ROUND(+IF('PART PEF2023'!G$9&lt;1,'CALCULO GARANTIA'!B51*'PART PEF2023'!E$9,'CALCULO GARANTIA'!O51+'CALCULO GARANTIA'!H51),2)</f>
        <v>3208840.92</v>
      </c>
      <c r="P52" s="267">
        <f t="shared" ref="P52" si="359">+Q52/Q$58</f>
        <v>7.4128841170862658E-2</v>
      </c>
      <c r="Q52" s="166">
        <f>+ROUND('COEF Art 14 F II'!L52,2)</f>
        <v>20779299.989999998</v>
      </c>
      <c r="R52" s="267">
        <f t="shared" ref="R52" si="360">+S52/S$58</f>
        <v>3.4868794851958422E-2</v>
      </c>
      <c r="S52" s="255">
        <f>+'ISR BI'!D49</f>
        <v>5078246.26</v>
      </c>
      <c r="T52" s="267">
        <f t="shared" ref="T52" si="361">+U52/U$58</f>
        <v>6.9562304558906884E-2</v>
      </c>
      <c r="U52" s="230">
        <f t="shared" si="9"/>
        <v>827043522.85118747</v>
      </c>
    </row>
    <row r="53" spans="1:21">
      <c r="A53" s="229" t="s">
        <v>144</v>
      </c>
      <c r="B53" s="267">
        <f t="shared" si="0"/>
        <v>0.13651272697984923</v>
      </c>
      <c r="C53" s="255">
        <f>ROUND(IF('PART PEF2023'!G$4&lt;1,'CALCULO GARANTIA'!B52*'PART PEF2023'!E$4,'CALCULO GARANTIA'!J52+'CALCULO GARANTIA'!C52),2)</f>
        <v>1201731647.1600001</v>
      </c>
      <c r="D53" s="267">
        <f t="shared" si="0"/>
        <v>0.13645224037816331</v>
      </c>
      <c r="E53" s="166">
        <f>ROUND(+IF('PART PEF2023'!G$5&lt;1,'CALCULO GARANTIA'!B52*'PART PEF2023'!E$5,'CALCULO GARANTIA'!K52+'CALCULO GARANTIA'!D52),2)</f>
        <v>165180271.88999999</v>
      </c>
      <c r="F53" s="267">
        <f t="shared" ref="F53" si="362">+G53/G$58</f>
        <v>8.1614392803357291E-2</v>
      </c>
      <c r="G53" s="258">
        <f>ROUND(+'PART PEF2023'!E$11*'Art.14 Frac.III'!R51,2)</f>
        <v>37940059.280000001</v>
      </c>
      <c r="H53" s="267">
        <f t="shared" ref="H53" si="363">+I53/I$58</f>
        <v>0.13813212921044538</v>
      </c>
      <c r="I53" s="166">
        <f>ROUND(+IF('PART PEF2023'!G$6&lt;1,'CALCULO GARANTIA'!B52*'PART PEF2023'!E$6,'CALCULO GARANTIA'!L52+'CALCULO GARANTIA'!E52),2)</f>
        <v>34509988.539999999</v>
      </c>
      <c r="J53" s="267">
        <f t="shared" ref="J53" si="364">+K53/K$58</f>
        <v>0.1374206922397071</v>
      </c>
      <c r="K53" s="255">
        <f>ROUND(+IF('PART PEF2023'!G$7&lt;1,'CALCULO GARANTIA'!B52*'PART PEF2023'!E$7,'CALCULO GARANTIA'!M52+'CALCULO GARANTIA'!F52),2)</f>
        <v>62100055.390000001</v>
      </c>
      <c r="L53" s="267">
        <f t="shared" ref="L53" si="365">+M53/M$58</f>
        <v>0.13676686509381913</v>
      </c>
      <c r="M53" s="166">
        <f>ROUND(+IF('PART PEF2023'!G$8&lt;1,'CALCULO GARANTIA'!B52*'PART PEF2023'!E$8,'CALCULO GARANTIA'!N52+'CALCULO GARANTIA'!G52),2)</f>
        <v>32582298.68</v>
      </c>
      <c r="N53" s="267">
        <f t="shared" ref="N53" si="366">+O53/O$58</f>
        <v>0.13802357961449618</v>
      </c>
      <c r="O53" s="255">
        <f>ROUND(+IF('PART PEF2023'!G$9&lt;1,'CALCULO GARANTIA'!B52*'PART PEF2023'!E$9,'CALCULO GARANTIA'!O52+'CALCULO GARANTIA'!H52),2)</f>
        <v>6190943.54</v>
      </c>
      <c r="P53" s="267">
        <f t="shared" ref="P53" si="367">+Q53/Q$58</f>
        <v>5.4834330467973022E-2</v>
      </c>
      <c r="Q53" s="166">
        <f>+ROUND('COEF Art 14 F II'!L53,2)</f>
        <v>15370792.050000001</v>
      </c>
      <c r="R53" s="267">
        <f t="shared" ref="R53" si="368">+S53/S$58</f>
        <v>0.14630485531012172</v>
      </c>
      <c r="S53" s="255">
        <f>+'ISR BI'!D50</f>
        <v>21307650.219999999</v>
      </c>
      <c r="T53" s="267">
        <f t="shared" ref="T53" si="369">+U53/U$58</f>
        <v>0.13263359009371009</v>
      </c>
      <c r="U53" s="230">
        <f t="shared" si="9"/>
        <v>1576913707.7195494</v>
      </c>
    </row>
    <row r="54" spans="1:21">
      <c r="A54" s="229" t="s">
        <v>31</v>
      </c>
      <c r="B54" s="267">
        <f t="shared" si="0"/>
        <v>3.7146282008283411E-2</v>
      </c>
      <c r="C54" s="255">
        <f>ROUND(IF('PART PEF2023'!G$4&lt;1,'CALCULO GARANTIA'!B53*'PART PEF2023'!E$4,'CALCULO GARANTIA'!J53+'CALCULO GARANTIA'!C53),2)</f>
        <v>327001471.95999998</v>
      </c>
      <c r="D54" s="267">
        <f t="shared" si="0"/>
        <v>3.7137271850513451E-2</v>
      </c>
      <c r="E54" s="166">
        <f>ROUND(+IF('PART PEF2023'!G$5&lt;1,'CALCULO GARANTIA'!B53*'PART PEF2023'!E$5,'CALCULO GARANTIA'!K53+'CALCULO GARANTIA'!D53),2)</f>
        <v>44955983.460000001</v>
      </c>
      <c r="F54" s="267">
        <f t="shared" ref="F54" si="370">+G54/G$58</f>
        <v>2.7386765776597637E-2</v>
      </c>
      <c r="G54" s="258">
        <f>ROUND(+'PART PEF2023'!E$11*'Art.14 Frac.III'!R52,2)</f>
        <v>12731277.92</v>
      </c>
      <c r="H54" s="267">
        <f t="shared" ref="H54" si="371">+I54/I$58</f>
        <v>3.7387510104915991E-2</v>
      </c>
      <c r="I54" s="166">
        <f>ROUND(+IF('PART PEF2023'!G$6&lt;1,'CALCULO GARANTIA'!B53*'PART PEF2023'!E$6,'CALCULO GARANTIA'!L53+'CALCULO GARANTIA'!E53),2)</f>
        <v>9340640.3900000006</v>
      </c>
      <c r="J54" s="267">
        <f t="shared" ref="J54" si="372">+K54/K$58</f>
        <v>3.7281533607425116E-2</v>
      </c>
      <c r="K54" s="255">
        <f>ROUND(+IF('PART PEF2023'!G$7&lt;1,'CALCULO GARANTIA'!B53*'PART PEF2023'!E$7,'CALCULO GARANTIA'!M53+'CALCULO GARANTIA'!F53),2)</f>
        <v>16847428.609999999</v>
      </c>
      <c r="L54" s="267">
        <f t="shared" ref="L54" si="373">+M54/M$58</f>
        <v>3.7184138741260676E-2</v>
      </c>
      <c r="M54" s="166">
        <f>ROUND(+IF('PART PEF2023'!G$8&lt;1,'CALCULO GARANTIA'!B53*'PART PEF2023'!E$8,'CALCULO GARANTIA'!N53+'CALCULO GARANTIA'!G53),2)</f>
        <v>8858466.6600000001</v>
      </c>
      <c r="N54" s="267">
        <f t="shared" ref="N54" si="374">+O54/O$58</f>
        <v>3.73713403759997E-2</v>
      </c>
      <c r="O54" s="255">
        <f>ROUND(+IF('PART PEF2023'!G$9&lt;1,'CALCULO GARANTIA'!B53*'PART PEF2023'!E$9,'CALCULO GARANTIA'!O53+'CALCULO GARANTIA'!H53),2)</f>
        <v>1676263.28</v>
      </c>
      <c r="P54" s="267">
        <f t="shared" ref="P54" si="375">+Q54/Q$58</f>
        <v>4.9264341574124654E-2</v>
      </c>
      <c r="Q54" s="166">
        <f>+ROUND('COEF Art 14 F II'!L54,2)</f>
        <v>13809450.09</v>
      </c>
      <c r="R54" s="267">
        <f t="shared" ref="R54" si="376">+S54/S$58</f>
        <v>5.2559067040248361E-2</v>
      </c>
      <c r="S54" s="255">
        <f>+'ISR BI'!D51</f>
        <v>7654634.6600000001</v>
      </c>
      <c r="T54" s="267">
        <f t="shared" ref="T54" si="377">+U54/U$58</f>
        <v>3.7250093525065732E-2</v>
      </c>
      <c r="U54" s="230">
        <f t="shared" si="9"/>
        <v>442875617.34557188</v>
      </c>
    </row>
    <row r="55" spans="1:21">
      <c r="A55" s="229" t="s">
        <v>32</v>
      </c>
      <c r="B55" s="267">
        <f t="shared" si="0"/>
        <v>1.3102866429063888E-2</v>
      </c>
      <c r="C55" s="255">
        <f>ROUND(IF('PART PEF2023'!G$4&lt;1,'CALCULO GARANTIA'!B54*'PART PEF2023'!E$4,'CALCULO GARANTIA'!J54+'CALCULO GARANTIA'!C54),2)</f>
        <v>115345503.70999999</v>
      </c>
      <c r="D55" s="267">
        <f t="shared" si="0"/>
        <v>1.312189866316784E-2</v>
      </c>
      <c r="E55" s="166">
        <f>ROUND(+IF('PART PEF2023'!G$5&lt;1,'CALCULO GARANTIA'!B54*'PART PEF2023'!E$5,'CALCULO GARANTIA'!K54+'CALCULO GARANTIA'!D54),2)</f>
        <v>15884523.279999999</v>
      </c>
      <c r="F55" s="267">
        <f t="shared" ref="F55" si="378">+G55/G$58</f>
        <v>2.5417662506774526E-2</v>
      </c>
      <c r="G55" s="258">
        <f>ROUND(+'PART PEF2023'!E$11*'Art.14 Frac.III'!R53,2)</f>
        <v>11815901.449999999</v>
      </c>
      <c r="H55" s="267">
        <f t="shared" ref="H55" si="379">+I55/I$58</f>
        <v>1.2593318233906614E-2</v>
      </c>
      <c r="I55" s="166">
        <f>ROUND(+IF('PART PEF2023'!G$6&lt;1,'CALCULO GARANTIA'!B54*'PART PEF2023'!E$6,'CALCULO GARANTIA'!L54+'CALCULO GARANTIA'!E54),2)</f>
        <v>3146228.69</v>
      </c>
      <c r="J55" s="267">
        <f t="shared" ref="J55" si="380">+K55/K$58</f>
        <v>1.2817173337256361E-2</v>
      </c>
      <c r="K55" s="255">
        <f>ROUND(+IF('PART PEF2023'!G$7&lt;1,'CALCULO GARANTIA'!B54*'PART PEF2023'!E$7,'CALCULO GARANTIA'!M54+'CALCULO GARANTIA'!F54),2)</f>
        <v>5792047.4800000004</v>
      </c>
      <c r="L55" s="267">
        <f t="shared" ref="L55" si="381">+M55/M$58</f>
        <v>1.3022901351712997E-2</v>
      </c>
      <c r="M55" s="166">
        <f>ROUND(+IF('PART PEF2023'!G$8&lt;1,'CALCULO GARANTIA'!B54*'PART PEF2023'!E$8,'CALCULO GARANTIA'!N54+'CALCULO GARANTIA'!G54),2)</f>
        <v>3102477.06</v>
      </c>
      <c r="N55" s="267">
        <f t="shared" ref="N55" si="382">+O55/O$58</f>
        <v>1.2627473548986084E-2</v>
      </c>
      <c r="O55" s="255">
        <f>ROUND(+IF('PART PEF2023'!G$9&lt;1,'CALCULO GARANTIA'!B54*'PART PEF2023'!E$9,'CALCULO GARANTIA'!O54+'CALCULO GARANTIA'!H54),2)</f>
        <v>566395.80000000005</v>
      </c>
      <c r="P55" s="267">
        <f t="shared" ref="P55" si="383">+Q55/Q$58</f>
        <v>1.0517494192121786E-2</v>
      </c>
      <c r="Q55" s="166">
        <f>+ROUND('COEF Art 14 F II'!L55,2)</f>
        <v>2948193.49</v>
      </c>
      <c r="R55" s="267">
        <f t="shared" ref="R55" si="384">+S55/S$58</f>
        <v>5.0522538891767312E-2</v>
      </c>
      <c r="S55" s="255">
        <f>+'ISR BI'!D52</f>
        <v>7358037.3300000001</v>
      </c>
      <c r="T55" s="267">
        <f t="shared" ref="T55" si="385">+U55/U$58</f>
        <v>1.3958771986188011E-2</v>
      </c>
      <c r="U55" s="230">
        <f t="shared" si="9"/>
        <v>165959308.44064051</v>
      </c>
    </row>
    <row r="56" spans="1:21">
      <c r="A56" s="229" t="s">
        <v>33</v>
      </c>
      <c r="B56" s="267">
        <f t="shared" si="0"/>
        <v>2.5417866203308048E-3</v>
      </c>
      <c r="C56" s="255">
        <f>ROUND(IF('PART PEF2023'!G$4&lt;1,'CALCULO GARANTIA'!B55*'PART PEF2023'!E$4,'CALCULO GARANTIA'!J55+'CALCULO GARANTIA'!C55),2)</f>
        <v>22375535.890000001</v>
      </c>
      <c r="D56" s="267">
        <f t="shared" si="0"/>
        <v>2.5436589925905955E-3</v>
      </c>
      <c r="E56" s="166">
        <f>ROUND(+IF('PART PEF2023'!G$5&lt;1,'CALCULO GARANTIA'!B55*'PART PEF2023'!E$5,'CALCULO GARANTIA'!K55+'CALCULO GARANTIA'!D55),2)</f>
        <v>3079189.34</v>
      </c>
      <c r="F56" s="267">
        <f t="shared" ref="F56" si="386">+G56/G$58</f>
        <v>8.3587585713677075E-3</v>
      </c>
      <c r="G56" s="258">
        <f>ROUND(+'PART PEF2023'!E$11*'Art.14 Frac.III'!R54,2)</f>
        <v>3885733.69</v>
      </c>
      <c r="H56" s="267">
        <f t="shared" ref="H56" si="387">+I56/I$58</f>
        <v>2.4916577138238026E-3</v>
      </c>
      <c r="I56" s="166">
        <f>ROUND(+IF('PART PEF2023'!G$6&lt;1,'CALCULO GARANTIA'!B55*'PART PEF2023'!E$6,'CALCULO GARANTIA'!L55+'CALCULO GARANTIA'!E55),2)</f>
        <v>622498.76</v>
      </c>
      <c r="J56" s="267">
        <f t="shared" ref="J56" si="388">+K56/K$58</f>
        <v>2.5136803751576518E-3</v>
      </c>
      <c r="K56" s="255">
        <f>ROUND(+IF('PART PEF2023'!G$7&lt;1,'CALCULO GARANTIA'!B55*'PART PEF2023'!E$7,'CALCULO GARANTIA'!M55+'CALCULO GARANTIA'!F55),2)</f>
        <v>1135925.6599999999</v>
      </c>
      <c r="L56" s="267">
        <f t="shared" ref="L56" si="389">+M56/M$58</f>
        <v>2.5339197224360701E-3</v>
      </c>
      <c r="M56" s="166">
        <f>ROUND(+IF('PART PEF2023'!G$8&lt;1,'CALCULO GARANTIA'!B55*'PART PEF2023'!E$8,'CALCULO GARANTIA'!N55+'CALCULO GARANTIA'!G55),2)</f>
        <v>603661.78</v>
      </c>
      <c r="N56" s="267">
        <f t="shared" ref="N56" si="390">+O56/O$58</f>
        <v>2.4950179961347927E-3</v>
      </c>
      <c r="O56" s="255">
        <f>ROUND(+IF('PART PEF2023'!G$9&lt;1,'CALCULO GARANTIA'!B55*'PART PEF2023'!E$9,'CALCULO GARANTIA'!O55+'CALCULO GARANTIA'!H55),2)</f>
        <v>111912.15</v>
      </c>
      <c r="P56" s="267">
        <f t="shared" ref="P56" si="391">+Q56/Q$58</f>
        <v>1.0593157780349417E-3</v>
      </c>
      <c r="Q56" s="166">
        <f>+ROUND('COEF Art 14 F II'!L56,2)</f>
        <v>296940.3</v>
      </c>
      <c r="R56" s="267">
        <f t="shared" ref="R56" si="392">+S56/S$58</f>
        <v>2.2264094666138366E-4</v>
      </c>
      <c r="S56" s="255">
        <f>+'ISR BI'!D53</f>
        <v>32425.14</v>
      </c>
      <c r="T56" s="267">
        <f t="shared" ref="T56" si="393">+U56/U$58</f>
        <v>2.7036042539546473E-3</v>
      </c>
      <c r="U56" s="230">
        <f t="shared" si="9"/>
        <v>32143822.732218653</v>
      </c>
    </row>
    <row r="57" spans="1:21" ht="13.5" thickBot="1">
      <c r="A57" s="229" t="s">
        <v>34</v>
      </c>
      <c r="B57" s="267">
        <f t="shared" si="0"/>
        <v>3.0861028866332129E-3</v>
      </c>
      <c r="C57" s="256">
        <f>ROUND(IF('PART PEF2023'!G$4&lt;1,'CALCULO GARANTIA'!B56*'PART PEF2023'!E$4,'CALCULO GARANTIA'!J56+'CALCULO GARANTIA'!C56),2)</f>
        <v>27167192.300000001</v>
      </c>
      <c r="D57" s="267">
        <f t="shared" si="0"/>
        <v>3.0814404587527679E-3</v>
      </c>
      <c r="E57" s="253">
        <f>ROUND(+IF('PART PEF2023'!G$5&lt;1,'CALCULO GARANTIA'!B56*'PART PEF2023'!E$5,'CALCULO GARANTIA'!K56+'CALCULO GARANTIA'!D56),2)</f>
        <v>3730192.86</v>
      </c>
      <c r="F57" s="267">
        <f t="shared" ref="F57" si="394">+G57/G$58</f>
        <v>6.8961144102094507E-3</v>
      </c>
      <c r="G57" s="259">
        <f>ROUND(+'PART PEF2023'!E$11*'Art.14 Frac.III'!R55,2)</f>
        <v>3205794.72</v>
      </c>
      <c r="H57" s="267">
        <f t="shared" ref="H57" si="395">+I57/I$58</f>
        <v>3.21092956122311E-3</v>
      </c>
      <c r="I57" s="253">
        <f>ROUND(+IF('PART PEF2023'!G$6&lt;1,'CALCULO GARANTIA'!B56*'PART PEF2023'!E$6,'CALCULO GARANTIA'!L56+'CALCULO GARANTIA'!E56),2)</f>
        <v>802196.73</v>
      </c>
      <c r="J57" s="267">
        <f t="shared" ref="J57" si="396">+K57/K$58</f>
        <v>3.1560906021290075E-3</v>
      </c>
      <c r="K57" s="256">
        <f>ROUND(+IF('PART PEF2023'!G$7&lt;1,'CALCULO GARANTIA'!B56*'PART PEF2023'!E$7,'CALCULO GARANTIA'!M56+'CALCULO GARANTIA'!F56),2)</f>
        <v>1426229.18</v>
      </c>
      <c r="L57" s="267">
        <f t="shared" ref="L57" si="397">+M57/M$58</f>
        <v>3.105692324721568E-3</v>
      </c>
      <c r="M57" s="253">
        <f>ROUND(+IF('PART PEF2023'!G$8&lt;1,'CALCULO GARANTIA'!B56*'PART PEF2023'!E$8,'CALCULO GARANTIA'!N56+'CALCULO GARANTIA'!G56),2)</f>
        <v>739876.54</v>
      </c>
      <c r="N57" s="267">
        <f t="shared" ref="N57" si="398">+O57/O$58</f>
        <v>3.2025621665560775E-3</v>
      </c>
      <c r="O57" s="256">
        <f>ROUND(+IF('PART PEF2023'!G$9&lt;1,'CALCULO GARANTIA'!B56*'PART PEF2023'!E$9,'CALCULO GARANTIA'!O56+'CALCULO GARANTIA'!H56),2)</f>
        <v>143648.51</v>
      </c>
      <c r="P57" s="267">
        <f t="shared" ref="P57" si="399">+Q57/Q$58</f>
        <v>1.2218052504484351E-3</v>
      </c>
      <c r="Q57" s="253">
        <f>+ROUND('COEF Art 14 F II'!L57,2)</f>
        <v>342488.26</v>
      </c>
      <c r="R57" s="267">
        <f t="shared" ref="R57" si="400">+S57/S$58</f>
        <v>1.76843232204154E-4</v>
      </c>
      <c r="S57" s="256">
        <f>+'ISR BI'!D54</f>
        <v>25755.22</v>
      </c>
      <c r="T57" s="267">
        <f t="shared" ref="T57" si="401">+U57/U$58</f>
        <v>3.1611227949157523E-3</v>
      </c>
      <c r="U57" s="254">
        <f t="shared" si="9"/>
        <v>37583374.344051473</v>
      </c>
    </row>
    <row r="58" spans="1:21" ht="14.25" thickTop="1" thickBot="1">
      <c r="A58" s="231" t="s">
        <v>35</v>
      </c>
      <c r="B58" s="268">
        <f>SUM(B7:B57)</f>
        <v>1.0000000000000004</v>
      </c>
      <c r="C58" s="257">
        <f t="shared" ref="C58:S58" si="402">SUM(C7:C57)</f>
        <v>8803074070.4299965</v>
      </c>
      <c r="D58" s="268">
        <f>SUM(D7:D57)</f>
        <v>1</v>
      </c>
      <c r="E58" s="236">
        <f t="shared" si="402"/>
        <v>1210535432.9999998</v>
      </c>
      <c r="F58" s="268">
        <f>SUM(F7:F57)</f>
        <v>1</v>
      </c>
      <c r="G58" s="257">
        <f t="shared" si="402"/>
        <v>464869712.02999991</v>
      </c>
      <c r="H58" s="268">
        <f>SUM(H7:H57)</f>
        <v>1.0000000000000004</v>
      </c>
      <c r="I58" s="236">
        <f t="shared" si="402"/>
        <v>249833175.93999991</v>
      </c>
      <c r="J58" s="268">
        <f>SUM(J7:J57)</f>
        <v>0.99999999999999989</v>
      </c>
      <c r="K58" s="257">
        <f t="shared" si="402"/>
        <v>451897413.54000008</v>
      </c>
      <c r="L58" s="268">
        <f>SUM(L7:L57)</f>
        <v>1</v>
      </c>
      <c r="M58" s="236">
        <f t="shared" si="402"/>
        <v>238232401.22999999</v>
      </c>
      <c r="N58" s="268">
        <f>SUM(N7:N57)</f>
        <v>1.0000000000000002</v>
      </c>
      <c r="O58" s="257">
        <f t="shared" si="402"/>
        <v>44854245.609999992</v>
      </c>
      <c r="P58" s="268">
        <f>SUM(P7:P57)</f>
        <v>1</v>
      </c>
      <c r="Q58" s="236">
        <f t="shared" si="402"/>
        <v>280313298.60000002</v>
      </c>
      <c r="R58" s="268">
        <f>SUM(R7:R57)</f>
        <v>0.99999999999999989</v>
      </c>
      <c r="S58" s="257">
        <f t="shared" si="402"/>
        <v>145638708.81</v>
      </c>
      <c r="T58" s="268">
        <f>SUM(T7:T57)</f>
        <v>1</v>
      </c>
      <c r="U58" s="237">
        <f t="shared" si="9"/>
        <v>11889248467.189999</v>
      </c>
    </row>
    <row r="59" spans="1:21" ht="16.5" customHeight="1">
      <c r="A59" s="94" t="s">
        <v>204</v>
      </c>
      <c r="B59" s="94"/>
      <c r="C59" s="169"/>
      <c r="D59" s="169"/>
      <c r="E59" s="172"/>
      <c r="F59" s="172"/>
      <c r="G59" s="172"/>
      <c r="H59" s="172"/>
      <c r="I59" s="156"/>
      <c r="J59" s="156"/>
      <c r="S59" s="166"/>
      <c r="T59" s="166"/>
    </row>
    <row r="60" spans="1:21">
      <c r="A60" s="99"/>
      <c r="B60" s="99"/>
      <c r="C60" s="170"/>
      <c r="D60" s="170"/>
    </row>
    <row r="61" spans="1:21">
      <c r="A61" s="99"/>
      <c r="B61" s="99"/>
      <c r="C61" s="170"/>
      <c r="D61" s="170"/>
    </row>
    <row r="62" spans="1:21" ht="16.5" customHeight="1"/>
  </sheetData>
  <mergeCells count="14">
    <mergeCell ref="A1:U1"/>
    <mergeCell ref="A2:U2"/>
    <mergeCell ref="A3:U3"/>
    <mergeCell ref="A4:U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ageMargins left="0.59055118110236227" right="0.59055118110236227" top="0.55118110236220474" bottom="0.15748031496062992" header="0.15748031496062992" footer="0.15748031496062992"/>
  <pageSetup scale="78" orientation="landscape" r:id="rId1"/>
  <headerFooter alignWithMargins="0">
    <oddHeader xml:space="preserve">&amp;LANEXO II&amp;CSUBSECRETARIA DE POLITICA DE INGRESOS
COORDINACIÓN DE PLANEACIÓN HACENDARIA
CÁLCULO DE DISTRIBUCIÓN DE PARTICIPACIONES ESTIMACION 2023 </oddHeader>
  </headerFooter>
  <ignoredErrors>
    <ignoredError sqref="C7 C8:C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showGridLines="0" zoomScaleNormal="100" workbookViewId="0">
      <selection activeCell="C60" sqref="C60:G60"/>
    </sheetView>
  </sheetViews>
  <sheetFormatPr baseColWidth="10" defaultColWidth="9.7109375" defaultRowHeight="12.75"/>
  <cols>
    <col min="1" max="1" width="2.5703125" style="11" customWidth="1"/>
    <col min="2" max="2" width="28.85546875" style="11" customWidth="1"/>
    <col min="3" max="7" width="16.85546875" style="11" customWidth="1"/>
    <col min="8" max="8" width="13.28515625" style="11" customWidth="1"/>
    <col min="9" max="9" width="13.42578125" style="11" customWidth="1"/>
    <col min="10" max="10" width="12.5703125" style="48" customWidth="1"/>
    <col min="11" max="11" width="12.28515625" style="11" customWidth="1"/>
    <col min="12" max="12" width="15.5703125" style="11" customWidth="1"/>
    <col min="13" max="13" width="12" style="48" customWidth="1"/>
    <col min="14" max="14" width="17.7109375" style="50" customWidth="1"/>
    <col min="15" max="15" width="18" style="11" customWidth="1"/>
    <col min="16" max="16" width="16.140625" style="11" customWidth="1"/>
    <col min="17" max="17" width="14.140625" style="11" customWidth="1"/>
    <col min="18" max="18" width="15.5703125" style="11" customWidth="1"/>
    <col min="19" max="19" width="16.140625" style="11" customWidth="1"/>
    <col min="20" max="20" width="13.140625" style="11" customWidth="1"/>
    <col min="21" max="21" width="14" style="11" customWidth="1"/>
    <col min="22" max="22" width="12.85546875" style="11" customWidth="1"/>
    <col min="23" max="23" width="14.42578125" style="11" customWidth="1"/>
    <col min="24" max="24" width="16.85546875" style="11" customWidth="1"/>
    <col min="25" max="25" width="14.140625" style="48" customWidth="1"/>
    <col min="26" max="26" width="18.42578125" style="11" bestFit="1" customWidth="1"/>
    <col min="27" max="27" width="3.7109375" style="11" customWidth="1"/>
    <col min="28" max="30" width="18.42578125" style="11" customWidth="1"/>
    <col min="31" max="31" width="20.140625" style="11" customWidth="1"/>
    <col min="32" max="32" width="16.140625" style="11" bestFit="1" customWidth="1"/>
    <col min="33" max="33" width="13.140625" style="242" bestFit="1" customWidth="1"/>
    <col min="34" max="34" width="13" style="11" customWidth="1"/>
    <col min="35" max="16384" width="9.7109375" style="11"/>
  </cols>
  <sheetData>
    <row r="1" spans="1:34" ht="33" customHeight="1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4" ht="26.2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34" ht="18.75" thickBot="1">
      <c r="C3" s="280" t="s">
        <v>80</v>
      </c>
      <c r="D3" s="280"/>
      <c r="E3" s="280"/>
      <c r="F3" s="280"/>
      <c r="G3" s="280"/>
      <c r="H3" s="281" t="s">
        <v>43</v>
      </c>
      <c r="I3" s="281"/>
      <c r="J3" s="281"/>
      <c r="K3" s="281"/>
      <c r="L3" s="281"/>
      <c r="M3" s="281"/>
      <c r="N3" s="281"/>
      <c r="O3" s="281" t="s">
        <v>70</v>
      </c>
      <c r="P3" s="281"/>
      <c r="Q3" s="281"/>
      <c r="R3" s="281"/>
      <c r="S3" s="281"/>
      <c r="T3" s="281"/>
      <c r="U3" s="280" t="s">
        <v>70</v>
      </c>
      <c r="V3" s="280"/>
      <c r="W3" s="280"/>
      <c r="X3" s="280"/>
      <c r="Y3" s="280"/>
      <c r="Z3" s="280"/>
      <c r="AB3" s="280" t="s">
        <v>92</v>
      </c>
      <c r="AC3" s="280"/>
      <c r="AD3" s="280"/>
      <c r="AE3" s="280"/>
      <c r="AF3" s="280"/>
    </row>
    <row r="4" spans="1:34" ht="64.5" thickBot="1">
      <c r="B4" s="8" t="s">
        <v>0</v>
      </c>
      <c r="C4" s="8" t="s">
        <v>316</v>
      </c>
      <c r="D4" s="8" t="s">
        <v>294</v>
      </c>
      <c r="E4" s="9" t="s">
        <v>90</v>
      </c>
      <c r="F4" s="12" t="s">
        <v>91</v>
      </c>
      <c r="G4" s="82" t="s">
        <v>60</v>
      </c>
      <c r="H4" s="8" t="s">
        <v>148</v>
      </c>
      <c r="I4" s="9" t="s">
        <v>56</v>
      </c>
      <c r="J4" s="10">
        <v>0.85</v>
      </c>
      <c r="K4" s="8" t="s">
        <v>41</v>
      </c>
      <c r="L4" s="9" t="s">
        <v>57</v>
      </c>
      <c r="M4" s="10">
        <v>0.15</v>
      </c>
      <c r="N4" s="77" t="s">
        <v>58</v>
      </c>
      <c r="O4" s="249" t="s">
        <v>291</v>
      </c>
      <c r="P4" s="249" t="s">
        <v>292</v>
      </c>
      <c r="Q4" s="249" t="s">
        <v>300</v>
      </c>
      <c r="R4" s="8" t="s">
        <v>299</v>
      </c>
      <c r="S4" s="250" t="s">
        <v>213</v>
      </c>
      <c r="T4" s="250" t="s">
        <v>214</v>
      </c>
      <c r="U4" s="8" t="s">
        <v>215</v>
      </c>
      <c r="V4" s="249" t="s">
        <v>216</v>
      </c>
      <c r="W4" s="251" t="s">
        <v>217</v>
      </c>
      <c r="X4" s="250" t="s">
        <v>218</v>
      </c>
      <c r="Y4" s="8" t="s">
        <v>317</v>
      </c>
      <c r="Z4" s="179" t="s">
        <v>59</v>
      </c>
      <c r="AB4" s="84" t="s">
        <v>73</v>
      </c>
      <c r="AC4" s="84" t="s">
        <v>71</v>
      </c>
      <c r="AD4" s="84" t="s">
        <v>72</v>
      </c>
      <c r="AE4" s="84" t="s">
        <v>318</v>
      </c>
      <c r="AF4" s="84" t="s">
        <v>61</v>
      </c>
    </row>
    <row r="5" spans="1:34" s="14" customFormat="1" ht="22.5">
      <c r="B5" s="20"/>
      <c r="C5" s="67" t="s">
        <v>128</v>
      </c>
      <c r="D5" s="59" t="s">
        <v>129</v>
      </c>
      <c r="E5" s="59" t="s">
        <v>37</v>
      </c>
      <c r="F5" s="59" t="s">
        <v>38</v>
      </c>
      <c r="G5" s="68" t="s">
        <v>51</v>
      </c>
      <c r="H5" s="20" t="s">
        <v>40</v>
      </c>
      <c r="I5" s="59" t="s">
        <v>49</v>
      </c>
      <c r="J5" s="64" t="s">
        <v>52</v>
      </c>
      <c r="K5" s="13" t="s">
        <v>42</v>
      </c>
      <c r="L5" s="59" t="s">
        <v>53</v>
      </c>
      <c r="M5" s="64" t="s">
        <v>54</v>
      </c>
      <c r="N5" s="65" t="s">
        <v>44</v>
      </c>
      <c r="O5" s="13" t="s">
        <v>219</v>
      </c>
      <c r="P5" s="13" t="s">
        <v>220</v>
      </c>
      <c r="Q5" s="13" t="s">
        <v>221</v>
      </c>
      <c r="R5" s="13" t="s">
        <v>222</v>
      </c>
      <c r="S5" s="20" t="s">
        <v>223</v>
      </c>
      <c r="T5" s="20" t="s">
        <v>224</v>
      </c>
      <c r="U5" s="13" t="s">
        <v>225</v>
      </c>
      <c r="V5" s="13" t="s">
        <v>226</v>
      </c>
      <c r="W5" s="13" t="s">
        <v>227</v>
      </c>
      <c r="X5" s="13" t="s">
        <v>228</v>
      </c>
      <c r="Y5" s="59" t="s">
        <v>229</v>
      </c>
      <c r="Z5" s="200" t="s">
        <v>230</v>
      </c>
      <c r="AB5" s="13">
        <f>+AE5*0.5</f>
        <v>1355023127.5899997</v>
      </c>
      <c r="AC5" s="13">
        <f>+AE5*0.25</f>
        <v>677511563.79499984</v>
      </c>
      <c r="AD5" s="13">
        <f>+AE5*0.25</f>
        <v>677511563.79499984</v>
      </c>
      <c r="AE5" s="13">
        <f>+'PART PEF2023'!G10</f>
        <v>2710046255.1799994</v>
      </c>
      <c r="AG5" s="243"/>
    </row>
    <row r="6" spans="1:34" s="16" customFormat="1" ht="23.25" customHeight="1" thickBot="1">
      <c r="B6" s="15"/>
      <c r="G6" s="19"/>
      <c r="H6" s="15"/>
      <c r="J6" s="17"/>
      <c r="M6" s="17"/>
      <c r="N6" s="18"/>
      <c r="O6" s="180"/>
      <c r="P6" s="180"/>
      <c r="Q6" s="180"/>
      <c r="R6" s="180"/>
      <c r="S6" s="181"/>
      <c r="T6" s="181"/>
      <c r="U6" s="180"/>
      <c r="V6" s="180"/>
      <c r="W6" s="180"/>
      <c r="X6" s="182"/>
      <c r="Y6" s="11"/>
      <c r="Z6" s="183"/>
      <c r="AB6" s="13" t="s">
        <v>81</v>
      </c>
      <c r="AC6" s="13" t="s">
        <v>82</v>
      </c>
      <c r="AD6" s="13" t="s">
        <v>48</v>
      </c>
      <c r="AE6" s="20" t="s">
        <v>83</v>
      </c>
      <c r="AF6" s="20" t="s">
        <v>46</v>
      </c>
      <c r="AG6" s="244"/>
    </row>
    <row r="7" spans="1:34" ht="13.5" thickTop="1">
      <c r="A7" s="110" t="s">
        <v>153</v>
      </c>
      <c r="B7" s="2" t="s">
        <v>1</v>
      </c>
      <c r="C7" s="23">
        <v>626624</v>
      </c>
      <c r="D7" s="23">
        <v>200922.61</v>
      </c>
      <c r="E7" s="25">
        <f t="shared" ref="E7:E38" si="0">+D7/C7</f>
        <v>0.32064301718414867</v>
      </c>
      <c r="F7" s="26">
        <f>+E7*D7</f>
        <v>64424.431890913998</v>
      </c>
      <c r="G7" s="78">
        <f t="shared" ref="G7:G38" si="1">+F7/F$58</f>
        <v>3.4038473245059671E-5</v>
      </c>
      <c r="H7" s="21">
        <v>2974</v>
      </c>
      <c r="I7" s="72">
        <f t="shared" ref="I7:I38" si="2">+H7/$H$58</f>
        <v>5.141377508841821E-4</v>
      </c>
      <c r="J7" s="22">
        <f>+I7*J$4</f>
        <v>4.3701708825155477E-4</v>
      </c>
      <c r="K7" s="23">
        <v>46.9</v>
      </c>
      <c r="L7" s="69">
        <f t="shared" ref="L7:L38" si="3">+K7/$K$58</f>
        <v>7.3102605507790314E-4</v>
      </c>
      <c r="M7" s="24">
        <f>+L7*M$4</f>
        <v>1.0965390826168547E-4</v>
      </c>
      <c r="N7" s="78">
        <f>+M7+J7</f>
        <v>5.4667099651324028E-4</v>
      </c>
      <c r="O7" s="184">
        <v>296</v>
      </c>
      <c r="P7" s="184">
        <v>291</v>
      </c>
      <c r="Q7" s="185">
        <v>1.7570912812999999</v>
      </c>
      <c r="R7" s="186">
        <f>+P7/P$58</f>
        <v>2.7055597858981759E-4</v>
      </c>
      <c r="S7" s="187">
        <f t="shared" ref="S7:S57" si="4">+Q7*R7</f>
        <v>4.7539155108375792E-4</v>
      </c>
      <c r="T7" s="187">
        <f>+S7/S$58</f>
        <v>2.4656536212427173E-4</v>
      </c>
      <c r="U7" s="184">
        <f>+AD$5*0.85*T7</f>
        <v>141993.25145992139</v>
      </c>
      <c r="V7" s="186">
        <f t="shared" ref="V7:V57" si="5">+O7/P7</f>
        <v>1.0171821305841924</v>
      </c>
      <c r="W7" s="186">
        <f>+V7/V$58</f>
        <v>1.351657209931304E-2</v>
      </c>
      <c r="X7" s="184">
        <f>AD$5*0.15*W7</f>
        <v>1373645.0850230162</v>
      </c>
      <c r="Y7" s="23">
        <f t="shared" ref="Y7:Y57" si="6">+X7+U7</f>
        <v>1515638.3364829377</v>
      </c>
      <c r="Z7" s="188">
        <f>+Y7/Y$58</f>
        <v>2.2370663727025869E-3</v>
      </c>
      <c r="AB7" s="27">
        <f t="shared" ref="AB7:AB38" si="7">+G7*AB$5</f>
        <v>46122.918474909282</v>
      </c>
      <c r="AC7" s="28">
        <f t="shared" ref="AC7:AC38" si="8">+N7*AC$5</f>
        <v>370375.92172905634</v>
      </c>
      <c r="AD7" s="28">
        <f>+Z7*AD$5</f>
        <v>1515638.3364829377</v>
      </c>
      <c r="AE7" s="28">
        <f>SUM(AB7:AD7)</f>
        <v>1932137.1766869032</v>
      </c>
      <c r="AF7" s="29">
        <f>+AE7/AE$58</f>
        <v>7.1295357892648661E-4</v>
      </c>
      <c r="AH7" s="241"/>
    </row>
    <row r="8" spans="1:34">
      <c r="A8" s="110" t="s">
        <v>154</v>
      </c>
      <c r="B8" s="4" t="s">
        <v>2</v>
      </c>
      <c r="C8" s="32">
        <v>2597546</v>
      </c>
      <c r="D8" s="32">
        <v>996274</v>
      </c>
      <c r="E8" s="34">
        <f t="shared" si="0"/>
        <v>0.38354431451839543</v>
      </c>
      <c r="F8" s="35">
        <f t="shared" ref="F8:F57" si="9">+E8*D8</f>
        <v>382115.22840249987</v>
      </c>
      <c r="G8" s="79">
        <f t="shared" si="1"/>
        <v>2.0188954092030924E-4</v>
      </c>
      <c r="H8" s="30">
        <v>3382</v>
      </c>
      <c r="I8" s="73">
        <f t="shared" si="2"/>
        <v>5.8467177992276519E-4</v>
      </c>
      <c r="J8" s="31">
        <f t="shared" ref="J8:J57" si="10">+I8*J$4</f>
        <v>4.9697101293435045E-4</v>
      </c>
      <c r="K8" s="32">
        <v>980.9</v>
      </c>
      <c r="L8" s="70">
        <f t="shared" si="3"/>
        <v>1.528919951867623E-2</v>
      </c>
      <c r="M8" s="33">
        <f t="shared" ref="M8:M57" si="11">+L8*M$4</f>
        <v>2.2933799278014345E-3</v>
      </c>
      <c r="N8" s="79">
        <f t="shared" ref="N8:N57" si="12">+M8+J8</f>
        <v>2.7903509407357849E-3</v>
      </c>
      <c r="O8" s="189">
        <v>250</v>
      </c>
      <c r="P8" s="189">
        <v>278</v>
      </c>
      <c r="Q8" s="190">
        <v>1.7189329948000001</v>
      </c>
      <c r="R8" s="191">
        <f t="shared" ref="R8:R57" si="13">+P8/P$58</f>
        <v>2.5846928538821062E-4</v>
      </c>
      <c r="S8" s="192">
        <f t="shared" si="4"/>
        <v>4.4429138279617278E-4</v>
      </c>
      <c r="T8" s="192">
        <f t="shared" ref="T8:T57" si="14">+S8/S$58</f>
        <v>2.3043502863712235E-4</v>
      </c>
      <c r="U8" s="189">
        <f t="shared" ref="U8:U57" si="15">+AD$5*0.85*T8</f>
        <v>132704.03711431997</v>
      </c>
      <c r="V8" s="191">
        <f t="shared" si="5"/>
        <v>0.89928057553956831</v>
      </c>
      <c r="W8" s="191">
        <f t="shared" ref="W8:W57" si="16">+V8/V$58</f>
        <v>1.1949866568941082E-2</v>
      </c>
      <c r="X8" s="189">
        <f t="shared" ref="X8:X57" si="17">AD$5*0.15*W8</f>
        <v>1214425.9179397293</v>
      </c>
      <c r="Y8" s="32">
        <f t="shared" si="6"/>
        <v>1347129.9550540494</v>
      </c>
      <c r="Z8" s="193">
        <f t="shared" ref="Z8:Z57" si="18">+Y8/Y$58</f>
        <v>1.9883497596827164E-3</v>
      </c>
      <c r="AB8" s="36">
        <f t="shared" si="7"/>
        <v>273564.99716554664</v>
      </c>
      <c r="AC8" s="37">
        <f t="shared" si="8"/>
        <v>1890495.0293947505</v>
      </c>
      <c r="AD8" s="37">
        <f t="shared" ref="AD8:AD57" si="19">+Z8*AD$5</f>
        <v>1347129.9550540494</v>
      </c>
      <c r="AE8" s="37">
        <f t="shared" ref="AE8:AE57" si="20">SUM(AB8:AD8)</f>
        <v>3511189.9816143466</v>
      </c>
      <c r="AF8" s="38">
        <f t="shared" ref="AF8:AF57" si="21">+AE8/AE$58</f>
        <v>1.2956199455647799E-3</v>
      </c>
      <c r="AH8" s="241"/>
    </row>
    <row r="9" spans="1:34">
      <c r="A9" s="110" t="s">
        <v>155</v>
      </c>
      <c r="B9" s="4" t="s">
        <v>145</v>
      </c>
      <c r="C9" s="32">
        <v>1129316</v>
      </c>
      <c r="D9" s="32">
        <v>288767</v>
      </c>
      <c r="E9" s="34">
        <f t="shared" si="0"/>
        <v>0.25570079587998401</v>
      </c>
      <c r="F9" s="35">
        <f t="shared" si="9"/>
        <v>73837.951723875347</v>
      </c>
      <c r="G9" s="79">
        <f t="shared" si="1"/>
        <v>3.9012080827950654E-5</v>
      </c>
      <c r="H9" s="30">
        <v>1407</v>
      </c>
      <c r="I9" s="73">
        <f t="shared" si="2"/>
        <v>2.4323867366981983E-4</v>
      </c>
      <c r="J9" s="31">
        <f t="shared" si="10"/>
        <v>2.0675287261934686E-4</v>
      </c>
      <c r="K9" s="32">
        <v>694.5</v>
      </c>
      <c r="L9" s="70">
        <f t="shared" si="3"/>
        <v>1.0825108640759142E-2</v>
      </c>
      <c r="M9" s="33">
        <f t="shared" si="11"/>
        <v>1.6237662961138713E-3</v>
      </c>
      <c r="N9" s="79">
        <f t="shared" si="12"/>
        <v>1.8305191687332182E-3</v>
      </c>
      <c r="O9" s="189">
        <v>366</v>
      </c>
      <c r="P9" s="189">
        <v>167</v>
      </c>
      <c r="Q9" s="190">
        <v>1.7050555638</v>
      </c>
      <c r="R9" s="191">
        <f t="shared" si="13"/>
        <v>1.5526752035910496E-4</v>
      </c>
      <c r="S9" s="192">
        <f t="shared" si="4"/>
        <v>2.6473974946572169E-4</v>
      </c>
      <c r="T9" s="192">
        <f t="shared" si="14"/>
        <v>1.3730923918798022E-4</v>
      </c>
      <c r="U9" s="189">
        <f t="shared" si="15"/>
        <v>79074.307760887634</v>
      </c>
      <c r="V9" s="191">
        <f t="shared" si="5"/>
        <v>2.191616766467066</v>
      </c>
      <c r="W9" s="191">
        <f t="shared" si="16"/>
        <v>2.9122755057643529E-2</v>
      </c>
      <c r="X9" s="189">
        <f t="shared" si="17"/>
        <v>2959650.498168421</v>
      </c>
      <c r="Y9" s="32">
        <f t="shared" si="6"/>
        <v>3038724.8059293088</v>
      </c>
      <c r="Z9" s="193">
        <f t="shared" si="18"/>
        <v>4.4851261119563121E-3</v>
      </c>
      <c r="AB9" s="36">
        <f t="shared" si="7"/>
        <v>52862.27177728356</v>
      </c>
      <c r="AC9" s="37">
        <f t="shared" si="8"/>
        <v>1240197.9045651658</v>
      </c>
      <c r="AD9" s="37">
        <f t="shared" si="19"/>
        <v>3038724.8059293088</v>
      </c>
      <c r="AE9" s="37">
        <f t="shared" si="20"/>
        <v>4331784.9822717579</v>
      </c>
      <c r="AF9" s="38">
        <f t="shared" si="21"/>
        <v>1.5984173605863578E-3</v>
      </c>
      <c r="AH9" s="241"/>
    </row>
    <row r="10" spans="1:34" ht="13.5" customHeight="1">
      <c r="A10" s="110" t="s">
        <v>156</v>
      </c>
      <c r="B10" s="4" t="s">
        <v>3</v>
      </c>
      <c r="C10" s="32">
        <v>54890194.010000005</v>
      </c>
      <c r="D10" s="32">
        <v>25832482</v>
      </c>
      <c r="E10" s="34">
        <f t="shared" si="0"/>
        <v>0.47062107296056899</v>
      </c>
      <c r="F10" s="35">
        <f t="shared" si="9"/>
        <v>12157310.396074586</v>
      </c>
      <c r="G10" s="79">
        <f t="shared" si="1"/>
        <v>6.4232818591145784E-3</v>
      </c>
      <c r="H10" s="30">
        <v>35289</v>
      </c>
      <c r="I10" s="73">
        <f t="shared" si="2"/>
        <v>6.1006748792709828E-3</v>
      </c>
      <c r="J10" s="31">
        <f t="shared" si="10"/>
        <v>5.1855736473803348E-3</v>
      </c>
      <c r="K10" s="32">
        <v>190.5</v>
      </c>
      <c r="L10" s="70">
        <f t="shared" si="3"/>
        <v>2.9693062578324213E-3</v>
      </c>
      <c r="M10" s="33">
        <f t="shared" si="11"/>
        <v>4.4539593867486317E-4</v>
      </c>
      <c r="N10" s="79">
        <f t="shared" si="12"/>
        <v>5.6309695860551979E-3</v>
      </c>
      <c r="O10" s="189">
        <v>6372</v>
      </c>
      <c r="P10" s="189">
        <v>6876</v>
      </c>
      <c r="Q10" s="190">
        <v>1.5964581414000001</v>
      </c>
      <c r="R10" s="191">
        <f t="shared" si="13"/>
        <v>6.3929309580191959E-3</v>
      </c>
      <c r="S10" s="192">
        <f t="shared" si="4"/>
        <v>1.0206046675337848E-2</v>
      </c>
      <c r="T10" s="192">
        <f t="shared" si="14"/>
        <v>5.2934419819306551E-3</v>
      </c>
      <c r="U10" s="189">
        <f t="shared" si="15"/>
        <v>3048412.9317805502</v>
      </c>
      <c r="V10" s="191">
        <f t="shared" si="5"/>
        <v>0.92670157068062831</v>
      </c>
      <c r="W10" s="191">
        <f t="shared" si="16"/>
        <v>1.2314243652174133E-2</v>
      </c>
      <c r="X10" s="189">
        <f t="shared" si="17"/>
        <v>1251456.3710605721</v>
      </c>
      <c r="Y10" s="32">
        <f t="shared" si="6"/>
        <v>4299869.3028411223</v>
      </c>
      <c r="Z10" s="193">
        <f t="shared" si="18"/>
        <v>6.3465622324671766E-3</v>
      </c>
      <c r="AB10" s="36">
        <f t="shared" si="7"/>
        <v>8703695.4741295446</v>
      </c>
      <c r="AC10" s="37">
        <f t="shared" si="8"/>
        <v>3815047.0099303401</v>
      </c>
      <c r="AD10" s="37">
        <f t="shared" si="19"/>
        <v>4299869.3028411223</v>
      </c>
      <c r="AE10" s="37">
        <f t="shared" si="20"/>
        <v>16818611.786901008</v>
      </c>
      <c r="AF10" s="38">
        <f t="shared" si="21"/>
        <v>6.2060238841878841E-3</v>
      </c>
      <c r="AH10" s="241"/>
    </row>
    <row r="11" spans="1:34">
      <c r="A11" s="110" t="s">
        <v>157</v>
      </c>
      <c r="B11" s="4" t="s">
        <v>146</v>
      </c>
      <c r="C11" s="32">
        <v>10678636</v>
      </c>
      <c r="D11" s="32">
        <v>1947895</v>
      </c>
      <c r="E11" s="34">
        <f t="shared" si="0"/>
        <v>0.1824104689025827</v>
      </c>
      <c r="F11" s="35">
        <f t="shared" si="9"/>
        <v>355316.44032299629</v>
      </c>
      <c r="G11" s="79">
        <f t="shared" si="1"/>
        <v>1.8773047417698486E-4</v>
      </c>
      <c r="H11" s="30">
        <v>18030</v>
      </c>
      <c r="I11" s="73">
        <f t="shared" si="2"/>
        <v>3.1169817244256232E-3</v>
      </c>
      <c r="J11" s="31">
        <f t="shared" si="10"/>
        <v>2.6494344657617798E-3</v>
      </c>
      <c r="K11" s="32">
        <v>4539.2</v>
      </c>
      <c r="L11" s="70">
        <f t="shared" si="3"/>
        <v>7.0752099556708276E-2</v>
      </c>
      <c r="M11" s="33">
        <f t="shared" si="11"/>
        <v>1.0612814933506241E-2</v>
      </c>
      <c r="N11" s="79">
        <f t="shared" si="12"/>
        <v>1.3262249399268022E-2</v>
      </c>
      <c r="O11" s="189">
        <v>7349</v>
      </c>
      <c r="P11" s="189">
        <v>5491</v>
      </c>
      <c r="Q11" s="190">
        <v>1.7933312159000001</v>
      </c>
      <c r="R11" s="191">
        <f t="shared" si="13"/>
        <v>5.1052332592326066E-3</v>
      </c>
      <c r="S11" s="192">
        <f t="shared" si="4"/>
        <v>9.1553741682327307E-3</v>
      </c>
      <c r="T11" s="192">
        <f t="shared" si="14"/>
        <v>4.7485028752136602E-3</v>
      </c>
      <c r="U11" s="189">
        <f t="shared" si="15"/>
        <v>2734590.767370401</v>
      </c>
      <c r="V11" s="191">
        <f t="shared" si="5"/>
        <v>1.3383718812602441</v>
      </c>
      <c r="W11" s="191">
        <f t="shared" si="16"/>
        <v>1.7784622325559021E-2</v>
      </c>
      <c r="X11" s="189">
        <f t="shared" si="17"/>
        <v>1807393.0924939439</v>
      </c>
      <c r="Y11" s="32">
        <f t="shared" si="6"/>
        <v>4541983.8598643448</v>
      </c>
      <c r="Z11" s="193">
        <f t="shared" si="18"/>
        <v>6.7039207927654648E-3</v>
      </c>
      <c r="AB11" s="36">
        <f t="shared" si="7"/>
        <v>254379.1342632517</v>
      </c>
      <c r="AC11" s="37">
        <f t="shared" si="8"/>
        <v>8985327.3299373742</v>
      </c>
      <c r="AD11" s="37">
        <f t="shared" si="19"/>
        <v>4541983.8598643448</v>
      </c>
      <c r="AE11" s="37">
        <f t="shared" si="20"/>
        <v>13781690.32406497</v>
      </c>
      <c r="AF11" s="38">
        <f t="shared" si="21"/>
        <v>5.0854077850968635E-3</v>
      </c>
      <c r="AH11" s="241"/>
    </row>
    <row r="12" spans="1:34">
      <c r="A12" s="110" t="s">
        <v>158</v>
      </c>
      <c r="B12" s="4" t="s">
        <v>4</v>
      </c>
      <c r="C12" s="32">
        <v>683317463.73000002</v>
      </c>
      <c r="D12" s="32">
        <v>336540527.27999997</v>
      </c>
      <c r="E12" s="34">
        <f t="shared" si="0"/>
        <v>0.49250977055809247</v>
      </c>
      <c r="F12" s="35">
        <f t="shared" si="9"/>
        <v>165749497.87417224</v>
      </c>
      <c r="G12" s="79">
        <f t="shared" si="1"/>
        <v>8.7573296080050933E-2</v>
      </c>
      <c r="H12" s="30">
        <v>656464</v>
      </c>
      <c r="I12" s="73">
        <f t="shared" si="2"/>
        <v>0.11348786970290306</v>
      </c>
      <c r="J12" s="31">
        <f t="shared" si="10"/>
        <v>9.6464689247467594E-2</v>
      </c>
      <c r="K12" s="32">
        <v>224</v>
      </c>
      <c r="L12" s="70">
        <f t="shared" si="3"/>
        <v>3.4914677257452094E-3</v>
      </c>
      <c r="M12" s="33">
        <f t="shared" si="11"/>
        <v>5.2372015886178135E-4</v>
      </c>
      <c r="N12" s="79">
        <f t="shared" si="12"/>
        <v>9.6988409406329371E-2</v>
      </c>
      <c r="O12" s="189">
        <v>77936</v>
      </c>
      <c r="P12" s="189">
        <v>87455</v>
      </c>
      <c r="Q12" s="190">
        <v>1.8323297204</v>
      </c>
      <c r="R12" s="191">
        <f t="shared" si="13"/>
        <v>8.1310904149733673E-2</v>
      </c>
      <c r="S12" s="192">
        <f t="shared" si="4"/>
        <v>0.14898838626615271</v>
      </c>
      <c r="T12" s="192">
        <f t="shared" si="14"/>
        <v>7.7273934146028844E-2</v>
      </c>
      <c r="U12" s="189">
        <f t="shared" si="15"/>
        <v>44500886.369287662</v>
      </c>
      <c r="V12" s="191">
        <f t="shared" si="5"/>
        <v>0.89115545137499286</v>
      </c>
      <c r="W12" s="191">
        <f t="shared" si="16"/>
        <v>1.1841897874560577E-2</v>
      </c>
      <c r="X12" s="189">
        <f t="shared" si="17"/>
        <v>1203453.4120941332</v>
      </c>
      <c r="Y12" s="32">
        <f t="shared" si="6"/>
        <v>45704339.781381793</v>
      </c>
      <c r="Z12" s="193">
        <f t="shared" si="18"/>
        <v>6.7459128705308596E-2</v>
      </c>
      <c r="AB12" s="36">
        <f t="shared" si="7"/>
        <v>118663841.54775567</v>
      </c>
      <c r="AC12" s="37">
        <f t="shared" si="8"/>
        <v>65710768.926871881</v>
      </c>
      <c r="AD12" s="37">
        <f t="shared" si="19"/>
        <v>45704339.781381793</v>
      </c>
      <c r="AE12" s="37">
        <f t="shared" si="20"/>
        <v>230078950.25600934</v>
      </c>
      <c r="AF12" s="38">
        <f t="shared" si="21"/>
        <v>8.4898532567934962E-2</v>
      </c>
      <c r="AH12" s="241"/>
    </row>
    <row r="13" spans="1:34">
      <c r="A13" s="110" t="s">
        <v>159</v>
      </c>
      <c r="B13" s="4" t="s">
        <v>5</v>
      </c>
      <c r="C13" s="32">
        <v>1836204</v>
      </c>
      <c r="D13" s="32">
        <v>792296.3</v>
      </c>
      <c r="E13" s="34">
        <f t="shared" si="0"/>
        <v>0.43148598957414319</v>
      </c>
      <c r="F13" s="35">
        <f t="shared" si="9"/>
        <v>341864.75304143224</v>
      </c>
      <c r="G13" s="79">
        <f t="shared" si="1"/>
        <v>1.8062331181333812E-4</v>
      </c>
      <c r="H13" s="30">
        <v>14992</v>
      </c>
      <c r="I13" s="73">
        <f t="shared" si="2"/>
        <v>2.5917798121236242E-3</v>
      </c>
      <c r="J13" s="31">
        <f t="shared" si="10"/>
        <v>2.2030128403050806E-3</v>
      </c>
      <c r="K13" s="32">
        <v>2688.6</v>
      </c>
      <c r="L13" s="70">
        <f t="shared" si="3"/>
        <v>4.1906964854636471E-2</v>
      </c>
      <c r="M13" s="33">
        <f t="shared" si="11"/>
        <v>6.2860447281954702E-3</v>
      </c>
      <c r="N13" s="79">
        <f t="shared" si="12"/>
        <v>8.48905756850055E-3</v>
      </c>
      <c r="O13" s="189">
        <v>10274</v>
      </c>
      <c r="P13" s="189">
        <v>7471</v>
      </c>
      <c r="Q13" s="190">
        <v>2.3084826450000002</v>
      </c>
      <c r="R13" s="191">
        <f t="shared" si="13"/>
        <v>6.9461296084004373E-3</v>
      </c>
      <c r="S13" s="192">
        <f t="shared" si="4"/>
        <v>1.6035019650913057E-2</v>
      </c>
      <c r="T13" s="192">
        <f t="shared" si="14"/>
        <v>8.3166821494490614E-3</v>
      </c>
      <c r="U13" s="189">
        <f t="shared" si="15"/>
        <v>4789451.0793603146</v>
      </c>
      <c r="V13" s="191">
        <f t="shared" si="5"/>
        <v>1.375184044973899</v>
      </c>
      <c r="W13" s="191">
        <f t="shared" si="16"/>
        <v>1.8273791619834338E-2</v>
      </c>
      <c r="X13" s="189">
        <f t="shared" si="17"/>
        <v>1857105.7705226887</v>
      </c>
      <c r="Y13" s="32">
        <f t="shared" si="6"/>
        <v>6646556.8498830032</v>
      </c>
      <c r="Z13" s="193">
        <f t="shared" si="18"/>
        <v>9.8102485700068513E-3</v>
      </c>
      <c r="AB13" s="36">
        <f t="shared" si="7"/>
        <v>244748.76488897315</v>
      </c>
      <c r="AC13" s="37">
        <f t="shared" si="8"/>
        <v>5751434.6683805864</v>
      </c>
      <c r="AD13" s="37">
        <f t="shared" si="19"/>
        <v>6646556.8498830032</v>
      </c>
      <c r="AE13" s="37">
        <f t="shared" si="20"/>
        <v>12642740.283152562</v>
      </c>
      <c r="AF13" s="38">
        <f t="shared" si="21"/>
        <v>4.6651381905335187E-3</v>
      </c>
      <c r="AH13" s="241"/>
    </row>
    <row r="14" spans="1:34">
      <c r="A14" s="110" t="s">
        <v>160</v>
      </c>
      <c r="B14" s="4" t="s">
        <v>6</v>
      </c>
      <c r="C14" s="32">
        <v>2185720</v>
      </c>
      <c r="D14" s="32">
        <v>960189</v>
      </c>
      <c r="E14" s="34">
        <f t="shared" si="0"/>
        <v>0.43930100836337682</v>
      </c>
      <c r="F14" s="35">
        <f t="shared" si="9"/>
        <v>421811.99591942242</v>
      </c>
      <c r="G14" s="79">
        <f t="shared" si="1"/>
        <v>2.2286321999485749E-4</v>
      </c>
      <c r="H14" s="30">
        <v>3661</v>
      </c>
      <c r="I14" s="73">
        <f t="shared" si="2"/>
        <v>6.329046086035611E-4</v>
      </c>
      <c r="J14" s="31">
        <f t="shared" si="10"/>
        <v>5.3796891731302697E-4</v>
      </c>
      <c r="K14" s="32">
        <v>466.7</v>
      </c>
      <c r="L14" s="70">
        <f t="shared" si="3"/>
        <v>7.2744106589521839E-3</v>
      </c>
      <c r="M14" s="33">
        <f t="shared" si="11"/>
        <v>1.0911615988428275E-3</v>
      </c>
      <c r="N14" s="79">
        <f t="shared" si="12"/>
        <v>1.6291305161558545E-3</v>
      </c>
      <c r="O14" s="189">
        <v>1472</v>
      </c>
      <c r="P14" s="189">
        <v>1100</v>
      </c>
      <c r="Q14" s="190">
        <v>1.4822637890000001</v>
      </c>
      <c r="R14" s="191">
        <f t="shared" si="13"/>
        <v>1.0227201939821285E-3</v>
      </c>
      <c r="S14" s="192">
        <f t="shared" si="4"/>
        <v>1.515941109818765E-3</v>
      </c>
      <c r="T14" s="192">
        <f t="shared" si="14"/>
        <v>7.8625412641311154E-4</v>
      </c>
      <c r="U14" s="189">
        <f t="shared" si="15"/>
        <v>452791.82331745588</v>
      </c>
      <c r="V14" s="191">
        <f t="shared" si="5"/>
        <v>1.3381818181818181</v>
      </c>
      <c r="W14" s="191">
        <f t="shared" si="16"/>
        <v>1.7782096719548338E-2</v>
      </c>
      <c r="X14" s="189">
        <f t="shared" si="17"/>
        <v>1807136.4234022696</v>
      </c>
      <c r="Y14" s="32">
        <f t="shared" si="6"/>
        <v>2259928.2467197254</v>
      </c>
      <c r="Z14" s="193">
        <f t="shared" si="18"/>
        <v>3.3356305153833953E-3</v>
      </c>
      <c r="AB14" s="36">
        <f t="shared" si="7"/>
        <v>301984.81738220993</v>
      </c>
      <c r="AC14" s="37">
        <f t="shared" si="8"/>
        <v>1103754.7636269082</v>
      </c>
      <c r="AD14" s="37">
        <f t="shared" si="19"/>
        <v>2259928.2467197254</v>
      </c>
      <c r="AE14" s="37">
        <f t="shared" si="20"/>
        <v>3665667.8277288433</v>
      </c>
      <c r="AF14" s="38">
        <f t="shared" si="21"/>
        <v>1.3526218678822411E-3</v>
      </c>
      <c r="AH14" s="241"/>
    </row>
    <row r="15" spans="1:34">
      <c r="A15" s="110" t="s">
        <v>161</v>
      </c>
      <c r="B15" s="4" t="s">
        <v>130</v>
      </c>
      <c r="C15" s="32">
        <v>110141115</v>
      </c>
      <c r="D15" s="32">
        <v>36285132.439999998</v>
      </c>
      <c r="E15" s="34">
        <f t="shared" si="0"/>
        <v>0.32944221093094977</v>
      </c>
      <c r="F15" s="35">
        <f t="shared" si="9"/>
        <v>11953854.254955927</v>
      </c>
      <c r="G15" s="79">
        <f t="shared" si="1"/>
        <v>6.3157863607027831E-3</v>
      </c>
      <c r="H15" s="30">
        <v>122337</v>
      </c>
      <c r="I15" s="73">
        <f t="shared" si="2"/>
        <v>2.1149317427679282E-2</v>
      </c>
      <c r="J15" s="31">
        <f t="shared" si="10"/>
        <v>1.7976919813527389E-2</v>
      </c>
      <c r="K15" s="32">
        <v>1140.9000000000001</v>
      </c>
      <c r="L15" s="70">
        <f t="shared" si="3"/>
        <v>1.7783105037065667E-2</v>
      </c>
      <c r="M15" s="33">
        <f t="shared" si="11"/>
        <v>2.6674657555598499E-3</v>
      </c>
      <c r="N15" s="79">
        <f t="shared" si="12"/>
        <v>2.0644385569087237E-2</v>
      </c>
      <c r="O15" s="189">
        <v>26523</v>
      </c>
      <c r="P15" s="189">
        <v>24758</v>
      </c>
      <c r="Q15" s="190">
        <v>1.8739893594999999</v>
      </c>
      <c r="R15" s="191">
        <f t="shared" si="13"/>
        <v>2.3018642329645032E-2</v>
      </c>
      <c r="S15" s="192">
        <f t="shared" si="4"/>
        <v>4.3136690795891081E-2</v>
      </c>
      <c r="T15" s="192">
        <f t="shared" si="14"/>
        <v>2.2373165367967789E-2</v>
      </c>
      <c r="U15" s="189">
        <f t="shared" si="15"/>
        <v>12884366.517171592</v>
      </c>
      <c r="V15" s="191">
        <f t="shared" si="5"/>
        <v>1.0712900880523468</v>
      </c>
      <c r="W15" s="191">
        <f t="shared" si="16"/>
        <v>1.4235572253046412E-2</v>
      </c>
      <c r="X15" s="189">
        <f t="shared" si="17"/>
        <v>1446714.7228017275</v>
      </c>
      <c r="Y15" s="32">
        <f t="shared" si="6"/>
        <v>14331081.23997332</v>
      </c>
      <c r="Z15" s="193">
        <f t="shared" si="18"/>
        <v>2.1152526400729583E-2</v>
      </c>
      <c r="AB15" s="36">
        <f t="shared" si="7"/>
        <v>8558036.587669747</v>
      </c>
      <c r="AC15" s="37">
        <f t="shared" si="8"/>
        <v>13986809.950499222</v>
      </c>
      <c r="AD15" s="37">
        <f t="shared" si="19"/>
        <v>14331081.23997332</v>
      </c>
      <c r="AE15" s="37">
        <f t="shared" si="20"/>
        <v>36875927.778142288</v>
      </c>
      <c r="AF15" s="38">
        <f t="shared" si="21"/>
        <v>1.3607121172805596E-2</v>
      </c>
      <c r="AH15" s="241"/>
    </row>
    <row r="16" spans="1:34">
      <c r="A16" s="110" t="s">
        <v>162</v>
      </c>
      <c r="B16" s="4" t="s">
        <v>131</v>
      </c>
      <c r="C16" s="32">
        <v>32779189</v>
      </c>
      <c r="D16" s="32">
        <v>5537234.6299999999</v>
      </c>
      <c r="E16" s="34">
        <f t="shared" si="0"/>
        <v>0.1689253089818665</v>
      </c>
      <c r="F16" s="35">
        <f t="shared" si="9"/>
        <v>935379.07077784126</v>
      </c>
      <c r="G16" s="79">
        <f t="shared" si="1"/>
        <v>4.9420498621658272E-4</v>
      </c>
      <c r="H16" s="30">
        <v>104478</v>
      </c>
      <c r="I16" s="73">
        <f t="shared" si="2"/>
        <v>1.8061897759541888E-2</v>
      </c>
      <c r="J16" s="31">
        <f t="shared" si="10"/>
        <v>1.5352613095610604E-2</v>
      </c>
      <c r="K16" s="32">
        <v>104.3</v>
      </c>
      <c r="L16" s="70">
        <f t="shared" si="3"/>
        <v>1.6257146598001131E-3</v>
      </c>
      <c r="M16" s="33">
        <f t="shared" si="11"/>
        <v>2.4385719897001694E-4</v>
      </c>
      <c r="N16" s="79">
        <f t="shared" si="12"/>
        <v>1.5596470294580621E-2</v>
      </c>
      <c r="O16" s="189">
        <v>8234</v>
      </c>
      <c r="P16" s="189">
        <v>27842</v>
      </c>
      <c r="Q16" s="190">
        <v>1.8343045897000001</v>
      </c>
      <c r="R16" s="191">
        <f t="shared" si="13"/>
        <v>2.5885977855318563E-2</v>
      </c>
      <c r="S16" s="192">
        <f t="shared" si="4"/>
        <v>4.7482767988883408E-2</v>
      </c>
      <c r="T16" s="192">
        <f t="shared" si="14"/>
        <v>2.4627290613709465E-2</v>
      </c>
      <c r="U16" s="189">
        <f t="shared" si="15"/>
        <v>14182483.049368987</v>
      </c>
      <c r="V16" s="191">
        <f t="shared" si="5"/>
        <v>0.29574024854536313</v>
      </c>
      <c r="W16" s="191">
        <f t="shared" si="16"/>
        <v>3.9298708382110078E-3</v>
      </c>
      <c r="X16" s="189">
        <f t="shared" si="17"/>
        <v>399379.940566306</v>
      </c>
      <c r="Y16" s="32">
        <f t="shared" si="6"/>
        <v>14581862.989935294</v>
      </c>
      <c r="Z16" s="193">
        <f t="shared" si="18"/>
        <v>2.1522677647384695E-2</v>
      </c>
      <c r="AB16" s="36">
        <f t="shared" si="7"/>
        <v>669659.18609376659</v>
      </c>
      <c r="AC16" s="37">
        <f t="shared" si="8"/>
        <v>10566788.978963578</v>
      </c>
      <c r="AD16" s="37">
        <f t="shared" si="19"/>
        <v>14581862.989935292</v>
      </c>
      <c r="AE16" s="37">
        <f t="shared" si="20"/>
        <v>25818311.154992636</v>
      </c>
      <c r="AF16" s="38">
        <f t="shared" si="21"/>
        <v>9.5268894785996202E-3</v>
      </c>
      <c r="AH16" s="241"/>
    </row>
    <row r="17" spans="1:34">
      <c r="A17" s="110" t="s">
        <v>163</v>
      </c>
      <c r="B17" s="4" t="s">
        <v>132</v>
      </c>
      <c r="C17" s="32">
        <v>2853628</v>
      </c>
      <c r="D17" s="32">
        <v>1064298</v>
      </c>
      <c r="E17" s="34">
        <f t="shared" si="0"/>
        <v>0.37296311922927583</v>
      </c>
      <c r="F17" s="35">
        <f t="shared" si="9"/>
        <v>396943.9018694798</v>
      </c>
      <c r="G17" s="79">
        <f t="shared" si="1"/>
        <v>2.0972423018726587E-4</v>
      </c>
      <c r="H17" s="30">
        <v>7340</v>
      </c>
      <c r="I17" s="73">
        <f t="shared" si="2"/>
        <v>1.2689210126058832E-3</v>
      </c>
      <c r="J17" s="31">
        <f t="shared" si="10"/>
        <v>1.0785828607150008E-3</v>
      </c>
      <c r="K17" s="32">
        <v>1007.4</v>
      </c>
      <c r="L17" s="70">
        <f t="shared" si="3"/>
        <v>1.5702252620159483E-2</v>
      </c>
      <c r="M17" s="33">
        <f t="shared" si="11"/>
        <v>2.3553378930239225E-3</v>
      </c>
      <c r="N17" s="79">
        <f t="shared" si="12"/>
        <v>3.4339207537389233E-3</v>
      </c>
      <c r="O17" s="189">
        <v>3737</v>
      </c>
      <c r="P17" s="189">
        <v>763</v>
      </c>
      <c r="Q17" s="190">
        <v>1.7930753231000001</v>
      </c>
      <c r="R17" s="191">
        <f t="shared" si="13"/>
        <v>7.0939591637123999E-4</v>
      </c>
      <c r="S17" s="192">
        <f t="shared" si="4"/>
        <v>1.2720003119531817E-3</v>
      </c>
      <c r="T17" s="192">
        <f t="shared" si="14"/>
        <v>6.5973241809605702E-4</v>
      </c>
      <c r="U17" s="189">
        <f t="shared" si="15"/>
        <v>379929.89092993882</v>
      </c>
      <c r="V17" s="191">
        <f t="shared" si="5"/>
        <v>4.8977719528178243</v>
      </c>
      <c r="W17" s="191">
        <f t="shared" si="16"/>
        <v>6.5082826109257794E-2</v>
      </c>
      <c r="X17" s="189">
        <f t="shared" si="17"/>
        <v>6614155.0940221939</v>
      </c>
      <c r="Y17" s="32">
        <f t="shared" si="6"/>
        <v>6994084.9849521331</v>
      </c>
      <c r="Z17" s="193">
        <f t="shared" si="18"/>
        <v>1.0323196471770319E-2</v>
      </c>
      <c r="AB17" s="36">
        <f t="shared" si="7"/>
        <v>284181.18231975404</v>
      </c>
      <c r="AC17" s="37">
        <f t="shared" si="8"/>
        <v>2326521.0198137625</v>
      </c>
      <c r="AD17" s="37">
        <f t="shared" si="19"/>
        <v>6994084.9849521331</v>
      </c>
      <c r="AE17" s="37">
        <f t="shared" si="20"/>
        <v>9604787.1870856509</v>
      </c>
      <c r="AF17" s="38">
        <f t="shared" si="21"/>
        <v>3.5441414214709439E-3</v>
      </c>
      <c r="AH17" s="241"/>
    </row>
    <row r="18" spans="1:34">
      <c r="A18" s="110" t="s">
        <v>164</v>
      </c>
      <c r="B18" s="4" t="s">
        <v>7</v>
      </c>
      <c r="C18" s="32">
        <v>4729640</v>
      </c>
      <c r="D18" s="32">
        <v>1864847</v>
      </c>
      <c r="E18" s="34">
        <f t="shared" si="0"/>
        <v>0.39428941737637535</v>
      </c>
      <c r="F18" s="35">
        <f t="shared" si="9"/>
        <v>735289.43712608144</v>
      </c>
      <c r="G18" s="79">
        <f t="shared" si="1"/>
        <v>3.8848817286227266E-4</v>
      </c>
      <c r="H18" s="30">
        <v>9930</v>
      </c>
      <c r="I18" s="73">
        <f t="shared" si="2"/>
        <v>1.7166737949831634E-3</v>
      </c>
      <c r="J18" s="31">
        <f t="shared" si="10"/>
        <v>1.4591727257356889E-3</v>
      </c>
      <c r="K18" s="32">
        <v>4265.7</v>
      </c>
      <c r="L18" s="70">
        <f t="shared" si="3"/>
        <v>6.6489079811211327E-2</v>
      </c>
      <c r="M18" s="33">
        <f t="shared" si="11"/>
        <v>9.9733619716816987E-3</v>
      </c>
      <c r="N18" s="79">
        <f t="shared" si="12"/>
        <v>1.1432534697417387E-2</v>
      </c>
      <c r="O18" s="189">
        <v>4127</v>
      </c>
      <c r="P18" s="189">
        <v>1614</v>
      </c>
      <c r="Q18" s="190">
        <v>1.7681716602999999</v>
      </c>
      <c r="R18" s="191">
        <f t="shared" si="13"/>
        <v>1.5006094482610502E-3</v>
      </c>
      <c r="S18" s="192">
        <f t="shared" si="4"/>
        <v>2.6533350995936078E-3</v>
      </c>
      <c r="T18" s="192">
        <f t="shared" si="14"/>
        <v>1.3761719748213892E-3</v>
      </c>
      <c r="U18" s="189">
        <f t="shared" si="15"/>
        <v>792516.56270527863</v>
      </c>
      <c r="V18" s="191">
        <f t="shared" si="5"/>
        <v>2.5570012391573731</v>
      </c>
      <c r="W18" s="191">
        <f t="shared" si="16"/>
        <v>3.3978075870496942E-2</v>
      </c>
      <c r="X18" s="189">
        <f t="shared" si="17"/>
        <v>3453080.8976648301</v>
      </c>
      <c r="Y18" s="32">
        <f t="shared" si="6"/>
        <v>4245597.4603701085</v>
      </c>
      <c r="Z18" s="193">
        <f t="shared" si="18"/>
        <v>6.2664575591727216E-3</v>
      </c>
      <c r="AB18" s="36">
        <f t="shared" si="7"/>
        <v>526410.4590235611</v>
      </c>
      <c r="AC18" s="37">
        <f t="shared" si="8"/>
        <v>7745674.4609878492</v>
      </c>
      <c r="AD18" s="37">
        <f t="shared" si="19"/>
        <v>4245597.4603701085</v>
      </c>
      <c r="AE18" s="37">
        <f t="shared" si="20"/>
        <v>12517682.380381519</v>
      </c>
      <c r="AF18" s="38">
        <f t="shared" si="21"/>
        <v>4.6189921505786638E-3</v>
      </c>
      <c r="AH18" s="241"/>
    </row>
    <row r="19" spans="1:34">
      <c r="A19" s="110" t="s">
        <v>165</v>
      </c>
      <c r="B19" s="4" t="s">
        <v>133</v>
      </c>
      <c r="C19" s="32">
        <v>49791403.200000003</v>
      </c>
      <c r="D19" s="32">
        <v>14209085</v>
      </c>
      <c r="E19" s="34">
        <f t="shared" si="0"/>
        <v>0.28537225478313089</v>
      </c>
      <c r="F19" s="35">
        <f t="shared" si="9"/>
        <v>4054878.6248551635</v>
      </c>
      <c r="G19" s="79">
        <f t="shared" si="1"/>
        <v>2.1423840852458111E-3</v>
      </c>
      <c r="H19" s="30">
        <v>68747</v>
      </c>
      <c r="I19" s="73">
        <f t="shared" si="2"/>
        <v>1.1884811015479108E-2</v>
      </c>
      <c r="J19" s="31">
        <f t="shared" si="10"/>
        <v>1.0102089363157242E-2</v>
      </c>
      <c r="K19" s="32">
        <v>138.69999999999999</v>
      </c>
      <c r="L19" s="70">
        <f t="shared" si="3"/>
        <v>2.1619043462538417E-3</v>
      </c>
      <c r="M19" s="33">
        <f t="shared" si="11"/>
        <v>3.2428565193807623E-4</v>
      </c>
      <c r="N19" s="79">
        <f t="shared" si="12"/>
        <v>1.0426375015095319E-2</v>
      </c>
      <c r="O19" s="189">
        <v>10747</v>
      </c>
      <c r="P19" s="189">
        <v>15877</v>
      </c>
      <c r="Q19" s="190">
        <v>1.8900298334000001</v>
      </c>
      <c r="R19" s="191">
        <f t="shared" si="13"/>
        <v>1.4761571381685684E-2</v>
      </c>
      <c r="S19" s="192">
        <f t="shared" si="4"/>
        <v>2.7899810299249601E-2</v>
      </c>
      <c r="T19" s="192">
        <f t="shared" si="14"/>
        <v>1.4470444024405789E-2</v>
      </c>
      <c r="U19" s="189">
        <f t="shared" si="15"/>
        <v>8333309.1858157003</v>
      </c>
      <c r="V19" s="191">
        <f t="shared" si="5"/>
        <v>0.67689110033381616</v>
      </c>
      <c r="W19" s="191">
        <f t="shared" si="16"/>
        <v>8.9946992637304091E-3</v>
      </c>
      <c r="X19" s="189">
        <f t="shared" si="17"/>
        <v>914101.9146053585</v>
      </c>
      <c r="Y19" s="32">
        <f t="shared" si="6"/>
        <v>9247411.100421058</v>
      </c>
      <c r="Z19" s="193">
        <f t="shared" si="18"/>
        <v>1.3649082310304482E-2</v>
      </c>
      <c r="AB19" s="36">
        <f t="shared" si="7"/>
        <v>2902979.9836888192</v>
      </c>
      <c r="AC19" s="37">
        <f t="shared" si="8"/>
        <v>7063989.6411903445</v>
      </c>
      <c r="AD19" s="37">
        <f t="shared" si="19"/>
        <v>9247411.100421058</v>
      </c>
      <c r="AE19" s="37">
        <f t="shared" si="20"/>
        <v>19214380.725300223</v>
      </c>
      <c r="AF19" s="38">
        <f t="shared" si="21"/>
        <v>7.0900563739728561E-3</v>
      </c>
      <c r="AH19" s="241"/>
    </row>
    <row r="20" spans="1:34">
      <c r="A20" s="110" t="s">
        <v>166</v>
      </c>
      <c r="B20" s="4" t="s">
        <v>8</v>
      </c>
      <c r="C20" s="32">
        <v>6711875</v>
      </c>
      <c r="D20" s="32">
        <v>838434</v>
      </c>
      <c r="E20" s="34">
        <f t="shared" si="0"/>
        <v>0.12491799981376292</v>
      </c>
      <c r="F20" s="35">
        <f t="shared" si="9"/>
        <v>104735.49825585249</v>
      </c>
      <c r="G20" s="79">
        <f t="shared" si="1"/>
        <v>5.5336715444014938E-5</v>
      </c>
      <c r="H20" s="30">
        <v>36088</v>
      </c>
      <c r="I20" s="73">
        <f t="shared" si="2"/>
        <v>6.2388040194715413E-3</v>
      </c>
      <c r="J20" s="31">
        <f t="shared" si="10"/>
        <v>5.3029834165508102E-3</v>
      </c>
      <c r="K20" s="32">
        <v>5053.7</v>
      </c>
      <c r="L20" s="70">
        <f t="shared" si="3"/>
        <v>7.87715644892793E-2</v>
      </c>
      <c r="M20" s="33">
        <f t="shared" si="11"/>
        <v>1.1815734673391894E-2</v>
      </c>
      <c r="N20" s="79">
        <f t="shared" si="12"/>
        <v>1.7118718089942704E-2</v>
      </c>
      <c r="O20" s="189">
        <v>25568</v>
      </c>
      <c r="P20" s="189">
        <v>20948</v>
      </c>
      <c r="Q20" s="190">
        <v>2.5216163224999999</v>
      </c>
      <c r="R20" s="191">
        <f t="shared" si="13"/>
        <v>1.9476311475943298E-2</v>
      </c>
      <c r="S20" s="192">
        <f t="shared" si="4"/>
        <v>4.9111784919832688E-2</v>
      </c>
      <c r="T20" s="192">
        <f t="shared" si="14"/>
        <v>2.5472192355379904E-2</v>
      </c>
      <c r="U20" s="189">
        <f t="shared" si="15"/>
        <v>14669049.144583406</v>
      </c>
      <c r="V20" s="191">
        <f t="shared" si="5"/>
        <v>1.220546114187512</v>
      </c>
      <c r="W20" s="191">
        <f t="shared" si="16"/>
        <v>1.6218923884827686E-2</v>
      </c>
      <c r="X20" s="189">
        <f t="shared" si="17"/>
        <v>1648276.2726422518</v>
      </c>
      <c r="Y20" s="32">
        <f t="shared" si="6"/>
        <v>16317325.417225657</v>
      </c>
      <c r="Z20" s="193">
        <f t="shared" si="18"/>
        <v>2.4084202084797068E-2</v>
      </c>
      <c r="AB20" s="36">
        <f t="shared" si="7"/>
        <v>74982.529231506953</v>
      </c>
      <c r="AC20" s="37">
        <f t="shared" si="8"/>
        <v>11598129.463282835</v>
      </c>
      <c r="AD20" s="37">
        <f t="shared" si="19"/>
        <v>16317325.417225657</v>
      </c>
      <c r="AE20" s="37">
        <f t="shared" si="20"/>
        <v>27990437.409740001</v>
      </c>
      <c r="AF20" s="38">
        <f t="shared" si="21"/>
        <v>1.0328398401406952E-2</v>
      </c>
      <c r="AH20" s="241"/>
    </row>
    <row r="21" spans="1:34">
      <c r="A21" s="110" t="s">
        <v>167</v>
      </c>
      <c r="B21" s="4" t="s">
        <v>9</v>
      </c>
      <c r="C21" s="32">
        <v>1548836</v>
      </c>
      <c r="D21" s="32">
        <v>363195</v>
      </c>
      <c r="E21" s="34">
        <f t="shared" si="0"/>
        <v>0.23449545335981342</v>
      </c>
      <c r="F21" s="35">
        <f t="shared" si="9"/>
        <v>85167.576183017431</v>
      </c>
      <c r="G21" s="79">
        <f t="shared" si="1"/>
        <v>4.4998057075006551E-5</v>
      </c>
      <c r="H21" s="30">
        <v>1360</v>
      </c>
      <c r="I21" s="73">
        <f t="shared" si="2"/>
        <v>2.351134301286105E-4</v>
      </c>
      <c r="J21" s="31">
        <f t="shared" si="10"/>
        <v>1.9984641560931893E-4</v>
      </c>
      <c r="K21" s="32">
        <v>720.7</v>
      </c>
      <c r="L21" s="70">
        <f t="shared" si="3"/>
        <v>1.1233485669395412E-2</v>
      </c>
      <c r="M21" s="33">
        <f t="shared" si="11"/>
        <v>1.6850228504093118E-3</v>
      </c>
      <c r="N21" s="79">
        <f t="shared" si="12"/>
        <v>1.8848692660186307E-3</v>
      </c>
      <c r="O21" s="189">
        <v>347</v>
      </c>
      <c r="P21" s="189">
        <v>179</v>
      </c>
      <c r="Q21" s="190">
        <v>1.9685182910000001</v>
      </c>
      <c r="R21" s="191">
        <f t="shared" si="13"/>
        <v>1.6642446792981908E-4</v>
      </c>
      <c r="S21" s="192">
        <f t="shared" si="4"/>
        <v>3.2760960918979179E-4</v>
      </c>
      <c r="T21" s="192">
        <f t="shared" si="14"/>
        <v>1.699171593208232E-4</v>
      </c>
      <c r="U21" s="189">
        <f t="shared" si="15"/>
        <v>97852.714277996798</v>
      </c>
      <c r="V21" s="191">
        <f t="shared" si="5"/>
        <v>1.9385474860335195</v>
      </c>
      <c r="W21" s="191">
        <f t="shared" si="16"/>
        <v>2.5759906780770288E-2</v>
      </c>
      <c r="X21" s="189">
        <f t="shared" si="17"/>
        <v>2617895.2089379644</v>
      </c>
      <c r="Y21" s="32">
        <f t="shared" si="6"/>
        <v>2715747.9232159611</v>
      </c>
      <c r="Z21" s="193">
        <f t="shared" si="18"/>
        <v>4.0084156025382419E-3</v>
      </c>
      <c r="AB21" s="36">
        <f t="shared" si="7"/>
        <v>60973.408033248692</v>
      </c>
      <c r="AC21" s="37">
        <f t="shared" si="8"/>
        <v>1277020.723969416</v>
      </c>
      <c r="AD21" s="37">
        <f t="shared" si="19"/>
        <v>2715747.9232159606</v>
      </c>
      <c r="AE21" s="37">
        <f t="shared" si="20"/>
        <v>4053742.0552186253</v>
      </c>
      <c r="AF21" s="38">
        <f t="shared" si="21"/>
        <v>1.4958202456767213E-3</v>
      </c>
      <c r="AH21" s="241"/>
    </row>
    <row r="22" spans="1:34">
      <c r="A22" s="110" t="s">
        <v>168</v>
      </c>
      <c r="B22" s="4" t="s">
        <v>134</v>
      </c>
      <c r="C22" s="32">
        <v>2192867</v>
      </c>
      <c r="D22" s="32">
        <v>1038863</v>
      </c>
      <c r="E22" s="34">
        <f t="shared" si="0"/>
        <v>0.47374646980414226</v>
      </c>
      <c r="F22" s="35">
        <f t="shared" si="9"/>
        <v>492157.67886014062</v>
      </c>
      <c r="G22" s="79">
        <f t="shared" si="1"/>
        <v>2.6003017011616368E-4</v>
      </c>
      <c r="H22" s="30">
        <v>3256</v>
      </c>
      <c r="I22" s="73">
        <f t="shared" si="2"/>
        <v>5.6288921213143808E-4</v>
      </c>
      <c r="J22" s="31">
        <f t="shared" si="10"/>
        <v>4.7845583031172234E-4</v>
      </c>
      <c r="K22" s="32">
        <v>614.70000000000005</v>
      </c>
      <c r="L22" s="70">
        <f t="shared" si="3"/>
        <v>9.5812732634624129E-3</v>
      </c>
      <c r="M22" s="33">
        <f t="shared" si="11"/>
        <v>1.4371909895193619E-3</v>
      </c>
      <c r="N22" s="79">
        <f t="shared" si="12"/>
        <v>1.9156468198310843E-3</v>
      </c>
      <c r="O22" s="189">
        <v>355</v>
      </c>
      <c r="P22" s="189">
        <v>468</v>
      </c>
      <c r="Q22" s="190">
        <v>1.9393994637</v>
      </c>
      <c r="R22" s="191">
        <f t="shared" si="13"/>
        <v>4.3512095525785101E-4</v>
      </c>
      <c r="S22" s="192">
        <f t="shared" si="4"/>
        <v>8.43873347271708E-4</v>
      </c>
      <c r="T22" s="192">
        <f t="shared" si="14"/>
        <v>4.3768118508360012E-4</v>
      </c>
      <c r="U22" s="189">
        <f t="shared" si="15"/>
        <v>252053.95452719287</v>
      </c>
      <c r="V22" s="191">
        <f t="shared" si="5"/>
        <v>0.75854700854700852</v>
      </c>
      <c r="W22" s="191">
        <f t="shared" si="16"/>
        <v>1.0079763518707652E-2</v>
      </c>
      <c r="X22" s="189">
        <f t="shared" si="17"/>
        <v>1024373.4516365116</v>
      </c>
      <c r="Y22" s="32">
        <f t="shared" si="6"/>
        <v>1276427.4061637046</v>
      </c>
      <c r="Z22" s="193">
        <f t="shared" si="18"/>
        <v>1.883993535127208E-3</v>
      </c>
      <c r="AB22" s="36">
        <f t="shared" si="7"/>
        <v>352346.8943785638</v>
      </c>
      <c r="AC22" s="37">
        <f t="shared" si="8"/>
        <v>1297872.8725826764</v>
      </c>
      <c r="AD22" s="37">
        <f t="shared" si="19"/>
        <v>1276427.4061637046</v>
      </c>
      <c r="AE22" s="37">
        <f t="shared" si="20"/>
        <v>2926647.1731249448</v>
      </c>
      <c r="AF22" s="38">
        <f t="shared" si="21"/>
        <v>1.0799251737976549E-3</v>
      </c>
      <c r="AH22" s="241"/>
    </row>
    <row r="23" spans="1:34">
      <c r="A23" s="110" t="s">
        <v>169</v>
      </c>
      <c r="B23" s="4" t="s">
        <v>10</v>
      </c>
      <c r="C23" s="32">
        <v>10046865</v>
      </c>
      <c r="D23" s="32">
        <v>1281029</v>
      </c>
      <c r="E23" s="34">
        <f t="shared" si="0"/>
        <v>0.12750534619505688</v>
      </c>
      <c r="F23" s="35">
        <f t="shared" si="9"/>
        <v>163338.04613090752</v>
      </c>
      <c r="G23" s="79">
        <f t="shared" si="1"/>
        <v>8.6299212114764997E-5</v>
      </c>
      <c r="H23" s="30">
        <v>40903</v>
      </c>
      <c r="I23" s="73">
        <f t="shared" si="2"/>
        <v>7.0712092886401146E-3</v>
      </c>
      <c r="J23" s="31">
        <f t="shared" si="10"/>
        <v>6.0105278953440974E-3</v>
      </c>
      <c r="K23" s="32">
        <v>7068.3</v>
      </c>
      <c r="L23" s="70">
        <f t="shared" si="3"/>
        <v>0.11017295234770028</v>
      </c>
      <c r="M23" s="33">
        <f t="shared" si="11"/>
        <v>1.6525942852155039E-2</v>
      </c>
      <c r="N23" s="79">
        <f t="shared" si="12"/>
        <v>2.2536470747499135E-2</v>
      </c>
      <c r="O23" s="189">
        <v>23646</v>
      </c>
      <c r="P23" s="189">
        <v>15246</v>
      </c>
      <c r="Q23" s="190">
        <v>2.0430424666000002</v>
      </c>
      <c r="R23" s="191">
        <f t="shared" si="13"/>
        <v>1.4174901888592301E-2</v>
      </c>
      <c r="S23" s="192">
        <f t="shared" si="4"/>
        <v>2.8959926518282615E-2</v>
      </c>
      <c r="T23" s="192">
        <f t="shared" si="14"/>
        <v>1.5020281182520606E-2</v>
      </c>
      <c r="U23" s="189">
        <f t="shared" si="15"/>
        <v>8649952.0637186226</v>
      </c>
      <c r="V23" s="191">
        <f t="shared" si="5"/>
        <v>1.5509641873278237</v>
      </c>
      <c r="W23" s="191">
        <f t="shared" si="16"/>
        <v>2.060960238205228E-2</v>
      </c>
      <c r="X23" s="189">
        <f t="shared" si="17"/>
        <v>2094486.5908586089</v>
      </c>
      <c r="Y23" s="32">
        <f t="shared" si="6"/>
        <v>10744438.654577231</v>
      </c>
      <c r="Z23" s="193">
        <f t="shared" si="18"/>
        <v>1.5858679362450355E-2</v>
      </c>
      <c r="AB23" s="36">
        <f t="shared" si="7"/>
        <v>116937.42830830166</v>
      </c>
      <c r="AC23" s="37">
        <f t="shared" si="8"/>
        <v>15268719.538558409</v>
      </c>
      <c r="AD23" s="37">
        <f t="shared" si="19"/>
        <v>10744438.654577231</v>
      </c>
      <c r="AE23" s="37">
        <f t="shared" si="20"/>
        <v>26130095.621443942</v>
      </c>
      <c r="AF23" s="38">
        <f t="shared" si="21"/>
        <v>9.6419371335447548E-3</v>
      </c>
      <c r="AH23" s="241"/>
    </row>
    <row r="24" spans="1:34">
      <c r="A24" s="110" t="s">
        <v>170</v>
      </c>
      <c r="B24" s="4" t="s">
        <v>135</v>
      </c>
      <c r="C24" s="32">
        <v>425436337.39000034</v>
      </c>
      <c r="D24" s="32">
        <v>103525907.23999999</v>
      </c>
      <c r="E24" s="34">
        <f t="shared" si="0"/>
        <v>0.24334053803471212</v>
      </c>
      <c r="F24" s="35">
        <f t="shared" si="9"/>
        <v>25192049.968313295</v>
      </c>
      <c r="G24" s="79">
        <f t="shared" si="1"/>
        <v>1.3310151035349285E-2</v>
      </c>
      <c r="H24" s="30">
        <v>397205</v>
      </c>
      <c r="I24" s="73">
        <f t="shared" si="2"/>
        <v>6.8667816186937305E-2</v>
      </c>
      <c r="J24" s="31">
        <f t="shared" si="10"/>
        <v>5.8367643758896706E-2</v>
      </c>
      <c r="K24" s="32">
        <v>1032</v>
      </c>
      <c r="L24" s="70">
        <f t="shared" si="3"/>
        <v>1.6085690593611857E-2</v>
      </c>
      <c r="M24" s="33">
        <f t="shared" si="11"/>
        <v>2.4128535890417784E-3</v>
      </c>
      <c r="N24" s="79">
        <f t="shared" si="12"/>
        <v>6.0780497347938486E-2</v>
      </c>
      <c r="O24" s="189">
        <v>49018</v>
      </c>
      <c r="P24" s="189">
        <v>87249</v>
      </c>
      <c r="Q24" s="190">
        <v>1.8532766358999999</v>
      </c>
      <c r="R24" s="191">
        <f t="shared" si="13"/>
        <v>8.1119376549769751E-2</v>
      </c>
      <c r="S24" s="192">
        <f t="shared" si="4"/>
        <v>0.15033664527846263</v>
      </c>
      <c r="T24" s="192">
        <f t="shared" si="14"/>
        <v>7.7973218705987155E-2</v>
      </c>
      <c r="U24" s="189">
        <f t="shared" si="15"/>
        <v>44903593.738679454</v>
      </c>
      <c r="V24" s="191">
        <f t="shared" si="5"/>
        <v>0.56181732741922541</v>
      </c>
      <c r="W24" s="191">
        <f t="shared" si="16"/>
        <v>7.4655700138420563E-3</v>
      </c>
      <c r="X24" s="189">
        <f t="shared" si="17"/>
        <v>758701.50220487849</v>
      </c>
      <c r="Y24" s="32">
        <f t="shared" si="6"/>
        <v>45662295.240884334</v>
      </c>
      <c r="Z24" s="193">
        <f t="shared" si="18"/>
        <v>6.7397071402165387E-2</v>
      </c>
      <c r="AB24" s="36">
        <f t="shared" si="7"/>
        <v>18035562.48461426</v>
      </c>
      <c r="AC24" s="37">
        <f t="shared" si="8"/>
        <v>41179489.806439646</v>
      </c>
      <c r="AD24" s="37">
        <f t="shared" si="19"/>
        <v>45662295.240884334</v>
      </c>
      <c r="AE24" s="37">
        <f t="shared" si="20"/>
        <v>104877347.53193824</v>
      </c>
      <c r="AF24" s="38">
        <f t="shared" si="21"/>
        <v>3.8699467705200614E-2</v>
      </c>
      <c r="AH24" s="241"/>
    </row>
    <row r="25" spans="1:34">
      <c r="A25" s="110" t="s">
        <v>171</v>
      </c>
      <c r="B25" s="4" t="s">
        <v>11</v>
      </c>
      <c r="C25" s="32">
        <v>5541859</v>
      </c>
      <c r="D25" s="32">
        <v>3566422</v>
      </c>
      <c r="E25" s="34">
        <f t="shared" si="0"/>
        <v>0.6435425368996216</v>
      </c>
      <c r="F25" s="35">
        <f t="shared" si="9"/>
        <v>2295144.2615346224</v>
      </c>
      <c r="G25" s="79">
        <f t="shared" si="1"/>
        <v>1.2126332238688545E-3</v>
      </c>
      <c r="H25" s="30">
        <v>5506</v>
      </c>
      <c r="I25" s="73">
        <f t="shared" si="2"/>
        <v>9.5186363697656574E-4</v>
      </c>
      <c r="J25" s="31">
        <f t="shared" si="10"/>
        <v>8.0908409143008091E-4</v>
      </c>
      <c r="K25" s="32">
        <v>1888.6</v>
      </c>
      <c r="L25" s="70">
        <f t="shared" si="3"/>
        <v>2.9437437262689294E-2</v>
      </c>
      <c r="M25" s="33">
        <f t="shared" si="11"/>
        <v>4.4156155894033936E-3</v>
      </c>
      <c r="N25" s="79">
        <f t="shared" si="12"/>
        <v>5.2246996808334749E-3</v>
      </c>
      <c r="O25" s="189">
        <v>2284</v>
      </c>
      <c r="P25" s="189">
        <v>950</v>
      </c>
      <c r="Q25" s="190">
        <v>2.0503201405999998</v>
      </c>
      <c r="R25" s="191">
        <f t="shared" si="13"/>
        <v>8.8325834934820178E-4</v>
      </c>
      <c r="S25" s="192">
        <f t="shared" si="4"/>
        <v>1.8109623830217289E-3</v>
      </c>
      <c r="T25" s="192">
        <f t="shared" si="14"/>
        <v>9.3926910300624043E-4</v>
      </c>
      <c r="U25" s="189">
        <f t="shared" si="15"/>
        <v>540910.82698177197</v>
      </c>
      <c r="V25" s="191">
        <f t="shared" si="5"/>
        <v>2.4042105263157896</v>
      </c>
      <c r="W25" s="191">
        <f t="shared" si="16"/>
        <v>3.1947754432346431E-2</v>
      </c>
      <c r="X25" s="189">
        <f t="shared" si="17"/>
        <v>3246745.95977965</v>
      </c>
      <c r="Y25" s="32">
        <f t="shared" si="6"/>
        <v>3787656.7867614217</v>
      </c>
      <c r="Z25" s="193">
        <f t="shared" si="18"/>
        <v>5.5905419024072679E-3</v>
      </c>
      <c r="AB25" s="36">
        <f t="shared" si="7"/>
        <v>1643146.0636263194</v>
      </c>
      <c r="AC25" s="37">
        <f t="shared" si="8"/>
        <v>3539794.451120724</v>
      </c>
      <c r="AD25" s="37">
        <f t="shared" si="19"/>
        <v>3787656.7867614212</v>
      </c>
      <c r="AE25" s="37">
        <f t="shared" si="20"/>
        <v>8970597.3015084639</v>
      </c>
      <c r="AF25" s="38">
        <f t="shared" si="21"/>
        <v>3.3101270077446126E-3</v>
      </c>
      <c r="AH25" s="241"/>
    </row>
    <row r="26" spans="1:34">
      <c r="A26" s="110" t="s">
        <v>172</v>
      </c>
      <c r="B26" s="4" t="s">
        <v>12</v>
      </c>
      <c r="C26" s="32">
        <v>449264751.14000052</v>
      </c>
      <c r="D26" s="32">
        <v>154603349.86000001</v>
      </c>
      <c r="E26" s="34">
        <f t="shared" si="0"/>
        <v>0.34412526125785975</v>
      </c>
      <c r="F26" s="35">
        <f t="shared" si="9"/>
        <v>53202918.161912799</v>
      </c>
      <c r="G26" s="79">
        <f t="shared" si="1"/>
        <v>2.8109617008027853E-2</v>
      </c>
      <c r="H26" s="30">
        <v>481213</v>
      </c>
      <c r="I26" s="73">
        <f t="shared" si="2"/>
        <v>8.3190911067999293E-2</v>
      </c>
      <c r="J26" s="31">
        <f t="shared" si="10"/>
        <v>7.0712274407799397E-2</v>
      </c>
      <c r="K26" s="32">
        <v>149.4</v>
      </c>
      <c r="L26" s="70">
        <f t="shared" si="3"/>
        <v>2.3286842777961352E-3</v>
      </c>
      <c r="M26" s="33">
        <f t="shared" si="11"/>
        <v>3.4930264166942025E-4</v>
      </c>
      <c r="N26" s="79">
        <f t="shared" si="12"/>
        <v>7.1061577049468819E-2</v>
      </c>
      <c r="O26" s="189">
        <v>95635</v>
      </c>
      <c r="P26" s="189">
        <v>113990</v>
      </c>
      <c r="Q26" s="190">
        <v>1.9916235985999999</v>
      </c>
      <c r="R26" s="191">
        <f t="shared" si="13"/>
        <v>0.10598170446547529</v>
      </c>
      <c r="S26" s="192">
        <f t="shared" si="4"/>
        <v>0.21107566363329158</v>
      </c>
      <c r="T26" s="192">
        <f t="shared" si="14"/>
        <v>0.10947596212157762</v>
      </c>
      <c r="U26" s="189">
        <f t="shared" si="15"/>
        <v>63045545.750709385</v>
      </c>
      <c r="V26" s="191">
        <f t="shared" si="5"/>
        <v>0.83897710325467145</v>
      </c>
      <c r="W26" s="191">
        <f t="shared" si="16"/>
        <v>1.1148538855378512E-2</v>
      </c>
      <c r="X26" s="189">
        <f t="shared" si="17"/>
        <v>1132989.5990905219</v>
      </c>
      <c r="Y26" s="32">
        <f t="shared" si="6"/>
        <v>64178535.349799909</v>
      </c>
      <c r="Z26" s="193">
        <f t="shared" si="18"/>
        <v>9.472684863164775E-2</v>
      </c>
      <c r="AB26" s="36">
        <f t="shared" si="7"/>
        <v>38089181.153574951</v>
      </c>
      <c r="AC26" s="37">
        <f t="shared" si="8"/>
        <v>48145040.192524493</v>
      </c>
      <c r="AD26" s="37">
        <f t="shared" si="19"/>
        <v>64178535.349799909</v>
      </c>
      <c r="AE26" s="37">
        <f t="shared" si="20"/>
        <v>150412756.69589934</v>
      </c>
      <c r="AF26" s="38">
        <f t="shared" si="21"/>
        <v>5.5501914924293065E-2</v>
      </c>
      <c r="AH26" s="241"/>
    </row>
    <row r="27" spans="1:34">
      <c r="A27" s="110" t="s">
        <v>173</v>
      </c>
      <c r="B27" s="4" t="s">
        <v>136</v>
      </c>
      <c r="C27" s="32">
        <v>12500507</v>
      </c>
      <c r="D27" s="32">
        <v>4608992</v>
      </c>
      <c r="E27" s="34">
        <f t="shared" si="0"/>
        <v>0.36870440534931903</v>
      </c>
      <c r="F27" s="35">
        <f t="shared" si="9"/>
        <v>1699355.6546197687</v>
      </c>
      <c r="G27" s="79">
        <f t="shared" si="1"/>
        <v>8.9784993496813009E-4</v>
      </c>
      <c r="H27" s="30">
        <v>14109</v>
      </c>
      <c r="I27" s="73">
        <f t="shared" si="2"/>
        <v>2.4391289600621804E-3</v>
      </c>
      <c r="J27" s="31">
        <f t="shared" si="10"/>
        <v>2.0732596160528533E-3</v>
      </c>
      <c r="K27" s="32">
        <v>2478.8000000000002</v>
      </c>
      <c r="L27" s="70">
        <f t="shared" si="3"/>
        <v>3.8636831243648327E-2</v>
      </c>
      <c r="M27" s="33">
        <f t="shared" si="11"/>
        <v>5.7955246865472486E-3</v>
      </c>
      <c r="N27" s="79">
        <f t="shared" si="12"/>
        <v>7.8687843026001014E-3</v>
      </c>
      <c r="O27" s="189">
        <v>5621</v>
      </c>
      <c r="P27" s="189">
        <v>1660</v>
      </c>
      <c r="Q27" s="190">
        <v>2.1173054283999999</v>
      </c>
      <c r="R27" s="191">
        <f t="shared" si="13"/>
        <v>1.543377747282121E-3</v>
      </c>
      <c r="S27" s="192">
        <f t="shared" si="4"/>
        <v>3.2678020823921979E-3</v>
      </c>
      <c r="T27" s="192">
        <f t="shared" si="14"/>
        <v>1.6948698435187855E-3</v>
      </c>
      <c r="U27" s="189">
        <f t="shared" si="15"/>
        <v>976049.83039468923</v>
      </c>
      <c r="V27" s="191">
        <f t="shared" si="5"/>
        <v>3.3861445783132531</v>
      </c>
      <c r="W27" s="191">
        <f t="shared" si="16"/>
        <v>4.499594119411314E-2</v>
      </c>
      <c r="X27" s="189">
        <f t="shared" si="17"/>
        <v>4572790.572427717</v>
      </c>
      <c r="Y27" s="32">
        <f t="shared" si="6"/>
        <v>5548840.402822406</v>
      </c>
      <c r="Z27" s="193">
        <f t="shared" si="18"/>
        <v>8.1900305461079393E-3</v>
      </c>
      <c r="AB27" s="36">
        <f t="shared" si="7"/>
        <v>1216607.4269869935</v>
      </c>
      <c r="AC27" s="37">
        <f t="shared" si="8"/>
        <v>5331192.3580201417</v>
      </c>
      <c r="AD27" s="37">
        <f t="shared" si="19"/>
        <v>5548840.402822406</v>
      </c>
      <c r="AE27" s="37">
        <f t="shared" si="20"/>
        <v>12096640.187829541</v>
      </c>
      <c r="AF27" s="38">
        <f t="shared" si="21"/>
        <v>4.4636286796610747E-3</v>
      </c>
      <c r="AH27" s="241"/>
    </row>
    <row r="28" spans="1:34">
      <c r="A28" s="110" t="s">
        <v>174</v>
      </c>
      <c r="B28" s="4" t="s">
        <v>13</v>
      </c>
      <c r="C28" s="32">
        <v>796636</v>
      </c>
      <c r="D28" s="32">
        <v>246797</v>
      </c>
      <c r="E28" s="34">
        <f t="shared" si="0"/>
        <v>0.30979895460411028</v>
      </c>
      <c r="F28" s="35">
        <f t="shared" si="9"/>
        <v>76457.452599430602</v>
      </c>
      <c r="G28" s="79">
        <f t="shared" si="1"/>
        <v>4.0396086986033256E-5</v>
      </c>
      <c r="H28" s="30">
        <v>1808</v>
      </c>
      <c r="I28" s="73">
        <f t="shared" si="2"/>
        <v>3.1256256005332924E-4</v>
      </c>
      <c r="J28" s="31">
        <f t="shared" si="10"/>
        <v>2.6567817604532983E-4</v>
      </c>
      <c r="K28" s="32">
        <v>387.9</v>
      </c>
      <c r="L28" s="70">
        <f t="shared" si="3"/>
        <v>6.0461621911453867E-3</v>
      </c>
      <c r="M28" s="33">
        <f t="shared" si="11"/>
        <v>9.0692432867180801E-4</v>
      </c>
      <c r="N28" s="79">
        <f t="shared" si="12"/>
        <v>1.1726025047171379E-3</v>
      </c>
      <c r="O28" s="189">
        <v>196</v>
      </c>
      <c r="P28" s="189">
        <v>185</v>
      </c>
      <c r="Q28" s="190">
        <v>1.7757863003000001</v>
      </c>
      <c r="R28" s="191">
        <f t="shared" si="13"/>
        <v>1.7200294171517615E-4</v>
      </c>
      <c r="S28" s="192">
        <f t="shared" si="4"/>
        <v>3.054404675091092E-4</v>
      </c>
      <c r="T28" s="192">
        <f t="shared" si="14"/>
        <v>1.5841896917835949E-4</v>
      </c>
      <c r="U28" s="189">
        <f t="shared" si="15"/>
        <v>91231.081011398885</v>
      </c>
      <c r="V28" s="191">
        <f t="shared" si="5"/>
        <v>1.0594594594594595</v>
      </c>
      <c r="W28" s="191">
        <f t="shared" si="16"/>
        <v>1.4078363883426199E-2</v>
      </c>
      <c r="X28" s="189">
        <f t="shared" si="17"/>
        <v>1430738.1495502696</v>
      </c>
      <c r="Y28" s="32">
        <f t="shared" si="6"/>
        <v>1521969.2305616685</v>
      </c>
      <c r="Z28" s="193">
        <f t="shared" si="18"/>
        <v>2.2464107063155355E-3</v>
      </c>
      <c r="AB28" s="36">
        <f t="shared" si="7"/>
        <v>54737.632130212463</v>
      </c>
      <c r="AC28" s="37">
        <f t="shared" si="8"/>
        <v>794451.75668084179</v>
      </c>
      <c r="AD28" s="37">
        <f t="shared" si="19"/>
        <v>1521969.2305616685</v>
      </c>
      <c r="AE28" s="37">
        <f t="shared" si="20"/>
        <v>2371158.6193727227</v>
      </c>
      <c r="AF28" s="38">
        <f t="shared" si="21"/>
        <v>8.7495134625118496E-4</v>
      </c>
      <c r="AH28" s="241"/>
    </row>
    <row r="29" spans="1:34">
      <c r="A29" s="110" t="s">
        <v>175</v>
      </c>
      <c r="B29" s="4" t="s">
        <v>14</v>
      </c>
      <c r="C29" s="32">
        <v>1746864</v>
      </c>
      <c r="D29" s="32">
        <v>165744</v>
      </c>
      <c r="E29" s="34">
        <f t="shared" si="0"/>
        <v>9.4880883686423209E-2</v>
      </c>
      <c r="F29" s="35">
        <f t="shared" si="9"/>
        <v>15725.937185722529</v>
      </c>
      <c r="G29" s="79">
        <f t="shared" si="1"/>
        <v>8.3087561106642621E-6</v>
      </c>
      <c r="H29" s="30">
        <v>6282</v>
      </c>
      <c r="I29" s="73">
        <f t="shared" si="2"/>
        <v>1.0860165941675964E-3</v>
      </c>
      <c r="J29" s="31">
        <f t="shared" si="10"/>
        <v>9.2311410504245688E-4</v>
      </c>
      <c r="K29" s="32">
        <v>1306.7</v>
      </c>
      <c r="L29" s="70">
        <f t="shared" si="3"/>
        <v>2.0367414630496718E-2</v>
      </c>
      <c r="M29" s="33">
        <f t="shared" si="11"/>
        <v>3.0551121945745076E-3</v>
      </c>
      <c r="N29" s="79">
        <f t="shared" si="12"/>
        <v>3.9782262996169646E-3</v>
      </c>
      <c r="O29" s="189">
        <v>3611</v>
      </c>
      <c r="P29" s="189">
        <v>3897</v>
      </c>
      <c r="Q29" s="190">
        <v>2.6101222018999999</v>
      </c>
      <c r="R29" s="191">
        <f t="shared" si="13"/>
        <v>3.6232187235894133E-3</v>
      </c>
      <c r="S29" s="192">
        <f t="shared" si="4"/>
        <v>9.4570436327805069E-3</v>
      </c>
      <c r="T29" s="192">
        <f t="shared" si="14"/>
        <v>4.9049659856717437E-3</v>
      </c>
      <c r="U29" s="189">
        <f t="shared" si="15"/>
        <v>2824695.499016684</v>
      </c>
      <c r="V29" s="191">
        <f t="shared" si="5"/>
        <v>0.92661021298434698</v>
      </c>
      <c r="W29" s="191">
        <f t="shared" si="16"/>
        <v>1.2313029668118099E-2</v>
      </c>
      <c r="X29" s="189">
        <f t="shared" si="17"/>
        <v>1251332.997825138</v>
      </c>
      <c r="Y29" s="32">
        <f t="shared" si="6"/>
        <v>4076028.4968418218</v>
      </c>
      <c r="Z29" s="193">
        <f t="shared" si="18"/>
        <v>6.0161755380386964E-3</v>
      </c>
      <c r="AB29" s="36">
        <f t="shared" si="7"/>
        <v>11258.556691454809</v>
      </c>
      <c r="AC29" s="37">
        <f t="shared" si="8"/>
        <v>2695294.3213838851</v>
      </c>
      <c r="AD29" s="37">
        <f t="shared" si="19"/>
        <v>4076028.4968418218</v>
      </c>
      <c r="AE29" s="37">
        <f t="shared" si="20"/>
        <v>6782581.3749171617</v>
      </c>
      <c r="AF29" s="38">
        <f t="shared" si="21"/>
        <v>2.5027548374692474E-3</v>
      </c>
      <c r="AH29" s="241"/>
    </row>
    <row r="30" spans="1:34">
      <c r="A30" s="110" t="s">
        <v>176</v>
      </c>
      <c r="B30" s="4" t="s">
        <v>15</v>
      </c>
      <c r="C30" s="32">
        <v>63133792</v>
      </c>
      <c r="D30" s="32">
        <v>12472493</v>
      </c>
      <c r="E30" s="34">
        <f t="shared" si="0"/>
        <v>0.1975565320074549</v>
      </c>
      <c r="F30" s="35">
        <f t="shared" si="9"/>
        <v>2464022.4625672572</v>
      </c>
      <c r="G30" s="79">
        <f t="shared" si="1"/>
        <v>1.301859561747262E-3</v>
      </c>
      <c r="H30" s="30">
        <v>102149</v>
      </c>
      <c r="I30" s="73">
        <f t="shared" si="2"/>
        <v>1.7659266010446643E-2</v>
      </c>
      <c r="J30" s="31">
        <f t="shared" si="10"/>
        <v>1.5010376108879647E-2</v>
      </c>
      <c r="K30" s="32">
        <v>184.5</v>
      </c>
      <c r="L30" s="70">
        <f t="shared" si="3"/>
        <v>2.8757848008928175E-3</v>
      </c>
      <c r="M30" s="33">
        <f t="shared" si="11"/>
        <v>4.3136772013392259E-4</v>
      </c>
      <c r="N30" s="79">
        <f t="shared" si="12"/>
        <v>1.544174382901357E-2</v>
      </c>
      <c r="O30" s="189">
        <v>12989</v>
      </c>
      <c r="P30" s="189">
        <v>23008</v>
      </c>
      <c r="Q30" s="190">
        <v>1.8972127424</v>
      </c>
      <c r="R30" s="191">
        <f t="shared" si="13"/>
        <v>2.1391587475582556E-2</v>
      </c>
      <c r="S30" s="192">
        <f t="shared" si="4"/>
        <v>4.0584392338839474E-2</v>
      </c>
      <c r="T30" s="192">
        <f t="shared" si="14"/>
        <v>2.1049396798927165E-2</v>
      </c>
      <c r="U30" s="189">
        <f t="shared" si="15"/>
        <v>12122028.280855216</v>
      </c>
      <c r="V30" s="191">
        <f t="shared" si="5"/>
        <v>0.56454276773296241</v>
      </c>
      <c r="W30" s="191">
        <f t="shared" si="16"/>
        <v>7.5017863505189922E-3</v>
      </c>
      <c r="X30" s="189">
        <f t="shared" si="17"/>
        <v>762382.05023941607</v>
      </c>
      <c r="Y30" s="32">
        <f t="shared" si="6"/>
        <v>12884410.331094632</v>
      </c>
      <c r="Z30" s="193">
        <f t="shared" si="18"/>
        <v>1.901725523166594E-2</v>
      </c>
      <c r="AB30" s="36">
        <f t="shared" si="7"/>
        <v>1764049.8150417213</v>
      </c>
      <c r="AC30" s="37">
        <f t="shared" si="8"/>
        <v>10461960.009316772</v>
      </c>
      <c r="AD30" s="37">
        <f t="shared" si="19"/>
        <v>12884410.331094634</v>
      </c>
      <c r="AE30" s="37">
        <f t="shared" si="20"/>
        <v>25110420.155453127</v>
      </c>
      <c r="AF30" s="38">
        <f t="shared" si="21"/>
        <v>9.2656795460435079E-3</v>
      </c>
      <c r="AH30" s="241"/>
    </row>
    <row r="31" spans="1:34">
      <c r="A31" s="110" t="s">
        <v>177</v>
      </c>
      <c r="B31" s="4" t="s">
        <v>16</v>
      </c>
      <c r="C31" s="32">
        <v>516795710.3599999</v>
      </c>
      <c r="D31" s="32">
        <v>210861820.24000001</v>
      </c>
      <c r="E31" s="34">
        <f t="shared" si="0"/>
        <v>0.40801774475471875</v>
      </c>
      <c r="F31" s="35">
        <f t="shared" si="9"/>
        <v>86035364.349199712</v>
      </c>
      <c r="G31" s="79">
        <f t="shared" si="1"/>
        <v>4.5456550590742786E-2</v>
      </c>
      <c r="H31" s="30">
        <v>643143</v>
      </c>
      <c r="I31" s="73">
        <f t="shared" si="2"/>
        <v>0.11118496823029775</v>
      </c>
      <c r="J31" s="31">
        <f t="shared" si="10"/>
        <v>9.4507222995753079E-2</v>
      </c>
      <c r="K31" s="32">
        <v>118.4</v>
      </c>
      <c r="L31" s="70">
        <f t="shared" si="3"/>
        <v>1.8454900836081822E-3</v>
      </c>
      <c r="M31" s="33">
        <f t="shared" si="11"/>
        <v>2.7682351254122733E-4</v>
      </c>
      <c r="N31" s="79">
        <f t="shared" si="12"/>
        <v>9.4784046508294306E-2</v>
      </c>
      <c r="O31" s="189">
        <v>113831</v>
      </c>
      <c r="P31" s="189">
        <v>95688</v>
      </c>
      <c r="Q31" s="190">
        <v>1.8797706219999999</v>
      </c>
      <c r="R31" s="191">
        <f t="shared" si="13"/>
        <v>8.8965499928874453E-2</v>
      </c>
      <c r="S31" s="192">
        <f t="shared" si="4"/>
        <v>0.16723473313784129</v>
      </c>
      <c r="T31" s="192">
        <f t="shared" si="14"/>
        <v>8.6737537597976422E-2</v>
      </c>
      <c r="U31" s="189">
        <f t="shared" si="15"/>
        <v>49950832.027072705</v>
      </c>
      <c r="V31" s="191">
        <f t="shared" si="5"/>
        <v>1.1896058021904523</v>
      </c>
      <c r="W31" s="191">
        <f t="shared" si="16"/>
        <v>1.5807781233665195E-2</v>
      </c>
      <c r="X31" s="189">
        <f t="shared" si="17"/>
        <v>1606493.1875624636</v>
      </c>
      <c r="Y31" s="32">
        <f t="shared" si="6"/>
        <v>51557325.214635171</v>
      </c>
      <c r="Z31" s="193">
        <f t="shared" si="18"/>
        <v>7.6098074143329739E-2</v>
      </c>
      <c r="AB31" s="36">
        <f t="shared" si="7"/>
        <v>61594677.35092134</v>
      </c>
      <c r="AC31" s="37">
        <f t="shared" si="8"/>
        <v>64217287.572652467</v>
      </c>
      <c r="AD31" s="37">
        <f t="shared" si="19"/>
        <v>51557325.214635171</v>
      </c>
      <c r="AE31" s="37">
        <f t="shared" si="20"/>
        <v>177369290.13820899</v>
      </c>
      <c r="AF31" s="38">
        <f t="shared" si="21"/>
        <v>6.5448805458277401E-2</v>
      </c>
      <c r="AH31" s="241"/>
    </row>
    <row r="32" spans="1:34">
      <c r="A32" s="110" t="s">
        <v>178</v>
      </c>
      <c r="B32" s="4" t="s">
        <v>137</v>
      </c>
      <c r="C32" s="32">
        <v>997290</v>
      </c>
      <c r="D32" s="32">
        <v>297293.69</v>
      </c>
      <c r="E32" s="34">
        <f t="shared" si="0"/>
        <v>0.29810154518745802</v>
      </c>
      <c r="F32" s="35">
        <f t="shared" si="9"/>
        <v>88623.708363481142</v>
      </c>
      <c r="G32" s="79">
        <f t="shared" si="1"/>
        <v>4.6824095105971246E-5</v>
      </c>
      <c r="H32" s="30">
        <v>1959</v>
      </c>
      <c r="I32" s="73">
        <f t="shared" si="2"/>
        <v>3.3866706589849116E-4</v>
      </c>
      <c r="J32" s="31">
        <f t="shared" si="10"/>
        <v>2.8786700601371749E-4</v>
      </c>
      <c r="K32" s="32">
        <v>496.6</v>
      </c>
      <c r="L32" s="70">
        <f t="shared" si="3"/>
        <v>7.7404592527012097E-3</v>
      </c>
      <c r="M32" s="33">
        <f t="shared" si="11"/>
        <v>1.1610688879051814E-3</v>
      </c>
      <c r="N32" s="79">
        <f t="shared" si="12"/>
        <v>1.4489358939188989E-3</v>
      </c>
      <c r="O32" s="189">
        <v>188</v>
      </c>
      <c r="P32" s="189">
        <v>192</v>
      </c>
      <c r="Q32" s="190">
        <v>1.9505591721</v>
      </c>
      <c r="R32" s="191">
        <f t="shared" si="13"/>
        <v>1.7851116113142606E-4</v>
      </c>
      <c r="S32" s="192">
        <f t="shared" si="4"/>
        <v>3.4819658266712413E-4</v>
      </c>
      <c r="T32" s="192">
        <f t="shared" si="14"/>
        <v>1.8059474616246836E-4</v>
      </c>
      <c r="U32" s="189">
        <f t="shared" si="15"/>
        <v>104001.77455284074</v>
      </c>
      <c r="V32" s="191">
        <f t="shared" si="5"/>
        <v>0.97916666666666663</v>
      </c>
      <c r="W32" s="191">
        <f t="shared" si="16"/>
        <v>1.3011413049148681E-2</v>
      </c>
      <c r="X32" s="189">
        <f t="shared" si="17"/>
        <v>1322307.4203167085</v>
      </c>
      <c r="Y32" s="32">
        <f t="shared" si="6"/>
        <v>1426309.1948695492</v>
      </c>
      <c r="Z32" s="193">
        <f t="shared" si="18"/>
        <v>2.1052174916104003E-3</v>
      </c>
      <c r="AB32" s="36">
        <f t="shared" si="7"/>
        <v>63447.731797064756</v>
      </c>
      <c r="AC32" s="37">
        <f t="shared" si="8"/>
        <v>981670.82332769921</v>
      </c>
      <c r="AD32" s="37">
        <f t="shared" si="19"/>
        <v>1426309.1948695492</v>
      </c>
      <c r="AE32" s="37">
        <f t="shared" si="20"/>
        <v>2471427.7499943133</v>
      </c>
      <c r="AF32" s="38">
        <f t="shared" si="21"/>
        <v>9.119503939353105E-4</v>
      </c>
      <c r="AH32" s="241"/>
    </row>
    <row r="33" spans="1:34">
      <c r="A33" s="110" t="s">
        <v>179</v>
      </c>
      <c r="B33" s="4" t="s">
        <v>17</v>
      </c>
      <c r="C33" s="32">
        <v>2347113</v>
      </c>
      <c r="D33" s="32">
        <v>539788</v>
      </c>
      <c r="E33" s="34">
        <f t="shared" si="0"/>
        <v>0.22997955360479022</v>
      </c>
      <c r="F33" s="35">
        <f t="shared" si="9"/>
        <v>124140.20328122251</v>
      </c>
      <c r="G33" s="79">
        <f t="shared" si="1"/>
        <v>6.5589138530224345E-5</v>
      </c>
      <c r="H33" s="30">
        <v>16086</v>
      </c>
      <c r="I33" s="73">
        <f t="shared" si="2"/>
        <v>2.7809078213594327E-3</v>
      </c>
      <c r="J33" s="31">
        <f t="shared" si="10"/>
        <v>2.3637716481555177E-3</v>
      </c>
      <c r="K33" s="32">
        <v>170.6</v>
      </c>
      <c r="L33" s="70">
        <f t="shared" si="3"/>
        <v>2.6591267589827351E-3</v>
      </c>
      <c r="M33" s="33">
        <f t="shared" si="11"/>
        <v>3.9886901384741024E-4</v>
      </c>
      <c r="N33" s="79">
        <f t="shared" si="12"/>
        <v>2.762640662002928E-3</v>
      </c>
      <c r="O33" s="189">
        <v>3006</v>
      </c>
      <c r="P33" s="189">
        <v>3272</v>
      </c>
      <c r="Q33" s="190">
        <v>1.6415123341</v>
      </c>
      <c r="R33" s="191">
        <f t="shared" si="13"/>
        <v>3.0421277042813858E-3</v>
      </c>
      <c r="S33" s="192">
        <f t="shared" si="4"/>
        <v>4.9936901484852123E-3</v>
      </c>
      <c r="T33" s="192">
        <f t="shared" si="14"/>
        <v>2.5900145195906737E-3</v>
      </c>
      <c r="U33" s="189">
        <f t="shared" si="15"/>
        <v>1491550.0693066877</v>
      </c>
      <c r="V33" s="191">
        <f t="shared" si="5"/>
        <v>0.91870415647921755</v>
      </c>
      <c r="W33" s="191">
        <f t="shared" si="16"/>
        <v>1.2207971999919139E-2</v>
      </c>
      <c r="X33" s="189">
        <f t="shared" si="17"/>
        <v>1240656.330064618</v>
      </c>
      <c r="Y33" s="32">
        <f t="shared" si="6"/>
        <v>2732206.3993713055</v>
      </c>
      <c r="Z33" s="193">
        <f t="shared" si="18"/>
        <v>4.0327081416399431E-3</v>
      </c>
      <c r="AB33" s="36">
        <f t="shared" si="7"/>
        <v>88874.79962715834</v>
      </c>
      <c r="AC33" s="37">
        <f t="shared" si="8"/>
        <v>1871720.9951172573</v>
      </c>
      <c r="AD33" s="37">
        <f t="shared" si="19"/>
        <v>2732206.3993713055</v>
      </c>
      <c r="AE33" s="37">
        <f t="shared" si="20"/>
        <v>4692802.1941157207</v>
      </c>
      <c r="AF33" s="38">
        <f t="shared" si="21"/>
        <v>1.7316317701758298E-3</v>
      </c>
      <c r="AH33" s="241"/>
    </row>
    <row r="34" spans="1:34">
      <c r="A34" s="110" t="s">
        <v>180</v>
      </c>
      <c r="B34" s="4" t="s">
        <v>18</v>
      </c>
      <c r="C34" s="32">
        <v>702996</v>
      </c>
      <c r="D34" s="32">
        <v>419888</v>
      </c>
      <c r="E34" s="34">
        <f t="shared" si="0"/>
        <v>0.597283626080376</v>
      </c>
      <c r="F34" s="35">
        <f t="shared" si="9"/>
        <v>250792.22718763692</v>
      </c>
      <c r="G34" s="79">
        <f t="shared" si="1"/>
        <v>1.3250539065132603E-4</v>
      </c>
      <c r="H34" s="30">
        <v>1386</v>
      </c>
      <c r="I34" s="73">
        <f t="shared" si="2"/>
        <v>2.3960824570459864E-4</v>
      </c>
      <c r="J34" s="31">
        <f t="shared" si="10"/>
        <v>2.0366700884890884E-4</v>
      </c>
      <c r="K34" s="32">
        <v>443.2</v>
      </c>
      <c r="L34" s="70">
        <f t="shared" si="3"/>
        <v>6.9081182859387349E-3</v>
      </c>
      <c r="M34" s="33">
        <f t="shared" si="11"/>
        <v>1.0362177428908102E-3</v>
      </c>
      <c r="N34" s="79">
        <f t="shared" si="12"/>
        <v>1.239884751739719E-3</v>
      </c>
      <c r="O34" s="189">
        <v>237</v>
      </c>
      <c r="P34" s="189">
        <v>131</v>
      </c>
      <c r="Q34" s="190">
        <v>2.2584083591000002</v>
      </c>
      <c r="R34" s="191">
        <f t="shared" si="13"/>
        <v>1.2179667764696256E-4</v>
      </c>
      <c r="S34" s="192">
        <f t="shared" si="4"/>
        <v>2.7506663490850839E-4</v>
      </c>
      <c r="T34" s="192">
        <f t="shared" si="14"/>
        <v>1.426653550949875E-4</v>
      </c>
      <c r="U34" s="189">
        <f t="shared" si="15"/>
        <v>82158.813655307837</v>
      </c>
      <c r="V34" s="191">
        <f t="shared" si="5"/>
        <v>1.8091603053435115</v>
      </c>
      <c r="W34" s="191">
        <f t="shared" si="16"/>
        <v>2.4040577366755789E-2</v>
      </c>
      <c r="X34" s="189">
        <f t="shared" si="17"/>
        <v>2443165.3749428089</v>
      </c>
      <c r="Y34" s="32">
        <f t="shared" si="6"/>
        <v>2525324.1885981169</v>
      </c>
      <c r="Z34" s="193">
        <f t="shared" si="18"/>
        <v>3.7273521568441078E-3</v>
      </c>
      <c r="AB34" s="36">
        <f t="shared" si="7"/>
        <v>179547.86886289451</v>
      </c>
      <c r="AC34" s="37">
        <f t="shared" si="8"/>
        <v>840036.25707675214</v>
      </c>
      <c r="AD34" s="37">
        <f t="shared" si="19"/>
        <v>2525324.1885981169</v>
      </c>
      <c r="AE34" s="37">
        <f t="shared" si="20"/>
        <v>3544908.3145377636</v>
      </c>
      <c r="AF34" s="38">
        <f t="shared" si="21"/>
        <v>1.3080619224716196E-3</v>
      </c>
      <c r="AH34" s="241"/>
    </row>
    <row r="35" spans="1:34">
      <c r="A35" s="110" t="s">
        <v>181</v>
      </c>
      <c r="B35" s="4" t="s">
        <v>19</v>
      </c>
      <c r="C35" s="32">
        <v>1978005</v>
      </c>
      <c r="D35" s="32">
        <v>656691</v>
      </c>
      <c r="E35" s="34">
        <f t="shared" si="0"/>
        <v>0.33199663297109966</v>
      </c>
      <c r="F35" s="35">
        <f t="shared" si="9"/>
        <v>218019.2009024244</v>
      </c>
      <c r="G35" s="79">
        <f t="shared" si="1"/>
        <v>1.1518985141214846E-4</v>
      </c>
      <c r="H35" s="30">
        <v>7026</v>
      </c>
      <c r="I35" s="73">
        <f t="shared" si="2"/>
        <v>1.2146374706497186E-3</v>
      </c>
      <c r="J35" s="31">
        <f t="shared" si="10"/>
        <v>1.0324418500522608E-3</v>
      </c>
      <c r="K35" s="32">
        <v>127.8</v>
      </c>
      <c r="L35" s="70">
        <f t="shared" si="3"/>
        <v>1.9920070328135614E-3</v>
      </c>
      <c r="M35" s="33">
        <f t="shared" si="11"/>
        <v>2.9880105492203422E-4</v>
      </c>
      <c r="N35" s="79">
        <f t="shared" si="12"/>
        <v>1.331242904974295E-3</v>
      </c>
      <c r="O35" s="189">
        <v>2843</v>
      </c>
      <c r="P35" s="189">
        <v>1571</v>
      </c>
      <c r="Q35" s="190">
        <v>1.4705313694</v>
      </c>
      <c r="R35" s="191">
        <f t="shared" si="13"/>
        <v>1.4606303861326581E-3</v>
      </c>
      <c r="S35" s="192">
        <f t="shared" si="4"/>
        <v>2.1479028019069082E-3</v>
      </c>
      <c r="T35" s="192">
        <f t="shared" si="14"/>
        <v>1.1140257561426585E-3</v>
      </c>
      <c r="U35" s="189">
        <f t="shared" si="15"/>
        <v>641550.5323293017</v>
      </c>
      <c r="V35" s="191">
        <f t="shared" si="5"/>
        <v>1.8096753660089115</v>
      </c>
      <c r="W35" s="191">
        <f t="shared" si="16"/>
        <v>2.4047421622479592E-2</v>
      </c>
      <c r="X35" s="189">
        <f t="shared" si="17"/>
        <v>2443860.9343025759</v>
      </c>
      <c r="Y35" s="32">
        <f t="shared" si="6"/>
        <v>3085411.4666318777</v>
      </c>
      <c r="Z35" s="193">
        <f t="shared" si="18"/>
        <v>4.554035136093198E-3</v>
      </c>
      <c r="AB35" s="36">
        <f t="shared" si="7"/>
        <v>156084.91272711675</v>
      </c>
      <c r="AC35" s="37">
        <f t="shared" si="8"/>
        <v>901932.46234013292</v>
      </c>
      <c r="AD35" s="37">
        <f t="shared" si="19"/>
        <v>3085411.4666318777</v>
      </c>
      <c r="AE35" s="37">
        <f t="shared" si="20"/>
        <v>4143428.8416991271</v>
      </c>
      <c r="AF35" s="38">
        <f t="shared" si="21"/>
        <v>1.5289144359729473E-3</v>
      </c>
      <c r="AH35" s="241"/>
    </row>
    <row r="36" spans="1:34">
      <c r="A36" s="110" t="s">
        <v>182</v>
      </c>
      <c r="B36" s="4" t="s">
        <v>20</v>
      </c>
      <c r="C36" s="32">
        <v>579083</v>
      </c>
      <c r="D36" s="32">
        <v>129046</v>
      </c>
      <c r="E36" s="34">
        <f t="shared" si="0"/>
        <v>0.22284542975704691</v>
      </c>
      <c r="F36" s="35">
        <f t="shared" si="9"/>
        <v>28757.311328427877</v>
      </c>
      <c r="G36" s="79">
        <f t="shared" si="1"/>
        <v>1.5193847171364735E-5</v>
      </c>
      <c r="H36" s="30">
        <v>3298</v>
      </c>
      <c r="I36" s="73">
        <f t="shared" si="2"/>
        <v>5.7015006806188052E-4</v>
      </c>
      <c r="J36" s="31">
        <f t="shared" si="10"/>
        <v>4.8462755785259843E-4</v>
      </c>
      <c r="K36" s="32">
        <v>560.5</v>
      </c>
      <c r="L36" s="70">
        <f t="shared" si="3"/>
        <v>8.7364627691079895E-3</v>
      </c>
      <c r="M36" s="33">
        <f t="shared" si="11"/>
        <v>1.3104694153661983E-3</v>
      </c>
      <c r="N36" s="79">
        <f t="shared" si="12"/>
        <v>1.7950969732187967E-3</v>
      </c>
      <c r="O36" s="189">
        <v>2022</v>
      </c>
      <c r="P36" s="189">
        <v>1144</v>
      </c>
      <c r="Q36" s="190">
        <v>2.2004042460000002</v>
      </c>
      <c r="R36" s="191">
        <f t="shared" si="13"/>
        <v>1.0636290017414136E-3</v>
      </c>
      <c r="S36" s="192">
        <f t="shared" si="4"/>
        <v>2.3404137716005482E-3</v>
      </c>
      <c r="T36" s="192">
        <f t="shared" si="14"/>
        <v>1.2138730017388346E-3</v>
      </c>
      <c r="U36" s="189">
        <f t="shared" si="15"/>
        <v>699051.0463081171</v>
      </c>
      <c r="V36" s="191">
        <f t="shared" si="5"/>
        <v>1.7674825174825175</v>
      </c>
      <c r="W36" s="191">
        <f t="shared" si="16"/>
        <v>2.3486752434499599E-2</v>
      </c>
      <c r="X36" s="189">
        <f t="shared" si="17"/>
        <v>2386881.9555545766</v>
      </c>
      <c r="Y36" s="32">
        <f t="shared" si="6"/>
        <v>3085933.0018626936</v>
      </c>
      <c r="Z36" s="193">
        <f t="shared" si="18"/>
        <v>4.5548049166529497E-3</v>
      </c>
      <c r="AB36" s="36">
        <f t="shared" si="7"/>
        <v>20588.014314267115</v>
      </c>
      <c r="AC36" s="37">
        <f t="shared" si="8"/>
        <v>1216198.957489138</v>
      </c>
      <c r="AD36" s="37">
        <f t="shared" si="19"/>
        <v>3085933.001862694</v>
      </c>
      <c r="AE36" s="37">
        <f t="shared" si="20"/>
        <v>4322719.9736660989</v>
      </c>
      <c r="AF36" s="38">
        <f t="shared" si="21"/>
        <v>1.5950723960536191E-3</v>
      </c>
      <c r="AH36" s="241"/>
    </row>
    <row r="37" spans="1:34">
      <c r="A37" s="110" t="s">
        <v>183</v>
      </c>
      <c r="B37" s="4" t="s">
        <v>138</v>
      </c>
      <c r="C37" s="32">
        <v>512545762.94000041</v>
      </c>
      <c r="D37" s="32">
        <v>116809127.09999999</v>
      </c>
      <c r="E37" s="34">
        <f t="shared" si="0"/>
        <v>0.22789989801100724</v>
      </c>
      <c r="F37" s="35">
        <f t="shared" si="9"/>
        <v>26620788.152844779</v>
      </c>
      <c r="G37" s="79">
        <f t="shared" si="1"/>
        <v>1.4065020966538059E-2</v>
      </c>
      <c r="H37" s="30">
        <v>471523</v>
      </c>
      <c r="I37" s="73">
        <f t="shared" si="2"/>
        <v>8.1515727878332944E-2</v>
      </c>
      <c r="J37" s="31">
        <f t="shared" si="10"/>
        <v>6.9288368696583003E-2</v>
      </c>
      <c r="K37" s="32">
        <v>247.3</v>
      </c>
      <c r="L37" s="70">
        <f t="shared" si="3"/>
        <v>3.8546427168606708E-3</v>
      </c>
      <c r="M37" s="33">
        <f t="shared" si="11"/>
        <v>5.7819640752910064E-4</v>
      </c>
      <c r="N37" s="79">
        <f t="shared" si="12"/>
        <v>6.9866565104112099E-2</v>
      </c>
      <c r="O37" s="189">
        <v>78885</v>
      </c>
      <c r="P37" s="189">
        <v>113737</v>
      </c>
      <c r="Q37" s="190">
        <v>1.9568038190999999</v>
      </c>
      <c r="R37" s="191">
        <f t="shared" si="13"/>
        <v>0.1057464788208594</v>
      </c>
      <c r="S37" s="192">
        <f t="shared" si="4"/>
        <v>0.20692511361303492</v>
      </c>
      <c r="T37" s="192">
        <f t="shared" si="14"/>
        <v>0.10732324849756292</v>
      </c>
      <c r="U37" s="189">
        <f t="shared" si="15"/>
        <v>61805830.632971734</v>
      </c>
      <c r="V37" s="191">
        <f t="shared" si="5"/>
        <v>0.69357377106834184</v>
      </c>
      <c r="W37" s="191">
        <f t="shared" si="16"/>
        <v>9.216382790222178E-3</v>
      </c>
      <c r="X37" s="189">
        <f t="shared" si="17"/>
        <v>936630.88751051272</v>
      </c>
      <c r="Y37" s="32">
        <f t="shared" si="6"/>
        <v>62742461.52048225</v>
      </c>
      <c r="Z37" s="193">
        <f t="shared" si="18"/>
        <v>9.2607218641461805E-2</v>
      </c>
      <c r="AB37" s="36">
        <f t="shared" si="7"/>
        <v>19058428.699697319</v>
      </c>
      <c r="AC37" s="37">
        <f t="shared" si="8"/>
        <v>47335405.780672155</v>
      </c>
      <c r="AD37" s="37">
        <f t="shared" si="19"/>
        <v>62742461.52048225</v>
      </c>
      <c r="AE37" s="37">
        <f t="shared" si="20"/>
        <v>129136296.00085172</v>
      </c>
      <c r="AF37" s="38">
        <f t="shared" si="21"/>
        <v>4.7650956419662507E-2</v>
      </c>
      <c r="AH37" s="241"/>
    </row>
    <row r="38" spans="1:34">
      <c r="A38" s="110" t="s">
        <v>184</v>
      </c>
      <c r="B38" s="4" t="s">
        <v>21</v>
      </c>
      <c r="C38" s="32">
        <v>3788861</v>
      </c>
      <c r="D38" s="32">
        <v>1176027</v>
      </c>
      <c r="E38" s="34">
        <f t="shared" si="0"/>
        <v>0.31039064246484632</v>
      </c>
      <c r="F38" s="35">
        <f t="shared" si="9"/>
        <v>365027.77608600585</v>
      </c>
      <c r="G38" s="79">
        <f t="shared" si="1"/>
        <v>1.9286143199594876E-4</v>
      </c>
      <c r="H38" s="30">
        <v>5351</v>
      </c>
      <c r="I38" s="73">
        <f t="shared" si="2"/>
        <v>9.2506762104279034E-4</v>
      </c>
      <c r="J38" s="31">
        <f t="shared" si="10"/>
        <v>7.8630747788637173E-4</v>
      </c>
      <c r="K38" s="32">
        <v>3428</v>
      </c>
      <c r="L38" s="70">
        <f t="shared" si="3"/>
        <v>5.3431925731493649E-2</v>
      </c>
      <c r="M38" s="33">
        <f t="shared" si="11"/>
        <v>8.0147888597240473E-3</v>
      </c>
      <c r="N38" s="79">
        <f t="shared" si="12"/>
        <v>8.8010963376104184E-3</v>
      </c>
      <c r="O38" s="189">
        <v>2081</v>
      </c>
      <c r="P38" s="189">
        <v>764</v>
      </c>
      <c r="Q38" s="190">
        <v>1.7755281664</v>
      </c>
      <c r="R38" s="191">
        <f t="shared" si="13"/>
        <v>7.1032566200213284E-4</v>
      </c>
      <c r="S38" s="192">
        <f t="shared" si="4"/>
        <v>1.2612032202015131E-3</v>
      </c>
      <c r="T38" s="192">
        <f t="shared" si="14"/>
        <v>6.5413242619134164E-4</v>
      </c>
      <c r="U38" s="189">
        <f t="shared" si="15"/>
        <v>376704.94054822618</v>
      </c>
      <c r="V38" s="191">
        <f t="shared" si="5"/>
        <v>2.7238219895287958</v>
      </c>
      <c r="W38" s="191">
        <f t="shared" si="16"/>
        <v>3.6194831977647418E-2</v>
      </c>
      <c r="X38" s="189">
        <f t="shared" si="17"/>
        <v>3678362.5821709754</v>
      </c>
      <c r="Y38" s="32">
        <f t="shared" si="6"/>
        <v>4055067.5227192016</v>
      </c>
      <c r="Z38" s="193">
        <f t="shared" si="18"/>
        <v>5.9852373589097535E-3</v>
      </c>
      <c r="AB38" s="36">
        <f t="shared" si="7"/>
        <v>261331.70077463653</v>
      </c>
      <c r="AC38" s="37">
        <f t="shared" si="8"/>
        <v>5962844.5428048801</v>
      </c>
      <c r="AD38" s="37">
        <f t="shared" si="19"/>
        <v>4055067.5227192016</v>
      </c>
      <c r="AE38" s="37">
        <f t="shared" si="20"/>
        <v>10279243.766298719</v>
      </c>
      <c r="AF38" s="38">
        <f t="shared" si="21"/>
        <v>3.7930141401280172E-3</v>
      </c>
      <c r="AH38" s="241"/>
    </row>
    <row r="39" spans="1:34">
      <c r="A39" s="110" t="s">
        <v>185</v>
      </c>
      <c r="B39" s="4" t="s">
        <v>22</v>
      </c>
      <c r="C39" s="32">
        <v>39384069</v>
      </c>
      <c r="D39" s="32">
        <v>12032960</v>
      </c>
      <c r="E39" s="34">
        <f t="shared" ref="E39:E58" si="22">+D39/C39</f>
        <v>0.30552861361277828</v>
      </c>
      <c r="F39" s="35">
        <f t="shared" si="9"/>
        <v>3676413.5864580167</v>
      </c>
      <c r="G39" s="79">
        <f t="shared" ref="G39:G57" si="23">+F39/F$58</f>
        <v>1.9424231122800778E-3</v>
      </c>
      <c r="H39" s="30">
        <v>84666</v>
      </c>
      <c r="I39" s="73">
        <f t="shared" ref="I39:I57" si="24">+H39/$H$58</f>
        <v>1.4636848290638924E-2</v>
      </c>
      <c r="J39" s="31">
        <f t="shared" si="10"/>
        <v>1.2441321047043085E-2</v>
      </c>
      <c r="K39" s="32">
        <v>2509.1999999999998</v>
      </c>
      <c r="L39" s="70">
        <f t="shared" ref="L39:L58" si="25">+K39/$K$58</f>
        <v>3.9110673292142316E-2</v>
      </c>
      <c r="M39" s="33">
        <f t="shared" si="11"/>
        <v>5.8666009938213469E-3</v>
      </c>
      <c r="N39" s="79">
        <f t="shared" si="12"/>
        <v>1.8307922040864431E-2</v>
      </c>
      <c r="O39" s="189">
        <v>25760</v>
      </c>
      <c r="P39" s="189">
        <v>21267</v>
      </c>
      <c r="Q39" s="190">
        <v>2.0486592371999999</v>
      </c>
      <c r="R39" s="191">
        <f t="shared" si="13"/>
        <v>1.9772900332198112E-2</v>
      </c>
      <c r="S39" s="192">
        <f t="shared" si="4"/>
        <v>4.0507934911792609E-2</v>
      </c>
      <c r="T39" s="192">
        <f t="shared" si="14"/>
        <v>2.1009741585989696E-2</v>
      </c>
      <c r="U39" s="189">
        <f t="shared" si="15"/>
        <v>12099191.44532481</v>
      </c>
      <c r="V39" s="191">
        <f t="shared" si="5"/>
        <v>1.2112662810927728</v>
      </c>
      <c r="W39" s="191">
        <f t="shared" si="16"/>
        <v>1.6095611127629923E-2</v>
      </c>
      <c r="X39" s="189">
        <f t="shared" si="17"/>
        <v>1635744.3997975125</v>
      </c>
      <c r="Y39" s="32">
        <f t="shared" si="6"/>
        <v>13734935.845122322</v>
      </c>
      <c r="Z39" s="193">
        <f t="shared" si="18"/>
        <v>2.0272622017235727E-2</v>
      </c>
      <c r="AB39" s="36">
        <f t="shared" ref="AB39:AB57" si="26">+G39*AB$5</f>
        <v>2632028.2407048522</v>
      </c>
      <c r="AC39" s="37">
        <f t="shared" ref="AC39:AC57" si="27">+N39*AC$5</f>
        <v>12403828.891743006</v>
      </c>
      <c r="AD39" s="37">
        <f t="shared" si="19"/>
        <v>13734935.845122322</v>
      </c>
      <c r="AE39" s="37">
        <f t="shared" si="20"/>
        <v>28770792.97757018</v>
      </c>
      <c r="AF39" s="38">
        <f t="shared" si="21"/>
        <v>1.0616347570665079E-2</v>
      </c>
      <c r="AH39" s="241"/>
    </row>
    <row r="40" spans="1:34">
      <c r="A40" s="110" t="s">
        <v>186</v>
      </c>
      <c r="B40" s="4" t="s">
        <v>139</v>
      </c>
      <c r="C40" s="32">
        <v>2191945</v>
      </c>
      <c r="D40" s="32">
        <v>947940</v>
      </c>
      <c r="E40" s="34">
        <f t="shared" si="22"/>
        <v>0.43246523065131653</v>
      </c>
      <c r="F40" s="35">
        <f t="shared" si="9"/>
        <v>409951.09074360901</v>
      </c>
      <c r="G40" s="79">
        <f t="shared" si="23"/>
        <v>2.1659654302713939E-4</v>
      </c>
      <c r="H40" s="30">
        <v>5119</v>
      </c>
      <c r="I40" s="73">
        <f t="shared" si="24"/>
        <v>8.8496003590320376E-4</v>
      </c>
      <c r="J40" s="31">
        <f t="shared" si="10"/>
        <v>7.5221603051772322E-4</v>
      </c>
      <c r="K40" s="32">
        <v>264.89999999999998</v>
      </c>
      <c r="L40" s="70">
        <f t="shared" si="25"/>
        <v>4.1289723238835084E-3</v>
      </c>
      <c r="M40" s="33">
        <f t="shared" si="11"/>
        <v>6.1934584858252628E-4</v>
      </c>
      <c r="N40" s="79">
        <f t="shared" si="12"/>
        <v>1.3715618791002495E-3</v>
      </c>
      <c r="O40" s="189">
        <v>1318</v>
      </c>
      <c r="P40" s="189">
        <v>475</v>
      </c>
      <c r="Q40" s="190">
        <v>2.0058388967999998</v>
      </c>
      <c r="R40" s="191">
        <f t="shared" si="13"/>
        <v>4.4162917467410089E-4</v>
      </c>
      <c r="S40" s="192">
        <f t="shared" si="4"/>
        <v>8.8583697652299298E-4</v>
      </c>
      <c r="T40" s="192">
        <f t="shared" si="14"/>
        <v>4.5944593336068676E-4</v>
      </c>
      <c r="U40" s="189">
        <f t="shared" si="15"/>
        <v>264587.94287188433</v>
      </c>
      <c r="V40" s="191">
        <f t="shared" si="5"/>
        <v>2.7747368421052632</v>
      </c>
      <c r="W40" s="191">
        <f t="shared" si="16"/>
        <v>3.6871401350116108E-2</v>
      </c>
      <c r="X40" s="189">
        <f t="shared" si="17"/>
        <v>3747120.118204535</v>
      </c>
      <c r="Y40" s="32">
        <f t="shared" si="6"/>
        <v>4011708.0610764194</v>
      </c>
      <c r="Z40" s="193">
        <f t="shared" si="18"/>
        <v>5.921239245874E-3</v>
      </c>
      <c r="AB40" s="36">
        <f t="shared" si="26"/>
        <v>293493.32515781635</v>
      </c>
      <c r="AC40" s="37">
        <f t="shared" si="27"/>
        <v>929249.03355081857</v>
      </c>
      <c r="AD40" s="37">
        <f t="shared" si="19"/>
        <v>4011708.0610764194</v>
      </c>
      <c r="AE40" s="37">
        <f t="shared" si="20"/>
        <v>5234450.4197850544</v>
      </c>
      <c r="AF40" s="38">
        <f t="shared" si="21"/>
        <v>1.9314985527571322E-3</v>
      </c>
      <c r="AH40" s="241"/>
    </row>
    <row r="41" spans="1:34">
      <c r="A41" s="110" t="s">
        <v>187</v>
      </c>
      <c r="B41" s="4" t="s">
        <v>23</v>
      </c>
      <c r="C41" s="32">
        <v>739738</v>
      </c>
      <c r="D41" s="32">
        <v>296637</v>
      </c>
      <c r="E41" s="34">
        <f t="shared" si="22"/>
        <v>0.40100278747340273</v>
      </c>
      <c r="F41" s="35">
        <f t="shared" si="9"/>
        <v>118952.26386774777</v>
      </c>
      <c r="G41" s="79">
        <f t="shared" si="23"/>
        <v>6.2848104861172214E-5</v>
      </c>
      <c r="H41" s="30">
        <v>1483</v>
      </c>
      <c r="I41" s="73">
        <f t="shared" si="24"/>
        <v>2.5637736535347747E-4</v>
      </c>
      <c r="J41" s="31">
        <f t="shared" si="10"/>
        <v>2.1792076055045584E-4</v>
      </c>
      <c r="K41" s="32">
        <v>207.9</v>
      </c>
      <c r="L41" s="70">
        <f t="shared" si="25"/>
        <v>3.2405184829572727E-3</v>
      </c>
      <c r="M41" s="33">
        <f t="shared" si="11"/>
        <v>4.8607777244359088E-4</v>
      </c>
      <c r="N41" s="79">
        <f t="shared" si="12"/>
        <v>7.0399853299404674E-4</v>
      </c>
      <c r="O41" s="189">
        <v>35</v>
      </c>
      <c r="P41" s="189">
        <v>141</v>
      </c>
      <c r="Q41" s="190">
        <v>1.5774653305999999</v>
      </c>
      <c r="R41" s="191">
        <f t="shared" si="13"/>
        <v>1.3109413395589101E-4</v>
      </c>
      <c r="S41" s="192">
        <f t="shared" si="4"/>
        <v>2.0679645136045029E-4</v>
      </c>
      <c r="T41" s="192">
        <f t="shared" si="14"/>
        <v>1.072565168637593E-4</v>
      </c>
      <c r="U41" s="189">
        <f t="shared" si="15"/>
        <v>61767.400897434782</v>
      </c>
      <c r="V41" s="191">
        <f t="shared" si="5"/>
        <v>0.24822695035460993</v>
      </c>
      <c r="W41" s="191">
        <f t="shared" si="16"/>
        <v>3.2985021763346587E-3</v>
      </c>
      <c r="X41" s="189">
        <f t="shared" si="17"/>
        <v>335216.00515045575</v>
      </c>
      <c r="Y41" s="32">
        <f t="shared" si="6"/>
        <v>396983.40604789054</v>
      </c>
      <c r="Z41" s="193">
        <f t="shared" si="18"/>
        <v>5.8594336578439421E-4</v>
      </c>
      <c r="AB41" s="36">
        <f t="shared" si="26"/>
        <v>85160.635612089842</v>
      </c>
      <c r="AC41" s="37">
        <f t="shared" si="27"/>
        <v>476967.1469981824</v>
      </c>
      <c r="AD41" s="37">
        <f t="shared" si="19"/>
        <v>396983.40604789054</v>
      </c>
      <c r="AE41" s="37">
        <f t="shared" si="20"/>
        <v>959111.18865816284</v>
      </c>
      <c r="AF41" s="38">
        <f t="shared" si="21"/>
        <v>3.5390952712519637E-4</v>
      </c>
      <c r="AH41" s="241"/>
    </row>
    <row r="42" spans="1:34">
      <c r="A42" s="110" t="s">
        <v>188</v>
      </c>
      <c r="B42" s="4" t="s">
        <v>24</v>
      </c>
      <c r="C42" s="32">
        <v>841795</v>
      </c>
      <c r="D42" s="32">
        <v>101056</v>
      </c>
      <c r="E42" s="34">
        <f t="shared" si="22"/>
        <v>0.12004823026984004</v>
      </c>
      <c r="F42" s="35">
        <f t="shared" si="9"/>
        <v>12131.593958148955</v>
      </c>
      <c r="G42" s="79">
        <f t="shared" si="23"/>
        <v>6.4096946491292108E-6</v>
      </c>
      <c r="H42" s="30">
        <v>7652</v>
      </c>
      <c r="I42" s="73">
        <f t="shared" si="24"/>
        <v>1.322858799517741E-3</v>
      </c>
      <c r="J42" s="31">
        <f t="shared" si="10"/>
        <v>1.1244299795900798E-3</v>
      </c>
      <c r="K42" s="32">
        <v>997.9</v>
      </c>
      <c r="L42" s="70">
        <f t="shared" si="25"/>
        <v>1.5554176980005108E-2</v>
      </c>
      <c r="M42" s="33">
        <f t="shared" si="11"/>
        <v>2.3331265470007659E-3</v>
      </c>
      <c r="N42" s="79">
        <f t="shared" si="12"/>
        <v>3.4575565265908457E-3</v>
      </c>
      <c r="O42" s="189">
        <v>5295</v>
      </c>
      <c r="P42" s="189">
        <v>4705</v>
      </c>
      <c r="Q42" s="190">
        <v>2.7540316573000001</v>
      </c>
      <c r="R42" s="191">
        <f t="shared" si="13"/>
        <v>4.3744531933508314E-3</v>
      </c>
      <c r="S42" s="192">
        <f t="shared" si="4"/>
        <v>1.2047382577865268E-2</v>
      </c>
      <c r="T42" s="192">
        <f t="shared" si="14"/>
        <v>6.2484645366312659E-3</v>
      </c>
      <c r="U42" s="189">
        <f t="shared" si="15"/>
        <v>3598395.9326010509</v>
      </c>
      <c r="V42" s="191">
        <f t="shared" si="5"/>
        <v>1.1253985122210415</v>
      </c>
      <c r="W42" s="191">
        <f t="shared" si="16"/>
        <v>1.4954578608413996E-2</v>
      </c>
      <c r="X42" s="189">
        <f t="shared" si="17"/>
        <v>1519784.9908322727</v>
      </c>
      <c r="Y42" s="32">
        <f t="shared" si="6"/>
        <v>5118180.9234333234</v>
      </c>
      <c r="Z42" s="193">
        <f t="shared" si="18"/>
        <v>7.5543816473986752E-3</v>
      </c>
      <c r="AB42" s="36">
        <f t="shared" si="26"/>
        <v>8685.2844903599489</v>
      </c>
      <c r="AC42" s="37">
        <f t="shared" si="27"/>
        <v>2342534.5292401719</v>
      </c>
      <c r="AD42" s="37">
        <f t="shared" si="19"/>
        <v>5118180.9234333234</v>
      </c>
      <c r="AE42" s="37">
        <f t="shared" si="20"/>
        <v>7469400.7371638548</v>
      </c>
      <c r="AF42" s="38">
        <f t="shared" si="21"/>
        <v>2.7561893908219447E-3</v>
      </c>
      <c r="AH42" s="241"/>
    </row>
    <row r="43" spans="1:34">
      <c r="A43" s="110" t="s">
        <v>189</v>
      </c>
      <c r="B43" s="4" t="s">
        <v>25</v>
      </c>
      <c r="C43" s="32">
        <v>4742394</v>
      </c>
      <c r="D43" s="32">
        <v>933845.6</v>
      </c>
      <c r="E43" s="34">
        <f t="shared" si="22"/>
        <v>0.19691438543486686</v>
      </c>
      <c r="F43" s="35">
        <f t="shared" si="9"/>
        <v>183887.63241505451</v>
      </c>
      <c r="G43" s="79">
        <f t="shared" si="23"/>
        <v>9.7156530098016511E-5</v>
      </c>
      <c r="H43" s="30">
        <v>6048</v>
      </c>
      <c r="I43" s="73">
        <f t="shared" si="24"/>
        <v>1.0455632539837032E-3</v>
      </c>
      <c r="J43" s="31">
        <f t="shared" si="10"/>
        <v>8.8872876588614767E-4</v>
      </c>
      <c r="K43" s="32">
        <v>3860</v>
      </c>
      <c r="L43" s="70">
        <f t="shared" si="25"/>
        <v>6.0165470631145121E-2</v>
      </c>
      <c r="M43" s="33">
        <f t="shared" si="11"/>
        <v>9.0248205946717678E-3</v>
      </c>
      <c r="N43" s="79">
        <f t="shared" si="12"/>
        <v>9.9135493605579158E-3</v>
      </c>
      <c r="O43" s="189">
        <v>1618</v>
      </c>
      <c r="P43" s="189">
        <v>916</v>
      </c>
      <c r="Q43" s="190">
        <v>2.0422796606000002</v>
      </c>
      <c r="R43" s="191">
        <f t="shared" si="13"/>
        <v>8.5164699789784515E-4</v>
      </c>
      <c r="S43" s="192">
        <f t="shared" si="4"/>
        <v>1.7393013418178203E-3</v>
      </c>
      <c r="T43" s="192">
        <f t="shared" si="14"/>
        <v>9.0210157124349997E-4</v>
      </c>
      <c r="U43" s="189">
        <f t="shared" si="15"/>
        <v>519506.60929984361</v>
      </c>
      <c r="V43" s="191">
        <f t="shared" si="5"/>
        <v>1.7663755458515285</v>
      </c>
      <c r="W43" s="191">
        <f t="shared" si="16"/>
        <v>2.3472042716925653E-2</v>
      </c>
      <c r="X43" s="189">
        <f t="shared" si="17"/>
        <v>2385387.0549911004</v>
      </c>
      <c r="Y43" s="32">
        <f t="shared" si="6"/>
        <v>2904893.6642909441</v>
      </c>
      <c r="Z43" s="193">
        <f t="shared" si="18"/>
        <v>4.2875927430958234E-3</v>
      </c>
      <c r="AB43" s="36">
        <f t="shared" si="26"/>
        <v>131649.34527920626</v>
      </c>
      <c r="AC43" s="37">
        <f t="shared" si="27"/>
        <v>6716544.3300305139</v>
      </c>
      <c r="AD43" s="37">
        <f t="shared" si="19"/>
        <v>2904893.6642909441</v>
      </c>
      <c r="AE43" s="37">
        <f t="shared" si="20"/>
        <v>9753087.3396006636</v>
      </c>
      <c r="AF43" s="38">
        <f t="shared" si="21"/>
        <v>3.5988637909624426E-3</v>
      </c>
      <c r="AH43" s="241"/>
    </row>
    <row r="44" spans="1:34">
      <c r="A44" s="110" t="s">
        <v>190</v>
      </c>
      <c r="B44" s="4" t="s">
        <v>26</v>
      </c>
      <c r="C44" s="32">
        <v>59084249</v>
      </c>
      <c r="D44" s="32">
        <v>20840679</v>
      </c>
      <c r="E44" s="34">
        <f t="shared" si="22"/>
        <v>0.35272816956681635</v>
      </c>
      <c r="F44" s="35">
        <f t="shared" si="9"/>
        <v>7351094.5561995888</v>
      </c>
      <c r="G44" s="79">
        <f t="shared" si="23"/>
        <v>3.8839308012336995E-3</v>
      </c>
      <c r="H44" s="30">
        <v>67428</v>
      </c>
      <c r="I44" s="73">
        <f t="shared" si="24"/>
        <v>1.1656785563758786E-2</v>
      </c>
      <c r="J44" s="31">
        <f t="shared" si="10"/>
        <v>9.9082677291949667E-3</v>
      </c>
      <c r="K44" s="32">
        <v>1869</v>
      </c>
      <c r="L44" s="70">
        <f t="shared" si="25"/>
        <v>2.913193383668659E-2</v>
      </c>
      <c r="M44" s="33">
        <f t="shared" si="11"/>
        <v>4.3697900755029885E-3</v>
      </c>
      <c r="N44" s="79">
        <f t="shared" si="12"/>
        <v>1.4278057804697954E-2</v>
      </c>
      <c r="O44" s="189">
        <v>15090</v>
      </c>
      <c r="P44" s="189">
        <v>11157</v>
      </c>
      <c r="Q44" s="190">
        <v>1.7986407321</v>
      </c>
      <c r="R44" s="191">
        <f t="shared" si="13"/>
        <v>1.037317200387146E-2</v>
      </c>
      <c r="S44" s="192">
        <f t="shared" si="4"/>
        <v>1.8657609687242588E-2</v>
      </c>
      <c r="T44" s="192">
        <f t="shared" si="14"/>
        <v>9.6769079686436638E-3</v>
      </c>
      <c r="U44" s="189">
        <f t="shared" si="15"/>
        <v>5572784.4929556539</v>
      </c>
      <c r="V44" s="191">
        <f t="shared" si="5"/>
        <v>1.352514116698037</v>
      </c>
      <c r="W44" s="191">
        <f t="shared" si="16"/>
        <v>1.7972547908591634E-2</v>
      </c>
      <c r="X44" s="189">
        <f t="shared" si="17"/>
        <v>1826491.3558395708</v>
      </c>
      <c r="Y44" s="32">
        <f t="shared" si="6"/>
        <v>7399275.8487952249</v>
      </c>
      <c r="Z44" s="193">
        <f t="shared" si="18"/>
        <v>1.0921253959635859E-2</v>
      </c>
      <c r="AB44" s="36">
        <f t="shared" si="26"/>
        <v>5262816.0616308209</v>
      </c>
      <c r="AC44" s="37">
        <f t="shared" si="27"/>
        <v>9673549.2712163143</v>
      </c>
      <c r="AD44" s="37">
        <f t="shared" si="19"/>
        <v>7399275.8487952249</v>
      </c>
      <c r="AE44" s="37">
        <f t="shared" si="20"/>
        <v>22335641.181642361</v>
      </c>
      <c r="AF44" s="38">
        <f t="shared" si="21"/>
        <v>8.2417933417003042E-3</v>
      </c>
      <c r="AH44" s="241"/>
    </row>
    <row r="45" spans="1:34">
      <c r="A45" s="110" t="s">
        <v>191</v>
      </c>
      <c r="B45" s="4" t="s">
        <v>27</v>
      </c>
      <c r="C45" s="32">
        <v>2540450510.1400013</v>
      </c>
      <c r="D45" s="32">
        <v>1376062053.8599999</v>
      </c>
      <c r="E45" s="34">
        <f t="shared" si="22"/>
        <v>0.541660641830085</v>
      </c>
      <c r="F45" s="35">
        <f t="shared" si="9"/>
        <v>745358655.29183257</v>
      </c>
      <c r="G45" s="79">
        <f t="shared" si="23"/>
        <v>0.3938082168746736</v>
      </c>
      <c r="H45" s="30">
        <v>1142994</v>
      </c>
      <c r="I45" s="73">
        <f t="shared" si="24"/>
        <v>0.19759797055619194</v>
      </c>
      <c r="J45" s="31">
        <f t="shared" si="10"/>
        <v>0.16795827497276314</v>
      </c>
      <c r="K45" s="32">
        <v>324.39999999999998</v>
      </c>
      <c r="L45" s="70">
        <f t="shared" si="25"/>
        <v>5.0563934385345795E-3</v>
      </c>
      <c r="M45" s="33">
        <f t="shared" si="11"/>
        <v>7.584590157801869E-4</v>
      </c>
      <c r="N45" s="79">
        <f t="shared" si="12"/>
        <v>0.16871673398854334</v>
      </c>
      <c r="O45" s="189">
        <v>182930</v>
      </c>
      <c r="P45" s="189">
        <v>207064</v>
      </c>
      <c r="Q45" s="190">
        <v>1.9809358914999999</v>
      </c>
      <c r="R45" s="191">
        <f t="shared" si="13"/>
        <v>0.19251684931519586</v>
      </c>
      <c r="S45" s="192">
        <f t="shared" si="4"/>
        <v>0.38136353652696864</v>
      </c>
      <c r="T45" s="192">
        <f t="shared" si="14"/>
        <v>0.19779703335156221</v>
      </c>
      <c r="U45" s="189">
        <f t="shared" si="15"/>
        <v>113908310.77302435</v>
      </c>
      <c r="V45" s="191">
        <f t="shared" si="5"/>
        <v>0.8834466638334042</v>
      </c>
      <c r="W45" s="191">
        <f t="shared" si="16"/>
        <v>1.1739461565986884E-2</v>
      </c>
      <c r="X45" s="189">
        <f t="shared" si="17"/>
        <v>1193043.1445524606</v>
      </c>
      <c r="Y45" s="32">
        <f t="shared" si="6"/>
        <v>115101353.9175768</v>
      </c>
      <c r="Z45" s="193">
        <f t="shared" si="18"/>
        <v>0.1698883975837259</v>
      </c>
      <c r="AB45" s="36">
        <f t="shared" si="26"/>
        <v>533619241.7001611</v>
      </c>
      <c r="AC45" s="37">
        <f t="shared" si="27"/>
        <v>114307538.28296299</v>
      </c>
      <c r="AD45" s="37">
        <f t="shared" si="19"/>
        <v>115101353.9175768</v>
      </c>
      <c r="AE45" s="37">
        <f t="shared" si="20"/>
        <v>763028133.90070093</v>
      </c>
      <c r="AF45" s="38">
        <f t="shared" si="21"/>
        <v>0.28155539133040414</v>
      </c>
      <c r="AH45" s="241"/>
    </row>
    <row r="46" spans="1:34">
      <c r="A46" s="110" t="s">
        <v>192</v>
      </c>
      <c r="B46" s="4" t="s">
        <v>140</v>
      </c>
      <c r="C46" s="32">
        <v>1346236</v>
      </c>
      <c r="D46" s="32">
        <v>378540</v>
      </c>
      <c r="E46" s="34">
        <f t="shared" si="22"/>
        <v>0.28118398260037614</v>
      </c>
      <c r="F46" s="35">
        <f t="shared" si="9"/>
        <v>106439.38477354638</v>
      </c>
      <c r="G46" s="79">
        <f t="shared" si="23"/>
        <v>5.6236959248156589E-5</v>
      </c>
      <c r="H46" s="30">
        <v>906</v>
      </c>
      <c r="I46" s="73">
        <f t="shared" si="24"/>
        <v>1.5662703507097141E-4</v>
      </c>
      <c r="J46" s="31">
        <f t="shared" si="10"/>
        <v>1.331329798103257E-4</v>
      </c>
      <c r="K46" s="32">
        <v>1171.2</v>
      </c>
      <c r="L46" s="70">
        <f t="shared" si="25"/>
        <v>1.8255388394610668E-2</v>
      </c>
      <c r="M46" s="33">
        <f t="shared" si="11"/>
        <v>2.7383082591916001E-3</v>
      </c>
      <c r="N46" s="79">
        <f t="shared" si="12"/>
        <v>2.8714412390019256E-3</v>
      </c>
      <c r="O46" s="189">
        <v>133</v>
      </c>
      <c r="P46" s="189">
        <v>63</v>
      </c>
      <c r="Q46" s="190">
        <v>1.7977681072</v>
      </c>
      <c r="R46" s="191">
        <f t="shared" si="13"/>
        <v>5.8573974746249173E-5</v>
      </c>
      <c r="S46" s="192">
        <f t="shared" si="4"/>
        <v>1.0530242371074497E-4</v>
      </c>
      <c r="T46" s="192">
        <f t="shared" si="14"/>
        <v>5.4615884896592997E-5</v>
      </c>
      <c r="U46" s="189">
        <f t="shared" si="15"/>
        <v>31452.459546687667</v>
      </c>
      <c r="V46" s="191">
        <f t="shared" si="5"/>
        <v>2.1111111111111112</v>
      </c>
      <c r="W46" s="191">
        <f t="shared" si="16"/>
        <v>2.8052975652065243E-2</v>
      </c>
      <c r="X46" s="189">
        <f t="shared" si="17"/>
        <v>2850932.3104700665</v>
      </c>
      <c r="Y46" s="32">
        <f t="shared" si="6"/>
        <v>2882384.770016754</v>
      </c>
      <c r="Z46" s="193">
        <f t="shared" si="18"/>
        <v>4.2543698499718898E-3</v>
      </c>
      <c r="AB46" s="36">
        <f t="shared" si="26"/>
        <v>76202.380406588505</v>
      </c>
      <c r="AC46" s="37">
        <f t="shared" si="27"/>
        <v>1945434.6441816464</v>
      </c>
      <c r="AD46" s="37">
        <f t="shared" si="19"/>
        <v>2882384.770016754</v>
      </c>
      <c r="AE46" s="37">
        <f t="shared" si="20"/>
        <v>4904021.7946049888</v>
      </c>
      <c r="AF46" s="38">
        <f t="shared" si="21"/>
        <v>1.8095712518675321E-3</v>
      </c>
      <c r="AH46" s="241"/>
    </row>
    <row r="47" spans="1:34">
      <c r="A47" s="110" t="s">
        <v>193</v>
      </c>
      <c r="B47" s="4" t="s">
        <v>141</v>
      </c>
      <c r="C47" s="32">
        <v>105243330.84</v>
      </c>
      <c r="D47" s="32">
        <v>21534368.5</v>
      </c>
      <c r="E47" s="34">
        <f t="shared" si="22"/>
        <v>0.20461504142945083</v>
      </c>
      <c r="F47" s="35">
        <f t="shared" si="9"/>
        <v>4406255.7027845606</v>
      </c>
      <c r="G47" s="79">
        <f t="shared" si="23"/>
        <v>2.3280332080239325E-3</v>
      </c>
      <c r="H47" s="30">
        <v>147624</v>
      </c>
      <c r="I47" s="73">
        <f t="shared" si="24"/>
        <v>2.5520871330372057E-2</v>
      </c>
      <c r="J47" s="31">
        <f t="shared" si="10"/>
        <v>2.1692740630816248E-2</v>
      </c>
      <c r="K47" s="32">
        <v>322.8</v>
      </c>
      <c r="L47" s="70">
        <f t="shared" si="25"/>
        <v>5.0314543833506857E-3</v>
      </c>
      <c r="M47" s="33">
        <f t="shared" si="11"/>
        <v>7.5471815750260279E-4</v>
      </c>
      <c r="N47" s="79">
        <f t="shared" si="12"/>
        <v>2.2447458788318851E-2</v>
      </c>
      <c r="O47" s="189">
        <v>19678</v>
      </c>
      <c r="P47" s="189">
        <v>32877</v>
      </c>
      <c r="Q47" s="190">
        <v>1.8363293522999999</v>
      </c>
      <c r="R47" s="191">
        <f t="shared" si="13"/>
        <v>3.0567247106864034E-2</v>
      </c>
      <c r="S47" s="192">
        <f t="shared" si="4"/>
        <v>5.6131533081341681E-2</v>
      </c>
      <c r="T47" s="192">
        <f t="shared" si="14"/>
        <v>2.9113036925540778E-2</v>
      </c>
      <c r="U47" s="189">
        <f t="shared" si="15"/>
        <v>16765756.298108</v>
      </c>
      <c r="V47" s="191">
        <f t="shared" si="5"/>
        <v>0.59853392949478357</v>
      </c>
      <c r="W47" s="191">
        <f t="shared" si="16"/>
        <v>7.953469461024678E-3</v>
      </c>
      <c r="X47" s="189">
        <f t="shared" si="17"/>
        <v>808285.1298201906</v>
      </c>
      <c r="Y47" s="32">
        <f t="shared" si="6"/>
        <v>17574041.427928191</v>
      </c>
      <c r="Z47" s="193">
        <f t="shared" si="18"/>
        <v>2.5939101805863361E-2</v>
      </c>
      <c r="AB47" s="36">
        <f t="shared" si="26"/>
        <v>3154538.8386699692</v>
      </c>
      <c r="AC47" s="37">
        <f t="shared" si="27"/>
        <v>15208412.906897716</v>
      </c>
      <c r="AD47" s="37">
        <f t="shared" si="19"/>
        <v>17574041.427928191</v>
      </c>
      <c r="AE47" s="37">
        <f t="shared" si="20"/>
        <v>35936993.173495874</v>
      </c>
      <c r="AF47" s="38">
        <f t="shared" si="21"/>
        <v>1.3260656752557519E-2</v>
      </c>
      <c r="AH47" s="241"/>
    </row>
    <row r="48" spans="1:34">
      <c r="A48" s="110" t="s">
        <v>194</v>
      </c>
      <c r="B48" s="4" t="s">
        <v>142</v>
      </c>
      <c r="C48" s="32">
        <v>7778604</v>
      </c>
      <c r="D48" s="32">
        <v>1244367</v>
      </c>
      <c r="E48" s="34">
        <f t="shared" si="22"/>
        <v>0.15997304914866473</v>
      </c>
      <c r="F48" s="35">
        <f t="shared" si="9"/>
        <v>199065.18324997649</v>
      </c>
      <c r="G48" s="79">
        <f t="shared" si="23"/>
        <v>1.0517554777278292E-4</v>
      </c>
      <c r="H48" s="30">
        <v>5389</v>
      </c>
      <c r="I48" s="73">
        <f t="shared" si="24"/>
        <v>9.3163696688461914E-4</v>
      </c>
      <c r="J48" s="31">
        <f t="shared" si="10"/>
        <v>7.918914218519263E-4</v>
      </c>
      <c r="K48" s="32">
        <v>1341</v>
      </c>
      <c r="L48" s="70">
        <f t="shared" si="25"/>
        <v>2.0902045626001453E-2</v>
      </c>
      <c r="M48" s="33">
        <f t="shared" si="11"/>
        <v>3.135306843900218E-3</v>
      </c>
      <c r="N48" s="79">
        <f t="shared" si="12"/>
        <v>3.927198265752144E-3</v>
      </c>
      <c r="O48" s="189">
        <v>1611</v>
      </c>
      <c r="P48" s="189">
        <v>1054</v>
      </c>
      <c r="Q48" s="190">
        <v>2.1403267704000002</v>
      </c>
      <c r="R48" s="191">
        <f t="shared" si="13"/>
        <v>9.7995189496105769E-4</v>
      </c>
      <c r="S48" s="192">
        <f t="shared" si="4"/>
        <v>2.0974172744893608E-3</v>
      </c>
      <c r="T48" s="192">
        <f t="shared" si="14"/>
        <v>1.0878410620281658E-3</v>
      </c>
      <c r="U48" s="189">
        <f t="shared" si="15"/>
        <v>626471.16423084866</v>
      </c>
      <c r="V48" s="191">
        <f t="shared" si="5"/>
        <v>1.5284629981024669</v>
      </c>
      <c r="W48" s="191">
        <f t="shared" si="16"/>
        <v>2.0310600917771596E-2</v>
      </c>
      <c r="X48" s="189">
        <f t="shared" si="17"/>
        <v>2064100.0484123388</v>
      </c>
      <c r="Y48" s="32">
        <f t="shared" si="6"/>
        <v>2690571.2126431875</v>
      </c>
      <c r="Z48" s="193">
        <f t="shared" si="18"/>
        <v>3.9712550403896802E-3</v>
      </c>
      <c r="AB48" s="36">
        <f t="shared" si="26"/>
        <v>142515.29968906773</v>
      </c>
      <c r="AC48" s="37">
        <f t="shared" si="27"/>
        <v>2660722.2383627463</v>
      </c>
      <c r="AD48" s="37">
        <f t="shared" si="19"/>
        <v>2690571.2126431875</v>
      </c>
      <c r="AE48" s="37">
        <f t="shared" si="20"/>
        <v>5493808.7506950013</v>
      </c>
      <c r="AF48" s="38">
        <f t="shared" si="21"/>
        <v>2.0272011004218472E-3</v>
      </c>
      <c r="AH48" s="241"/>
    </row>
    <row r="49" spans="1:34">
      <c r="A49" s="110" t="s">
        <v>195</v>
      </c>
      <c r="B49" s="4" t="s">
        <v>28</v>
      </c>
      <c r="C49" s="32">
        <v>938475</v>
      </c>
      <c r="D49" s="32">
        <v>290271</v>
      </c>
      <c r="E49" s="34">
        <f t="shared" si="22"/>
        <v>0.30930072724366658</v>
      </c>
      <c r="F49" s="35">
        <f t="shared" si="9"/>
        <v>89781.031397746337</v>
      </c>
      <c r="G49" s="79">
        <f t="shared" si="23"/>
        <v>4.7435563581229667E-5</v>
      </c>
      <c r="H49" s="30">
        <v>2377</v>
      </c>
      <c r="I49" s="73">
        <f t="shared" si="24"/>
        <v>4.1092987015860824E-4</v>
      </c>
      <c r="J49" s="31">
        <f t="shared" si="10"/>
        <v>3.4929038963481702E-4</v>
      </c>
      <c r="K49" s="32">
        <v>683.1</v>
      </c>
      <c r="L49" s="70">
        <f t="shared" si="25"/>
        <v>1.0647417872573894E-2</v>
      </c>
      <c r="M49" s="33">
        <f t="shared" si="11"/>
        <v>1.5971126808860842E-3</v>
      </c>
      <c r="N49" s="79">
        <f t="shared" si="12"/>
        <v>1.9464030705209012E-3</v>
      </c>
      <c r="O49" s="189">
        <v>1875</v>
      </c>
      <c r="P49" s="189">
        <v>790</v>
      </c>
      <c r="Q49" s="190">
        <v>2.1956719391999999</v>
      </c>
      <c r="R49" s="191">
        <f t="shared" si="13"/>
        <v>7.3449904840534679E-4</v>
      </c>
      <c r="S49" s="192">
        <f t="shared" si="4"/>
        <v>1.6127189499527224E-3</v>
      </c>
      <c r="T49" s="192">
        <f t="shared" si="14"/>
        <v>8.3644867266416574E-4</v>
      </c>
      <c r="U49" s="189">
        <f t="shared" si="15"/>
        <v>481698.10101330822</v>
      </c>
      <c r="V49" s="191">
        <f t="shared" si="5"/>
        <v>2.3734177215189876</v>
      </c>
      <c r="W49" s="191">
        <f t="shared" si="16"/>
        <v>3.1538571893977414E-2</v>
      </c>
      <c r="X49" s="189">
        <f t="shared" si="17"/>
        <v>3205162.0745624499</v>
      </c>
      <c r="Y49" s="32">
        <f t="shared" si="6"/>
        <v>3686860.1755757583</v>
      </c>
      <c r="Z49" s="193">
        <f t="shared" si="18"/>
        <v>5.4417671558611531E-3</v>
      </c>
      <c r="AB49" s="36">
        <f t="shared" si="26"/>
        <v>64276.285722832108</v>
      </c>
      <c r="AC49" s="37">
        <f t="shared" si="27"/>
        <v>1318710.5880840051</v>
      </c>
      <c r="AD49" s="37">
        <f t="shared" si="19"/>
        <v>3686860.1755757583</v>
      </c>
      <c r="AE49" s="37">
        <f t="shared" si="20"/>
        <v>5069847.0493825953</v>
      </c>
      <c r="AF49" s="38">
        <f t="shared" si="21"/>
        <v>1.8707603383861283E-3</v>
      </c>
      <c r="AH49" s="241"/>
    </row>
    <row r="50" spans="1:34">
      <c r="A50" s="110" t="s">
        <v>196</v>
      </c>
      <c r="B50" s="4" t="s">
        <v>29</v>
      </c>
      <c r="C50" s="32">
        <v>19310735</v>
      </c>
      <c r="D50" s="32">
        <v>7908079.6500000004</v>
      </c>
      <c r="E50" s="34">
        <f t="shared" si="22"/>
        <v>0.40951727886069589</v>
      </c>
      <c r="F50" s="35">
        <f t="shared" si="9"/>
        <v>3238495.2592816446</v>
      </c>
      <c r="G50" s="79">
        <f t="shared" si="23"/>
        <v>1.7110501560023449E-3</v>
      </c>
      <c r="H50" s="30">
        <v>34709</v>
      </c>
      <c r="I50" s="73">
        <f t="shared" si="24"/>
        <v>6.0004059164220159E-3</v>
      </c>
      <c r="J50" s="31">
        <f t="shared" si="10"/>
        <v>5.1003450289587131E-3</v>
      </c>
      <c r="K50" s="32">
        <v>1541.5</v>
      </c>
      <c r="L50" s="70">
        <f t="shared" si="25"/>
        <v>2.4027220978733214E-2</v>
      </c>
      <c r="M50" s="33">
        <f t="shared" si="11"/>
        <v>3.6040831468099818E-3</v>
      </c>
      <c r="N50" s="79">
        <f t="shared" si="12"/>
        <v>8.7044281757686949E-3</v>
      </c>
      <c r="O50" s="189">
        <v>9838</v>
      </c>
      <c r="P50" s="189">
        <v>7575</v>
      </c>
      <c r="Q50" s="190">
        <v>1.6303971907999999</v>
      </c>
      <c r="R50" s="191">
        <f t="shared" si="13"/>
        <v>7.0428231540132936E-3</v>
      </c>
      <c r="S50" s="192">
        <f t="shared" si="4"/>
        <v>1.1482599085604469E-2</v>
      </c>
      <c r="T50" s="192">
        <f t="shared" si="14"/>
        <v>5.9555353796581761E-3</v>
      </c>
      <c r="U50" s="189">
        <f t="shared" si="15"/>
        <v>3429702.4750623601</v>
      </c>
      <c r="V50" s="191">
        <f t="shared" si="5"/>
        <v>1.2987458745874587</v>
      </c>
      <c r="W50" s="191">
        <f t="shared" si="16"/>
        <v>1.7258061978010494E-2</v>
      </c>
      <c r="X50" s="189">
        <f t="shared" si="17"/>
        <v>1753880.4838189376</v>
      </c>
      <c r="Y50" s="32">
        <f t="shared" si="6"/>
        <v>5183582.9588812981</v>
      </c>
      <c r="Z50" s="193">
        <f t="shared" si="18"/>
        <v>7.6509143694110243E-3</v>
      </c>
      <c r="AB50" s="36">
        <f t="shared" si="26"/>
        <v>2318512.5338496543</v>
      </c>
      <c r="AC50" s="37">
        <f t="shared" si="27"/>
        <v>5897350.7453063065</v>
      </c>
      <c r="AD50" s="37">
        <f t="shared" si="19"/>
        <v>5183582.9588812981</v>
      </c>
      <c r="AE50" s="37">
        <f t="shared" si="20"/>
        <v>13399446.238037258</v>
      </c>
      <c r="AF50" s="38">
        <f t="shared" si="21"/>
        <v>4.9443607142961024E-3</v>
      </c>
      <c r="AH50" s="241"/>
    </row>
    <row r="51" spans="1:34">
      <c r="A51" s="110" t="s">
        <v>197</v>
      </c>
      <c r="B51" s="4" t="s">
        <v>30</v>
      </c>
      <c r="C51" s="32">
        <v>125378961.84</v>
      </c>
      <c r="D51" s="32">
        <v>23883804.280000001</v>
      </c>
      <c r="E51" s="34">
        <f t="shared" si="22"/>
        <v>0.19049291786670611</v>
      </c>
      <c r="F51" s="35">
        <f t="shared" si="9"/>
        <v>4549695.5670545241</v>
      </c>
      <c r="G51" s="79">
        <f t="shared" si="23"/>
        <v>2.4038192699095125E-3</v>
      </c>
      <c r="H51" s="30">
        <v>86766</v>
      </c>
      <c r="I51" s="73">
        <f t="shared" si="24"/>
        <v>1.4999891087161044E-2</v>
      </c>
      <c r="J51" s="31">
        <f t="shared" si="10"/>
        <v>1.2749907424086887E-2</v>
      </c>
      <c r="K51" s="32">
        <v>1667.4</v>
      </c>
      <c r="L51" s="70">
        <f t="shared" si="25"/>
        <v>2.5989612883515902E-2</v>
      </c>
      <c r="M51" s="33">
        <f t="shared" si="11"/>
        <v>3.8984419325273851E-3</v>
      </c>
      <c r="N51" s="79">
        <f t="shared" si="12"/>
        <v>1.6648349356614273E-2</v>
      </c>
      <c r="O51" s="189">
        <v>13606</v>
      </c>
      <c r="P51" s="189">
        <v>22970</v>
      </c>
      <c r="Q51" s="190">
        <v>1.9100372027999999</v>
      </c>
      <c r="R51" s="191">
        <f t="shared" si="13"/>
        <v>2.1356257141608628E-2</v>
      </c>
      <c r="S51" s="192">
        <f t="shared" si="4"/>
        <v>4.0791245653035664E-2</v>
      </c>
      <c r="T51" s="192">
        <f t="shared" si="14"/>
        <v>2.1156682808123412E-2</v>
      </c>
      <c r="U51" s="189">
        <f t="shared" si="15"/>
        <v>12183812.665939508</v>
      </c>
      <c r="V51" s="191">
        <f t="shared" si="5"/>
        <v>0.59233783195472356</v>
      </c>
      <c r="W51" s="191">
        <f t="shared" si="16"/>
        <v>7.8711341578214088E-3</v>
      </c>
      <c r="X51" s="189">
        <f t="shared" si="17"/>
        <v>799917.66181587323</v>
      </c>
      <c r="Y51" s="32">
        <f t="shared" si="6"/>
        <v>12983730.32775538</v>
      </c>
      <c r="Z51" s="193">
        <f t="shared" si="18"/>
        <v>1.9163850510578107E-2</v>
      </c>
      <c r="AB51" s="36">
        <f t="shared" si="26"/>
        <v>3257230.7052738974</v>
      </c>
      <c r="AC51" s="37">
        <f t="shared" si="27"/>
        <v>11279449.207205215</v>
      </c>
      <c r="AD51" s="37">
        <f t="shared" si="19"/>
        <v>12983730.32775538</v>
      </c>
      <c r="AE51" s="37">
        <f t="shared" si="20"/>
        <v>27520410.240234494</v>
      </c>
      <c r="AF51" s="38">
        <f t="shared" si="21"/>
        <v>1.0154959601752852E-2</v>
      </c>
      <c r="AH51" s="241"/>
    </row>
    <row r="52" spans="1:34">
      <c r="A52" s="110" t="s">
        <v>198</v>
      </c>
      <c r="B52" s="4" t="s">
        <v>143</v>
      </c>
      <c r="C52" s="32">
        <v>658439418</v>
      </c>
      <c r="D52" s="32">
        <v>330884619.5</v>
      </c>
      <c r="E52" s="34">
        <f t="shared" si="22"/>
        <v>0.50252857051762956</v>
      </c>
      <c r="F52" s="35">
        <f t="shared" si="9"/>
        <v>166278974.84360477</v>
      </c>
      <c r="G52" s="79">
        <f t="shared" si="23"/>
        <v>8.785304379576879E-2</v>
      </c>
      <c r="H52" s="30">
        <v>412199</v>
      </c>
      <c r="I52" s="73">
        <f t="shared" si="24"/>
        <v>7.125994175410523E-2</v>
      </c>
      <c r="J52" s="31">
        <f t="shared" si="10"/>
        <v>6.0570950490989442E-2</v>
      </c>
      <c r="K52" s="32">
        <v>60.1</v>
      </c>
      <c r="L52" s="70">
        <f t="shared" si="25"/>
        <v>9.3677326034503157E-4</v>
      </c>
      <c r="M52" s="33">
        <f t="shared" si="11"/>
        <v>1.4051598905175474E-4</v>
      </c>
      <c r="N52" s="79">
        <f t="shared" si="12"/>
        <v>6.07114664800412E-2</v>
      </c>
      <c r="O52" s="189">
        <v>47668</v>
      </c>
      <c r="P52" s="189">
        <v>40796</v>
      </c>
      <c r="Q52" s="190">
        <v>1.7340616191</v>
      </c>
      <c r="R52" s="191">
        <f t="shared" si="13"/>
        <v>3.7929902757904463E-2</v>
      </c>
      <c r="S52" s="192">
        <f t="shared" si="4"/>
        <v>6.5772788588677369E-2</v>
      </c>
      <c r="T52" s="192">
        <f t="shared" si="14"/>
        <v>3.4113545769418024E-2</v>
      </c>
      <c r="U52" s="189">
        <f t="shared" si="15"/>
        <v>19645473.479706101</v>
      </c>
      <c r="V52" s="191">
        <f t="shared" si="5"/>
        <v>1.1684478870477497</v>
      </c>
      <c r="W52" s="191">
        <f t="shared" si="16"/>
        <v>1.5526629533395704E-2</v>
      </c>
      <c r="X52" s="189">
        <f t="shared" si="17"/>
        <v>1577920.6583454828</v>
      </c>
      <c r="Y52" s="32">
        <f t="shared" si="6"/>
        <v>21223394.138051584</v>
      </c>
      <c r="Z52" s="193">
        <f t="shared" si="18"/>
        <v>3.1325508334014679E-2</v>
      </c>
      <c r="AB52" s="36">
        <f t="shared" si="26"/>
        <v>119042906.17244384</v>
      </c>
      <c r="AC52" s="37">
        <f t="shared" si="27"/>
        <v>41132720.59518043</v>
      </c>
      <c r="AD52" s="37">
        <f t="shared" si="19"/>
        <v>21223394.138051584</v>
      </c>
      <c r="AE52" s="37">
        <f t="shared" si="20"/>
        <v>181399020.90567583</v>
      </c>
      <c r="AF52" s="38">
        <f t="shared" si="21"/>
        <v>6.6935765601398356E-2</v>
      </c>
      <c r="AH52" s="241"/>
    </row>
    <row r="53" spans="1:34">
      <c r="A53" s="110" t="s">
        <v>199</v>
      </c>
      <c r="B53" s="4" t="s">
        <v>144</v>
      </c>
      <c r="C53" s="32">
        <v>1139151243</v>
      </c>
      <c r="D53" s="32">
        <v>722790593.90999997</v>
      </c>
      <c r="E53" s="34">
        <f t="shared" si="22"/>
        <v>0.63449923647232498</v>
      </c>
      <c r="F53" s="35">
        <f t="shared" si="9"/>
        <v>458610079.96527326</v>
      </c>
      <c r="G53" s="79">
        <f t="shared" si="23"/>
        <v>0.24230538754683559</v>
      </c>
      <c r="H53" s="30">
        <v>132169</v>
      </c>
      <c r="I53" s="73">
        <f t="shared" si="24"/>
        <v>2.2849049225491413E-2</v>
      </c>
      <c r="J53" s="31">
        <f t="shared" si="10"/>
        <v>1.9421691841667702E-2</v>
      </c>
      <c r="K53" s="32">
        <v>70.8</v>
      </c>
      <c r="L53" s="70">
        <f t="shared" si="25"/>
        <v>1.103553191887325E-3</v>
      </c>
      <c r="M53" s="33">
        <f t="shared" si="11"/>
        <v>1.6553297878309873E-4</v>
      </c>
      <c r="N53" s="79">
        <f t="shared" si="12"/>
        <v>1.9587224820450801E-2</v>
      </c>
      <c r="O53" s="189">
        <v>4761</v>
      </c>
      <c r="P53" s="189">
        <v>6438</v>
      </c>
      <c r="Q53" s="190">
        <v>1.903799258</v>
      </c>
      <c r="R53" s="191">
        <f t="shared" si="13"/>
        <v>5.9857023716881298E-3</v>
      </c>
      <c r="S53" s="192">
        <f t="shared" si="4"/>
        <v>1.1395575733828702E-2</v>
      </c>
      <c r="T53" s="192">
        <f t="shared" si="14"/>
        <v>5.91040007131089E-3</v>
      </c>
      <c r="U53" s="189">
        <f t="shared" si="15"/>
        <v>3403709.7357227318</v>
      </c>
      <c r="V53" s="191">
        <f t="shared" si="5"/>
        <v>0.73951537744641194</v>
      </c>
      <c r="W53" s="191">
        <f t="shared" si="16"/>
        <v>9.8268664158151723E-3</v>
      </c>
      <c r="X53" s="189">
        <f t="shared" si="17"/>
        <v>998672.34488752531</v>
      </c>
      <c r="Y53" s="32">
        <f t="shared" si="6"/>
        <v>4402382.0806102566</v>
      </c>
      <c r="Z53" s="193">
        <f t="shared" si="18"/>
        <v>6.4978700229865313E-3</v>
      </c>
      <c r="AB53" s="36">
        <f t="shared" si="26"/>
        <v>328329404.06562012</v>
      </c>
      <c r="AC53" s="37">
        <f t="shared" si="27"/>
        <v>13270571.318507858</v>
      </c>
      <c r="AD53" s="37">
        <f t="shared" si="19"/>
        <v>4402382.0806102566</v>
      </c>
      <c r="AE53" s="37">
        <f t="shared" si="20"/>
        <v>346002357.46473825</v>
      </c>
      <c r="AF53" s="38">
        <f t="shared" si="21"/>
        <v>0.12767396748427715</v>
      </c>
      <c r="AH53" s="241"/>
    </row>
    <row r="54" spans="1:34">
      <c r="A54" s="110" t="s">
        <v>200</v>
      </c>
      <c r="B54" s="4" t="s">
        <v>31</v>
      </c>
      <c r="C54" s="32">
        <v>289861941.84000015</v>
      </c>
      <c r="D54" s="32">
        <v>126817695.59999999</v>
      </c>
      <c r="E54" s="34">
        <f t="shared" si="22"/>
        <v>0.43751068110211461</v>
      </c>
      <c r="F54" s="35">
        <f t="shared" si="9"/>
        <v>55484096.37775664</v>
      </c>
      <c r="G54" s="79">
        <f t="shared" si="23"/>
        <v>2.9314871309667485E-2</v>
      </c>
      <c r="H54" s="30">
        <v>306322</v>
      </c>
      <c r="I54" s="73">
        <f t="shared" si="24"/>
        <v>5.2956188341070756E-2</v>
      </c>
      <c r="J54" s="31">
        <f t="shared" si="10"/>
        <v>4.5012760089910141E-2</v>
      </c>
      <c r="K54" s="32">
        <v>915.8</v>
      </c>
      <c r="L54" s="70">
        <f t="shared" si="25"/>
        <v>1.4274491710881529E-2</v>
      </c>
      <c r="M54" s="33">
        <f t="shared" si="11"/>
        <v>2.1411737566322292E-3</v>
      </c>
      <c r="N54" s="79">
        <f t="shared" si="12"/>
        <v>4.7153933846542373E-2</v>
      </c>
      <c r="O54" s="189">
        <v>43432</v>
      </c>
      <c r="P54" s="189">
        <v>47092</v>
      </c>
      <c r="Q54" s="190">
        <v>1.8493369051999999</v>
      </c>
      <c r="R54" s="191">
        <f t="shared" si="13"/>
        <v>4.378358125000581E-2</v>
      </c>
      <c r="S54" s="192">
        <f t="shared" si="4"/>
        <v>8.0970592647458484E-2</v>
      </c>
      <c r="T54" s="192">
        <f t="shared" si="14"/>
        <v>4.1995999827981793E-2</v>
      </c>
      <c r="U54" s="189">
        <f t="shared" si="15"/>
        <v>24184859.189101916</v>
      </c>
      <c r="V54" s="191">
        <f t="shared" si="5"/>
        <v>0.92227979274611394</v>
      </c>
      <c r="W54" s="191">
        <f t="shared" si="16"/>
        <v>1.2255485954351926E-2</v>
      </c>
      <c r="X54" s="189">
        <f t="shared" si="17"/>
        <v>1245485.0181000943</v>
      </c>
      <c r="Y54" s="32">
        <f t="shared" si="6"/>
        <v>25430344.20720201</v>
      </c>
      <c r="Z54" s="193">
        <f t="shared" si="18"/>
        <v>3.7534922746937316E-2</v>
      </c>
      <c r="AB54" s="36">
        <f t="shared" si="26"/>
        <v>39722328.606923983</v>
      </c>
      <c r="AC54" s="37">
        <f t="shared" si="27"/>
        <v>31947335.459456895</v>
      </c>
      <c r="AD54" s="37">
        <f t="shared" si="19"/>
        <v>25430344.207202014</v>
      </c>
      <c r="AE54" s="37">
        <f t="shared" si="20"/>
        <v>97100008.273582891</v>
      </c>
      <c r="AF54" s="38">
        <f t="shared" si="21"/>
        <v>3.5829649803203661E-2</v>
      </c>
      <c r="AH54" s="241"/>
    </row>
    <row r="55" spans="1:34">
      <c r="A55" s="110" t="s">
        <v>201</v>
      </c>
      <c r="B55" s="4" t="s">
        <v>32</v>
      </c>
      <c r="C55" s="32">
        <v>198838484.40000001</v>
      </c>
      <c r="D55" s="32">
        <v>94615002.859999999</v>
      </c>
      <c r="E55" s="34">
        <f t="shared" si="22"/>
        <v>0.47583848340779245</v>
      </c>
      <c r="F55" s="35">
        <f t="shared" si="9"/>
        <v>45021459.468526341</v>
      </c>
      <c r="G55" s="79">
        <f t="shared" si="23"/>
        <v>2.3786965574920355E-2</v>
      </c>
      <c r="H55" s="30">
        <v>46784</v>
      </c>
      <c r="I55" s="73">
        <f t="shared" si="24"/>
        <v>8.0879019964242016E-3</v>
      </c>
      <c r="J55" s="31">
        <f t="shared" si="10"/>
        <v>6.8747166969605712E-3</v>
      </c>
      <c r="K55" s="32">
        <v>739.2</v>
      </c>
      <c r="L55" s="70">
        <f t="shared" si="25"/>
        <v>1.1521843494959192E-2</v>
      </c>
      <c r="M55" s="33">
        <f t="shared" si="11"/>
        <v>1.7282765242438787E-3</v>
      </c>
      <c r="N55" s="79">
        <f t="shared" si="12"/>
        <v>8.6029932212044503E-3</v>
      </c>
      <c r="O55" s="189">
        <v>7735</v>
      </c>
      <c r="P55" s="189">
        <v>5334</v>
      </c>
      <c r="Q55" s="190">
        <v>2.0438860060000001</v>
      </c>
      <c r="R55" s="191">
        <f t="shared" si="13"/>
        <v>4.9592631951824303E-3</v>
      </c>
      <c r="S55" s="192">
        <f t="shared" si="4"/>
        <v>1.0136168644704216E-2</v>
      </c>
      <c r="T55" s="192">
        <f t="shared" si="14"/>
        <v>5.2571992218554417E-3</v>
      </c>
      <c r="U55" s="189">
        <f t="shared" si="15"/>
        <v>3027541.2760839663</v>
      </c>
      <c r="V55" s="191">
        <f t="shared" si="5"/>
        <v>1.4501312335958005</v>
      </c>
      <c r="W55" s="191">
        <f t="shared" si="16"/>
        <v>1.9269708720803205E-2</v>
      </c>
      <c r="X55" s="189">
        <f t="shared" si="17"/>
        <v>1958317.5733958287</v>
      </c>
      <c r="Y55" s="32">
        <f t="shared" si="6"/>
        <v>4985858.8494797945</v>
      </c>
      <c r="Z55" s="193">
        <f t="shared" si="18"/>
        <v>7.3590756466976057E-3</v>
      </c>
      <c r="AB55" s="36">
        <f t="shared" si="26"/>
        <v>32231888.489204235</v>
      </c>
      <c r="AC55" s="37">
        <f t="shared" si="27"/>
        <v>5828627.3906160099</v>
      </c>
      <c r="AD55" s="37">
        <f t="shared" si="19"/>
        <v>4985858.8494797945</v>
      </c>
      <c r="AE55" s="37">
        <f t="shared" si="20"/>
        <v>43046374.729300037</v>
      </c>
      <c r="AF55" s="38">
        <f t="shared" si="21"/>
        <v>1.588400000443569E-2</v>
      </c>
      <c r="AH55" s="241"/>
    </row>
    <row r="56" spans="1:34">
      <c r="A56" s="110" t="s">
        <v>202</v>
      </c>
      <c r="B56" s="4" t="s">
        <v>33</v>
      </c>
      <c r="C56" s="32">
        <v>4541705</v>
      </c>
      <c r="D56" s="32">
        <v>1178778</v>
      </c>
      <c r="E56" s="34">
        <f t="shared" si="22"/>
        <v>0.25954525888405344</v>
      </c>
      <c r="F56" s="35">
        <f t="shared" si="9"/>
        <v>305946.24117682676</v>
      </c>
      <c r="G56" s="79">
        <f t="shared" si="23"/>
        <v>1.6164586382938219E-4</v>
      </c>
      <c r="H56" s="30">
        <v>1552</v>
      </c>
      <c r="I56" s="73">
        <f t="shared" si="24"/>
        <v>2.6830591438206137E-4</v>
      </c>
      <c r="J56" s="31">
        <f t="shared" si="10"/>
        <v>2.2806002722475217E-4</v>
      </c>
      <c r="K56" s="32">
        <v>1764.9</v>
      </c>
      <c r="L56" s="70">
        <f t="shared" si="25"/>
        <v>2.7509336558784465E-2</v>
      </c>
      <c r="M56" s="33">
        <f t="shared" si="11"/>
        <v>4.1264004838176696E-3</v>
      </c>
      <c r="N56" s="79">
        <f t="shared" si="12"/>
        <v>4.354460511042422E-3</v>
      </c>
      <c r="O56" s="189">
        <v>549</v>
      </c>
      <c r="P56" s="189">
        <v>170</v>
      </c>
      <c r="Q56" s="190">
        <v>2.1071899398</v>
      </c>
      <c r="R56" s="191">
        <f t="shared" si="13"/>
        <v>1.5805675725178347E-4</v>
      </c>
      <c r="S56" s="192">
        <f t="shared" si="4"/>
        <v>3.3305560879836883E-4</v>
      </c>
      <c r="T56" s="192">
        <f t="shared" si="14"/>
        <v>1.7274176750444833E-4</v>
      </c>
      <c r="U56" s="189">
        <f t="shared" si="15"/>
        <v>99479.363279453421</v>
      </c>
      <c r="V56" s="191">
        <f t="shared" si="5"/>
        <v>3.2294117647058824</v>
      </c>
      <c r="W56" s="191">
        <f t="shared" si="16"/>
        <v>4.2913236129057078E-2</v>
      </c>
      <c r="X56" s="189">
        <f t="shared" si="17"/>
        <v>4361132.0575952316</v>
      </c>
      <c r="Y56" s="32">
        <f t="shared" si="6"/>
        <v>4460611.420874685</v>
      </c>
      <c r="Z56" s="193">
        <f t="shared" si="18"/>
        <v>6.5838159217373425E-3</v>
      </c>
      <c r="AB56" s="36">
        <f t="shared" si="26"/>
        <v>219033.88396807664</v>
      </c>
      <c r="AC56" s="37">
        <f t="shared" si="27"/>
        <v>2950197.3503199257</v>
      </c>
      <c r="AD56" s="37">
        <f t="shared" si="19"/>
        <v>4460611.420874685</v>
      </c>
      <c r="AE56" s="37">
        <f t="shared" si="20"/>
        <v>7629842.6551626874</v>
      </c>
      <c r="AF56" s="38">
        <f t="shared" si="21"/>
        <v>2.8153920401096321E-3</v>
      </c>
      <c r="AH56" s="241"/>
    </row>
    <row r="57" spans="1:34">
      <c r="A57" s="110" t="s">
        <v>203</v>
      </c>
      <c r="B57" s="4" t="s">
        <v>34</v>
      </c>
      <c r="C57" s="32">
        <v>3020813</v>
      </c>
      <c r="D57" s="32">
        <v>668727</v>
      </c>
      <c r="E57" s="34">
        <f t="shared" si="22"/>
        <v>0.22137318662227684</v>
      </c>
      <c r="F57" s="35">
        <f t="shared" si="9"/>
        <v>148038.22697035532</v>
      </c>
      <c r="G57" s="79">
        <f t="shared" si="23"/>
        <v>7.8215594302930553E-5</v>
      </c>
      <c r="H57" s="30">
        <v>3573</v>
      </c>
      <c r="I57" s="73">
        <f t="shared" si="24"/>
        <v>6.1769138665406279E-4</v>
      </c>
      <c r="J57" s="31">
        <f t="shared" si="10"/>
        <v>5.2503767865595338E-4</v>
      </c>
      <c r="K57" s="32">
        <v>879.3</v>
      </c>
      <c r="L57" s="70">
        <f t="shared" si="25"/>
        <v>1.3705569514498939E-2</v>
      </c>
      <c r="M57" s="33">
        <f t="shared" si="11"/>
        <v>2.0558354271748409E-3</v>
      </c>
      <c r="N57" s="79">
        <f t="shared" si="12"/>
        <v>2.5808731058307942E-3</v>
      </c>
      <c r="O57" s="189">
        <v>1377</v>
      </c>
      <c r="P57" s="189">
        <v>417</v>
      </c>
      <c r="Q57" s="190">
        <v>1.7545098130000001</v>
      </c>
      <c r="R57" s="191">
        <f t="shared" si="13"/>
        <v>3.8770392808231595E-4</v>
      </c>
      <c r="S57" s="192">
        <f t="shared" si="4"/>
        <v>6.8023034635906966E-4</v>
      </c>
      <c r="T57" s="192">
        <f t="shared" si="14"/>
        <v>3.5280652610587192E-4</v>
      </c>
      <c r="U57" s="189">
        <f t="shared" si="15"/>
        <v>203175.92603621012</v>
      </c>
      <c r="V57" s="191">
        <f t="shared" si="5"/>
        <v>3.3021582733812949</v>
      </c>
      <c r="W57" s="191">
        <f t="shared" si="16"/>
        <v>4.3879910041151653E-2</v>
      </c>
      <c r="X57" s="189">
        <f t="shared" si="17"/>
        <v>4459371.9706746852</v>
      </c>
      <c r="Y57" s="32">
        <f t="shared" si="6"/>
        <v>4662547.896710895</v>
      </c>
      <c r="Z57" s="193">
        <f t="shared" si="18"/>
        <v>6.8818720533627377E-3</v>
      </c>
      <c r="AB57" s="36">
        <f t="shared" si="26"/>
        <v>105983.93921866752</v>
      </c>
      <c r="AC57" s="37">
        <f t="shared" si="27"/>
        <v>1748571.3738878795</v>
      </c>
      <c r="AD57" s="37">
        <f t="shared" si="19"/>
        <v>4662547.896710895</v>
      </c>
      <c r="AE57" s="37">
        <f t="shared" si="20"/>
        <v>6517103.2098174421</v>
      </c>
      <c r="AF57" s="38">
        <f t="shared" si="21"/>
        <v>2.4047940869498484E-3</v>
      </c>
      <c r="AH57" s="241"/>
    </row>
    <row r="58" spans="1:34" ht="13.5" thickBot="1">
      <c r="B58" s="6" t="s">
        <v>35</v>
      </c>
      <c r="C58" s="83">
        <f>SUM(C7:C57)</f>
        <v>8177497337.8300028</v>
      </c>
      <c r="D58" s="83">
        <f>SUM(D7:D57)</f>
        <v>3783530876.1500006</v>
      </c>
      <c r="E58" s="43">
        <f t="shared" si="22"/>
        <v>0.46267589212740801</v>
      </c>
      <c r="F58" s="44">
        <f t="shared" ref="F58:K58" si="28">SUM(F7:F57)</f>
        <v>1892694523.2558141</v>
      </c>
      <c r="G58" s="80">
        <f t="shared" si="28"/>
        <v>0.99999999999999978</v>
      </c>
      <c r="H58" s="39">
        <f t="shared" si="28"/>
        <v>5784442</v>
      </c>
      <c r="I58" s="74">
        <f t="shared" si="28"/>
        <v>1.0000000000000002</v>
      </c>
      <c r="J58" s="40">
        <f t="shared" si="28"/>
        <v>0.8500000000000002</v>
      </c>
      <c r="K58" s="41">
        <f t="shared" si="28"/>
        <v>64156.400000000016</v>
      </c>
      <c r="L58" s="71">
        <f t="shared" si="25"/>
        <v>1</v>
      </c>
      <c r="M58" s="42">
        <f>SUM(M7:M57)</f>
        <v>0.14999999999999997</v>
      </c>
      <c r="N58" s="80">
        <f>SUM(N7:N57)</f>
        <v>0.99999999999999989</v>
      </c>
      <c r="O58" s="194">
        <f>SUM(O7:O57)</f>
        <v>964355</v>
      </c>
      <c r="P58" s="195">
        <f t="shared" ref="P58:Y58" si="29">SUM(P7:P57)</f>
        <v>1075563</v>
      </c>
      <c r="Q58" s="196">
        <f t="shared" si="29"/>
        <v>98.366423307599987</v>
      </c>
      <c r="R58" s="196">
        <f>SUM(R7:R57)</f>
        <v>0.99999999999999989</v>
      </c>
      <c r="S58" s="197">
        <f t="shared" si="29"/>
        <v>1.9280548856824229</v>
      </c>
      <c r="T58" s="197">
        <f t="shared" si="29"/>
        <v>1</v>
      </c>
      <c r="U58" s="195">
        <f t="shared" si="29"/>
        <v>575884829.22574985</v>
      </c>
      <c r="V58" s="196">
        <f>SUM(V7:V57)</f>
        <v>75.254444922162563</v>
      </c>
      <c r="W58" s="196">
        <f t="shared" si="29"/>
        <v>1</v>
      </c>
      <c r="X58" s="198">
        <f t="shared" si="29"/>
        <v>101626734.56924994</v>
      </c>
      <c r="Y58" s="194">
        <f t="shared" si="29"/>
        <v>677511563.79499984</v>
      </c>
      <c r="Z58" s="199">
        <f>SUM(Z7:Z57)</f>
        <v>0.99999999999999967</v>
      </c>
      <c r="AB58" s="45">
        <f>SUM(AB7:AB57)</f>
        <v>1355023127.5899997</v>
      </c>
      <c r="AC58" s="46">
        <f>SUM(AC7:AC57)</f>
        <v>677511563.79499972</v>
      </c>
      <c r="AD58" s="46">
        <f>SUM(AD7:AD57)</f>
        <v>677511563.79499984</v>
      </c>
      <c r="AE58" s="46">
        <f>SUM(AE7:AE57)</f>
        <v>2710046255.1799994</v>
      </c>
      <c r="AF58" s="47">
        <f>SUM(AF7:AF57)</f>
        <v>1.0000000000000002</v>
      </c>
    </row>
    <row r="59" spans="1:34" ht="13.5" thickTop="1">
      <c r="L59" s="49"/>
      <c r="S59" s="51"/>
    </row>
    <row r="60" spans="1:34" ht="86.45" customHeight="1">
      <c r="C60" s="279" t="s">
        <v>320</v>
      </c>
      <c r="D60" s="279"/>
      <c r="E60" s="279"/>
      <c r="F60" s="279"/>
      <c r="G60" s="279"/>
      <c r="L60" s="49"/>
      <c r="S60" s="51"/>
    </row>
    <row r="61" spans="1:34">
      <c r="S61" s="52"/>
      <c r="T61" s="52"/>
    </row>
    <row r="62" spans="1:34">
      <c r="S62" s="51"/>
    </row>
    <row r="63" spans="1:34">
      <c r="S63" s="51"/>
    </row>
    <row r="64" spans="1:34">
      <c r="S64" s="51"/>
    </row>
    <row r="65" spans="10:25">
      <c r="J65" s="11"/>
      <c r="M65" s="11"/>
      <c r="N65" s="11"/>
      <c r="S65" s="51"/>
      <c r="Y65" s="11"/>
    </row>
    <row r="66" spans="10:25">
      <c r="J66" s="11"/>
      <c r="M66" s="11"/>
      <c r="N66" s="11"/>
      <c r="S66" s="51"/>
      <c r="Y66" s="11"/>
    </row>
    <row r="67" spans="10:25">
      <c r="J67" s="11"/>
      <c r="M67" s="11"/>
      <c r="N67" s="11"/>
      <c r="S67" s="51"/>
      <c r="Y67" s="11"/>
    </row>
    <row r="68" spans="10:25">
      <c r="J68" s="11"/>
      <c r="M68" s="11"/>
      <c r="N68" s="11"/>
      <c r="S68" s="51"/>
      <c r="Y68" s="11"/>
    </row>
    <row r="69" spans="10:25">
      <c r="J69" s="11"/>
      <c r="M69" s="11"/>
      <c r="N69" s="11"/>
      <c r="S69" s="51"/>
      <c r="Y69" s="11"/>
    </row>
    <row r="70" spans="10:25">
      <c r="J70" s="11"/>
      <c r="M70" s="11"/>
      <c r="N70" s="11"/>
      <c r="S70" s="51"/>
      <c r="Y70" s="11"/>
    </row>
    <row r="71" spans="10:25">
      <c r="J71" s="11"/>
      <c r="M71" s="11"/>
      <c r="N71" s="11"/>
      <c r="S71" s="51"/>
      <c r="Y71" s="11"/>
    </row>
    <row r="72" spans="10:25">
      <c r="J72" s="11"/>
      <c r="M72" s="11"/>
      <c r="N72" s="11"/>
      <c r="S72" s="51"/>
      <c r="Y72" s="11"/>
    </row>
    <row r="73" spans="10:25">
      <c r="J73" s="11"/>
      <c r="M73" s="11"/>
      <c r="N73" s="11"/>
      <c r="S73" s="51"/>
      <c r="Y73" s="11"/>
    </row>
    <row r="74" spans="10:25">
      <c r="J74" s="11"/>
      <c r="M74" s="11"/>
      <c r="N74" s="11"/>
      <c r="S74" s="51"/>
      <c r="Y74" s="11"/>
    </row>
    <row r="75" spans="10:25">
      <c r="J75" s="11"/>
      <c r="M75" s="11"/>
      <c r="N75" s="11"/>
      <c r="S75" s="51"/>
      <c r="Y75" s="11"/>
    </row>
    <row r="76" spans="10:25">
      <c r="J76" s="11"/>
      <c r="M76" s="11"/>
      <c r="N76" s="11"/>
      <c r="S76" s="51"/>
      <c r="Y76" s="11"/>
    </row>
    <row r="77" spans="10:25">
      <c r="J77" s="11"/>
      <c r="M77" s="11"/>
      <c r="N77" s="11"/>
      <c r="S77" s="51"/>
      <c r="Y77" s="11"/>
    </row>
    <row r="78" spans="10:25">
      <c r="J78" s="11"/>
      <c r="M78" s="11"/>
      <c r="N78" s="11"/>
      <c r="S78" s="51"/>
      <c r="Y78" s="11"/>
    </row>
    <row r="79" spans="10:25">
      <c r="J79" s="11"/>
      <c r="M79" s="11"/>
      <c r="N79" s="11"/>
      <c r="S79" s="51"/>
      <c r="Y79" s="11"/>
    </row>
    <row r="80" spans="10:25">
      <c r="J80" s="11"/>
      <c r="M80" s="11"/>
      <c r="N80" s="11"/>
      <c r="S80" s="51"/>
      <c r="Y80" s="11"/>
    </row>
    <row r="81" spans="10:25">
      <c r="J81" s="11"/>
      <c r="M81" s="11"/>
      <c r="N81" s="11"/>
      <c r="S81" s="51"/>
      <c r="Y81" s="11"/>
    </row>
    <row r="82" spans="10:25">
      <c r="J82" s="11"/>
      <c r="M82" s="11"/>
      <c r="N82" s="11"/>
      <c r="S82" s="51"/>
      <c r="Y82" s="11"/>
    </row>
    <row r="83" spans="10:25">
      <c r="J83" s="11"/>
      <c r="M83" s="11"/>
      <c r="N83" s="11"/>
      <c r="S83" s="51"/>
      <c r="Y83" s="11"/>
    </row>
    <row r="84" spans="10:25">
      <c r="J84" s="11"/>
      <c r="M84" s="11"/>
      <c r="N84" s="11"/>
      <c r="S84" s="51"/>
      <c r="Y84" s="11"/>
    </row>
    <row r="85" spans="10:25">
      <c r="J85" s="11"/>
      <c r="M85" s="11"/>
      <c r="N85" s="11"/>
      <c r="S85" s="51"/>
      <c r="Y85" s="11"/>
    </row>
    <row r="86" spans="10:25">
      <c r="J86" s="11"/>
      <c r="M86" s="11"/>
      <c r="N86" s="11"/>
      <c r="S86" s="51"/>
      <c r="Y86" s="11"/>
    </row>
    <row r="87" spans="10:25">
      <c r="J87" s="11"/>
      <c r="M87" s="11"/>
      <c r="N87" s="11"/>
      <c r="S87" s="51"/>
      <c r="Y87" s="11"/>
    </row>
  </sheetData>
  <mergeCells count="6">
    <mergeCell ref="C60:G60"/>
    <mergeCell ref="AB3:AF3"/>
    <mergeCell ref="C3:G3"/>
    <mergeCell ref="H3:N3"/>
    <mergeCell ref="O3:T3"/>
    <mergeCell ref="U3:Z3"/>
  </mergeCells>
  <phoneticPr fontId="0" type="noConversion"/>
  <conditionalFormatting sqref="AH7:AH57">
    <cfRule type="top10" dxfId="1" priority="2" rank="5"/>
  </conditionalFormatting>
  <printOptions horizontalCentered="1"/>
  <pageMargins left="0.27559055118110237" right="0.19685039370078741" top="0.23622047244094491" bottom="0.23622047244094491" header="0.23622047244094491" footer="0.23622047244094491"/>
  <pageSetup scale="83" orientation="portrait" r:id="rId1"/>
  <headerFooter alignWithMargins="0">
    <oddHeader>&amp;LANEXO I</oddHeader>
  </headerFooter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zoomScaleSheetLayoutView="100" workbookViewId="0">
      <selection activeCell="O20" sqref="O20"/>
    </sheetView>
  </sheetViews>
  <sheetFormatPr baseColWidth="10" defaultColWidth="9.7109375" defaultRowHeight="14.25"/>
  <cols>
    <col min="1" max="1" width="26.28515625" style="11" customWidth="1"/>
    <col min="2" max="2" width="10.5703125" style="11" hidden="1" customWidth="1"/>
    <col min="3" max="3" width="12.7109375" style="11" customWidth="1"/>
    <col min="4" max="8" width="11.7109375" style="11" customWidth="1"/>
    <col min="9" max="9" width="16.140625" style="11" customWidth="1"/>
    <col min="10" max="10" width="13.28515625" style="11" bestFit="1" customWidth="1"/>
    <col min="11" max="15" width="11.7109375" style="11" customWidth="1"/>
    <col min="16" max="16" width="15.5703125" style="11" customWidth="1"/>
    <col min="17" max="17" width="16" style="100" customWidth="1"/>
    <col min="18" max="18" width="5.42578125" style="11" customWidth="1"/>
    <col min="19" max="16384" width="9.7109375" style="11"/>
  </cols>
  <sheetData>
    <row r="1" spans="1:17" ht="47.25" customHeight="1">
      <c r="A1" s="287" t="s">
        <v>305</v>
      </c>
      <c r="B1" s="287"/>
      <c r="C1" s="287"/>
      <c r="D1" s="287"/>
      <c r="E1" s="287"/>
      <c r="F1" s="287"/>
      <c r="G1" s="287"/>
      <c r="H1" s="287"/>
      <c r="I1" s="288"/>
      <c r="J1" s="288"/>
      <c r="K1" s="288"/>
      <c r="L1" s="288"/>
      <c r="M1" s="288"/>
      <c r="N1" s="288"/>
      <c r="O1" s="288"/>
      <c r="P1" s="288"/>
      <c r="Q1" s="288"/>
    </row>
    <row r="2" spans="1:17" ht="8.25" customHeight="1" thickBot="1">
      <c r="I2" s="62"/>
    </row>
    <row r="3" spans="1:17" ht="13.5" thickBot="1">
      <c r="A3" s="289" t="s">
        <v>0</v>
      </c>
      <c r="B3" s="246"/>
      <c r="C3" s="284" t="s">
        <v>232</v>
      </c>
      <c r="D3" s="285"/>
      <c r="E3" s="285"/>
      <c r="F3" s="285"/>
      <c r="G3" s="285"/>
      <c r="H3" s="285"/>
      <c r="I3" s="286"/>
      <c r="J3" s="284" t="s">
        <v>311</v>
      </c>
      <c r="K3" s="285"/>
      <c r="L3" s="285"/>
      <c r="M3" s="285"/>
      <c r="N3" s="285"/>
      <c r="O3" s="285"/>
      <c r="P3" s="286"/>
      <c r="Q3" s="282" t="s">
        <v>310</v>
      </c>
    </row>
    <row r="4" spans="1:17" ht="26.25" thickBot="1">
      <c r="A4" s="290"/>
      <c r="B4" s="245" t="s">
        <v>306</v>
      </c>
      <c r="C4" s="201" t="s">
        <v>78</v>
      </c>
      <c r="D4" s="8" t="s">
        <v>147</v>
      </c>
      <c r="E4" s="8" t="s">
        <v>79</v>
      </c>
      <c r="F4" s="8" t="s">
        <v>89</v>
      </c>
      <c r="G4" s="8" t="s">
        <v>100</v>
      </c>
      <c r="H4" s="8" t="s">
        <v>101</v>
      </c>
      <c r="I4" s="201" t="s">
        <v>309</v>
      </c>
      <c r="J4" s="201" t="s">
        <v>78</v>
      </c>
      <c r="K4" s="8" t="s">
        <v>147</v>
      </c>
      <c r="L4" s="8" t="s">
        <v>79</v>
      </c>
      <c r="M4" s="8" t="s">
        <v>89</v>
      </c>
      <c r="N4" s="8" t="s">
        <v>100</v>
      </c>
      <c r="O4" s="8" t="s">
        <v>101</v>
      </c>
      <c r="P4" s="201" t="s">
        <v>312</v>
      </c>
      <c r="Q4" s="283"/>
    </row>
    <row r="5" spans="1:17" ht="15.75" thickBot="1">
      <c r="A5" s="1"/>
      <c r="B5" s="1"/>
      <c r="C5" s="1"/>
      <c r="D5" s="1"/>
      <c r="E5" s="1"/>
      <c r="F5" s="1"/>
      <c r="G5" s="1"/>
      <c r="H5" s="1"/>
      <c r="I5" s="1"/>
      <c r="J5" s="101"/>
      <c r="K5" s="101"/>
      <c r="L5" s="101"/>
      <c r="M5" s="101"/>
      <c r="N5" s="101"/>
      <c r="O5" s="101"/>
      <c r="P5" s="101"/>
      <c r="Q5" s="101"/>
    </row>
    <row r="6" spans="1:17" ht="12.75" customHeight="1" thickTop="1">
      <c r="A6" s="2" t="s">
        <v>1</v>
      </c>
      <c r="B6" s="247">
        <f>+I6/I$57</f>
        <v>1.2861627539794776E-3</v>
      </c>
      <c r="C6" s="3">
        <v>8456683.4800000004</v>
      </c>
      <c r="D6" s="3">
        <v>1154944.1599999999</v>
      </c>
      <c r="E6" s="3">
        <v>283974.84000000003</v>
      </c>
      <c r="F6" s="3">
        <v>478710.51</v>
      </c>
      <c r="G6" s="3">
        <v>235438.53</v>
      </c>
      <c r="H6" s="3">
        <v>50454.75</v>
      </c>
      <c r="I6" s="221">
        <f>SUM(C6:H6)</f>
        <v>10660206.27</v>
      </c>
      <c r="J6" s="3">
        <f>+'COEF Art 14 F I'!$AF7*'PART PEF2023'!$G$4</f>
        <v>1588422.8173452627</v>
      </c>
      <c r="K6" s="3">
        <f>+'COEF Art 14 F I'!$AF7*'PART PEF2023'!$G$5</f>
        <v>222839.88146207703</v>
      </c>
      <c r="L6" s="3">
        <f>+'COEF Art 14 F I'!$AF7*'PART PEF2023'!$G$6</f>
        <v>20704.791253410589</v>
      </c>
      <c r="M6" s="3">
        <f>+'COEF Art 14 F I'!$AF7*'PART PEF2023'!$G$7</f>
        <v>56820.151264023945</v>
      </c>
      <c r="N6" s="3">
        <f>+'COEF Art 14 F I'!$AF7*'PART PEF2023'!$G$8</f>
        <v>39338.923365692106</v>
      </c>
      <c r="O6" s="3">
        <f>+'COEF Art 14 F I'!$AF7*'PART PEF2023'!$G$9</f>
        <v>4010.611996436488</v>
      </c>
      <c r="P6" s="223">
        <f>SUM(J6:O6)</f>
        <v>1932137.1766869028</v>
      </c>
      <c r="Q6" s="224">
        <f>SUM(P6,I6)</f>
        <v>12592343.446686903</v>
      </c>
    </row>
    <row r="7" spans="1:17" ht="12.75" customHeight="1">
      <c r="A7" s="4" t="s">
        <v>2</v>
      </c>
      <c r="B7" s="248">
        <f t="shared" ref="B7:B56" si="0">+I7/I$57</f>
        <v>2.4745145144223881E-3</v>
      </c>
      <c r="C7" s="5">
        <v>16270247.26</v>
      </c>
      <c r="D7" s="109">
        <v>2222056.33</v>
      </c>
      <c r="E7" s="109">
        <v>546353.77</v>
      </c>
      <c r="F7" s="109">
        <v>921015.71</v>
      </c>
      <c r="G7" s="109">
        <v>452972.26</v>
      </c>
      <c r="H7" s="109">
        <v>97072.48</v>
      </c>
      <c r="I7" s="222">
        <f t="shared" ref="I7:I56" si="1">SUM(C7:H7)</f>
        <v>20509717.810000002</v>
      </c>
      <c r="J7" s="5">
        <f>+'COEF Art 14 F I'!$AF8*'PART PEF2023'!$G$4</f>
        <v>2886572.6254456821</v>
      </c>
      <c r="K7" s="5">
        <f>+'COEF Art 14 F I'!$AF8*'PART PEF2023'!$G$5</f>
        <v>404957.35434035602</v>
      </c>
      <c r="L7" s="5">
        <f>+'COEF Art 14 F I'!$AF8*'PART PEF2023'!$G$6</f>
        <v>37625.928685379346</v>
      </c>
      <c r="M7" s="5">
        <f>+'COEF Art 14 F I'!$AF8*'PART PEF2023'!$G$7</f>
        <v>103256.82269317569</v>
      </c>
      <c r="N7" s="5">
        <f>+'COEF Art 14 F I'!$AF8*'PART PEF2023'!$G$8</f>
        <v>71488.93736725382</v>
      </c>
      <c r="O7" s="5">
        <f>+'COEF Art 14 F I'!$AF8*'PART PEF2023'!$G$9</f>
        <v>7288.3130824991404</v>
      </c>
      <c r="P7" s="225">
        <f t="shared" ref="P7:P56" si="2">SUM(J7:O7)</f>
        <v>3511189.9816143457</v>
      </c>
      <c r="Q7" s="226">
        <f t="shared" ref="Q7:Q56" si="3">SUM(P7,I7)</f>
        <v>24020907.791614346</v>
      </c>
    </row>
    <row r="8" spans="1:17" ht="12.75" customHeight="1">
      <c r="A8" s="4" t="s">
        <v>145</v>
      </c>
      <c r="B8" s="248">
        <f t="shared" si="0"/>
        <v>2.5966786756709088E-3</v>
      </c>
      <c r="C8" s="5">
        <v>17073492.140000001</v>
      </c>
      <c r="D8" s="109">
        <v>2331756.9</v>
      </c>
      <c r="E8" s="109">
        <v>573326.68000000005</v>
      </c>
      <c r="F8" s="109">
        <v>966485.28</v>
      </c>
      <c r="G8" s="109">
        <v>475335.02</v>
      </c>
      <c r="H8" s="109">
        <v>101864.84</v>
      </c>
      <c r="I8" s="222">
        <f t="shared" si="1"/>
        <v>21522260.859999999</v>
      </c>
      <c r="J8" s="5">
        <f>+'COEF Art 14 F I'!$AF9*'PART PEF2023'!$G$4</f>
        <v>3561189.2306076162</v>
      </c>
      <c r="K8" s="5">
        <f>+'COEF Art 14 F I'!$AF9*'PART PEF2023'!$G$5</f>
        <v>499599.33674267627</v>
      </c>
      <c r="L8" s="5">
        <f>+'COEF Art 14 F I'!$AF9*'PART PEF2023'!$G$6</f>
        <v>46419.42864863648</v>
      </c>
      <c r="M8" s="5">
        <f>+'COEF Art 14 F I'!$AF9*'PART PEF2023'!$G$7</f>
        <v>127388.82151108964</v>
      </c>
      <c r="N8" s="5">
        <f>+'COEF Art 14 F I'!$AF9*'PART PEF2023'!$G$8</f>
        <v>88196.510843214666</v>
      </c>
      <c r="O8" s="5">
        <f>+'COEF Art 14 F I'!$AF9*'PART PEF2023'!$G$9</f>
        <v>8991.653918523918</v>
      </c>
      <c r="P8" s="225">
        <f t="shared" si="2"/>
        <v>4331784.9822717579</v>
      </c>
      <c r="Q8" s="226">
        <f t="shared" si="3"/>
        <v>25854045.842271756</v>
      </c>
    </row>
    <row r="9" spans="1:17" ht="12.75" customHeight="1">
      <c r="A9" s="4" t="s">
        <v>3</v>
      </c>
      <c r="B9" s="248">
        <f t="shared" si="0"/>
        <v>7.1633691625147952E-3</v>
      </c>
      <c r="C9" s="5">
        <v>47100062.189999998</v>
      </c>
      <c r="D9" s="109">
        <v>6432538.46</v>
      </c>
      <c r="E9" s="109">
        <v>1581616.81</v>
      </c>
      <c r="F9" s="109">
        <v>2666210.0699999998</v>
      </c>
      <c r="G9" s="109">
        <v>1311290.56</v>
      </c>
      <c r="H9" s="109">
        <v>281011.08</v>
      </c>
      <c r="I9" s="222">
        <f t="shared" si="1"/>
        <v>59372729.170000002</v>
      </c>
      <c r="J9" s="5">
        <f>+'COEF Art 14 F I'!$AF10*'PART PEF2023'!$G$4</f>
        <v>13826692.556164525</v>
      </c>
      <c r="K9" s="5">
        <f>+'COEF Art 14 F I'!$AF10*'PART PEF2023'!$G$5</f>
        <v>1939747.0853370165</v>
      </c>
      <c r="L9" s="5">
        <f>+'COEF Art 14 F I'!$AF10*'PART PEF2023'!$G$6</f>
        <v>180228.32458358374</v>
      </c>
      <c r="M9" s="5">
        <f>+'COEF Art 14 F I'!$AF10*'PART PEF2023'!$G$7</f>
        <v>494600.52697773295</v>
      </c>
      <c r="N9" s="5">
        <f>+'COEF Art 14 F I'!$AF10*'PART PEF2023'!$G$8</f>
        <v>342432.24973122042</v>
      </c>
      <c r="O9" s="5">
        <f>+'COEF Art 14 F I'!$AF10*'PART PEF2023'!$G$9</f>
        <v>34911.04410692877</v>
      </c>
      <c r="P9" s="225">
        <f t="shared" si="2"/>
        <v>16818611.786901012</v>
      </c>
      <c r="Q9" s="226">
        <f t="shared" si="3"/>
        <v>76191340.956901014</v>
      </c>
    </row>
    <row r="10" spans="1:17" ht="12.75" customHeight="1">
      <c r="A10" s="4" t="s">
        <v>146</v>
      </c>
      <c r="B10" s="248">
        <f t="shared" si="0"/>
        <v>8.992564766929426E-3</v>
      </c>
      <c r="C10" s="5">
        <v>59127255.659999996</v>
      </c>
      <c r="D10" s="109">
        <v>8075113.46</v>
      </c>
      <c r="E10" s="109">
        <v>1985489.12</v>
      </c>
      <c r="F10" s="109">
        <v>3347037.71</v>
      </c>
      <c r="G10" s="109">
        <v>1646133.97</v>
      </c>
      <c r="H10" s="109">
        <v>352768.4</v>
      </c>
      <c r="I10" s="222">
        <f t="shared" si="1"/>
        <v>74533798.319999993</v>
      </c>
      <c r="J10" s="5">
        <f>+'COEF Art 14 F I'!$AF11*'PART PEF2023'!$G$4</f>
        <v>11330019.232831428</v>
      </c>
      <c r="K10" s="5">
        <f>+'COEF Art 14 F I'!$AF11*'PART PEF2023'!$G$5</f>
        <v>1589488.7149927013</v>
      </c>
      <c r="L10" s="5">
        <f>+'COEF Art 14 F I'!$AF11*'PART PEF2023'!$G$6</f>
        <v>147684.65962039368</v>
      </c>
      <c r="M10" s="5">
        <f>+'COEF Art 14 F I'!$AF11*'PART PEF2023'!$G$7</f>
        <v>405290.95880763239</v>
      </c>
      <c r="N10" s="5">
        <f>+'COEF Art 14 F I'!$AF11*'PART PEF2023'!$G$8</f>
        <v>280599.56924888003</v>
      </c>
      <c r="O10" s="5">
        <f>+'COEF Art 14 F I'!$AF11*'PART PEF2023'!$G$9</f>
        <v>28607.188563933138</v>
      </c>
      <c r="P10" s="225">
        <f t="shared" si="2"/>
        <v>13781690.324064968</v>
      </c>
      <c r="Q10" s="226">
        <f t="shared" si="3"/>
        <v>88315488.644064963</v>
      </c>
    </row>
    <row r="11" spans="1:17" ht="12.75" customHeight="1">
      <c r="A11" s="4" t="s">
        <v>4</v>
      </c>
      <c r="B11" s="248">
        <f t="shared" si="0"/>
        <v>6.1746187375909083E-2</v>
      </c>
      <c r="C11" s="5">
        <v>405989025.50999999</v>
      </c>
      <c r="D11" s="109">
        <v>55446636.350000001</v>
      </c>
      <c r="E11" s="109">
        <v>13633083.18</v>
      </c>
      <c r="F11" s="109">
        <v>22981966.010000002</v>
      </c>
      <c r="G11" s="109">
        <v>11302948.529999999</v>
      </c>
      <c r="H11" s="109">
        <v>2422234.86</v>
      </c>
      <c r="I11" s="222">
        <f t="shared" si="1"/>
        <v>511775894.44</v>
      </c>
      <c r="J11" s="5">
        <f>+'COEF Art 14 F I'!$AF12*'PART PEF2023'!$G$4</f>
        <v>189149434.51590809</v>
      </c>
      <c r="K11" s="5">
        <f>+'COEF Art 14 F I'!$AF12*'PART PEF2023'!$G$5</f>
        <v>26535779.457379855</v>
      </c>
      <c r="L11" s="5">
        <f>+'COEF Art 14 F I'!$AF12*'PART PEF2023'!$G$6</f>
        <v>2465527.1345811184</v>
      </c>
      <c r="M11" s="5">
        <f>+'COEF Art 14 F I'!$AF12*'PART PEF2023'!$G$7</f>
        <v>6766145.2374883583</v>
      </c>
      <c r="N11" s="5">
        <f>+'COEF Art 14 F I'!$AF12*'PART PEF2023'!$G$8</f>
        <v>4684480.1194189405</v>
      </c>
      <c r="O11" s="5">
        <f>+'COEF Art 14 F I'!$AF12*'PART PEF2023'!$G$9</f>
        <v>477583.79123295296</v>
      </c>
      <c r="P11" s="225">
        <f t="shared" si="2"/>
        <v>230078950.25600931</v>
      </c>
      <c r="Q11" s="226">
        <f t="shared" si="3"/>
        <v>741854844.69600928</v>
      </c>
    </row>
    <row r="12" spans="1:17" ht="12.75" customHeight="1">
      <c r="A12" s="4" t="s">
        <v>5</v>
      </c>
      <c r="B12" s="248">
        <f t="shared" si="0"/>
        <v>1.0265070767311334E-2</v>
      </c>
      <c r="C12" s="5">
        <v>67494144.25</v>
      </c>
      <c r="D12" s="109">
        <v>9217794.1699999999</v>
      </c>
      <c r="E12" s="109">
        <v>2266448.66</v>
      </c>
      <c r="F12" s="109">
        <v>3820665.17</v>
      </c>
      <c r="G12" s="109">
        <v>1879072.56</v>
      </c>
      <c r="H12" s="109">
        <v>402687.41</v>
      </c>
      <c r="I12" s="222">
        <f t="shared" si="1"/>
        <v>85080812.219999999</v>
      </c>
      <c r="J12" s="5">
        <f>+'COEF Art 14 F I'!$AF13*'PART PEF2023'!$G$4</f>
        <v>10393680.832726849</v>
      </c>
      <c r="K12" s="5">
        <f>+'COEF Art 14 F I'!$AF13*'PART PEF2023'!$G$5</f>
        <v>1458129.7746594099</v>
      </c>
      <c r="L12" s="5">
        <f>+'COEF Art 14 F I'!$AF13*'PART PEF2023'!$G$6</f>
        <v>135479.66551868542</v>
      </c>
      <c r="M12" s="5">
        <f>+'COEF Art 14 F I'!$AF13*'PART PEF2023'!$G$7</f>
        <v>371796.79784035636</v>
      </c>
      <c r="N12" s="5">
        <f>+'COEF Art 14 F I'!$AF13*'PART PEF2023'!$G$8</f>
        <v>257410.18657076513</v>
      </c>
      <c r="O12" s="5">
        <f>+'COEF Art 14 F I'!$AF13*'PART PEF2023'!$G$9</f>
        <v>26243.025836492721</v>
      </c>
      <c r="P12" s="225">
        <f t="shared" si="2"/>
        <v>12642740.28315256</v>
      </c>
      <c r="Q12" s="226">
        <f t="shared" si="3"/>
        <v>97723552.503152564</v>
      </c>
    </row>
    <row r="13" spans="1:17" ht="12.75" customHeight="1">
      <c r="A13" s="4" t="s">
        <v>6</v>
      </c>
      <c r="B13" s="248">
        <f t="shared" si="0"/>
        <v>1.6322006518965273E-3</v>
      </c>
      <c r="C13" s="5">
        <v>10731926.619999999</v>
      </c>
      <c r="D13" s="109">
        <v>1465678.12</v>
      </c>
      <c r="E13" s="109">
        <v>360377.35</v>
      </c>
      <c r="F13" s="109">
        <v>607506.01</v>
      </c>
      <c r="G13" s="109">
        <v>298782.5</v>
      </c>
      <c r="H13" s="109">
        <v>64029.43</v>
      </c>
      <c r="I13" s="222">
        <f t="shared" si="1"/>
        <v>13528300.029999997</v>
      </c>
      <c r="J13" s="5">
        <f>+'COEF Art 14 F I'!$AF14*'PART PEF2023'!$G$4</f>
        <v>3013569.8896685936</v>
      </c>
      <c r="K13" s="5">
        <f>+'COEF Art 14 F I'!$AF14*'PART PEF2023'!$G$5</f>
        <v>422773.80408938427</v>
      </c>
      <c r="L13" s="5">
        <f>+'COEF Art 14 F I'!$AF14*'PART PEF2023'!$G$6</f>
        <v>39281.314025338281</v>
      </c>
      <c r="M13" s="5">
        <f>+'COEF Art 14 F I'!$AF14*'PART PEF2023'!$G$7</f>
        <v>107799.69609216349</v>
      </c>
      <c r="N13" s="5">
        <f>+'COEF Art 14 F I'!$AF14*'PART PEF2023'!$G$8</f>
        <v>74634.155120589421</v>
      </c>
      <c r="O13" s="5">
        <f>+'COEF Art 14 F I'!$AF14*'PART PEF2023'!$G$9</f>
        <v>7608.9687327738457</v>
      </c>
      <c r="P13" s="225">
        <f t="shared" si="2"/>
        <v>3665667.8277288429</v>
      </c>
      <c r="Q13" s="226">
        <f t="shared" si="3"/>
        <v>17193967.857728839</v>
      </c>
    </row>
    <row r="14" spans="1:17" ht="12.75" customHeight="1">
      <c r="A14" s="4" t="s">
        <v>130</v>
      </c>
      <c r="B14" s="248">
        <f t="shared" si="0"/>
        <v>1.6224393865744174E-2</v>
      </c>
      <c r="C14" s="5">
        <v>106677450.62</v>
      </c>
      <c r="D14" s="109">
        <v>14569127.34</v>
      </c>
      <c r="E14" s="109">
        <v>3582221.36</v>
      </c>
      <c r="F14" s="109">
        <v>6038728.6100000003</v>
      </c>
      <c r="G14" s="109">
        <v>2969956.47</v>
      </c>
      <c r="H14" s="109">
        <v>636465.09</v>
      </c>
      <c r="I14" s="222">
        <f t="shared" si="1"/>
        <v>134473949.49000001</v>
      </c>
      <c r="J14" s="5">
        <f>+'COEF Art 14 F I'!$AF15*'PART PEF2023'!$G$4</f>
        <v>30315945.368856713</v>
      </c>
      <c r="K14" s="5">
        <f>+'COEF Art 14 F I'!$AF15*'PART PEF2023'!$G$5</f>
        <v>4253024.8235148722</v>
      </c>
      <c r="L14" s="5">
        <f>+'COEF Art 14 F I'!$AF15*'PART PEF2023'!$G$6</f>
        <v>395162.61895622395</v>
      </c>
      <c r="M14" s="5">
        <f>+'COEF Art 14 F I'!$AF15*'PART PEF2023'!$G$7</f>
        <v>1084444.6344892227</v>
      </c>
      <c r="N14" s="5">
        <f>+'COEF Art 14 F I'!$AF15*'PART PEF2023'!$G$8</f>
        <v>750805.54031397903</v>
      </c>
      <c r="O14" s="5">
        <f>+'COEF Art 14 F I'!$AF15*'PART PEF2023'!$G$9</f>
        <v>76544.792011270794</v>
      </c>
      <c r="P14" s="225">
        <f t="shared" si="2"/>
        <v>36875927.778142281</v>
      </c>
      <c r="Q14" s="226">
        <f t="shared" si="3"/>
        <v>171349877.26814228</v>
      </c>
    </row>
    <row r="15" spans="1:17" ht="12.75" customHeight="1">
      <c r="A15" s="4" t="s">
        <v>131</v>
      </c>
      <c r="B15" s="248">
        <f t="shared" si="0"/>
        <v>2.8090677163632111E-3</v>
      </c>
      <c r="C15" s="5">
        <v>18469977.07</v>
      </c>
      <c r="D15" s="109">
        <v>2522477.2999999998</v>
      </c>
      <c r="E15" s="109">
        <v>620220.54</v>
      </c>
      <c r="F15" s="109">
        <v>1045536.6</v>
      </c>
      <c r="G15" s="109">
        <v>514213.9</v>
      </c>
      <c r="H15" s="109">
        <v>110196.63</v>
      </c>
      <c r="I15" s="222">
        <f t="shared" si="1"/>
        <v>23282622.039999999</v>
      </c>
      <c r="J15" s="5">
        <f>+'COEF Art 14 F I'!$AF16*'PART PEF2023'!$G$4</f>
        <v>21225405.234545432</v>
      </c>
      <c r="K15" s="5">
        <f>+'COEF Art 14 F I'!$AF16*'PART PEF2023'!$G$5</f>
        <v>2977712.6938756132</v>
      </c>
      <c r="L15" s="5">
        <f>+'COEF Art 14 F I'!$AF16*'PART PEF2023'!$G$6</f>
        <v>276669.14618161652</v>
      </c>
      <c r="M15" s="5">
        <f>+'COEF Art 14 F I'!$AF16*'PART PEF2023'!$G$7</f>
        <v>759263.03934787412</v>
      </c>
      <c r="N15" s="5">
        <f>+'COEF Art 14 F I'!$AF16*'PART PEF2023'!$G$8</f>
        <v>525668.97227216617</v>
      </c>
      <c r="O15" s="5">
        <f>+'COEF Art 14 F I'!$AF16*'PART PEF2023'!$G$9</f>
        <v>53592.068769930294</v>
      </c>
      <c r="P15" s="225">
        <f t="shared" si="2"/>
        <v>25818311.154992636</v>
      </c>
      <c r="Q15" s="226">
        <f t="shared" si="3"/>
        <v>49100933.194992632</v>
      </c>
    </row>
    <row r="16" spans="1:17" ht="12.75" customHeight="1">
      <c r="A16" s="4" t="s">
        <v>132</v>
      </c>
      <c r="B16" s="248">
        <f t="shared" si="0"/>
        <v>3.9163993690475322E-3</v>
      </c>
      <c r="C16" s="5">
        <v>25750823.350000001</v>
      </c>
      <c r="D16" s="109">
        <v>3516835.3</v>
      </c>
      <c r="E16" s="109">
        <v>864710.85</v>
      </c>
      <c r="F16" s="109">
        <v>1457686.07</v>
      </c>
      <c r="G16" s="109">
        <v>716916.5</v>
      </c>
      <c r="H16" s="109">
        <v>153636.03</v>
      </c>
      <c r="I16" s="222">
        <f t="shared" si="1"/>
        <v>32460608.100000005</v>
      </c>
      <c r="J16" s="5">
        <f>+'COEF Art 14 F I'!$AF17*'PART PEF2023'!$G$4</f>
        <v>7896159.3968566004</v>
      </c>
      <c r="K16" s="5">
        <f>+'COEF Art 14 F I'!$AF17*'PART PEF2023'!$G$5</f>
        <v>1107752.4225835423</v>
      </c>
      <c r="L16" s="5">
        <f>+'COEF Art 14 F I'!$AF17*'PART PEF2023'!$G$6</f>
        <v>102924.94556884487</v>
      </c>
      <c r="M16" s="5">
        <f>+'COEF Art 14 F I'!$AF17*'PART PEF2023'!$G$7</f>
        <v>282456.89147432731</v>
      </c>
      <c r="N16" s="5">
        <f>+'COEF Art 14 F I'!$AF17*'PART PEF2023'!$G$8</f>
        <v>195556.50170990525</v>
      </c>
      <c r="O16" s="5">
        <f>+'COEF Art 14 F I'!$AF17*'PART PEF2023'!$G$9</f>
        <v>19937.028892430139</v>
      </c>
      <c r="P16" s="225">
        <f t="shared" si="2"/>
        <v>9604787.187085649</v>
      </c>
      <c r="Q16" s="226">
        <f t="shared" si="3"/>
        <v>42065395.287085652</v>
      </c>
    </row>
    <row r="17" spans="1:17" ht="12.75" customHeight="1">
      <c r="A17" s="4" t="s">
        <v>7</v>
      </c>
      <c r="B17" s="248">
        <f t="shared" si="0"/>
        <v>8.2367609169855388E-3</v>
      </c>
      <c r="C17" s="5">
        <v>54157749.329999998</v>
      </c>
      <c r="D17" s="109">
        <v>7396419.2199999997</v>
      </c>
      <c r="E17" s="109">
        <v>1818613.45</v>
      </c>
      <c r="F17" s="109">
        <v>3065727.09</v>
      </c>
      <c r="G17" s="109">
        <v>1507780.3</v>
      </c>
      <c r="H17" s="109">
        <v>323119.05</v>
      </c>
      <c r="I17" s="222">
        <f t="shared" si="1"/>
        <v>68269408.439999998</v>
      </c>
      <c r="J17" s="5">
        <f>+'COEF Art 14 F I'!$AF18*'PART PEF2023'!$G$4</f>
        <v>10290869.899503417</v>
      </c>
      <c r="K17" s="5">
        <f>+'COEF Art 14 F I'!$AF18*'PART PEF2023'!$G$5</f>
        <v>1443706.4259626158</v>
      </c>
      <c r="L17" s="5">
        <f>+'COEF Art 14 F I'!$AF18*'PART PEF2023'!$G$6</f>
        <v>134139.54443271592</v>
      </c>
      <c r="M17" s="5">
        <f>+'COEF Art 14 F I'!$AF18*'PART PEF2023'!$G$7</f>
        <v>368119.10402133019</v>
      </c>
      <c r="N17" s="5">
        <f>+'COEF Art 14 F I'!$AF18*'PART PEF2023'!$G$8</f>
        <v>254863.9681589751</v>
      </c>
      <c r="O17" s="5">
        <f>+'COEF Art 14 F I'!$AF18*'PART PEF2023'!$G$9</f>
        <v>25983.438302463299</v>
      </c>
      <c r="P17" s="225">
        <f t="shared" si="2"/>
        <v>12517682.380381517</v>
      </c>
      <c r="Q17" s="226">
        <f t="shared" si="3"/>
        <v>80787090.820381522</v>
      </c>
    </row>
    <row r="18" spans="1:17" ht="12.75" customHeight="1">
      <c r="A18" s="4" t="s">
        <v>133</v>
      </c>
      <c r="B18" s="248">
        <f t="shared" si="0"/>
        <v>4.2224552993632E-3</v>
      </c>
      <c r="C18" s="5">
        <v>27763179.960000001</v>
      </c>
      <c r="D18" s="109">
        <v>3791666.39</v>
      </c>
      <c r="E18" s="109">
        <v>932285.65</v>
      </c>
      <c r="F18" s="109">
        <v>1571600.26</v>
      </c>
      <c r="G18" s="109">
        <v>772941.57</v>
      </c>
      <c r="H18" s="109">
        <v>165642.26999999999</v>
      </c>
      <c r="I18" s="222">
        <f t="shared" si="1"/>
        <v>34997316.100000001</v>
      </c>
      <c r="J18" s="5">
        <f>+'COEF Art 14 F I'!$AF19*'PART PEF2023'!$G$4</f>
        <v>15796270.126927773</v>
      </c>
      <c r="K18" s="5">
        <f>+'COEF Art 14 F I'!$AF19*'PART PEF2023'!$G$5</f>
        <v>2216059.1778142471</v>
      </c>
      <c r="L18" s="5">
        <f>+'COEF Art 14 F I'!$AF19*'PART PEF2023'!$G$6</f>
        <v>205901.39601944224</v>
      </c>
      <c r="M18" s="5">
        <f>+'COEF Art 14 F I'!$AF19*'PART PEF2023'!$G$7</f>
        <v>565055.12777730788</v>
      </c>
      <c r="N18" s="5">
        <f>+'COEF Art 14 F I'!$AF19*'PART PEF2023'!$G$8</f>
        <v>391210.86224733613</v>
      </c>
      <c r="O18" s="5">
        <f>+'COEF Art 14 F I'!$AF19*'PART PEF2023'!$G$9</f>
        <v>39884.034514116007</v>
      </c>
      <c r="P18" s="225">
        <f t="shared" si="2"/>
        <v>19214380.725300223</v>
      </c>
      <c r="Q18" s="226">
        <f t="shared" si="3"/>
        <v>54211696.825300224</v>
      </c>
    </row>
    <row r="19" spans="1:17" ht="12.75" customHeight="1">
      <c r="A19" s="4" t="s">
        <v>8</v>
      </c>
      <c r="B19" s="248">
        <f t="shared" si="0"/>
        <v>2.3104377152768963E-2</v>
      </c>
      <c r="C19" s="5">
        <v>151914214.69</v>
      </c>
      <c r="D19" s="109">
        <v>20747191.890000001</v>
      </c>
      <c r="E19" s="109">
        <v>5101268.74</v>
      </c>
      <c r="F19" s="109">
        <v>8599462.3000000007</v>
      </c>
      <c r="G19" s="109">
        <v>4229371.83</v>
      </c>
      <c r="H19" s="109">
        <v>906359.25</v>
      </c>
      <c r="I19" s="222">
        <f t="shared" si="1"/>
        <v>191497868.70000002</v>
      </c>
      <c r="J19" s="5">
        <f>+'COEF Art 14 F I'!$AF20*'PART PEF2023'!$G$4</f>
        <v>23011124.668354832</v>
      </c>
      <c r="K19" s="5">
        <f>+'COEF Art 14 F I'!$AF20*'PART PEF2023'!$G$5</f>
        <v>3228231.3231784045</v>
      </c>
      <c r="L19" s="5">
        <f>+'COEF Art 14 F I'!$AF20*'PART PEF2023'!$G$6</f>
        <v>299945.66154669743</v>
      </c>
      <c r="M19" s="5">
        <f>+'COEF Art 14 F I'!$AF20*'PART PEF2023'!$G$7</f>
        <v>823140.77217579691</v>
      </c>
      <c r="N19" s="5">
        <f>+'COEF Art 14 F I'!$AF20*'PART PEF2023'!$G$8</f>
        <v>569894.14909042732</v>
      </c>
      <c r="O19" s="5">
        <f>+'COEF Art 14 F I'!$AF20*'PART PEF2023'!$G$9</f>
        <v>58100.835393841757</v>
      </c>
      <c r="P19" s="225">
        <f t="shared" si="2"/>
        <v>27990437.409739997</v>
      </c>
      <c r="Q19" s="226">
        <f t="shared" si="3"/>
        <v>219488306.10974002</v>
      </c>
    </row>
    <row r="20" spans="1:17" ht="12.75" customHeight="1">
      <c r="A20" s="4" t="s">
        <v>9</v>
      </c>
      <c r="B20" s="248">
        <f t="shared" si="0"/>
        <v>2.9304992640436975E-3</v>
      </c>
      <c r="C20" s="5">
        <v>19268404.920000002</v>
      </c>
      <c r="D20" s="109">
        <v>2631520</v>
      </c>
      <c r="E20" s="109">
        <v>647031.68999999994</v>
      </c>
      <c r="F20" s="109">
        <v>1090733.49</v>
      </c>
      <c r="G20" s="109">
        <v>536442.55000000005</v>
      </c>
      <c r="H20" s="109">
        <v>114960.26</v>
      </c>
      <c r="I20" s="222">
        <f t="shared" si="1"/>
        <v>24289092.910000004</v>
      </c>
      <c r="J20" s="5">
        <f>+'COEF Art 14 F I'!$AF21*'PART PEF2023'!$G$4</f>
        <v>3332608.2919136197</v>
      </c>
      <c r="K20" s="5">
        <f>+'COEF Art 14 F I'!$AF21*'PART PEF2023'!$G$5</f>
        <v>467531.71046153811</v>
      </c>
      <c r="L20" s="5">
        <f>+'COEF Art 14 F I'!$AF21*'PART PEF2023'!$G$6</f>
        <v>43439.91930862482</v>
      </c>
      <c r="M20" s="5">
        <f>+'COEF Art 14 F I'!$AF21*'PART PEF2023'!$G$7</f>
        <v>119212.15509026073</v>
      </c>
      <c r="N20" s="5">
        <f>+'COEF Art 14 F I'!$AF21*'PART PEF2023'!$G$8</f>
        <v>82535.469002245853</v>
      </c>
      <c r="O20" s="5">
        <f>+'COEF Art 14 F I'!$AF21*'PART PEF2023'!$G$9</f>
        <v>8414.509442335253</v>
      </c>
      <c r="P20" s="225">
        <f t="shared" si="2"/>
        <v>4053742.0552186249</v>
      </c>
      <c r="Q20" s="226">
        <f t="shared" si="3"/>
        <v>28342834.96521863</v>
      </c>
    </row>
    <row r="21" spans="1:17" ht="12.75" customHeight="1">
      <c r="A21" s="4" t="s">
        <v>134</v>
      </c>
      <c r="B21" s="248">
        <f t="shared" si="0"/>
        <v>2.0540740476136517E-3</v>
      </c>
      <c r="C21" s="5">
        <v>13505797.789999999</v>
      </c>
      <c r="D21" s="109">
        <v>1844510.59</v>
      </c>
      <c r="E21" s="109">
        <v>453523.75</v>
      </c>
      <c r="F21" s="109">
        <v>764527.53</v>
      </c>
      <c r="G21" s="109">
        <v>376008.53</v>
      </c>
      <c r="H21" s="109">
        <v>80579.06</v>
      </c>
      <c r="I21" s="222">
        <f t="shared" si="1"/>
        <v>17024947.249999996</v>
      </c>
      <c r="J21" s="5">
        <f>+'COEF Art 14 F I'!$AF22*'PART PEF2023'!$G$4</f>
        <v>2406016.0966842105</v>
      </c>
      <c r="K21" s="5">
        <f>+'COEF Art 14 F I'!$AF22*'PART PEF2023'!$G$5</f>
        <v>337540.06548271503</v>
      </c>
      <c r="L21" s="5">
        <f>+'COEF Art 14 F I'!$AF22*'PART PEF2023'!$G$6</f>
        <v>31361.96514568464</v>
      </c>
      <c r="M21" s="5">
        <f>+'COEF Art 14 F I'!$AF22*'PART PEF2023'!$G$7</f>
        <v>86066.629781708616</v>
      </c>
      <c r="N21" s="5">
        <f>+'COEF Art 14 F I'!$AF22*'PART PEF2023'!$G$8</f>
        <v>59587.461103253896</v>
      </c>
      <c r="O21" s="5">
        <f>+'COEF Art 14 F I'!$AF22*'PART PEF2023'!$G$9</f>
        <v>6074.9549273715402</v>
      </c>
      <c r="P21" s="225">
        <f t="shared" si="2"/>
        <v>2926647.1731249443</v>
      </c>
      <c r="Q21" s="226">
        <f t="shared" si="3"/>
        <v>19951594.423124939</v>
      </c>
    </row>
    <row r="22" spans="1:17" ht="12.75" customHeight="1">
      <c r="A22" s="4" t="s">
        <v>10</v>
      </c>
      <c r="B22" s="248">
        <f t="shared" si="0"/>
        <v>1.789739818979736E-2</v>
      </c>
      <c r="C22" s="5">
        <v>117677666.58</v>
      </c>
      <c r="D22" s="109">
        <v>16071446.210000001</v>
      </c>
      <c r="E22" s="109">
        <v>3951607.84</v>
      </c>
      <c r="F22" s="109">
        <v>6661421.7699999996</v>
      </c>
      <c r="G22" s="109">
        <v>3276208.28</v>
      </c>
      <c r="H22" s="109">
        <v>702095.2</v>
      </c>
      <c r="I22" s="222">
        <f t="shared" si="1"/>
        <v>148340445.88</v>
      </c>
      <c r="J22" s="5">
        <f>+'COEF Art 14 F I'!$AF23*'PART PEF2023'!$G$4</f>
        <v>21481725.317084439</v>
      </c>
      <c r="K22" s="5">
        <f>+'COEF Art 14 F I'!$AF23*'PART PEF2023'!$G$5</f>
        <v>3013671.8454224309</v>
      </c>
      <c r="L22" s="5">
        <f>+'COEF Art 14 F I'!$AF23*'PART PEF2023'!$G$6</f>
        <v>280010.23001966963</v>
      </c>
      <c r="M22" s="5">
        <f>+'COEF Art 14 F I'!$AF23*'PART PEF2023'!$G$7</f>
        <v>768431.97453492612</v>
      </c>
      <c r="N22" s="5">
        <f>+'COEF Art 14 F I'!$AF23*'PART PEF2023'!$G$8</f>
        <v>532017.00251573953</v>
      </c>
      <c r="O22" s="5">
        <f>+'COEF Art 14 F I'!$AF23*'PART PEF2023'!$G$9</f>
        <v>54239.251866731072</v>
      </c>
      <c r="P22" s="225">
        <f t="shared" si="2"/>
        <v>26130095.621443938</v>
      </c>
      <c r="Q22" s="226">
        <f t="shared" si="3"/>
        <v>174470541.50144392</v>
      </c>
    </row>
    <row r="23" spans="1:17" ht="12.75" customHeight="1">
      <c r="A23" s="4" t="s">
        <v>135</v>
      </c>
      <c r="B23" s="248">
        <f t="shared" si="0"/>
        <v>2.2157092194668406E-2</v>
      </c>
      <c r="C23" s="5">
        <v>145685695.75999999</v>
      </c>
      <c r="D23" s="109">
        <v>19896552.09</v>
      </c>
      <c r="E23" s="109">
        <v>4892115.51</v>
      </c>
      <c r="F23" s="109">
        <v>8246882.2999999998</v>
      </c>
      <c r="G23" s="109">
        <v>4055966.58</v>
      </c>
      <c r="H23" s="109">
        <v>869198.3</v>
      </c>
      <c r="I23" s="222">
        <f t="shared" si="1"/>
        <v>183646410.54000002</v>
      </c>
      <c r="J23" s="5">
        <f>+'COEF Art 14 F I'!$AF24*'PART PEF2023'!$G$4</f>
        <v>86220364.60580714</v>
      </c>
      <c r="K23" s="5">
        <f>+'COEF Art 14 F I'!$AF24*'PART PEF2023'!$G$5</f>
        <v>12095857.361509353</v>
      </c>
      <c r="L23" s="5">
        <f>+'COEF Art 14 F I'!$AF24*'PART PEF2023'!$G$6</f>
        <v>1123866.159225638</v>
      </c>
      <c r="M23" s="5">
        <f>+'COEF Art 14 F I'!$AF24*'PART PEF2023'!$G$7</f>
        <v>3084225.5005685869</v>
      </c>
      <c r="N23" s="5">
        <f>+'COEF Art 14 F I'!$AF24*'PART PEF2023'!$G$8</f>
        <v>2135335.9311840124</v>
      </c>
      <c r="O23" s="5">
        <f>+'COEF Art 14 F I'!$AF24*'PART PEF2023'!$G$9</f>
        <v>217697.97364350947</v>
      </c>
      <c r="P23" s="225">
        <f t="shared" si="2"/>
        <v>104877347.53193824</v>
      </c>
      <c r="Q23" s="226">
        <f t="shared" si="3"/>
        <v>288523758.07193828</v>
      </c>
    </row>
    <row r="24" spans="1:17" ht="12.75" customHeight="1">
      <c r="A24" s="4" t="s">
        <v>11</v>
      </c>
      <c r="B24" s="248">
        <f t="shared" si="0"/>
        <v>3.4398861361697184E-3</v>
      </c>
      <c r="C24" s="5">
        <v>22617688.309999999</v>
      </c>
      <c r="D24" s="109">
        <v>3088937.53</v>
      </c>
      <c r="E24" s="109">
        <v>759500.4</v>
      </c>
      <c r="F24" s="109">
        <v>1280327.57</v>
      </c>
      <c r="G24" s="109">
        <v>629688.37</v>
      </c>
      <c r="H24" s="109">
        <v>134942.94</v>
      </c>
      <c r="I24" s="222">
        <f t="shared" si="1"/>
        <v>28511085.120000001</v>
      </c>
      <c r="J24" s="5">
        <f>+'COEF Art 14 F I'!$AF25*'PART PEF2023'!$G$4</f>
        <v>7374787.6759792343</v>
      </c>
      <c r="K24" s="5">
        <f>+'COEF Art 14 F I'!$AF25*'PART PEF2023'!$G$5</f>
        <v>1034609.1692826565</v>
      </c>
      <c r="L24" s="5">
        <f>+'COEF Art 14 F I'!$AF25*'PART PEF2023'!$G$6</f>
        <v>96128.963712931421</v>
      </c>
      <c r="M24" s="5">
        <f>+'COEF Art 14 F I'!$AF25*'PART PEF2023'!$G$7</f>
        <v>263806.68088710611</v>
      </c>
      <c r="N24" s="5">
        <f>+'COEF Art 14 F I'!$AF25*'PART PEF2023'!$G$8</f>
        <v>182644.1952706711</v>
      </c>
      <c r="O24" s="5">
        <f>+'COEF Art 14 F I'!$AF25*'PART PEF2023'!$G$9</f>
        <v>18620.616375863403</v>
      </c>
      <c r="P24" s="225">
        <f t="shared" si="2"/>
        <v>8970597.3015084621</v>
      </c>
      <c r="Q24" s="226">
        <f t="shared" si="3"/>
        <v>37481682.421508461</v>
      </c>
    </row>
    <row r="25" spans="1:17" ht="12.75" customHeight="1">
      <c r="A25" s="4" t="s">
        <v>12</v>
      </c>
      <c r="B25" s="248">
        <f t="shared" si="0"/>
        <v>4.7021207700091501E-2</v>
      </c>
      <c r="C25" s="5">
        <v>309170413.64999998</v>
      </c>
      <c r="D25" s="109">
        <v>42223947.990000002</v>
      </c>
      <c r="E25" s="109">
        <v>10381920.939999999</v>
      </c>
      <c r="F25" s="109">
        <v>17501320.210000001</v>
      </c>
      <c r="G25" s="109">
        <v>8607467.3300000001</v>
      </c>
      <c r="H25" s="109">
        <v>1844590.14</v>
      </c>
      <c r="I25" s="222">
        <f t="shared" si="1"/>
        <v>389729660.25999993</v>
      </c>
      <c r="J25" s="5">
        <f>+'COEF Art 14 F I'!$AF26*'PART PEF2023'!$G$4</f>
        <v>123655327.18812959</v>
      </c>
      <c r="K25" s="5">
        <f>+'COEF Art 14 F I'!$AF26*'PART PEF2023'!$G$5</f>
        <v>17347609.308968812</v>
      </c>
      <c r="L25" s="5">
        <f>+'COEF Art 14 F I'!$AF26*'PART PEF2023'!$G$6</f>
        <v>1611823.8222499089</v>
      </c>
      <c r="M25" s="5">
        <f>+'COEF Art 14 F I'!$AF26*'PART PEF2023'!$G$7</f>
        <v>4423327.5414506253</v>
      </c>
      <c r="N25" s="5">
        <f>+'COEF Art 14 F I'!$AF26*'PART PEF2023'!$G$8</f>
        <v>3062451.2484298209</v>
      </c>
      <c r="O25" s="5">
        <f>+'COEF Art 14 F I'!$AF26*'PART PEF2023'!$G$9</f>
        <v>312217.58667056117</v>
      </c>
      <c r="P25" s="225">
        <f t="shared" si="2"/>
        <v>150412756.69589931</v>
      </c>
      <c r="Q25" s="226">
        <f t="shared" si="3"/>
        <v>540142416.95589924</v>
      </c>
    </row>
    <row r="26" spans="1:17" ht="12.75" customHeight="1">
      <c r="A26" s="4" t="s">
        <v>136</v>
      </c>
      <c r="B26" s="248">
        <f t="shared" si="0"/>
        <v>6.9425035925257004E-3</v>
      </c>
      <c r="C26" s="5">
        <v>45647843.009999998</v>
      </c>
      <c r="D26" s="109">
        <v>6234206.3300000001</v>
      </c>
      <c r="E26" s="109">
        <v>1532851.39</v>
      </c>
      <c r="F26" s="109">
        <v>2584003.7799999998</v>
      </c>
      <c r="G26" s="109">
        <v>1270860.02</v>
      </c>
      <c r="H26" s="109">
        <v>272346.76</v>
      </c>
      <c r="I26" s="222">
        <f t="shared" si="1"/>
        <v>57542111.289999999</v>
      </c>
      <c r="J26" s="5">
        <f>+'COEF Art 14 F I'!$AF27*'PART PEF2023'!$G$4</f>
        <v>9944728.3140175249</v>
      </c>
      <c r="K26" s="5">
        <f>+'COEF Art 14 F I'!$AF27*'PART PEF2023'!$G$5</f>
        <v>1395146.2132557204</v>
      </c>
      <c r="L26" s="5">
        <f>+'COEF Art 14 F I'!$AF27*'PART PEF2023'!$G$6</f>
        <v>129627.65427768284</v>
      </c>
      <c r="M26" s="5">
        <f>+'COEF Art 14 F I'!$AF27*'PART PEF2023'!$G$7</f>
        <v>355737.12547549914</v>
      </c>
      <c r="N26" s="5">
        <f>+'COEF Art 14 F I'!$AF27*'PART PEF2023'!$G$8</f>
        <v>246291.41609260114</v>
      </c>
      <c r="O26" s="5">
        <f>+'COEF Art 14 F I'!$AF27*'PART PEF2023'!$G$9</f>
        <v>25109.464710510343</v>
      </c>
      <c r="P26" s="225">
        <f t="shared" si="2"/>
        <v>12096640.187829539</v>
      </c>
      <c r="Q26" s="226">
        <f t="shared" si="3"/>
        <v>69638751.477829546</v>
      </c>
    </row>
    <row r="27" spans="1:17" ht="12.75" customHeight="1">
      <c r="A27" s="4" t="s">
        <v>13</v>
      </c>
      <c r="B27" s="248">
        <f t="shared" si="0"/>
        <v>1.1304125465160277E-3</v>
      </c>
      <c r="C27" s="5">
        <v>7432606.0899999999</v>
      </c>
      <c r="D27" s="109">
        <v>1015084.11</v>
      </c>
      <c r="E27" s="109">
        <v>249586.39</v>
      </c>
      <c r="F27" s="109">
        <v>420740.19</v>
      </c>
      <c r="G27" s="109">
        <v>206927.67</v>
      </c>
      <c r="H27" s="109">
        <v>44344.84</v>
      </c>
      <c r="I27" s="222">
        <f t="shared" si="1"/>
        <v>9369289.2899999991</v>
      </c>
      <c r="J27" s="5">
        <f>+'COEF Art 14 F I'!$AF28*'PART PEF2023'!$G$4</f>
        <v>1949345.2638879882</v>
      </c>
      <c r="K27" s="5">
        <f>+'COEF Art 14 F I'!$AF28*'PART PEF2023'!$G$5</f>
        <v>273473.70157994918</v>
      </c>
      <c r="L27" s="5">
        <f>+'COEF Art 14 F I'!$AF28*'PART PEF2023'!$G$6</f>
        <v>25409.347139120375</v>
      </c>
      <c r="M27" s="5">
        <f>+'COEF Art 14 F I'!$AF28*'PART PEF2023'!$G$7</f>
        <v>69730.862305945266</v>
      </c>
      <c r="N27" s="5">
        <f>+'COEF Art 14 F I'!$AF28*'PART PEF2023'!$G$8</f>
        <v>48277.538645238434</v>
      </c>
      <c r="O27" s="5">
        <f>+'COEF Art 14 F I'!$AF28*'PART PEF2023'!$G$9</f>
        <v>4921.9058144809223</v>
      </c>
      <c r="P27" s="225">
        <f t="shared" si="2"/>
        <v>2371158.6193727227</v>
      </c>
      <c r="Q27" s="226">
        <f t="shared" si="3"/>
        <v>11740447.909372721</v>
      </c>
    </row>
    <row r="28" spans="1:17" ht="12.75" customHeight="1">
      <c r="A28" s="4" t="s">
        <v>14</v>
      </c>
      <c r="B28" s="248">
        <f t="shared" si="0"/>
        <v>5.1639461689696681E-3</v>
      </c>
      <c r="C28" s="5">
        <v>33953602.020000003</v>
      </c>
      <c r="D28" s="109">
        <v>4637103.24</v>
      </c>
      <c r="E28" s="109">
        <v>1140159.5900000001</v>
      </c>
      <c r="F28" s="109">
        <v>1922023.7</v>
      </c>
      <c r="G28" s="109">
        <v>945286.18</v>
      </c>
      <c r="H28" s="109">
        <v>202575.92</v>
      </c>
      <c r="I28" s="222">
        <f t="shared" si="1"/>
        <v>42800750.650000013</v>
      </c>
      <c r="J28" s="5">
        <f>+'COEF Art 14 F I'!$AF29*'PART PEF2023'!$G$4</f>
        <v>5576005.2373161567</v>
      </c>
      <c r="K28" s="5">
        <f>+'COEF Art 14 F I'!$AF29*'PART PEF2023'!$G$5</f>
        <v>782257.93066366436</v>
      </c>
      <c r="L28" s="5">
        <f>+'COEF Art 14 F I'!$AF29*'PART PEF2023'!$G$6</f>
        <v>72682.174548151655</v>
      </c>
      <c r="M28" s="5">
        <f>+'COEF Art 14 F I'!$AF29*'PART PEF2023'!$G$7</f>
        <v>199461.665731302</v>
      </c>
      <c r="N28" s="5">
        <f>+'COEF Art 14 F I'!$AF29*'PART PEF2023'!$G$8</f>
        <v>138095.49971341091</v>
      </c>
      <c r="O28" s="5">
        <f>+'COEF Art 14 F I'!$AF29*'PART PEF2023'!$G$9</f>
        <v>14078.8669444755</v>
      </c>
      <c r="P28" s="225">
        <f t="shared" si="2"/>
        <v>6782581.3749171617</v>
      </c>
      <c r="Q28" s="226">
        <f t="shared" si="3"/>
        <v>49583332.024917178</v>
      </c>
    </row>
    <row r="29" spans="1:17" ht="12.75" customHeight="1">
      <c r="A29" s="4" t="s">
        <v>15</v>
      </c>
      <c r="B29" s="248">
        <f t="shared" si="0"/>
        <v>5.1356521493553407E-3</v>
      </c>
      <c r="C29" s="5">
        <v>33767565.25</v>
      </c>
      <c r="D29" s="109">
        <v>4611695.87</v>
      </c>
      <c r="E29" s="109">
        <v>1133912.49</v>
      </c>
      <c r="F29" s="109">
        <v>1911492.65</v>
      </c>
      <c r="G29" s="109">
        <v>940106.82</v>
      </c>
      <c r="H29" s="109">
        <v>201465.97</v>
      </c>
      <c r="I29" s="222">
        <f t="shared" si="1"/>
        <v>42566239.049999997</v>
      </c>
      <c r="J29" s="5">
        <f>+'COEF Art 14 F I'!$AF30*'PART PEF2023'!$G$4</f>
        <v>20643443.337932065</v>
      </c>
      <c r="K29" s="5">
        <f>+'COEF Art 14 F I'!$AF30*'PART PEF2023'!$G$5</f>
        <v>2896069.2431264543</v>
      </c>
      <c r="L29" s="5">
        <f>+'COEF Art 14 F I'!$AF30*'PART PEF2023'!$G$6</f>
        <v>269083.38283495489</v>
      </c>
      <c r="M29" s="5">
        <f>+'COEF Art 14 F I'!$AF30*'PART PEF2023'!$G$7</f>
        <v>738445.43169682368</v>
      </c>
      <c r="N29" s="5">
        <f>+'COEF Art 14 F I'!$AF30*'PART PEF2023'!$G$8</f>
        <v>511256.08786718856</v>
      </c>
      <c r="O29" s="5">
        <f>+'COEF Art 14 F I'!$AF30*'PART PEF2023'!$G$9</f>
        <v>52122.671995633529</v>
      </c>
      <c r="P29" s="225">
        <f t="shared" si="2"/>
        <v>25110420.155453123</v>
      </c>
      <c r="Q29" s="226">
        <f t="shared" si="3"/>
        <v>67676659.205453128</v>
      </c>
    </row>
    <row r="30" spans="1:17" ht="12.75" customHeight="1">
      <c r="A30" s="4" t="s">
        <v>16</v>
      </c>
      <c r="B30" s="248">
        <f t="shared" si="0"/>
        <v>8.0421059106168938E-2</v>
      </c>
      <c r="C30" s="5">
        <v>528778679.38</v>
      </c>
      <c r="D30" s="109">
        <v>72216235.670000002</v>
      </c>
      <c r="E30" s="109">
        <v>17756351.190000001</v>
      </c>
      <c r="F30" s="109">
        <v>29932763.879999999</v>
      </c>
      <c r="G30" s="109">
        <v>14721477.23</v>
      </c>
      <c r="H30" s="109">
        <v>3154829.49</v>
      </c>
      <c r="I30" s="222">
        <f t="shared" si="1"/>
        <v>666560336.84000003</v>
      </c>
      <c r="J30" s="5">
        <f>+'COEF Art 14 F I'!$AF31*'PART PEF2023'!$G$4</f>
        <v>145816472.53171089</v>
      </c>
      <c r="K30" s="5">
        <f>+'COEF Art 14 F I'!$AF31*'PART PEF2023'!$G$5</f>
        <v>20456597.008906957</v>
      </c>
      <c r="L30" s="5">
        <f>+'COEF Art 14 F I'!$AF31*'PART PEF2023'!$G$6</f>
        <v>1900690.1639222142</v>
      </c>
      <c r="M30" s="5">
        <f>+'COEF Art 14 F I'!$AF31*'PART PEF2023'!$G$7</f>
        <v>5216063.3400403317</v>
      </c>
      <c r="N30" s="5">
        <f>+'COEF Art 14 F I'!$AF31*'PART PEF2023'!$G$8</f>
        <v>3611294.7860869695</v>
      </c>
      <c r="O30" s="5">
        <f>+'COEF Art 14 F I'!$AF31*'PART PEF2023'!$G$9</f>
        <v>368172.30754159775</v>
      </c>
      <c r="P30" s="225">
        <f t="shared" si="2"/>
        <v>177369290.13820899</v>
      </c>
      <c r="Q30" s="226">
        <f t="shared" si="3"/>
        <v>843929626.97820902</v>
      </c>
    </row>
    <row r="31" spans="1:17" ht="12.75" customHeight="1">
      <c r="A31" s="4" t="s">
        <v>137</v>
      </c>
      <c r="B31" s="248">
        <f t="shared" si="0"/>
        <v>2.0708092445871819E-3</v>
      </c>
      <c r="C31" s="5">
        <v>13615833.84</v>
      </c>
      <c r="D31" s="109">
        <v>1859538.41</v>
      </c>
      <c r="E31" s="109">
        <v>457218.75</v>
      </c>
      <c r="F31" s="109">
        <v>770756.38</v>
      </c>
      <c r="G31" s="109">
        <v>379071.99</v>
      </c>
      <c r="H31" s="109">
        <v>81235.56</v>
      </c>
      <c r="I31" s="222">
        <f t="shared" si="1"/>
        <v>17163654.93</v>
      </c>
      <c r="J31" s="5">
        <f>+'COEF Art 14 F I'!$AF32*'PART PEF2023'!$G$4</f>
        <v>2031777.1827374625</v>
      </c>
      <c r="K31" s="5">
        <f>+'COEF Art 14 F I'!$AF32*'PART PEF2023'!$G$5</f>
        <v>285038.07778036717</v>
      </c>
      <c r="L31" s="5">
        <f>+'COEF Art 14 F I'!$AF32*'PART PEF2023'!$G$6</f>
        <v>26483.83162383013</v>
      </c>
      <c r="M31" s="5">
        <f>+'COEF Art 14 F I'!$AF32*'PART PEF2023'!$G$7</f>
        <v>72679.569694724109</v>
      </c>
      <c r="N31" s="5">
        <f>+'COEF Art 14 F I'!$AF32*'PART PEF2023'!$G$8</f>
        <v>50319.049824186426</v>
      </c>
      <c r="O31" s="5">
        <f>+'COEF Art 14 F I'!$AF32*'PART PEF2023'!$G$9</f>
        <v>5130.0383337427129</v>
      </c>
      <c r="P31" s="225">
        <f t="shared" si="2"/>
        <v>2471427.7499943129</v>
      </c>
      <c r="Q31" s="226">
        <f t="shared" si="3"/>
        <v>19635082.679994311</v>
      </c>
    </row>
    <row r="32" spans="1:17" ht="12.75" customHeight="1">
      <c r="A32" s="4" t="s">
        <v>17</v>
      </c>
      <c r="B32" s="248">
        <f t="shared" si="0"/>
        <v>3.5645779094214684E-3</v>
      </c>
      <c r="C32" s="5">
        <v>23437552.559999999</v>
      </c>
      <c r="D32" s="109">
        <v>3200907.84</v>
      </c>
      <c r="E32" s="109">
        <v>787031.38</v>
      </c>
      <c r="F32" s="109">
        <v>1326737.9199999999</v>
      </c>
      <c r="G32" s="109">
        <v>652513.81999999995</v>
      </c>
      <c r="H32" s="109">
        <v>139834.46</v>
      </c>
      <c r="I32" s="222">
        <f t="shared" si="1"/>
        <v>29544577.979999997</v>
      </c>
      <c r="J32" s="5">
        <f>+'COEF Art 14 F I'!$AF33*'PART PEF2023'!$G$4</f>
        <v>3857983.8804215742</v>
      </c>
      <c r="K32" s="5">
        <f>+'COEF Art 14 F I'!$AF33*'PART PEF2023'!$G$5</f>
        <v>541236.66646427847</v>
      </c>
      <c r="L32" s="5">
        <f>+'COEF Art 14 F I'!$AF33*'PART PEF2023'!$G$6</f>
        <v>50288.090822475926</v>
      </c>
      <c r="M32" s="5">
        <f>+'COEF Art 14 F I'!$AF33*'PART PEF2023'!$G$7</f>
        <v>138005.58973717623</v>
      </c>
      <c r="N32" s="5">
        <f>+'COEF Art 14 F I'!$AF33*'PART PEF2023'!$G$8</f>
        <v>95546.93533780369</v>
      </c>
      <c r="O32" s="5">
        <f>+'COEF Art 14 F I'!$AF33*'PART PEF2023'!$G$9</f>
        <v>9741.0313324113777</v>
      </c>
      <c r="P32" s="225">
        <f t="shared" si="2"/>
        <v>4692802.1941157198</v>
      </c>
      <c r="Q32" s="226">
        <f t="shared" si="3"/>
        <v>34237380.174115717</v>
      </c>
    </row>
    <row r="33" spans="1:17" ht="12.75" customHeight="1">
      <c r="A33" s="4" t="s">
        <v>18</v>
      </c>
      <c r="B33" s="248">
        <f t="shared" si="0"/>
        <v>2.0457963388226361E-3</v>
      </c>
      <c r="C33" s="5">
        <v>13451370.800000001</v>
      </c>
      <c r="D33" s="109">
        <v>1837077.4</v>
      </c>
      <c r="E33" s="109">
        <v>451696.09</v>
      </c>
      <c r="F33" s="109">
        <v>761446.56</v>
      </c>
      <c r="G33" s="109">
        <v>374493.26</v>
      </c>
      <c r="H33" s="109">
        <v>80254.34</v>
      </c>
      <c r="I33" s="222">
        <f t="shared" si="1"/>
        <v>16956338.450000003</v>
      </c>
      <c r="J33" s="5">
        <f>+'COEF Art 14 F I'!$AF34*'PART PEF2023'!$G$4</f>
        <v>2914292.6910935254</v>
      </c>
      <c r="K33" s="5">
        <f>+'COEF Art 14 F I'!$AF34*'PART PEF2023'!$G$5</f>
        <v>408846.20312522195</v>
      </c>
      <c r="L33" s="5">
        <f>+'COEF Art 14 F I'!$AF34*'PART PEF2023'!$G$6</f>
        <v>37987.254502726049</v>
      </c>
      <c r="M33" s="5">
        <f>+'COEF Art 14 F I'!$AF34*'PART PEF2023'!$G$7</f>
        <v>104248.40900505676</v>
      </c>
      <c r="N33" s="5">
        <f>+'COEF Art 14 F I'!$AF34*'PART PEF2023'!$G$8</f>
        <v>72175.453278700486</v>
      </c>
      <c r="O33" s="5">
        <f>+'COEF Art 14 F I'!$AF34*'PART PEF2023'!$G$9</f>
        <v>7358.3035325324972</v>
      </c>
      <c r="P33" s="225">
        <f t="shared" si="2"/>
        <v>3544908.3145377631</v>
      </c>
      <c r="Q33" s="226">
        <f t="shared" si="3"/>
        <v>20501246.764537767</v>
      </c>
    </row>
    <row r="34" spans="1:17" ht="12.75" customHeight="1">
      <c r="A34" s="4" t="s">
        <v>19</v>
      </c>
      <c r="B34" s="248">
        <f t="shared" si="0"/>
        <v>2.8536600273328019E-3</v>
      </c>
      <c r="C34" s="5">
        <v>18763177.170000002</v>
      </c>
      <c r="D34" s="109">
        <v>2562520.16</v>
      </c>
      <c r="E34" s="109">
        <v>630066.18000000005</v>
      </c>
      <c r="F34" s="109">
        <v>1062133.8799999999</v>
      </c>
      <c r="G34" s="109">
        <v>522376.75</v>
      </c>
      <c r="H34" s="109">
        <v>111945.94</v>
      </c>
      <c r="I34" s="222">
        <f t="shared" si="1"/>
        <v>23652220.080000002</v>
      </c>
      <c r="J34" s="5">
        <f>+'COEF Art 14 F I'!$AF35*'PART PEF2023'!$G$4</f>
        <v>3406340.3952957839</v>
      </c>
      <c r="K34" s="5">
        <f>+'COEF Art 14 F I'!$AF35*'PART PEF2023'!$G$5</f>
        <v>477875.58930677612</v>
      </c>
      <c r="L34" s="5">
        <f>+'COEF Art 14 F I'!$AF35*'PART PEF2023'!$G$6</f>
        <v>44401.003342757511</v>
      </c>
      <c r="M34" s="5">
        <f>+'COEF Art 14 F I'!$AF35*'PART PEF2023'!$G$7</f>
        <v>121849.65766290137</v>
      </c>
      <c r="N34" s="5">
        <f>+'COEF Art 14 F I'!$AF35*'PART PEF2023'!$G$8</f>
        <v>84361.520311046566</v>
      </c>
      <c r="O34" s="5">
        <f>+'COEF Art 14 F I'!$AF35*'PART PEF2023'!$G$9</f>
        <v>8600.6757798606886</v>
      </c>
      <c r="P34" s="225">
        <f t="shared" si="2"/>
        <v>4143428.8416991257</v>
      </c>
      <c r="Q34" s="226">
        <f t="shared" si="3"/>
        <v>27795648.921699129</v>
      </c>
    </row>
    <row r="35" spans="1:17" ht="12.75" customHeight="1">
      <c r="A35" s="4" t="s">
        <v>20</v>
      </c>
      <c r="B35" s="248">
        <f t="shared" si="0"/>
        <v>2.7195745106174856E-3</v>
      </c>
      <c r="C35" s="5">
        <v>17881547.870000001</v>
      </c>
      <c r="D35" s="109">
        <v>2442114.4900000002</v>
      </c>
      <c r="E35" s="109">
        <v>600461.13</v>
      </c>
      <c r="F35" s="109">
        <v>1012227.18</v>
      </c>
      <c r="G35" s="109">
        <v>497831.72</v>
      </c>
      <c r="H35" s="109">
        <v>106685.91</v>
      </c>
      <c r="I35" s="222">
        <f t="shared" si="1"/>
        <v>22540868.299999997</v>
      </c>
      <c r="J35" s="5">
        <f>+'COEF Art 14 F I'!$AF36*'PART PEF2023'!$G$4</f>
        <v>3553736.8267708709</v>
      </c>
      <c r="K35" s="5">
        <f>+'COEF Art 14 F I'!$AF36*'PART PEF2023'!$G$5</f>
        <v>498553.83880002936</v>
      </c>
      <c r="L35" s="5">
        <f>+'COEF Art 14 F I'!$AF36*'PART PEF2023'!$G$6</f>
        <v>46322.287972935403</v>
      </c>
      <c r="M35" s="5">
        <f>+'COEF Art 14 F I'!$AF36*'PART PEF2023'!$G$7</f>
        <v>127122.23838935372</v>
      </c>
      <c r="N35" s="5">
        <f>+'COEF Art 14 F I'!$AF36*'PART PEF2023'!$G$8</f>
        <v>88011.944403962756</v>
      </c>
      <c r="O35" s="5">
        <f>+'COEF Art 14 F I'!$AF36*'PART PEF2023'!$G$9</f>
        <v>8972.8373289461542</v>
      </c>
      <c r="P35" s="225">
        <f t="shared" si="2"/>
        <v>4322719.9736660989</v>
      </c>
      <c r="Q35" s="226">
        <f t="shared" si="3"/>
        <v>26863588.273666095</v>
      </c>
    </row>
    <row r="36" spans="1:17" ht="12.75" customHeight="1">
      <c r="A36" s="4" t="s">
        <v>138</v>
      </c>
      <c r="B36" s="248">
        <f t="shared" si="0"/>
        <v>2.5221239259035563E-2</v>
      </c>
      <c r="C36" s="5">
        <v>165832851.94</v>
      </c>
      <c r="D36" s="109">
        <v>22648084.699999999</v>
      </c>
      <c r="E36" s="109">
        <v>5568655.6100000003</v>
      </c>
      <c r="F36" s="109">
        <v>9387359.5800000001</v>
      </c>
      <c r="G36" s="109">
        <v>4616874.03</v>
      </c>
      <c r="H36" s="109">
        <v>989401.41</v>
      </c>
      <c r="I36" s="222">
        <f t="shared" si="1"/>
        <v>209043227.27000001</v>
      </c>
      <c r="J36" s="5">
        <f>+'COEF Art 14 F I'!$AF37*'PART PEF2023'!$G$4</f>
        <v>106163807.40985258</v>
      </c>
      <c r="K36" s="5">
        <f>+'COEF Art 14 F I'!$AF37*'PART PEF2023'!$G$5</f>
        <v>14893723.510162896</v>
      </c>
      <c r="L36" s="5">
        <f>+'COEF Art 14 F I'!$AF37*'PART PEF2023'!$G$6</f>
        <v>1383825.1673833132</v>
      </c>
      <c r="M36" s="5">
        <f>+'COEF Art 14 F I'!$AF37*'PART PEF2023'!$G$7</f>
        <v>3797630.9140876243</v>
      </c>
      <c r="N36" s="5">
        <f>+'COEF Art 14 F I'!$AF37*'PART PEF2023'!$G$8</f>
        <v>2629255.786495355</v>
      </c>
      <c r="O36" s="5">
        <f>+'COEF Art 14 F I'!$AF37*'PART PEF2023'!$G$9</f>
        <v>268053.2128699451</v>
      </c>
      <c r="P36" s="225">
        <f t="shared" si="2"/>
        <v>129136296.00085171</v>
      </c>
      <c r="Q36" s="226">
        <f t="shared" si="3"/>
        <v>338179523.27085173</v>
      </c>
    </row>
    <row r="37" spans="1:17" ht="12.75" customHeight="1">
      <c r="A37" s="4" t="s">
        <v>21</v>
      </c>
      <c r="B37" s="248">
        <f t="shared" si="0"/>
        <v>4.862400599884375E-3</v>
      </c>
      <c r="C37" s="5">
        <v>31970901.600000001</v>
      </c>
      <c r="D37" s="109">
        <v>4366322.3499999996</v>
      </c>
      <c r="E37" s="109">
        <v>1073580.6499999999</v>
      </c>
      <c r="F37" s="109">
        <v>1809788.26</v>
      </c>
      <c r="G37" s="109">
        <v>890086.76</v>
      </c>
      <c r="H37" s="109">
        <v>190746.62</v>
      </c>
      <c r="I37" s="222">
        <f t="shared" si="1"/>
        <v>40301426.239999995</v>
      </c>
      <c r="J37" s="5">
        <f>+'COEF Art 14 F I'!$AF38*'PART PEF2023'!$G$4</f>
        <v>8450634.6342554782</v>
      </c>
      <c r="K37" s="5">
        <f>+'COEF Art 14 F I'!$AF38*'PART PEF2023'!$G$5</f>
        <v>1185539.7691428973</v>
      </c>
      <c r="L37" s="5">
        <f>+'COEF Art 14 F I'!$AF38*'PART PEF2023'!$G$6</f>
        <v>110152.42550691079</v>
      </c>
      <c r="M37" s="5">
        <f>+'COEF Art 14 F I'!$AF38*'PART PEF2023'!$G$7</f>
        <v>302291.26209474867</v>
      </c>
      <c r="N37" s="5">
        <f>+'COEF Art 14 F I'!$AF38*'PART PEF2023'!$G$8</f>
        <v>209288.65075361117</v>
      </c>
      <c r="O37" s="5">
        <f>+'COEF Art 14 F I'!$AF38*'PART PEF2023'!$G$9</f>
        <v>21337.024545070995</v>
      </c>
      <c r="P37" s="225">
        <f t="shared" si="2"/>
        <v>10279243.766298719</v>
      </c>
      <c r="Q37" s="226">
        <f t="shared" si="3"/>
        <v>50580670.006298713</v>
      </c>
    </row>
    <row r="38" spans="1:17" ht="12.75" customHeight="1">
      <c r="A38" s="4" t="s">
        <v>22</v>
      </c>
      <c r="B38" s="248">
        <f t="shared" si="0"/>
        <v>1.7827541223037521E-2</v>
      </c>
      <c r="C38" s="5">
        <v>117218348.14</v>
      </c>
      <c r="D38" s="109">
        <v>16008716.279999999</v>
      </c>
      <c r="E38" s="109">
        <v>3936183.96</v>
      </c>
      <c r="F38" s="109">
        <v>6635420.9699999997</v>
      </c>
      <c r="G38" s="109">
        <v>3263420.62</v>
      </c>
      <c r="H38" s="109">
        <v>699354.79</v>
      </c>
      <c r="I38" s="222">
        <f t="shared" si="1"/>
        <v>147761444.75999999</v>
      </c>
      <c r="J38" s="5">
        <f>+'COEF Art 14 F I'!$AF39*'PART PEF2023'!$G$4</f>
        <v>23652660.168287266</v>
      </c>
      <c r="K38" s="5">
        <f>+'COEF Art 14 F I'!$AF39*'PART PEF2023'!$G$5</f>
        <v>3318232.3564030388</v>
      </c>
      <c r="L38" s="5">
        <f>+'COEF Art 14 F I'!$AF39*'PART PEF2023'!$G$6</f>
        <v>308307.95555475831</v>
      </c>
      <c r="M38" s="5">
        <f>+'COEF Art 14 F I'!$AF39*'PART PEF2023'!$G$7</f>
        <v>846089.41264441272</v>
      </c>
      <c r="N38" s="5">
        <f>+'COEF Art 14 F I'!$AF39*'PART PEF2023'!$G$8</f>
        <v>585782.43500059342</v>
      </c>
      <c r="O38" s="5">
        <f>+'COEF Art 14 F I'!$AF39*'PART PEF2023'!$G$9</f>
        <v>59720.64968010912</v>
      </c>
      <c r="P38" s="225">
        <f t="shared" si="2"/>
        <v>28770792.977570176</v>
      </c>
      <c r="Q38" s="226">
        <f t="shared" si="3"/>
        <v>176532237.73757017</v>
      </c>
    </row>
    <row r="39" spans="1:17" ht="12.75" customHeight="1">
      <c r="A39" s="4" t="s">
        <v>139</v>
      </c>
      <c r="B39" s="248">
        <f t="shared" si="0"/>
        <v>3.8037956436583432E-3</v>
      </c>
      <c r="C39" s="5">
        <v>25010439.550000001</v>
      </c>
      <c r="D39" s="109">
        <v>3415719.78</v>
      </c>
      <c r="E39" s="109">
        <v>839848.82</v>
      </c>
      <c r="F39" s="109">
        <v>1415774.9</v>
      </c>
      <c r="G39" s="109">
        <v>696303.82</v>
      </c>
      <c r="H39" s="109">
        <v>149218.71</v>
      </c>
      <c r="I39" s="222">
        <f t="shared" si="1"/>
        <v>31527305.580000002</v>
      </c>
      <c r="J39" s="5">
        <f>+'COEF Art 14 F I'!$AF40*'PART PEF2023'!$G$4</f>
        <v>4303276.4874936268</v>
      </c>
      <c r="K39" s="5">
        <f>+'COEF Art 14 F I'!$AF40*'PART PEF2023'!$G$5</f>
        <v>603706.77876203379</v>
      </c>
      <c r="L39" s="5">
        <f>+'COEF Art 14 F I'!$AF40*'PART PEF2023'!$G$6</f>
        <v>56092.395806914974</v>
      </c>
      <c r="M39" s="5">
        <f>+'COEF Art 14 F I'!$AF40*'PART PEF2023'!$G$7</f>
        <v>153934.3418391337</v>
      </c>
      <c r="N39" s="5">
        <f>+'COEF Art 14 F I'!$AF40*'PART PEF2023'!$G$8</f>
        <v>106575.06434327435</v>
      </c>
      <c r="O39" s="5">
        <f>+'COEF Art 14 F I'!$AF40*'PART PEF2023'!$G$9</f>
        <v>10865.351540070209</v>
      </c>
      <c r="P39" s="225">
        <f t="shared" si="2"/>
        <v>5234450.4197850544</v>
      </c>
      <c r="Q39" s="226">
        <f t="shared" si="3"/>
        <v>36761755.999785058</v>
      </c>
    </row>
    <row r="40" spans="1:17" ht="12.75" customHeight="1">
      <c r="A40" s="4" t="s">
        <v>23</v>
      </c>
      <c r="B40" s="248">
        <f t="shared" si="0"/>
        <v>3.6562210007851717E-3</v>
      </c>
      <c r="C40" s="5">
        <v>24040117.52</v>
      </c>
      <c r="D40" s="109">
        <v>3283201.2</v>
      </c>
      <c r="E40" s="109">
        <v>807265.47</v>
      </c>
      <c r="F40" s="109">
        <v>1360847.53</v>
      </c>
      <c r="G40" s="109">
        <v>669289.55000000005</v>
      </c>
      <c r="H40" s="109">
        <v>143429.51999999999</v>
      </c>
      <c r="I40" s="222">
        <f t="shared" si="1"/>
        <v>30304150.789999999</v>
      </c>
      <c r="J40" s="5">
        <f>+'COEF Art 14 F I'!$AF41*'PART PEF2023'!$G$4</f>
        <v>788491.68414020794</v>
      </c>
      <c r="K40" s="5">
        <f>+'COEF Art 14 F I'!$AF41*'PART PEF2023'!$G$5</f>
        <v>110617.52041644546</v>
      </c>
      <c r="L40" s="5">
        <f>+'COEF Art 14 F I'!$AF41*'PART PEF2023'!$G$6</f>
        <v>10277.840098304636</v>
      </c>
      <c r="M40" s="5">
        <f>+'COEF Art 14 F I'!$AF41*'PART PEF2023'!$G$7</f>
        <v>28205.472921970315</v>
      </c>
      <c r="N40" s="5">
        <f>+'COEF Art 14 F I'!$AF41*'PART PEF2023'!$G$8</f>
        <v>19527.806827100572</v>
      </c>
      <c r="O40" s="5">
        <f>+'COEF Art 14 F I'!$AF41*'PART PEF2023'!$G$9</f>
        <v>1990.8642541337638</v>
      </c>
      <c r="P40" s="225">
        <f t="shared" si="2"/>
        <v>959111.18865816272</v>
      </c>
      <c r="Q40" s="226">
        <f t="shared" si="3"/>
        <v>31263261.978658162</v>
      </c>
    </row>
    <row r="41" spans="1:17" ht="12.75" customHeight="1">
      <c r="A41" s="4" t="s">
        <v>24</v>
      </c>
      <c r="B41" s="248">
        <f t="shared" si="0"/>
        <v>3.9344779611536563E-3</v>
      </c>
      <c r="C41" s="5">
        <v>25869692.379999999</v>
      </c>
      <c r="D41" s="109">
        <v>3533069.46</v>
      </c>
      <c r="E41" s="109">
        <v>868702.47</v>
      </c>
      <c r="F41" s="109">
        <v>1464414.93</v>
      </c>
      <c r="G41" s="109">
        <v>720225.88</v>
      </c>
      <c r="H41" s="109">
        <v>154345.23000000001</v>
      </c>
      <c r="I41" s="222">
        <f t="shared" si="1"/>
        <v>32610450.349999998</v>
      </c>
      <c r="J41" s="5">
        <f>+'COEF Art 14 F I'!$AF42*'PART PEF2023'!$G$4</f>
        <v>6140644.0008318359</v>
      </c>
      <c r="K41" s="5">
        <f>+'COEF Art 14 F I'!$AF42*'PART PEF2023'!$G$5</f>
        <v>861471.11858614581</v>
      </c>
      <c r="L41" s="5">
        <f>+'COEF Art 14 F I'!$AF42*'PART PEF2023'!$G$6</f>
        <v>80042.134128507445</v>
      </c>
      <c r="M41" s="5">
        <f>+'COEF Art 14 F I'!$AF42*'PART PEF2023'!$G$7</f>
        <v>219659.60018688516</v>
      </c>
      <c r="N41" s="5">
        <f>+'COEF Art 14 F I'!$AF42*'PART PEF2023'!$G$8</f>
        <v>152079.35892563625</v>
      </c>
      <c r="O41" s="5">
        <f>+'COEF Art 14 F I'!$AF42*'PART PEF2023'!$G$9</f>
        <v>15504.524504843333</v>
      </c>
      <c r="P41" s="225">
        <f t="shared" si="2"/>
        <v>7469400.7371638538</v>
      </c>
      <c r="Q41" s="226">
        <f t="shared" si="3"/>
        <v>40079851.087163851</v>
      </c>
    </row>
    <row r="42" spans="1:17" ht="12.75" customHeight="1">
      <c r="A42" s="4" t="s">
        <v>25</v>
      </c>
      <c r="B42" s="248">
        <f t="shared" si="0"/>
        <v>5.4073805604974642E-3</v>
      </c>
      <c r="C42" s="5">
        <v>35554214.07</v>
      </c>
      <c r="D42" s="109">
        <v>4855701.6399999997</v>
      </c>
      <c r="E42" s="109">
        <v>1193908.03</v>
      </c>
      <c r="F42" s="109">
        <v>2012630.12</v>
      </c>
      <c r="G42" s="109">
        <v>989848.07</v>
      </c>
      <c r="H42" s="109">
        <v>212125.58</v>
      </c>
      <c r="I42" s="222">
        <f t="shared" si="1"/>
        <v>44818427.509999998</v>
      </c>
      <c r="J42" s="5">
        <f>+'COEF Art 14 F I'!$AF43*'PART PEF2023'!$G$4</f>
        <v>8018077.9381035296</v>
      </c>
      <c r="K42" s="5">
        <f>+'COEF Art 14 F I'!$AF43*'PART PEF2023'!$G$5</f>
        <v>1124856.3781442547</v>
      </c>
      <c r="L42" s="5">
        <f>+'COEF Art 14 F I'!$AF43*'PART PEF2023'!$G$6</f>
        <v>104514.13071455869</v>
      </c>
      <c r="M42" s="5">
        <f>+'COEF Art 14 F I'!$AF43*'PART PEF2023'!$G$7</f>
        <v>286818.09170382132</v>
      </c>
      <c r="N42" s="5">
        <f>+'COEF Art 14 F I'!$AF43*'PART PEF2023'!$G$8</f>
        <v>198575.93966974629</v>
      </c>
      <c r="O42" s="5">
        <f>+'COEF Art 14 F I'!$AF43*'PART PEF2023'!$G$9</f>
        <v>20244.861264751624</v>
      </c>
      <c r="P42" s="225">
        <f t="shared" si="2"/>
        <v>9753087.3396006618</v>
      </c>
      <c r="Q42" s="226">
        <f t="shared" si="3"/>
        <v>54571514.849600658</v>
      </c>
    </row>
    <row r="43" spans="1:17" ht="12.75" customHeight="1">
      <c r="A43" s="4" t="s">
        <v>26</v>
      </c>
      <c r="B43" s="248">
        <f t="shared" si="0"/>
        <v>1.2686214132710557E-2</v>
      </c>
      <c r="C43" s="5">
        <v>83413469.420000002</v>
      </c>
      <c r="D43" s="109">
        <v>11391924.449999999</v>
      </c>
      <c r="E43" s="109">
        <v>2801018.49</v>
      </c>
      <c r="F43" s="109">
        <v>4721816.1100000003</v>
      </c>
      <c r="G43" s="109">
        <v>2322274.9700000002</v>
      </c>
      <c r="H43" s="109">
        <v>497666.2</v>
      </c>
      <c r="I43" s="222">
        <f t="shared" si="1"/>
        <v>105148169.64</v>
      </c>
      <c r="J43" s="5">
        <f>+'COEF Art 14 F I'!$AF44*'PART PEF2023'!$G$4</f>
        <v>18362279.097487915</v>
      </c>
      <c r="K43" s="5">
        <f>+'COEF Art 14 F I'!$AF44*'PART PEF2023'!$G$5</f>
        <v>2576044.6480468614</v>
      </c>
      <c r="L43" s="5">
        <f>+'COEF Art 14 F I'!$AF44*'PART PEF2023'!$G$6</f>
        <v>239348.83804159911</v>
      </c>
      <c r="M43" s="5">
        <f>+'COEF Art 14 F I'!$AF44*'PART PEF2023'!$G$7</f>
        <v>656844.93100850761</v>
      </c>
      <c r="N43" s="5">
        <f>+'COEF Art 14 F I'!$AF44*'PART PEF2023'!$G$8</f>
        <v>454760.71128391195</v>
      </c>
      <c r="O43" s="5">
        <f>+'COEF Art 14 F I'!$AF44*'PART PEF2023'!$G$9</f>
        <v>46362.955773565038</v>
      </c>
      <c r="P43" s="225">
        <f t="shared" si="2"/>
        <v>22335641.181642361</v>
      </c>
      <c r="Q43" s="226">
        <f t="shared" si="3"/>
        <v>127483810.82164237</v>
      </c>
    </row>
    <row r="44" spans="1:17" ht="12.75" customHeight="1">
      <c r="A44" s="4" t="s">
        <v>27</v>
      </c>
      <c r="B44" s="248">
        <f t="shared" si="0"/>
        <v>0.26254387381879718</v>
      </c>
      <c r="C44" s="5">
        <v>1726259320.8499999</v>
      </c>
      <c r="D44" s="109">
        <v>235758276.21000001</v>
      </c>
      <c r="E44" s="109">
        <v>57967667.659999996</v>
      </c>
      <c r="F44" s="109">
        <v>97718978.969999999</v>
      </c>
      <c r="G44" s="109">
        <v>48059969.659999996</v>
      </c>
      <c r="H44" s="109">
        <v>10299306.74</v>
      </c>
      <c r="I44" s="222">
        <f t="shared" si="1"/>
        <v>2176063520.0899997</v>
      </c>
      <c r="J44" s="5">
        <f>+'COEF Art 14 F I'!$AF45*'PART PEF2023'!$G$4</f>
        <v>627290501.31032836</v>
      </c>
      <c r="K44" s="5">
        <f>+'COEF Art 14 F I'!$AF45*'PART PEF2023'!$G$5</f>
        <v>88002601.969609201</v>
      </c>
      <c r="L44" s="5">
        <f>+'COEF Art 14 F I'!$AF45*'PART PEF2023'!$G$6</f>
        <v>8176613.1429567281</v>
      </c>
      <c r="M44" s="5">
        <f>+'COEF Art 14 F I'!$AF45*'PART PEF2023'!$G$7</f>
        <v>22439076.536629032</v>
      </c>
      <c r="N44" s="5">
        <f>+'COEF Art 14 F I'!$AF45*'PART PEF2023'!$G$8</f>
        <v>15535493.880852357</v>
      </c>
      <c r="O44" s="5">
        <f>+'COEF Art 14 F I'!$AF45*'PART PEF2023'!$G$9</f>
        <v>1583847.0603252596</v>
      </c>
      <c r="P44" s="225">
        <f t="shared" si="2"/>
        <v>763028133.90070093</v>
      </c>
      <c r="Q44" s="226">
        <f t="shared" si="3"/>
        <v>2939091653.9907007</v>
      </c>
    </row>
    <row r="45" spans="1:17" ht="12.75" customHeight="1">
      <c r="A45" s="4" t="s">
        <v>140</v>
      </c>
      <c r="B45" s="248">
        <f t="shared" si="0"/>
        <v>1.3945740113630166E-3</v>
      </c>
      <c r="C45" s="5">
        <v>9169501.2799999993</v>
      </c>
      <c r="D45" s="109">
        <v>1252294.94</v>
      </c>
      <c r="E45" s="109">
        <v>307911.21000000002</v>
      </c>
      <c r="F45" s="109">
        <v>519061.24</v>
      </c>
      <c r="G45" s="109">
        <v>255283.75</v>
      </c>
      <c r="H45" s="109">
        <v>54707.6</v>
      </c>
      <c r="I45" s="222">
        <f t="shared" si="1"/>
        <v>11558760.02</v>
      </c>
      <c r="J45" s="5">
        <f>+'COEF Art 14 F I'!$AF46*'PART PEF2023'!$G$4</f>
        <v>4031628.9181217477</v>
      </c>
      <c r="K45" s="5">
        <f>+'COEF Art 14 F I'!$AF46*'PART PEF2023'!$G$5</f>
        <v>565597.33365883294</v>
      </c>
      <c r="L45" s="5">
        <f>+'COEF Art 14 F I'!$AF46*'PART PEF2023'!$G$6</f>
        <v>52551.521074492521</v>
      </c>
      <c r="M45" s="5">
        <f>+'COEF Art 14 F I'!$AF46*'PART PEF2023'!$G$7</f>
        <v>144217.12057180688</v>
      </c>
      <c r="N45" s="5">
        <f>+'COEF Art 14 F I'!$AF46*'PART PEF2023'!$G$8</f>
        <v>99847.433137461674</v>
      </c>
      <c r="O45" s="5">
        <f>+'COEF Art 14 F I'!$AF46*'PART PEF2023'!$G$9</f>
        <v>10179.468040646227</v>
      </c>
      <c r="P45" s="225">
        <f t="shared" si="2"/>
        <v>4904021.7946049878</v>
      </c>
      <c r="Q45" s="226">
        <f t="shared" si="3"/>
        <v>16462781.814604986</v>
      </c>
    </row>
    <row r="46" spans="1:17" ht="12.75" customHeight="1">
      <c r="A46" s="4" t="s">
        <v>141</v>
      </c>
      <c r="B46" s="248">
        <f t="shared" si="0"/>
        <v>5.8189583526091111E-3</v>
      </c>
      <c r="C46" s="5">
        <v>38260390.350000001</v>
      </c>
      <c r="D46" s="109">
        <v>5225288.9000000004</v>
      </c>
      <c r="E46" s="109">
        <v>1284781.24</v>
      </c>
      <c r="F46" s="109">
        <v>2165819.6</v>
      </c>
      <c r="G46" s="109">
        <v>1065189.44</v>
      </c>
      <c r="H46" s="109">
        <v>228271.32</v>
      </c>
      <c r="I46" s="222">
        <f t="shared" si="1"/>
        <v>48229740.850000001</v>
      </c>
      <c r="J46" s="5">
        <f>+'COEF Art 14 F I'!$AF47*'PART PEF2023'!$G$4</f>
        <v>29544040.988561723</v>
      </c>
      <c r="K46" s="5">
        <f>+'COEF Art 14 F I'!$AF47*'PART PEF2023'!$G$5</f>
        <v>4144734.3364186999</v>
      </c>
      <c r="L46" s="5">
        <f>+'COEF Art 14 F I'!$AF47*'PART PEF2023'!$G$6</f>
        <v>385100.9912289718</v>
      </c>
      <c r="M46" s="5">
        <f>+'COEF Art 14 F I'!$AF47*'PART PEF2023'!$G$7</f>
        <v>1056832.5131001414</v>
      </c>
      <c r="N46" s="5">
        <f>+'COEF Art 14 F I'!$AF47*'PART PEF2023'!$G$8</f>
        <v>731688.53511204082</v>
      </c>
      <c r="O46" s="5">
        <f>+'COEF Art 14 F I'!$AF47*'PART PEF2023'!$G$9</f>
        <v>74595.809074292469</v>
      </c>
      <c r="P46" s="225">
        <f t="shared" si="2"/>
        <v>35936993.173495866</v>
      </c>
      <c r="Q46" s="226">
        <f t="shared" si="3"/>
        <v>84166734.023495868</v>
      </c>
    </row>
    <row r="47" spans="1:17" ht="12.75" customHeight="1">
      <c r="A47" s="4" t="s">
        <v>142</v>
      </c>
      <c r="B47" s="248">
        <f t="shared" si="0"/>
        <v>2.8758962519299003E-3</v>
      </c>
      <c r="C47" s="5">
        <v>18909383.170000002</v>
      </c>
      <c r="D47" s="109">
        <v>2582487.77</v>
      </c>
      <c r="E47" s="109">
        <v>634975.77</v>
      </c>
      <c r="F47" s="109">
        <v>1070410.22</v>
      </c>
      <c r="G47" s="109">
        <v>526447.19999999995</v>
      </c>
      <c r="H47" s="109">
        <v>112818.24000000001</v>
      </c>
      <c r="I47" s="222">
        <f t="shared" si="1"/>
        <v>23836522.369999997</v>
      </c>
      <c r="J47" s="5">
        <f>+'COEF Art 14 F I'!$AF48*'PART PEF2023'!$G$4</f>
        <v>4516496.6954875337</v>
      </c>
      <c r="K47" s="5">
        <f>+'COEF Art 14 F I'!$AF48*'PART PEF2023'!$G$5</f>
        <v>633619.44770372775</v>
      </c>
      <c r="L47" s="5">
        <f>+'COEF Art 14 F I'!$AF48*'PART PEF2023'!$G$6</f>
        <v>58871.680925030378</v>
      </c>
      <c r="M47" s="5">
        <f>+'COEF Art 14 F I'!$AF48*'PART PEF2023'!$G$7</f>
        <v>161561.53299911003</v>
      </c>
      <c r="N47" s="5">
        <f>+'COEF Art 14 F I'!$AF48*'PART PEF2023'!$G$8</f>
        <v>111855.68190347025</v>
      </c>
      <c r="O47" s="5">
        <f>+'COEF Art 14 F I'!$AF48*'PART PEF2023'!$G$9</f>
        <v>11403.711676127845</v>
      </c>
      <c r="P47" s="225">
        <f t="shared" si="2"/>
        <v>5493808.7506950004</v>
      </c>
      <c r="Q47" s="226">
        <f t="shared" si="3"/>
        <v>29330331.120694999</v>
      </c>
    </row>
    <row r="48" spans="1:17" ht="12.75" customHeight="1">
      <c r="A48" s="4" t="s">
        <v>28</v>
      </c>
      <c r="B48" s="248">
        <f t="shared" si="0"/>
        <v>3.2226555428876255E-3</v>
      </c>
      <c r="C48" s="5">
        <v>21189369.57</v>
      </c>
      <c r="D48" s="109">
        <v>2893869.53</v>
      </c>
      <c r="E48" s="109">
        <v>711537.55</v>
      </c>
      <c r="F48" s="109">
        <v>1199474.22</v>
      </c>
      <c r="G48" s="109">
        <v>589923.22</v>
      </c>
      <c r="H48" s="109">
        <v>126421.22</v>
      </c>
      <c r="I48" s="222">
        <f t="shared" si="1"/>
        <v>26710595.309999999</v>
      </c>
      <c r="J48" s="5">
        <f>+'COEF Art 14 F I'!$AF49*'PART PEF2023'!$G$4</f>
        <v>4167954.962441491</v>
      </c>
      <c r="K48" s="5">
        <f>+'COEF Art 14 F I'!$AF49*'PART PEF2023'!$G$5</f>
        <v>584722.51822850422</v>
      </c>
      <c r="L48" s="5">
        <f>+'COEF Art 14 F I'!$AF49*'PART PEF2023'!$G$6</f>
        <v>54328.505300116347</v>
      </c>
      <c r="M48" s="5">
        <f>+'COEF Art 14 F I'!$AF49*'PART PEF2023'!$G$7</f>
        <v>149093.69774942502</v>
      </c>
      <c r="N48" s="5">
        <f>+'COEF Art 14 F I'!$AF49*'PART PEF2023'!$G$8</f>
        <v>103223.68771633091</v>
      </c>
      <c r="O48" s="5">
        <f>+'COEF Art 14 F I'!$AF49*'PART PEF2023'!$G$9</f>
        <v>10523.67794672733</v>
      </c>
      <c r="P48" s="225">
        <f t="shared" si="2"/>
        <v>5069847.0493825953</v>
      </c>
      <c r="Q48" s="226">
        <f t="shared" si="3"/>
        <v>31780442.359382592</v>
      </c>
    </row>
    <row r="49" spans="1:17" ht="12.75" customHeight="1">
      <c r="A49" s="4" t="s">
        <v>29</v>
      </c>
      <c r="B49" s="248">
        <f t="shared" si="0"/>
        <v>9.2720853131117564E-3</v>
      </c>
      <c r="C49" s="5">
        <v>60965138.740000002</v>
      </c>
      <c r="D49" s="109">
        <v>8326116.3899999997</v>
      </c>
      <c r="E49" s="109">
        <v>2047205.11</v>
      </c>
      <c r="F49" s="109">
        <v>3451075.42</v>
      </c>
      <c r="G49" s="109">
        <v>1697301.61</v>
      </c>
      <c r="H49" s="109">
        <v>363733.69</v>
      </c>
      <c r="I49" s="222">
        <f t="shared" si="1"/>
        <v>76850570.959999993</v>
      </c>
      <c r="J49" s="5">
        <f>+'COEF Art 14 F I'!$AF50*'PART PEF2023'!$G$4</f>
        <v>11015773.828639772</v>
      </c>
      <c r="K49" s="5">
        <f>+'COEF Art 14 F I'!$AF50*'PART PEF2023'!$G$5</f>
        <v>1545403.2184514804</v>
      </c>
      <c r="L49" s="5">
        <f>+'COEF Art 14 F I'!$AF50*'PART PEF2023'!$G$6</f>
        <v>143588.53016098059</v>
      </c>
      <c r="M49" s="5">
        <f>+'COEF Art 14 F I'!$AF50*'PART PEF2023'!$G$7</f>
        <v>394049.95219074422</v>
      </c>
      <c r="N49" s="5">
        <f>+'COEF Art 14 F I'!$AF50*'PART PEF2023'!$G$8</f>
        <v>272816.95888939319</v>
      </c>
      <c r="O49" s="5">
        <f>+'COEF Art 14 F I'!$AF50*'PART PEF2023'!$G$9</f>
        <v>27813.749704887749</v>
      </c>
      <c r="P49" s="225">
        <f t="shared" si="2"/>
        <v>13399446.238037258</v>
      </c>
      <c r="Q49" s="226">
        <f t="shared" si="3"/>
        <v>90250017.198037252</v>
      </c>
    </row>
    <row r="50" spans="1:17" ht="12.75" customHeight="1">
      <c r="A50" s="4" t="s">
        <v>30</v>
      </c>
      <c r="B50" s="248">
        <f t="shared" si="0"/>
        <v>8.0282653570595067E-3</v>
      </c>
      <c r="C50" s="5">
        <v>52786864.539999999</v>
      </c>
      <c r="D50" s="109">
        <v>7209195.0700000003</v>
      </c>
      <c r="E50" s="109">
        <v>1772579.23</v>
      </c>
      <c r="F50" s="109">
        <v>2988124.93</v>
      </c>
      <c r="G50" s="109">
        <v>1469614.14</v>
      </c>
      <c r="H50" s="109">
        <v>314940</v>
      </c>
      <c r="I50" s="222">
        <f t="shared" si="1"/>
        <v>66541317.909999996</v>
      </c>
      <c r="J50" s="5">
        <f>+'COEF Art 14 F I'!$AF51*'PART PEF2023'!$G$4</f>
        <v>22624712.207674902</v>
      </c>
      <c r="K50" s="5">
        <f>+'COEF Art 14 F I'!$AF51*'PART PEF2023'!$G$5</f>
        <v>3174021.5082644527</v>
      </c>
      <c r="L50" s="5">
        <f>+'COEF Art 14 F I'!$AF51*'PART PEF2023'!$G$6</f>
        <v>294908.84814366023</v>
      </c>
      <c r="M50" s="5">
        <f>+'COEF Art 14 F I'!$AF51*'PART PEF2023'!$G$7</f>
        <v>809318.24694738665</v>
      </c>
      <c r="N50" s="5">
        <f>+'COEF Art 14 F I'!$AF51*'PART PEF2023'!$G$8</f>
        <v>560324.24741673958</v>
      </c>
      <c r="O50" s="5">
        <f>+'COEF Art 14 F I'!$AF51*'PART PEF2023'!$G$9</f>
        <v>57125.181787350775</v>
      </c>
      <c r="P50" s="225">
        <f t="shared" si="2"/>
        <v>27520410.240234487</v>
      </c>
      <c r="Q50" s="226">
        <f t="shared" si="3"/>
        <v>94061728.150234491</v>
      </c>
    </row>
    <row r="51" spans="1:17" ht="12.75" customHeight="1">
      <c r="A51" s="4" t="s">
        <v>143</v>
      </c>
      <c r="B51" s="248">
        <f t="shared" si="0"/>
        <v>7.2199427407760433E-2</v>
      </c>
      <c r="C51" s="5">
        <v>474720406.57999998</v>
      </c>
      <c r="D51" s="109">
        <v>64833402.130000003</v>
      </c>
      <c r="E51" s="109">
        <v>15941078.16</v>
      </c>
      <c r="F51" s="109">
        <v>26872667.890000001</v>
      </c>
      <c r="G51" s="109">
        <v>13216466.42</v>
      </c>
      <c r="H51" s="109">
        <v>2832303.94</v>
      </c>
      <c r="I51" s="222">
        <f t="shared" si="1"/>
        <v>598416325.12</v>
      </c>
      <c r="J51" s="5">
        <f>+'COEF Art 14 F I'!$AF52*'PART PEF2023'!$G$4</f>
        <v>149129340.98434243</v>
      </c>
      <c r="K51" s="5">
        <f>+'COEF Art 14 F I'!$AF52*'PART PEF2023'!$G$5</f>
        <v>20921359.41676363</v>
      </c>
      <c r="L51" s="5">
        <f>+'COEF Art 14 F I'!$AF52*'PART PEF2023'!$G$6</f>
        <v>1943872.7781561143</v>
      </c>
      <c r="M51" s="5">
        <f>+'COEF Art 14 F I'!$AF52*'PART PEF2023'!$G$7</f>
        <v>5334569.3729056483</v>
      </c>
      <c r="N51" s="5">
        <f>+'COEF Art 14 F I'!$AF52*'PART PEF2023'!$G$8</f>
        <v>3693341.3776843525</v>
      </c>
      <c r="O51" s="5">
        <f>+'COEF Art 14 F I'!$AF52*'PART PEF2023'!$G$9</f>
        <v>376536.97582365258</v>
      </c>
      <c r="P51" s="225">
        <f t="shared" si="2"/>
        <v>181399020.9056758</v>
      </c>
      <c r="Q51" s="226">
        <f t="shared" si="3"/>
        <v>779815346.02567577</v>
      </c>
    </row>
    <row r="52" spans="1:17" ht="12.75" customHeight="1">
      <c r="A52" s="4" t="s">
        <v>144</v>
      </c>
      <c r="B52" s="248">
        <f t="shared" si="0"/>
        <v>0.13950769392037193</v>
      </c>
      <c r="C52" s="5">
        <v>917280808.95000005</v>
      </c>
      <c r="D52" s="109">
        <v>125274655.84</v>
      </c>
      <c r="E52" s="109">
        <v>30802225.620000001</v>
      </c>
      <c r="F52" s="109">
        <v>51924842.920000002</v>
      </c>
      <c r="G52" s="109">
        <v>25537581.359999999</v>
      </c>
      <c r="H52" s="109">
        <v>5472733.04</v>
      </c>
      <c r="I52" s="222">
        <f t="shared" si="1"/>
        <v>1156292847.73</v>
      </c>
      <c r="J52" s="5">
        <f>+'COEF Art 14 F I'!$AF53*'PART PEF2023'!$G$4</f>
        <v>284450838.21359694</v>
      </c>
      <c r="K52" s="5">
        <f>+'COEF Art 14 F I'!$AF53*'PART PEF2023'!$G$5</f>
        <v>39905616.047020353</v>
      </c>
      <c r="L52" s="5">
        <f>+'COEF Art 14 F I'!$AF53*'PART PEF2023'!$G$6</f>
        <v>3707762.9222887452</v>
      </c>
      <c r="M52" s="5">
        <f>+'COEF Art 14 F I'!$AF53*'PART PEF2023'!$G$7</f>
        <v>10175212.467350159</v>
      </c>
      <c r="N52" s="5">
        <f>+'COEF Art 14 F I'!$AF53*'PART PEF2023'!$G$8</f>
        <v>7044717.3155655423</v>
      </c>
      <c r="O52" s="5">
        <f>+'COEF Art 14 F I'!$AF53*'PART PEF2023'!$G$9</f>
        <v>718210.4989164829</v>
      </c>
      <c r="P52" s="225">
        <f t="shared" si="2"/>
        <v>346002357.46473825</v>
      </c>
      <c r="Q52" s="226">
        <f t="shared" si="3"/>
        <v>1502295205.1947384</v>
      </c>
    </row>
    <row r="53" spans="1:17" ht="12.75" customHeight="1">
      <c r="A53" s="4" t="s">
        <v>31</v>
      </c>
      <c r="B53" s="248">
        <f t="shared" si="0"/>
        <v>3.7592415872066999E-2</v>
      </c>
      <c r="C53" s="5">
        <v>247174909.66</v>
      </c>
      <c r="D53" s="109">
        <v>33757112.799999997</v>
      </c>
      <c r="E53" s="109">
        <v>8300116.2400000002</v>
      </c>
      <c r="F53" s="109">
        <v>13991918.539999999</v>
      </c>
      <c r="G53" s="109">
        <v>6881479.8099999996</v>
      </c>
      <c r="H53" s="109">
        <v>1474709.03</v>
      </c>
      <c r="I53" s="222">
        <f t="shared" si="1"/>
        <v>311580246.07999998</v>
      </c>
      <c r="J53" s="5">
        <f>+'COEF Art 14 F I'!$AF54*'PART PEF2023'!$G$4</f>
        <v>79826562.299601302</v>
      </c>
      <c r="K53" s="5">
        <f>+'COEF Art 14 F I'!$AF54*'PART PEF2023'!$G$5</f>
        <v>11198870.65718328</v>
      </c>
      <c r="L53" s="5">
        <f>+'COEF Art 14 F I'!$AF54*'PART PEF2023'!$G$6</f>
        <v>1040524.1544269294</v>
      </c>
      <c r="M53" s="5">
        <f>+'COEF Art 14 F I'!$AF54*'PART PEF2023'!$G$7</f>
        <v>2855510.0664765104</v>
      </c>
      <c r="N53" s="5">
        <f>+'COEF Art 14 F I'!$AF54*'PART PEF2023'!$G$8</f>
        <v>1976986.8466753978</v>
      </c>
      <c r="O53" s="5">
        <f>+'COEF Art 14 F I'!$AF54*'PART PEF2023'!$G$9</f>
        <v>201554.24921944854</v>
      </c>
      <c r="P53" s="225">
        <f t="shared" si="2"/>
        <v>97100008.273582861</v>
      </c>
      <c r="Q53" s="226">
        <f t="shared" si="3"/>
        <v>408680254.35358286</v>
      </c>
    </row>
    <row r="54" spans="1:17" ht="12.75" customHeight="1">
      <c r="A54" s="4" t="s">
        <v>32</v>
      </c>
      <c r="B54" s="248">
        <f t="shared" si="0"/>
        <v>1.216049401547678E-2</v>
      </c>
      <c r="C54" s="5">
        <v>79956792.879999995</v>
      </c>
      <c r="D54" s="109">
        <v>10919840.050000001</v>
      </c>
      <c r="E54" s="109">
        <v>2684943.53</v>
      </c>
      <c r="F54" s="109">
        <v>4526142.78</v>
      </c>
      <c r="G54" s="109">
        <v>2226039.27</v>
      </c>
      <c r="H54" s="109">
        <v>477042.77</v>
      </c>
      <c r="I54" s="222">
        <f t="shared" si="1"/>
        <v>100790801.27999999</v>
      </c>
      <c r="J54" s="5">
        <f>+'COEF Art 14 F I'!$AF55*'PART PEF2023'!$G$4</f>
        <v>35388710.827075392</v>
      </c>
      <c r="K54" s="5">
        <f>+'COEF Art 14 F I'!$AF55*'PART PEF2023'!$G$5</f>
        <v>4964683.2314969702</v>
      </c>
      <c r="L54" s="5">
        <f>+'COEF Art 14 F I'!$AF55*'PART PEF2023'!$G$6</f>
        <v>461285.15808309655</v>
      </c>
      <c r="M54" s="5">
        <f>+'COEF Art 14 F I'!$AF55*'PART PEF2023'!$G$7</f>
        <v>1265904.6950697107</v>
      </c>
      <c r="N54" s="5">
        <f>+'COEF Art 14 F I'!$AF55*'PART PEF2023'!$G$8</f>
        <v>876437.78975907015</v>
      </c>
      <c r="O54" s="5">
        <f>+'COEF Art 14 F I'!$AF55*'PART PEF2023'!$G$9</f>
        <v>89353.027815792273</v>
      </c>
      <c r="P54" s="225">
        <f t="shared" si="2"/>
        <v>43046374.729300022</v>
      </c>
      <c r="Q54" s="226">
        <f t="shared" si="3"/>
        <v>143837176.00929999</v>
      </c>
    </row>
    <row r="55" spans="1:17" ht="12.75" customHeight="1">
      <c r="A55" s="4" t="s">
        <v>33</v>
      </c>
      <c r="B55" s="248">
        <f t="shared" si="0"/>
        <v>2.4490768694694588E-3</v>
      </c>
      <c r="C55" s="5">
        <v>16102991.52</v>
      </c>
      <c r="D55" s="109">
        <v>2199213.92</v>
      </c>
      <c r="E55" s="109">
        <v>540737.32999999996</v>
      </c>
      <c r="F55" s="109">
        <v>911547.8</v>
      </c>
      <c r="G55" s="109">
        <v>448315.77</v>
      </c>
      <c r="H55" s="109">
        <v>96074.59</v>
      </c>
      <c r="I55" s="222">
        <f t="shared" si="1"/>
        <v>20298880.929999996</v>
      </c>
      <c r="J55" s="5">
        <f>+'COEF Art 14 F I'!$AF56*'PART PEF2023'!$G$4</f>
        <v>6272544.3681985987</v>
      </c>
      <c r="K55" s="5">
        <f>+'COEF Art 14 F I'!$AF56*'PART PEF2023'!$G$5</f>
        <v>879975.42481232923</v>
      </c>
      <c r="L55" s="5">
        <f>+'COEF Art 14 F I'!$AF56*'PART PEF2023'!$G$6</f>
        <v>81761.430491387247</v>
      </c>
      <c r="M55" s="5">
        <f>+'COEF Art 14 F I'!$AF56*'PART PEF2023'!$G$7</f>
        <v>224377.86458331678</v>
      </c>
      <c r="N55" s="5">
        <f>+'COEF Art 14 F I'!$AF56*'PART PEF2023'!$G$8</f>
        <v>155346.00706685334</v>
      </c>
      <c r="O55" s="5">
        <f>+'COEF Art 14 F I'!$AF56*'PART PEF2023'!$G$9</f>
        <v>15837.560010200554</v>
      </c>
      <c r="P55" s="225">
        <f t="shared" si="2"/>
        <v>7629842.6551626856</v>
      </c>
      <c r="Q55" s="226">
        <f t="shared" si="3"/>
        <v>27928723.585162681</v>
      </c>
    </row>
    <row r="56" spans="1:17" ht="12.75" customHeight="1">
      <c r="A56" s="4" t="s">
        <v>34</v>
      </c>
      <c r="B56" s="248">
        <f t="shared" si="0"/>
        <v>3.3169607707255427E-3</v>
      </c>
      <c r="C56" s="5">
        <v>21809438.43</v>
      </c>
      <c r="D56" s="109">
        <v>2978553.42</v>
      </c>
      <c r="E56" s="109">
        <v>732359.42</v>
      </c>
      <c r="F56" s="109">
        <v>1234574.68</v>
      </c>
      <c r="G56" s="109">
        <v>607186.26</v>
      </c>
      <c r="H56" s="109">
        <v>130120.71</v>
      </c>
      <c r="I56" s="222">
        <f t="shared" si="1"/>
        <v>27492232.920000006</v>
      </c>
      <c r="J56" s="5">
        <f>+'COEF Art 14 F I'!$AF57*'PART PEF2023'!$G$4</f>
        <v>5357753.8729516268</v>
      </c>
      <c r="K56" s="5">
        <f>+'COEF Art 14 F I'!$AF57*'PART PEF2023'!$G$5</f>
        <v>751639.44065405068</v>
      </c>
      <c r="L56" s="5">
        <f>+'COEF Art 14 F I'!$AF57*'PART PEF2023'!$G$6</f>
        <v>69837.309257503148</v>
      </c>
      <c r="M56" s="5">
        <f>+'COEF Art 14 F I'!$AF57*'PART PEF2023'!$G$7</f>
        <v>191654.50292719537</v>
      </c>
      <c r="N56" s="5">
        <f>+'COEF Art 14 F I'!$AF57*'PART PEF2023'!$G$8</f>
        <v>132690.28039558255</v>
      </c>
      <c r="O56" s="5">
        <f>+'COEF Art 14 F I'!$AF57*'PART PEF2023'!$G$9</f>
        <v>13527.803631483092</v>
      </c>
      <c r="P56" s="225">
        <f t="shared" si="2"/>
        <v>6517103.2098174412</v>
      </c>
      <c r="Q56" s="226">
        <f t="shared" si="3"/>
        <v>34009336.129817449</v>
      </c>
    </row>
    <row r="57" spans="1:17" s="102" customFormat="1" ht="16.5" customHeight="1" thickBot="1">
      <c r="A57" s="6" t="s">
        <v>35</v>
      </c>
      <c r="B57" s="252">
        <f>SUM(B6:B56)</f>
        <v>0.99999999999999989</v>
      </c>
      <c r="C57" s="7">
        <f>SUM(C6:C56)</f>
        <v>6575127028.2700005</v>
      </c>
      <c r="D57" s="7">
        <f t="shared" ref="D57:I57" si="4">SUM(D6:D56)</f>
        <v>897976680.14999986</v>
      </c>
      <c r="E57" s="7">
        <f t="shared" si="4"/>
        <v>220792307.28000006</v>
      </c>
      <c r="F57" s="7">
        <f t="shared" si="4"/>
        <v>372200568.00000006</v>
      </c>
      <c r="G57" s="7">
        <f t="shared" si="4"/>
        <v>183055003.20999998</v>
      </c>
      <c r="H57" s="7">
        <f t="shared" si="4"/>
        <v>39228897.610000014</v>
      </c>
      <c r="I57" s="7">
        <f t="shared" si="4"/>
        <v>8288380484.5199995</v>
      </c>
      <c r="J57" s="7">
        <f>SUM(J6:J56)</f>
        <v>2227947042.1299987</v>
      </c>
      <c r="K57" s="7">
        <f t="shared" ref="K57:P57" si="5">SUM(K6:K56)</f>
        <v>312558752.83999974</v>
      </c>
      <c r="L57" s="7">
        <f t="shared" si="5"/>
        <v>29040868.670000017</v>
      </c>
      <c r="M57" s="7">
        <f t="shared" si="5"/>
        <v>79696845.550000027</v>
      </c>
      <c r="N57" s="7">
        <f t="shared" si="5"/>
        <v>55177397.980000012</v>
      </c>
      <c r="O57" s="7">
        <f t="shared" si="5"/>
        <v>5625348.009999997</v>
      </c>
      <c r="P57" s="7">
        <f t="shared" si="5"/>
        <v>2710046255.1799989</v>
      </c>
      <c r="Q57" s="202">
        <f>SUM(Q6:Q56)</f>
        <v>10998426739.699997</v>
      </c>
    </row>
    <row r="58" spans="1:17" ht="15" thickTop="1">
      <c r="J58" s="103"/>
      <c r="N58" s="104"/>
      <c r="Q58" s="105"/>
    </row>
    <row r="59" spans="1:17">
      <c r="A59" s="165"/>
      <c r="B59" s="165"/>
      <c r="C59" s="63"/>
      <c r="D59" s="63"/>
      <c r="E59" s="63"/>
      <c r="F59" s="63"/>
      <c r="G59" s="63"/>
      <c r="H59" s="63"/>
      <c r="I59" s="63"/>
      <c r="J59" s="106"/>
    </row>
    <row r="60" spans="1:17">
      <c r="A60" s="165"/>
      <c r="B60" s="165"/>
      <c r="C60" s="63"/>
      <c r="D60" s="63"/>
      <c r="E60" s="63"/>
      <c r="F60" s="63"/>
      <c r="G60" s="63"/>
      <c r="H60" s="63"/>
      <c r="I60" s="63"/>
      <c r="J60" s="107"/>
    </row>
    <row r="64" spans="1:17">
      <c r="M64" s="108"/>
    </row>
  </sheetData>
  <mergeCells count="5">
    <mergeCell ref="Q3:Q4"/>
    <mergeCell ref="C3:I3"/>
    <mergeCell ref="J3:P3"/>
    <mergeCell ref="A1:Q1"/>
    <mergeCell ref="A3:A4"/>
  </mergeCells>
  <conditionalFormatting sqref="P7:P56">
    <cfRule type="cellIs" dxfId="0" priority="3" operator="lessThan">
      <formula>#REF!-0.00001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3" orientation="landscape" horizontalDpi="300" verticalDpi="300" r:id="rId1"/>
  <headerFooter alignWithMargins="0">
    <oddHeader>&amp;LANEXO 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zoomScaleNormal="100" workbookViewId="0">
      <selection activeCell="I3" sqref="I3:M3"/>
    </sheetView>
  </sheetViews>
  <sheetFormatPr baseColWidth="10" defaultColWidth="9.7109375" defaultRowHeight="12.75"/>
  <cols>
    <col min="1" max="1" width="28.7109375" style="11" customWidth="1"/>
    <col min="2" max="2" width="12.42578125" style="11" customWidth="1"/>
    <col min="3" max="3" width="14.140625" style="50" customWidth="1"/>
    <col min="4" max="4" width="17.28515625" style="11" customWidth="1"/>
    <col min="5" max="5" width="15.7109375" style="50" customWidth="1"/>
    <col min="6" max="6" width="2" style="11" customWidth="1"/>
    <col min="7" max="7" width="16.140625" style="50" customWidth="1"/>
    <col min="8" max="8" width="2" style="50" customWidth="1"/>
    <col min="9" max="11" width="18.42578125" style="11" customWidth="1"/>
    <col min="12" max="12" width="15.7109375" style="11" customWidth="1"/>
    <col min="13" max="13" width="15.7109375" style="50" customWidth="1"/>
    <col min="14" max="16384" width="9.7109375" style="11"/>
  </cols>
  <sheetData>
    <row r="1" spans="1:13" s="61" customFormat="1" ht="51" customHeight="1">
      <c r="A1" s="291" t="s">
        <v>96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3" spans="1:13" ht="37.5" customHeight="1" thickBot="1">
      <c r="B3" s="293" t="s">
        <v>74</v>
      </c>
      <c r="C3" s="294"/>
      <c r="D3" s="295" t="s">
        <v>76</v>
      </c>
      <c r="E3" s="295"/>
      <c r="G3" s="76" t="s">
        <v>75</v>
      </c>
      <c r="H3" s="76"/>
      <c r="I3" s="296" t="s">
        <v>319</v>
      </c>
      <c r="J3" s="296"/>
      <c r="K3" s="296"/>
      <c r="L3" s="296"/>
      <c r="M3" s="296"/>
    </row>
    <row r="4" spans="1:13" ht="39" customHeight="1" thickBot="1">
      <c r="A4" s="8" t="s">
        <v>0</v>
      </c>
      <c r="B4" s="8" t="s">
        <v>149</v>
      </c>
      <c r="C4" s="77" t="s">
        <v>62</v>
      </c>
      <c r="D4" s="53" t="s">
        <v>303</v>
      </c>
      <c r="E4" s="77" t="s">
        <v>63</v>
      </c>
      <c r="G4" s="77" t="s">
        <v>69</v>
      </c>
      <c r="H4" s="162"/>
      <c r="I4" s="84" t="s">
        <v>66</v>
      </c>
      <c r="J4" s="84" t="s">
        <v>67</v>
      </c>
      <c r="K4" s="84" t="s">
        <v>68</v>
      </c>
      <c r="L4" s="84" t="s">
        <v>97</v>
      </c>
      <c r="M4" s="85" t="s">
        <v>61</v>
      </c>
    </row>
    <row r="5" spans="1:13" s="14" customFormat="1" ht="11.25">
      <c r="A5" s="54"/>
      <c r="B5" s="20" t="s">
        <v>40</v>
      </c>
      <c r="C5" s="75" t="s">
        <v>49</v>
      </c>
      <c r="D5" s="55" t="s">
        <v>39</v>
      </c>
      <c r="E5" s="75" t="s">
        <v>50</v>
      </c>
      <c r="G5" s="66" t="s">
        <v>46</v>
      </c>
      <c r="H5" s="66"/>
      <c r="I5" s="13">
        <f>+L5*0.35</f>
        <v>98109654.510000005</v>
      </c>
      <c r="J5" s="13">
        <f>+L5*0.35</f>
        <v>98109654.510000005</v>
      </c>
      <c r="K5" s="13">
        <f>+L5*0.3</f>
        <v>84093989.579999998</v>
      </c>
      <c r="L5" s="13">
        <f>+'PART PEF2023'!E12</f>
        <v>280313298.60000002</v>
      </c>
      <c r="M5" s="86"/>
    </row>
    <row r="6" spans="1:13" s="16" customFormat="1" ht="23.25" customHeight="1" thickBot="1">
      <c r="A6" s="15"/>
      <c r="B6" s="15"/>
      <c r="C6" s="56"/>
      <c r="D6" s="57"/>
      <c r="E6" s="58"/>
      <c r="G6" s="18"/>
      <c r="H6" s="18"/>
      <c r="I6" s="13" t="s">
        <v>64</v>
      </c>
      <c r="J6" s="13" t="s">
        <v>45</v>
      </c>
      <c r="K6" s="13" t="s">
        <v>65</v>
      </c>
      <c r="L6" s="20" t="s">
        <v>77</v>
      </c>
      <c r="M6" s="87" t="s">
        <v>47</v>
      </c>
    </row>
    <row r="7" spans="1:13" ht="13.5" thickTop="1">
      <c r="A7" s="2" t="s">
        <v>1</v>
      </c>
      <c r="B7" s="21">
        <v>2974</v>
      </c>
      <c r="C7" s="78">
        <f t="shared" ref="C7:C57" si="0">+B7/$B$58</f>
        <v>5.141377508841821E-4</v>
      </c>
      <c r="D7" s="27">
        <v>2931</v>
      </c>
      <c r="E7" s="78">
        <f t="shared" ref="E7:E58" si="1">(D7/D$58)</f>
        <v>5.0882254193228965E-4</v>
      </c>
      <c r="G7" s="88">
        <f>+'COEF Art 14 F I'!AF7</f>
        <v>7.1295357892648661E-4</v>
      </c>
      <c r="H7" s="163"/>
      <c r="I7" s="27">
        <f t="shared" ref="I7:I38" si="2">+C7*I$5</f>
        <v>50441.877109795554</v>
      </c>
      <c r="J7" s="28">
        <f t="shared" ref="J7:J38" si="3">+E7*J$5</f>
        <v>49920.403795876926</v>
      </c>
      <c r="K7" s="28">
        <f t="shared" ref="K7:K38" si="4">+G7*K$5</f>
        <v>59955.110837267668</v>
      </c>
      <c r="L7" s="28">
        <f>SUM(I7:K7)</f>
        <v>160317.39174294015</v>
      </c>
      <c r="M7" s="89">
        <f>+L7/L$58</f>
        <v>5.7192217616371078E-4</v>
      </c>
    </row>
    <row r="8" spans="1:13">
      <c r="A8" s="4" t="s">
        <v>2</v>
      </c>
      <c r="B8" s="30">
        <v>3382</v>
      </c>
      <c r="C8" s="79">
        <f t="shared" si="0"/>
        <v>5.8467177992276519E-4</v>
      </c>
      <c r="D8" s="36">
        <v>2601</v>
      </c>
      <c r="E8" s="79">
        <f t="shared" si="1"/>
        <v>4.5153443588054771E-4</v>
      </c>
      <c r="G8" s="90">
        <f>+'COEF Art 14 F I'!AF8</f>
        <v>1.2956199455647799E-3</v>
      </c>
      <c r="H8" s="163"/>
      <c r="I8" s="36">
        <f t="shared" si="2"/>
        <v>57361.946329969251</v>
      </c>
      <c r="J8" s="37">
        <f t="shared" si="3"/>
        <v>44299.887503608283</v>
      </c>
      <c r="K8" s="37">
        <f t="shared" si="4"/>
        <v>108953.85020196477</v>
      </c>
      <c r="L8" s="37">
        <f t="shared" ref="L8:L57" si="5">SUM(I8:K8)</f>
        <v>210615.6840355423</v>
      </c>
      <c r="M8" s="91">
        <f t="shared" ref="M8:M57" si="6">+L8/L$58</f>
        <v>7.5135815920059307E-4</v>
      </c>
    </row>
    <row r="9" spans="1:13">
      <c r="A9" s="4" t="s">
        <v>145</v>
      </c>
      <c r="B9" s="30">
        <v>1407</v>
      </c>
      <c r="C9" s="79">
        <f t="shared" si="0"/>
        <v>2.4323867366981983E-4</v>
      </c>
      <c r="D9" s="36">
        <v>1572</v>
      </c>
      <c r="E9" s="79">
        <f t="shared" si="1"/>
        <v>2.7289970519193426E-4</v>
      </c>
      <c r="G9" s="90">
        <f>+'COEF Art 14 F I'!AF9</f>
        <v>1.5984173605863578E-3</v>
      </c>
      <c r="H9" s="163"/>
      <c r="I9" s="36">
        <f t="shared" si="2"/>
        <v>23864.062237216658</v>
      </c>
      <c r="J9" s="37">
        <f t="shared" si="3"/>
        <v>26774.095792261523</v>
      </c>
      <c r="K9" s="37">
        <f t="shared" si="4"/>
        <v>134417.29286564028</v>
      </c>
      <c r="L9" s="37">
        <f t="shared" si="5"/>
        <v>185055.45089511847</v>
      </c>
      <c r="M9" s="91">
        <f t="shared" si="6"/>
        <v>6.6017364077752101E-4</v>
      </c>
    </row>
    <row r="10" spans="1:13" ht="13.5" customHeight="1">
      <c r="A10" s="4" t="s">
        <v>3</v>
      </c>
      <c r="B10" s="30">
        <v>35289</v>
      </c>
      <c r="C10" s="79">
        <f t="shared" si="0"/>
        <v>6.1006748792709828E-3</v>
      </c>
      <c r="D10" s="36">
        <v>39308</v>
      </c>
      <c r="E10" s="79">
        <f t="shared" si="1"/>
        <v>6.8238814323693074E-3</v>
      </c>
      <c r="G10" s="90">
        <f>+'COEF Art 14 F I'!AF10</f>
        <v>6.2060238841878841E-3</v>
      </c>
      <c r="H10" s="163"/>
      <c r="I10" s="36">
        <f t="shared" si="2"/>
        <v>598535.10468311212</v>
      </c>
      <c r="J10" s="37">
        <f t="shared" si="3"/>
        <v>669488.64974695677</v>
      </c>
      <c r="K10" s="37">
        <f t="shared" si="4"/>
        <v>521889.30785012705</v>
      </c>
      <c r="L10" s="37">
        <f t="shared" si="5"/>
        <v>1789913.062280196</v>
      </c>
      <c r="M10" s="91">
        <f t="shared" si="6"/>
        <v>6.3854018743304646E-3</v>
      </c>
    </row>
    <row r="11" spans="1:13">
      <c r="A11" s="4" t="s">
        <v>146</v>
      </c>
      <c r="B11" s="30">
        <v>18030</v>
      </c>
      <c r="C11" s="79">
        <f t="shared" si="0"/>
        <v>3.1169817244256232E-3</v>
      </c>
      <c r="D11" s="36">
        <v>20318</v>
      </c>
      <c r="E11" s="79">
        <f t="shared" si="1"/>
        <v>3.5272113295736133E-3</v>
      </c>
      <c r="G11" s="90">
        <f>+'COEF Art 14 F I'!AF11</f>
        <v>5.0854077850968635E-3</v>
      </c>
      <c r="H11" s="163"/>
      <c r="I11" s="36">
        <f t="shared" si="2"/>
        <v>305806.00009738194</v>
      </c>
      <c r="J11" s="37">
        <f t="shared" si="3"/>
        <v>346053.48492822499</v>
      </c>
      <c r="K11" s="37">
        <f t="shared" si="4"/>
        <v>427652.22928998648</v>
      </c>
      <c r="L11" s="37">
        <f t="shared" si="5"/>
        <v>1079511.7143155935</v>
      </c>
      <c r="M11" s="91">
        <f t="shared" si="6"/>
        <v>3.8510899044287904E-3</v>
      </c>
    </row>
    <row r="12" spans="1:13">
      <c r="A12" s="4" t="s">
        <v>4</v>
      </c>
      <c r="B12" s="30">
        <v>656464</v>
      </c>
      <c r="C12" s="79">
        <f t="shared" si="0"/>
        <v>0.11348786970290306</v>
      </c>
      <c r="D12" s="36">
        <v>685177</v>
      </c>
      <c r="E12" s="79">
        <f t="shared" si="1"/>
        <v>0.11894694739458901</v>
      </c>
      <c r="G12" s="90">
        <f>+'COEF Art 14 F I'!AF12</f>
        <v>8.4898532567934962E-2</v>
      </c>
      <c r="H12" s="163"/>
      <c r="I12" s="36">
        <f t="shared" si="2"/>
        <v>11134255.687627716</v>
      </c>
      <c r="J12" s="37">
        <f t="shared" si="3"/>
        <v>11669843.913902273</v>
      </c>
      <c r="K12" s="37">
        <f t="shared" si="4"/>
        <v>7139456.3131252136</v>
      </c>
      <c r="L12" s="37">
        <f t="shared" si="5"/>
        <v>29943555.914655201</v>
      </c>
      <c r="M12" s="91">
        <f t="shared" si="6"/>
        <v>0.10682174575450266</v>
      </c>
    </row>
    <row r="13" spans="1:13">
      <c r="A13" s="4" t="s">
        <v>5</v>
      </c>
      <c r="B13" s="30">
        <v>14992</v>
      </c>
      <c r="C13" s="79">
        <f t="shared" si="0"/>
        <v>2.5917798121236242E-3</v>
      </c>
      <c r="D13" s="36">
        <v>18290</v>
      </c>
      <c r="E13" s="79">
        <f t="shared" si="1"/>
        <v>3.1751498778374537E-3</v>
      </c>
      <c r="G13" s="90">
        <f>+'COEF Art 14 F I'!AF13</f>
        <v>4.6651381905335187E-3</v>
      </c>
      <c r="H13" s="163"/>
      <c r="I13" s="36">
        <f t="shared" si="2"/>
        <v>254278.62193344149</v>
      </c>
      <c r="J13" s="37">
        <f t="shared" si="3"/>
        <v>311512.85753210133</v>
      </c>
      <c r="K13" s="37">
        <f t="shared" si="4"/>
        <v>392310.08238398575</v>
      </c>
      <c r="L13" s="37">
        <f t="shared" si="5"/>
        <v>958101.56184952857</v>
      </c>
      <c r="M13" s="91">
        <f t="shared" si="6"/>
        <v>3.4179668486464311E-3</v>
      </c>
    </row>
    <row r="14" spans="1:13">
      <c r="A14" s="4" t="s">
        <v>6</v>
      </c>
      <c r="B14" s="30">
        <v>3661</v>
      </c>
      <c r="C14" s="79">
        <f t="shared" si="0"/>
        <v>6.329046086035611E-4</v>
      </c>
      <c r="D14" s="36">
        <v>4505</v>
      </c>
      <c r="E14" s="79">
        <f t="shared" si="1"/>
        <v>7.8206944776696167E-4</v>
      </c>
      <c r="G14" s="90">
        <f>+'COEF Art 14 F I'!AF14</f>
        <v>1.3526218678822411E-3</v>
      </c>
      <c r="H14" s="163"/>
      <c r="I14" s="36">
        <f t="shared" si="2"/>
        <v>62094.05248788216</v>
      </c>
      <c r="J14" s="37">
        <f t="shared" si="3"/>
        <v>76728.563323243099</v>
      </c>
      <c r="K14" s="37">
        <f t="shared" si="4"/>
        <v>113747.36926336933</v>
      </c>
      <c r="L14" s="37">
        <f t="shared" si="5"/>
        <v>252569.98507449459</v>
      </c>
      <c r="M14" s="91">
        <f t="shared" si="6"/>
        <v>9.0102748009435489E-4</v>
      </c>
    </row>
    <row r="15" spans="1:13">
      <c r="A15" s="4" t="s">
        <v>130</v>
      </c>
      <c r="B15" s="30">
        <v>122337</v>
      </c>
      <c r="C15" s="79">
        <f t="shared" si="0"/>
        <v>2.1149317427679282E-2</v>
      </c>
      <c r="D15" s="36">
        <v>107879</v>
      </c>
      <c r="E15" s="79">
        <f t="shared" si="1"/>
        <v>1.8727829068957171E-2</v>
      </c>
      <c r="G15" s="90">
        <f>+'COEF Art 14 F I'!AF15</f>
        <v>1.3607121172805596E-2</v>
      </c>
      <c r="H15" s="163"/>
      <c r="I15" s="36">
        <f t="shared" si="2"/>
        <v>2074952.2259519363</v>
      </c>
      <c r="J15" s="37">
        <f t="shared" si="3"/>
        <v>1837380.8396777231</v>
      </c>
      <c r="K15" s="37">
        <f t="shared" si="4"/>
        <v>1144277.1061197112</v>
      </c>
      <c r="L15" s="37">
        <f t="shared" si="5"/>
        <v>5056610.1717493702</v>
      </c>
      <c r="M15" s="91">
        <f t="shared" si="6"/>
        <v>1.8039137625664427E-2</v>
      </c>
    </row>
    <row r="16" spans="1:13">
      <c r="A16" s="4" t="s">
        <v>131</v>
      </c>
      <c r="B16" s="30">
        <v>104478</v>
      </c>
      <c r="C16" s="79">
        <f t="shared" si="0"/>
        <v>1.8061897759541888E-2</v>
      </c>
      <c r="D16" s="36">
        <v>49869</v>
      </c>
      <c r="E16" s="79">
        <f t="shared" si="1"/>
        <v>8.6572744263464178E-3</v>
      </c>
      <c r="G16" s="90">
        <f>+'COEF Art 14 F I'!AF16</f>
        <v>9.5268894785996202E-3</v>
      </c>
      <c r="H16" s="163"/>
      <c r="I16" s="36">
        <f t="shared" si="2"/>
        <v>1772046.5489835979</v>
      </c>
      <c r="J16" s="37">
        <f t="shared" si="3"/>
        <v>849362.20296710555</v>
      </c>
      <c r="K16" s="37">
        <f t="shared" si="4"/>
        <v>801154.14454316802</v>
      </c>
      <c r="L16" s="37">
        <f t="shared" si="5"/>
        <v>3422562.8964938717</v>
      </c>
      <c r="M16" s="91">
        <f t="shared" si="6"/>
        <v>1.2209777108640789E-2</v>
      </c>
    </row>
    <row r="17" spans="1:13">
      <c r="A17" s="4" t="s">
        <v>132</v>
      </c>
      <c r="B17" s="30">
        <v>7340</v>
      </c>
      <c r="C17" s="79">
        <f t="shared" si="0"/>
        <v>1.2689210126058832E-3</v>
      </c>
      <c r="D17" s="36">
        <v>8402</v>
      </c>
      <c r="E17" s="79">
        <f t="shared" si="1"/>
        <v>1.4585899001416231E-3</v>
      </c>
      <c r="G17" s="90">
        <f>+'COEF Art 14 F I'!AF17</f>
        <v>3.5441414214709439E-3</v>
      </c>
      <c r="H17" s="163"/>
      <c r="I17" s="36">
        <f t="shared" si="2"/>
        <v>124493.40214724257</v>
      </c>
      <c r="J17" s="37">
        <f t="shared" si="3"/>
        <v>143101.75117467003</v>
      </c>
      <c r="K17" s="37">
        <f t="shared" si="4"/>
        <v>298040.99176722392</v>
      </c>
      <c r="L17" s="37">
        <f t="shared" si="5"/>
        <v>565636.14508913655</v>
      </c>
      <c r="M17" s="91">
        <f t="shared" si="6"/>
        <v>2.0178712459029092E-3</v>
      </c>
    </row>
    <row r="18" spans="1:13">
      <c r="A18" s="4" t="s">
        <v>7</v>
      </c>
      <c r="B18" s="30">
        <v>9930</v>
      </c>
      <c r="C18" s="79">
        <f t="shared" si="0"/>
        <v>1.7166737949831634E-3</v>
      </c>
      <c r="D18" s="36">
        <v>12234</v>
      </c>
      <c r="E18" s="79">
        <f t="shared" si="1"/>
        <v>2.1238263316273051E-3</v>
      </c>
      <c r="G18" s="90">
        <f>+'COEF Art 14 F I'!AF18</f>
        <v>4.6189921505786638E-3</v>
      </c>
      <c r="H18" s="163"/>
      <c r="I18" s="36">
        <f t="shared" si="2"/>
        <v>168422.27293216874</v>
      </c>
      <c r="J18" s="37">
        <f t="shared" si="3"/>
        <v>208367.86763519561</v>
      </c>
      <c r="K18" s="37">
        <f t="shared" si="4"/>
        <v>388429.47778086393</v>
      </c>
      <c r="L18" s="37">
        <f t="shared" si="5"/>
        <v>765219.61834822828</v>
      </c>
      <c r="M18" s="91">
        <f t="shared" si="6"/>
        <v>2.7298726894872619E-3</v>
      </c>
    </row>
    <row r="19" spans="1:13">
      <c r="A19" s="4" t="s">
        <v>133</v>
      </c>
      <c r="B19" s="30">
        <v>68747</v>
      </c>
      <c r="C19" s="79">
        <f t="shared" si="0"/>
        <v>1.1884811015479108E-2</v>
      </c>
      <c r="D19" s="36">
        <v>52995</v>
      </c>
      <c r="E19" s="79">
        <f t="shared" si="1"/>
        <v>9.199949030945646E-3</v>
      </c>
      <c r="G19" s="90">
        <f>+'COEF Art 14 F I'!AF19</f>
        <v>7.0900563739728561E-3</v>
      </c>
      <c r="H19" s="163"/>
      <c r="I19" s="36">
        <f t="shared" si="2"/>
        <v>1166014.7026452976</v>
      </c>
      <c r="J19" s="37">
        <f t="shared" si="3"/>
        <v>902603.8209356867</v>
      </c>
      <c r="K19" s="37">
        <f t="shared" si="4"/>
        <v>596231.12683448591</v>
      </c>
      <c r="L19" s="37">
        <f t="shared" si="5"/>
        <v>2664849.6504154699</v>
      </c>
      <c r="M19" s="91">
        <f t="shared" si="6"/>
        <v>9.5066829284405144E-3</v>
      </c>
    </row>
    <row r="20" spans="1:13">
      <c r="A20" s="4" t="s">
        <v>8</v>
      </c>
      <c r="B20" s="30">
        <v>36088</v>
      </c>
      <c r="C20" s="79">
        <f t="shared" si="0"/>
        <v>6.2388040194715413E-3</v>
      </c>
      <c r="D20" s="36">
        <v>38728</v>
      </c>
      <c r="E20" s="79">
        <f t="shared" si="1"/>
        <v>6.723193245975337E-3</v>
      </c>
      <c r="G20" s="90">
        <f>+'COEF Art 14 F I'!AF20</f>
        <v>1.0328398401406952E-2</v>
      </c>
      <c r="H20" s="163"/>
      <c r="I20" s="36">
        <f t="shared" si="2"/>
        <v>612086.90690595226</v>
      </c>
      <c r="J20" s="37">
        <f t="shared" si="3"/>
        <v>659610.1665666058</v>
      </c>
      <c r="K20" s="37">
        <f t="shared" si="4"/>
        <v>868556.22754600481</v>
      </c>
      <c r="L20" s="37">
        <f t="shared" si="5"/>
        <v>2140253.3010185631</v>
      </c>
      <c r="M20" s="91">
        <f t="shared" si="6"/>
        <v>7.6352185633284898E-3</v>
      </c>
    </row>
    <row r="21" spans="1:13">
      <c r="A21" s="4" t="s">
        <v>9</v>
      </c>
      <c r="B21" s="30">
        <v>1360</v>
      </c>
      <c r="C21" s="79">
        <f t="shared" si="0"/>
        <v>2.351134301286105E-4</v>
      </c>
      <c r="D21" s="36">
        <v>1910</v>
      </c>
      <c r="E21" s="79">
        <f t="shared" si="1"/>
        <v>3.3157661381462747E-4</v>
      </c>
      <c r="G21" s="90">
        <f>+'COEF Art 14 F I'!AF21</f>
        <v>1.4958202456767213E-3</v>
      </c>
      <c r="H21" s="163"/>
      <c r="I21" s="36">
        <f t="shared" si="2"/>
        <v>23066.897400579004</v>
      </c>
      <c r="J21" s="37">
        <f t="shared" si="3"/>
        <v>32530.867024948795</v>
      </c>
      <c r="K21" s="37">
        <f t="shared" si="4"/>
        <v>125789.49215349124</v>
      </c>
      <c r="L21" s="37">
        <f t="shared" si="5"/>
        <v>181387.25657901904</v>
      </c>
      <c r="M21" s="91">
        <f t="shared" si="6"/>
        <v>6.4708758908314941E-4</v>
      </c>
    </row>
    <row r="22" spans="1:13">
      <c r="A22" s="4" t="s">
        <v>134</v>
      </c>
      <c r="B22" s="30">
        <v>3256</v>
      </c>
      <c r="C22" s="79">
        <f t="shared" si="0"/>
        <v>5.6288921213143808E-4</v>
      </c>
      <c r="D22" s="36">
        <v>3341</v>
      </c>
      <c r="E22" s="79">
        <f t="shared" si="1"/>
        <v>5.7999867369354472E-4</v>
      </c>
      <c r="G22" s="90">
        <f>+'COEF Art 14 F I'!AF22</f>
        <v>1.0799251737976549E-3</v>
      </c>
      <c r="H22" s="163"/>
      <c r="I22" s="36">
        <f t="shared" si="2"/>
        <v>55224.866129621492</v>
      </c>
      <c r="J22" s="37">
        <f t="shared" si="3"/>
        <v>56903.469492331904</v>
      </c>
      <c r="K22" s="37">
        <f t="shared" si="4"/>
        <v>90815.216312519682</v>
      </c>
      <c r="L22" s="37">
        <f t="shared" si="5"/>
        <v>202943.55193447307</v>
      </c>
      <c r="M22" s="91">
        <f t="shared" si="6"/>
        <v>7.239883121780401E-4</v>
      </c>
    </row>
    <row r="23" spans="1:13">
      <c r="A23" s="4" t="s">
        <v>10</v>
      </c>
      <c r="B23" s="30">
        <v>40903</v>
      </c>
      <c r="C23" s="79">
        <f t="shared" si="0"/>
        <v>7.0712092886401146E-3</v>
      </c>
      <c r="D23" s="36">
        <v>46047</v>
      </c>
      <c r="E23" s="79">
        <f t="shared" si="1"/>
        <v>7.9937739980744261E-3</v>
      </c>
      <c r="G23" s="90">
        <f>+'COEF Art 14 F I'!AF23</f>
        <v>9.6419371335447548E-3</v>
      </c>
      <c r="H23" s="163"/>
      <c r="I23" s="36">
        <f t="shared" si="2"/>
        <v>693753.90027638455</v>
      </c>
      <c r="J23" s="37">
        <f t="shared" si="3"/>
        <v>784266.40518210339</v>
      </c>
      <c r="K23" s="37">
        <f t="shared" si="4"/>
        <v>810828.96083932766</v>
      </c>
      <c r="L23" s="37">
        <f t="shared" si="5"/>
        <v>2288849.2662978154</v>
      </c>
      <c r="M23" s="91">
        <f t="shared" si="6"/>
        <v>8.1653252904135103E-3</v>
      </c>
    </row>
    <row r="24" spans="1:13">
      <c r="A24" s="4" t="s">
        <v>135</v>
      </c>
      <c r="B24" s="30">
        <v>397205</v>
      </c>
      <c r="C24" s="79">
        <f t="shared" si="0"/>
        <v>6.8667816186937305E-2</v>
      </c>
      <c r="D24" s="36">
        <v>316902</v>
      </c>
      <c r="E24" s="79">
        <f t="shared" si="1"/>
        <v>5.5014289042451876E-2</v>
      </c>
      <c r="G24" s="90">
        <f>+'COEF Art 14 F I'!AF24</f>
        <v>3.8699467705200614E-2</v>
      </c>
      <c r="H24" s="163"/>
      <c r="I24" s="36">
        <f t="shared" si="2"/>
        <v>6736975.7220566049</v>
      </c>
      <c r="J24" s="37">
        <f t="shared" si="3"/>
        <v>5397432.8910682322</v>
      </c>
      <c r="K24" s="37">
        <f t="shared" si="4"/>
        <v>3254392.633952687</v>
      </c>
      <c r="L24" s="37">
        <f t="shared" si="5"/>
        <v>15388801.247077523</v>
      </c>
      <c r="M24" s="91">
        <f t="shared" si="6"/>
        <v>5.4898577141846365E-2</v>
      </c>
    </row>
    <row r="25" spans="1:13">
      <c r="A25" s="4" t="s">
        <v>11</v>
      </c>
      <c r="B25" s="30">
        <v>5506</v>
      </c>
      <c r="C25" s="79">
        <f t="shared" si="0"/>
        <v>9.5186363697656574E-4</v>
      </c>
      <c r="D25" s="36">
        <v>6292</v>
      </c>
      <c r="E25" s="79">
        <f t="shared" si="1"/>
        <v>1.0922932220532127E-3</v>
      </c>
      <c r="G25" s="90">
        <f>+'COEF Art 14 F I'!AF25</f>
        <v>3.3101270077446126E-3</v>
      </c>
      <c r="H25" s="163"/>
      <c r="I25" s="36">
        <f t="shared" si="2"/>
        <v>93387.012564402932</v>
      </c>
      <c r="J25" s="37">
        <f t="shared" si="3"/>
        <v>107164.51063925542</v>
      </c>
      <c r="K25" s="37">
        <f t="shared" si="4"/>
        <v>278361.78609775205</v>
      </c>
      <c r="L25" s="37">
        <f t="shared" si="5"/>
        <v>478913.30930141039</v>
      </c>
      <c r="M25" s="91">
        <f t="shared" si="6"/>
        <v>1.7084930029838054E-3</v>
      </c>
    </row>
    <row r="26" spans="1:13">
      <c r="A26" s="4" t="s">
        <v>12</v>
      </c>
      <c r="B26" s="30">
        <v>481213</v>
      </c>
      <c r="C26" s="79">
        <f t="shared" si="0"/>
        <v>8.3190911067999293E-2</v>
      </c>
      <c r="D26" s="36">
        <v>478712</v>
      </c>
      <c r="E26" s="79">
        <f t="shared" si="1"/>
        <v>8.3104557043156002E-2</v>
      </c>
      <c r="G26" s="90">
        <f>+'COEF Art 14 F I'!AF26</f>
        <v>5.5501914924293065E-2</v>
      </c>
      <c r="H26" s="163"/>
      <c r="I26" s="36">
        <f t="shared" si="2"/>
        <v>8161831.5432535466</v>
      </c>
      <c r="J26" s="37">
        <f t="shared" si="3"/>
        <v>8153359.3797106231</v>
      </c>
      <c r="K26" s="37">
        <f t="shared" si="4"/>
        <v>4667377.4553135475</v>
      </c>
      <c r="L26" s="37">
        <f t="shared" si="5"/>
        <v>20982568.378277719</v>
      </c>
      <c r="M26" s="91">
        <f t="shared" si="6"/>
        <v>7.4853988316192249E-2</v>
      </c>
    </row>
    <row r="27" spans="1:13">
      <c r="A27" s="4" t="s">
        <v>136</v>
      </c>
      <c r="B27" s="30">
        <v>14109</v>
      </c>
      <c r="C27" s="79">
        <f t="shared" si="0"/>
        <v>2.4391289600621804E-3</v>
      </c>
      <c r="D27" s="36">
        <v>16705</v>
      </c>
      <c r="E27" s="79">
        <f t="shared" si="1"/>
        <v>2.8999933684677238E-3</v>
      </c>
      <c r="G27" s="90">
        <f>+'COEF Art 14 F I'!AF27</f>
        <v>4.4636286796610747E-3</v>
      </c>
      <c r="H27" s="163"/>
      <c r="I27" s="36">
        <f t="shared" si="2"/>
        <v>239302.09957703613</v>
      </c>
      <c r="J27" s="37">
        <f t="shared" si="3"/>
        <v>284517.34746165952</v>
      </c>
      <c r="K27" s="37">
        <f t="shared" si="4"/>
        <v>375364.34367640759</v>
      </c>
      <c r="L27" s="37">
        <f t="shared" si="5"/>
        <v>899183.79071510327</v>
      </c>
      <c r="M27" s="91">
        <f t="shared" si="6"/>
        <v>3.2077814188837877E-3</v>
      </c>
    </row>
    <row r="28" spans="1:13">
      <c r="A28" s="4" t="s">
        <v>13</v>
      </c>
      <c r="B28" s="30">
        <v>1808</v>
      </c>
      <c r="C28" s="79">
        <f t="shared" si="0"/>
        <v>3.1256256005332924E-4</v>
      </c>
      <c r="D28" s="36">
        <v>1209</v>
      </c>
      <c r="E28" s="79">
        <f t="shared" si="1"/>
        <v>2.0988278853501815E-4</v>
      </c>
      <c r="G28" s="90">
        <f>+'COEF Art 14 F I'!AF28</f>
        <v>8.7495134625118496E-4</v>
      </c>
      <c r="H28" s="163"/>
      <c r="I28" s="36">
        <f t="shared" si="2"/>
        <v>30665.40477959326</v>
      </c>
      <c r="J28" s="37">
        <f t="shared" si="3"/>
        <v>20591.527870766022</v>
      </c>
      <c r="K28" s="37">
        <f t="shared" si="4"/>
        <v>73578.149394654116</v>
      </c>
      <c r="L28" s="37">
        <f t="shared" si="5"/>
        <v>124835.08204501341</v>
      </c>
      <c r="M28" s="91">
        <f t="shared" si="6"/>
        <v>4.4534127588127689E-4</v>
      </c>
    </row>
    <row r="29" spans="1:13">
      <c r="A29" s="4" t="s">
        <v>14</v>
      </c>
      <c r="B29" s="30">
        <v>6282</v>
      </c>
      <c r="C29" s="79">
        <f t="shared" si="0"/>
        <v>1.0860165941675964E-3</v>
      </c>
      <c r="D29" s="36">
        <v>6750</v>
      </c>
      <c r="E29" s="79">
        <f t="shared" si="1"/>
        <v>1.1718021692401757E-3</v>
      </c>
      <c r="G29" s="90">
        <f>+'COEF Art 14 F I'!AF29</f>
        <v>2.5027548374692474E-3</v>
      </c>
      <c r="H29" s="163"/>
      <c r="I29" s="36">
        <f t="shared" si="2"/>
        <v>106548.71284590977</v>
      </c>
      <c r="J29" s="37">
        <f t="shared" si="3"/>
        <v>114965.10597822219</v>
      </c>
      <c r="K29" s="37">
        <f t="shared" si="4"/>
        <v>210466.63922343348</v>
      </c>
      <c r="L29" s="37">
        <f t="shared" si="5"/>
        <v>431980.45804756542</v>
      </c>
      <c r="M29" s="91">
        <f t="shared" si="6"/>
        <v>1.5410630184334935E-3</v>
      </c>
    </row>
    <row r="30" spans="1:13">
      <c r="A30" s="4" t="s">
        <v>15</v>
      </c>
      <c r="B30" s="30">
        <v>102149</v>
      </c>
      <c r="C30" s="79">
        <f t="shared" si="0"/>
        <v>1.7659266010446643E-2</v>
      </c>
      <c r="D30" s="36">
        <v>96734</v>
      </c>
      <c r="E30" s="79">
        <f t="shared" si="1"/>
        <v>1.6793053487300615E-2</v>
      </c>
      <c r="G30" s="90">
        <f>+'COEF Art 14 F I'!AF30</f>
        <v>9.2656795460435079E-3</v>
      </c>
      <c r="H30" s="163"/>
      <c r="I30" s="36">
        <f t="shared" si="2"/>
        <v>1732544.4871851064</v>
      </c>
      <c r="J30" s="37">
        <f t="shared" si="3"/>
        <v>1647560.6758070141</v>
      </c>
      <c r="K30" s="37">
        <f t="shared" si="4"/>
        <v>779187.95919660188</v>
      </c>
      <c r="L30" s="37">
        <f t="shared" si="5"/>
        <v>4159293.1221887227</v>
      </c>
      <c r="M30" s="91">
        <f t="shared" si="6"/>
        <v>1.4838015688024586E-2</v>
      </c>
    </row>
    <row r="31" spans="1:13">
      <c r="A31" s="4" t="s">
        <v>16</v>
      </c>
      <c r="B31" s="30">
        <v>643143</v>
      </c>
      <c r="C31" s="79">
        <f t="shared" si="0"/>
        <v>0.11118496823029775</v>
      </c>
      <c r="D31" s="36">
        <v>721449</v>
      </c>
      <c r="E31" s="79">
        <f t="shared" si="1"/>
        <v>0.1252437782512823</v>
      </c>
      <c r="G31" s="90">
        <f>+'COEF Art 14 F I'!AF31</f>
        <v>6.5448805458277401E-2</v>
      </c>
      <c r="H31" s="163"/>
      <c r="I31" s="36">
        <f t="shared" si="2"/>
        <v>10908318.819779839</v>
      </c>
      <c r="J31" s="37">
        <f t="shared" si="3"/>
        <v>12287623.813760359</v>
      </c>
      <c r="K31" s="37">
        <f t="shared" si="4"/>
        <v>5503851.1642318266</v>
      </c>
      <c r="L31" s="37">
        <f t="shared" si="5"/>
        <v>28699793.797772024</v>
      </c>
      <c r="M31" s="91">
        <f t="shared" si="6"/>
        <v>0.10238470290603618</v>
      </c>
    </row>
    <row r="32" spans="1:13">
      <c r="A32" s="4" t="s">
        <v>137</v>
      </c>
      <c r="B32" s="30">
        <v>1959</v>
      </c>
      <c r="C32" s="79">
        <f t="shared" si="0"/>
        <v>3.3866706589849116E-4</v>
      </c>
      <c r="D32" s="36">
        <v>2049</v>
      </c>
      <c r="E32" s="79">
        <f t="shared" si="1"/>
        <v>3.5570705848490667E-4</v>
      </c>
      <c r="G32" s="90">
        <f>+'COEF Art 14 F I'!AF32</f>
        <v>9.119503939353105E-4</v>
      </c>
      <c r="H32" s="163"/>
      <c r="I32" s="36">
        <f t="shared" si="2"/>
        <v>33226.508829216371</v>
      </c>
      <c r="J32" s="37">
        <f t="shared" si="3"/>
        <v>34898.29661472256</v>
      </c>
      <c r="K32" s="37">
        <f t="shared" si="4"/>
        <v>76689.546925072893</v>
      </c>
      <c r="L32" s="37">
        <f t="shared" si="5"/>
        <v>144814.35236901185</v>
      </c>
      <c r="M32" s="91">
        <f t="shared" si="6"/>
        <v>5.1661606171478217E-4</v>
      </c>
    </row>
    <row r="33" spans="1:13">
      <c r="A33" s="4" t="s">
        <v>17</v>
      </c>
      <c r="B33" s="30">
        <v>16086</v>
      </c>
      <c r="C33" s="79">
        <f t="shared" si="0"/>
        <v>2.7809078213594327E-3</v>
      </c>
      <c r="D33" s="36">
        <v>16036</v>
      </c>
      <c r="E33" s="79">
        <f t="shared" si="1"/>
        <v>2.7838547534719195E-3</v>
      </c>
      <c r="G33" s="90">
        <f>+'COEF Art 14 F I'!AF33</f>
        <v>1.7316317701758298E-3</v>
      </c>
      <c r="H33" s="163"/>
      <c r="I33" s="36">
        <f t="shared" si="2"/>
        <v>272833.90557773074</v>
      </c>
      <c r="J33" s="37">
        <f t="shared" si="3"/>
        <v>273123.02806915127</v>
      </c>
      <c r="K33" s="37">
        <f t="shared" si="4"/>
        <v>145619.82403756317</v>
      </c>
      <c r="L33" s="37">
        <f t="shared" si="5"/>
        <v>691576.75768444513</v>
      </c>
      <c r="M33" s="91">
        <f t="shared" si="6"/>
        <v>2.4671564322437207E-3</v>
      </c>
    </row>
    <row r="34" spans="1:13">
      <c r="A34" s="4" t="s">
        <v>18</v>
      </c>
      <c r="B34" s="30">
        <v>1386</v>
      </c>
      <c r="C34" s="79">
        <f t="shared" si="0"/>
        <v>2.3960824570459864E-4</v>
      </c>
      <c r="D34" s="36">
        <v>1748</v>
      </c>
      <c r="E34" s="79">
        <f t="shared" si="1"/>
        <v>3.0345336175286326E-4</v>
      </c>
      <c r="G34" s="90">
        <f>+'COEF Art 14 F I'!AF34</f>
        <v>1.3080619224716196E-3</v>
      </c>
      <c r="H34" s="163"/>
      <c r="I34" s="36">
        <f t="shared" si="2"/>
        <v>23507.882203825364</v>
      </c>
      <c r="J34" s="37">
        <f t="shared" si="3"/>
        <v>29771.704481471465</v>
      </c>
      <c r="K34" s="37">
        <f t="shared" si="4"/>
        <v>110000.14567832314</v>
      </c>
      <c r="L34" s="37">
        <f t="shared" si="5"/>
        <v>163279.73236361996</v>
      </c>
      <c r="M34" s="91">
        <f t="shared" si="6"/>
        <v>5.8249013935159717E-4</v>
      </c>
    </row>
    <row r="35" spans="1:13">
      <c r="A35" s="4" t="s">
        <v>19</v>
      </c>
      <c r="B35" s="30">
        <v>7026</v>
      </c>
      <c r="C35" s="79">
        <f t="shared" si="0"/>
        <v>1.2146374706497186E-3</v>
      </c>
      <c r="D35" s="36">
        <v>7933</v>
      </c>
      <c r="E35" s="79">
        <f t="shared" si="1"/>
        <v>1.3771713494196021E-3</v>
      </c>
      <c r="G35" s="90">
        <f>+'COEF Art 14 F I'!AF35</f>
        <v>1.5289144359729473E-3</v>
      </c>
      <c r="H35" s="163"/>
      <c r="I35" s="36">
        <f t="shared" si="2"/>
        <v>119167.66260034416</v>
      </c>
      <c r="J35" s="37">
        <f t="shared" si="3"/>
        <v>135113.80529262766</v>
      </c>
      <c r="K35" s="37">
        <f t="shared" si="4"/>
        <v>128572.51464742061</v>
      </c>
      <c r="L35" s="37">
        <f t="shared" si="5"/>
        <v>382853.98254039243</v>
      </c>
      <c r="M35" s="91">
        <f t="shared" si="6"/>
        <v>1.3658074178161457E-3</v>
      </c>
    </row>
    <row r="36" spans="1:13">
      <c r="A36" s="4" t="s">
        <v>20</v>
      </c>
      <c r="B36" s="30">
        <v>3298</v>
      </c>
      <c r="C36" s="79">
        <f t="shared" si="0"/>
        <v>5.7015006806188052E-4</v>
      </c>
      <c r="D36" s="36">
        <v>4074</v>
      </c>
      <c r="E36" s="79">
        <f t="shared" si="1"/>
        <v>7.0724770925695941E-4</v>
      </c>
      <c r="G36" s="90">
        <f>+'COEF Art 14 F I'!AF36</f>
        <v>1.5950723960536191E-3</v>
      </c>
      <c r="H36" s="163"/>
      <c r="I36" s="36">
        <f t="shared" si="2"/>
        <v>55937.226196404088</v>
      </c>
      <c r="J36" s="37">
        <f t="shared" si="3"/>
        <v>69387.82840818922</v>
      </c>
      <c r="K36" s="37">
        <f t="shared" si="4"/>
        <v>134136.00145307867</v>
      </c>
      <c r="L36" s="37">
        <f t="shared" si="5"/>
        <v>259461.05605767199</v>
      </c>
      <c r="M36" s="91">
        <f t="shared" si="6"/>
        <v>9.2561094087767926E-4</v>
      </c>
    </row>
    <row r="37" spans="1:13">
      <c r="A37" s="4" t="s">
        <v>138</v>
      </c>
      <c r="B37" s="30">
        <v>471523</v>
      </c>
      <c r="C37" s="79">
        <f t="shared" si="0"/>
        <v>8.1515727878332944E-2</v>
      </c>
      <c r="D37" s="36">
        <v>414934</v>
      </c>
      <c r="E37" s="79">
        <f t="shared" si="1"/>
        <v>7.2032675746889346E-2</v>
      </c>
      <c r="G37" s="90">
        <f>+'COEF Art 14 F I'!AF37</f>
        <v>4.7650956419662507E-2</v>
      </c>
      <c r="H37" s="163"/>
      <c r="I37" s="36">
        <f t="shared" si="2"/>
        <v>7997479.8992744209</v>
      </c>
      <c r="J37" s="37">
        <f t="shared" si="3"/>
        <v>7067100.9309581704</v>
      </c>
      <c r="K37" s="37">
        <f t="shared" si="4"/>
        <v>4007159.032632133</v>
      </c>
      <c r="L37" s="37">
        <f t="shared" si="5"/>
        <v>19071739.862864725</v>
      </c>
      <c r="M37" s="91">
        <f t="shared" si="6"/>
        <v>6.8037228194726532E-2</v>
      </c>
    </row>
    <row r="38" spans="1:13">
      <c r="A38" s="4" t="s">
        <v>21</v>
      </c>
      <c r="B38" s="30">
        <v>5351</v>
      </c>
      <c r="C38" s="79">
        <f t="shared" si="0"/>
        <v>9.2506762104279034E-4</v>
      </c>
      <c r="D38" s="36">
        <v>5936</v>
      </c>
      <c r="E38" s="79">
        <f t="shared" si="1"/>
        <v>1.030491507645879E-3</v>
      </c>
      <c r="G38" s="90">
        <f>+'COEF Art 14 F I'!AF38</f>
        <v>3.7930141401280172E-3</v>
      </c>
      <c r="H38" s="163"/>
      <c r="I38" s="36">
        <f t="shared" si="2"/>
        <v>90758.064698895774</v>
      </c>
      <c r="J38" s="37">
        <f t="shared" si="3"/>
        <v>101101.16579062623</v>
      </c>
      <c r="K38" s="37">
        <f t="shared" si="4"/>
        <v>318969.69157671812</v>
      </c>
      <c r="L38" s="37">
        <f t="shared" si="5"/>
        <v>510828.92206624011</v>
      </c>
      <c r="M38" s="91">
        <f t="shared" si="6"/>
        <v>1.8223499370794384E-3</v>
      </c>
    </row>
    <row r="39" spans="1:13">
      <c r="A39" s="4" t="s">
        <v>22</v>
      </c>
      <c r="B39" s="30">
        <v>84666</v>
      </c>
      <c r="C39" s="79">
        <f t="shared" si="0"/>
        <v>1.4636848290638924E-2</v>
      </c>
      <c r="D39" s="36">
        <v>90832</v>
      </c>
      <c r="E39" s="79">
        <f t="shared" si="1"/>
        <v>1.5768464390581279E-2</v>
      </c>
      <c r="G39" s="90">
        <f>+'COEF Art 14 F I'!AF39</f>
        <v>1.0616347570665079E-2</v>
      </c>
      <c r="H39" s="163"/>
      <c r="I39" s="36">
        <f t="shared" ref="I39:I57" si="7">+C39*I$5</f>
        <v>1436016.1289098689</v>
      </c>
      <c r="J39" s="37">
        <f t="shared" ref="J39:J57" si="8">+E39*J$5</f>
        <v>1547038.593513167</v>
      </c>
      <c r="K39" s="37">
        <f t="shared" ref="K39:K57" si="9">+G39*K$5</f>
        <v>892771.02198516752</v>
      </c>
      <c r="L39" s="37">
        <f t="shared" si="5"/>
        <v>3875825.7444082033</v>
      </c>
      <c r="M39" s="91">
        <f t="shared" si="6"/>
        <v>1.3826763709626587E-2</v>
      </c>
    </row>
    <row r="40" spans="1:13">
      <c r="A40" s="4" t="s">
        <v>139</v>
      </c>
      <c r="B40" s="30">
        <v>5119</v>
      </c>
      <c r="C40" s="79">
        <f t="shared" si="0"/>
        <v>8.8496003590320376E-4</v>
      </c>
      <c r="D40" s="36">
        <v>6302</v>
      </c>
      <c r="E40" s="79">
        <f t="shared" si="1"/>
        <v>1.0940292252669018E-3</v>
      </c>
      <c r="G40" s="90">
        <f>+'COEF Art 14 F I'!AF40</f>
        <v>1.9314985527571322E-3</v>
      </c>
      <c r="H40" s="163"/>
      <c r="I40" s="36">
        <f t="shared" si="7"/>
        <v>86823.123377620519</v>
      </c>
      <c r="J40" s="37">
        <f t="shared" si="8"/>
        <v>107334.8293147787</v>
      </c>
      <c r="K40" s="37">
        <f t="shared" si="9"/>
        <v>162427.41916934334</v>
      </c>
      <c r="L40" s="37">
        <f t="shared" si="5"/>
        <v>356585.37186174258</v>
      </c>
      <c r="M40" s="91">
        <f t="shared" si="6"/>
        <v>1.2720958072366759E-3</v>
      </c>
    </row>
    <row r="41" spans="1:13">
      <c r="A41" s="4" t="s">
        <v>23</v>
      </c>
      <c r="B41" s="30">
        <v>1483</v>
      </c>
      <c r="C41" s="79">
        <f t="shared" si="0"/>
        <v>2.5637736535347747E-4</v>
      </c>
      <c r="D41" s="36">
        <v>1107</v>
      </c>
      <c r="E41" s="79">
        <f t="shared" si="1"/>
        <v>1.9217555575538881E-4</v>
      </c>
      <c r="G41" s="90">
        <f>+'COEF Art 14 F I'!AF41</f>
        <v>3.5390952712519637E-4</v>
      </c>
      <c r="H41" s="163"/>
      <c r="I41" s="36">
        <f t="shared" si="7"/>
        <v>25153.094739013719</v>
      </c>
      <c r="J41" s="37">
        <f t="shared" si="8"/>
        <v>18854.277380428441</v>
      </c>
      <c r="K41" s="37">
        <f t="shared" si="9"/>
        <v>29761.66408632899</v>
      </c>
      <c r="L41" s="37">
        <f t="shared" si="5"/>
        <v>73769.036205771146</v>
      </c>
      <c r="M41" s="91">
        <f t="shared" si="6"/>
        <v>2.6316638052566199E-4</v>
      </c>
    </row>
    <row r="42" spans="1:13">
      <c r="A42" s="4" t="s">
        <v>24</v>
      </c>
      <c r="B42" s="30">
        <v>7652</v>
      </c>
      <c r="C42" s="79">
        <f t="shared" si="0"/>
        <v>1.322858799517741E-3</v>
      </c>
      <c r="D42" s="36">
        <v>7732</v>
      </c>
      <c r="E42" s="79">
        <f t="shared" si="1"/>
        <v>1.3422776848244502E-3</v>
      </c>
      <c r="G42" s="90">
        <f>+'COEF Art 14 F I'!AF42</f>
        <v>2.7561893908219447E-3</v>
      </c>
      <c r="H42" s="163"/>
      <c r="I42" s="36">
        <f t="shared" si="7"/>
        <v>129785.21978619893</v>
      </c>
      <c r="J42" s="37">
        <f t="shared" si="8"/>
        <v>131690.39991460947</v>
      </c>
      <c r="K42" s="37">
        <f t="shared" si="9"/>
        <v>231778.96191228717</v>
      </c>
      <c r="L42" s="37">
        <f t="shared" si="5"/>
        <v>493254.58161309559</v>
      </c>
      <c r="M42" s="91">
        <f t="shared" si="6"/>
        <v>1.7596545867663495E-3</v>
      </c>
    </row>
    <row r="43" spans="1:13">
      <c r="A43" s="4" t="s">
        <v>25</v>
      </c>
      <c r="B43" s="30">
        <v>6048</v>
      </c>
      <c r="C43" s="79">
        <f t="shared" si="0"/>
        <v>1.0455632539837032E-3</v>
      </c>
      <c r="D43" s="36">
        <v>5977</v>
      </c>
      <c r="E43" s="79">
        <f t="shared" si="1"/>
        <v>1.0376091208220044E-3</v>
      </c>
      <c r="G43" s="90">
        <f>+'COEF Art 14 F I'!AF43</f>
        <v>3.5988637909624426E-3</v>
      </c>
      <c r="H43" s="163"/>
      <c r="I43" s="36">
        <f t="shared" si="7"/>
        <v>102579.8496166925</v>
      </c>
      <c r="J43" s="37">
        <f t="shared" si="8"/>
        <v>101799.4723602717</v>
      </c>
      <c r="K43" s="37">
        <f t="shared" si="9"/>
        <v>302642.81413703493</v>
      </c>
      <c r="L43" s="37">
        <f t="shared" si="5"/>
        <v>507022.13611399912</v>
      </c>
      <c r="M43" s="91">
        <f t="shared" si="6"/>
        <v>1.8087694684707294E-3</v>
      </c>
    </row>
    <row r="44" spans="1:13">
      <c r="A44" s="4" t="s">
        <v>26</v>
      </c>
      <c r="B44" s="30">
        <v>67428</v>
      </c>
      <c r="C44" s="79">
        <f t="shared" si="0"/>
        <v>1.1656785563758786E-2</v>
      </c>
      <c r="D44" s="36">
        <v>69413</v>
      </c>
      <c r="E44" s="79">
        <f t="shared" si="1"/>
        <v>1.2050119107180492E-2</v>
      </c>
      <c r="G44" s="90">
        <f>+'COEF Art 14 F I'!AF44</f>
        <v>8.2417933417003042E-3</v>
      </c>
      <c r="H44" s="163"/>
      <c r="I44" s="36">
        <f t="shared" si="7"/>
        <v>1143643.20435753</v>
      </c>
      <c r="J44" s="37">
        <f t="shared" si="8"/>
        <v>1182233.0224098277</v>
      </c>
      <c r="K44" s="37">
        <f t="shared" si="9"/>
        <v>693085.28339745873</v>
      </c>
      <c r="L44" s="37">
        <f t="shared" si="5"/>
        <v>3018961.5101648159</v>
      </c>
      <c r="M44" s="91">
        <f t="shared" si="6"/>
        <v>1.0769954637338831E-2</v>
      </c>
    </row>
    <row r="45" spans="1:13">
      <c r="A45" s="4" t="s">
        <v>27</v>
      </c>
      <c r="B45" s="30">
        <v>1142994</v>
      </c>
      <c r="C45" s="79">
        <f t="shared" si="0"/>
        <v>0.19759797055619194</v>
      </c>
      <c r="D45" s="36">
        <v>1149605</v>
      </c>
      <c r="E45" s="79">
        <f t="shared" si="1"/>
        <v>0.19957179744731143</v>
      </c>
      <c r="G45" s="90">
        <f>+'COEF Art 14 F I'!AF45</f>
        <v>0.28155539133040414</v>
      </c>
      <c r="H45" s="163"/>
      <c r="I45" s="36">
        <f t="shared" si="7"/>
        <v>19386268.623145144</v>
      </c>
      <c r="J45" s="37">
        <f t="shared" si="8"/>
        <v>19579920.097495425</v>
      </c>
      <c r="K45" s="37">
        <f t="shared" si="9"/>
        <v>23677116.144731827</v>
      </c>
      <c r="L45" s="37">
        <f t="shared" si="5"/>
        <v>62643304.865372397</v>
      </c>
      <c r="M45" s="91">
        <f t="shared" si="6"/>
        <v>0.22347603620034731</v>
      </c>
    </row>
    <row r="46" spans="1:13">
      <c r="A46" s="4" t="s">
        <v>140</v>
      </c>
      <c r="B46" s="30">
        <v>906</v>
      </c>
      <c r="C46" s="79">
        <f t="shared" si="0"/>
        <v>1.5662703507097141E-4</v>
      </c>
      <c r="D46" s="36">
        <v>1103</v>
      </c>
      <c r="E46" s="79">
        <f t="shared" si="1"/>
        <v>1.9148115446991314E-4</v>
      </c>
      <c r="G46" s="90">
        <f>+'COEF Art 14 F I'!AF46</f>
        <v>1.8095712518675321E-3</v>
      </c>
      <c r="H46" s="163"/>
      <c r="I46" s="36">
        <f t="shared" si="7"/>
        <v>15366.624297738659</v>
      </c>
      <c r="J46" s="37">
        <f t="shared" si="8"/>
        <v>18786.149910219123</v>
      </c>
      <c r="K46" s="37">
        <f t="shared" si="9"/>
        <v>152174.06599881579</v>
      </c>
      <c r="L46" s="37">
        <f t="shared" si="5"/>
        <v>186326.84020677357</v>
      </c>
      <c r="M46" s="91">
        <f t="shared" si="6"/>
        <v>6.6470924189956882E-4</v>
      </c>
    </row>
    <row r="47" spans="1:13">
      <c r="A47" s="4" t="s">
        <v>141</v>
      </c>
      <c r="B47" s="30">
        <v>147624</v>
      </c>
      <c r="C47" s="79">
        <f t="shared" si="0"/>
        <v>2.5520871330372057E-2</v>
      </c>
      <c r="D47" s="36">
        <v>118875</v>
      </c>
      <c r="E47" s="79">
        <f t="shared" si="1"/>
        <v>2.0636738202729762E-2</v>
      </c>
      <c r="G47" s="90">
        <f>+'COEF Art 14 F I'!AF47</f>
        <v>1.3260656752557519E-2</v>
      </c>
      <c r="H47" s="163"/>
      <c r="I47" s="36">
        <f t="shared" si="7"/>
        <v>2503843.8690169668</v>
      </c>
      <c r="J47" s="37">
        <f t="shared" si="8"/>
        <v>2024663.2552831355</v>
      </c>
      <c r="K47" s="37">
        <f t="shared" si="9"/>
        <v>1115141.5307735286</v>
      </c>
      <c r="L47" s="37">
        <f t="shared" si="5"/>
        <v>5643648.6550736306</v>
      </c>
      <c r="M47" s="91">
        <f t="shared" si="6"/>
        <v>2.0133360362352883E-2</v>
      </c>
    </row>
    <row r="48" spans="1:13">
      <c r="A48" s="4" t="s">
        <v>142</v>
      </c>
      <c r="B48" s="30">
        <v>5389</v>
      </c>
      <c r="C48" s="79">
        <f t="shared" si="0"/>
        <v>9.3163696688461914E-4</v>
      </c>
      <c r="D48" s="36">
        <v>5274</v>
      </c>
      <c r="E48" s="79">
        <f t="shared" si="1"/>
        <v>9.1556809489965732E-4</v>
      </c>
      <c r="G48" s="90">
        <f>+'COEF Art 14 F I'!AF48</f>
        <v>2.0272011004218472E-3</v>
      </c>
      <c r="H48" s="163"/>
      <c r="I48" s="36">
        <f t="shared" si="7"/>
        <v>91402.580949794297</v>
      </c>
      <c r="J48" s="37">
        <f t="shared" si="8"/>
        <v>89826.069470984279</v>
      </c>
      <c r="K48" s="37">
        <f t="shared" si="9"/>
        <v>170475.42821543934</v>
      </c>
      <c r="L48" s="37">
        <f t="shared" si="5"/>
        <v>351704.07863621792</v>
      </c>
      <c r="M48" s="91">
        <f t="shared" si="6"/>
        <v>1.2546821017510503E-3</v>
      </c>
    </row>
    <row r="49" spans="1:13">
      <c r="A49" s="4" t="s">
        <v>28</v>
      </c>
      <c r="B49" s="30">
        <v>2377</v>
      </c>
      <c r="C49" s="79">
        <f t="shared" si="0"/>
        <v>4.1092987015860824E-4</v>
      </c>
      <c r="D49" s="36">
        <v>3079</v>
      </c>
      <c r="E49" s="79">
        <f t="shared" si="1"/>
        <v>5.3451538949488898E-4</v>
      </c>
      <c r="G49" s="90">
        <f>+'COEF Art 14 F I'!AF49</f>
        <v>1.8707603383861283E-3</v>
      </c>
      <c r="H49" s="163"/>
      <c r="I49" s="36">
        <f t="shared" si="7"/>
        <v>40316.187589100213</v>
      </c>
      <c r="J49" s="37">
        <f t="shared" si="8"/>
        <v>52441.120193621646</v>
      </c>
      <c r="K49" s="37">
        <f t="shared" si="9"/>
        <v>157319.70040292034</v>
      </c>
      <c r="L49" s="37">
        <f t="shared" si="5"/>
        <v>250077.00818564219</v>
      </c>
      <c r="M49" s="91">
        <f t="shared" si="6"/>
        <v>8.9213394239456205E-4</v>
      </c>
    </row>
    <row r="50" spans="1:13">
      <c r="A50" s="4" t="s">
        <v>29</v>
      </c>
      <c r="B50" s="30">
        <v>34709</v>
      </c>
      <c r="C50" s="79">
        <f t="shared" si="0"/>
        <v>6.0004059164220159E-3</v>
      </c>
      <c r="D50" s="36">
        <v>39980</v>
      </c>
      <c r="E50" s="79">
        <f t="shared" si="1"/>
        <v>6.9405408483292188E-3</v>
      </c>
      <c r="G50" s="90">
        <f>+'COEF Art 14 F I'!AF50</f>
        <v>4.9443607142961024E-3</v>
      </c>
      <c r="H50" s="163"/>
      <c r="I50" s="36">
        <f t="shared" si="7"/>
        <v>588697.7513799239</v>
      </c>
      <c r="J50" s="37">
        <f t="shared" si="8"/>
        <v>680934.06474212196</v>
      </c>
      <c r="K50" s="37">
        <f t="shared" si="9"/>
        <v>415791.01838777779</v>
      </c>
      <c r="L50" s="37">
        <f t="shared" si="5"/>
        <v>1685422.8345098235</v>
      </c>
      <c r="M50" s="91">
        <f t="shared" si="6"/>
        <v>6.0126395819517587E-3</v>
      </c>
    </row>
    <row r="51" spans="1:13">
      <c r="A51" s="4" t="s">
        <v>30</v>
      </c>
      <c r="B51" s="30">
        <v>86766</v>
      </c>
      <c r="C51" s="79">
        <f t="shared" si="0"/>
        <v>1.4999891087161044E-2</v>
      </c>
      <c r="D51" s="36">
        <v>64394</v>
      </c>
      <c r="E51" s="79">
        <f t="shared" si="1"/>
        <v>1.1178819094229906E-2</v>
      </c>
      <c r="G51" s="90">
        <f>+'COEF Art 14 F I'!AF51</f>
        <v>1.0154959601752852E-2</v>
      </c>
      <c r="H51" s="163"/>
      <c r="I51" s="36">
        <f t="shared" si="7"/>
        <v>1471634.1322489984</v>
      </c>
      <c r="J51" s="37">
        <f t="shared" si="8"/>
        <v>1096750.0791646873</v>
      </c>
      <c r="K51" s="37">
        <f t="shared" si="9"/>
        <v>853971.06693512527</v>
      </c>
      <c r="L51" s="37">
        <f t="shared" si="5"/>
        <v>3422355.278348811</v>
      </c>
      <c r="M51" s="91">
        <f t="shared" si="6"/>
        <v>1.2209036444012682E-2</v>
      </c>
    </row>
    <row r="52" spans="1:13">
      <c r="A52" s="4" t="s">
        <v>143</v>
      </c>
      <c r="B52" s="30">
        <v>412199</v>
      </c>
      <c r="C52" s="79">
        <f t="shared" si="0"/>
        <v>7.125994175410523E-2</v>
      </c>
      <c r="D52" s="36">
        <v>479050</v>
      </c>
      <c r="E52" s="79">
        <f t="shared" si="1"/>
        <v>8.3163233951778687E-2</v>
      </c>
      <c r="G52" s="90">
        <f>+'COEF Art 14 F I'!AF52</f>
        <v>6.6935765601398356E-2</v>
      </c>
      <c r="H52" s="163"/>
      <c r="I52" s="36">
        <f t="shared" si="7"/>
        <v>6991288.2658979874</v>
      </c>
      <c r="J52" s="37">
        <f t="shared" si="8"/>
        <v>8159116.1509433091</v>
      </c>
      <c r="K52" s="37">
        <f t="shared" si="9"/>
        <v>5628895.5750133153</v>
      </c>
      <c r="L52" s="37">
        <f t="shared" si="5"/>
        <v>20779299.991854612</v>
      </c>
      <c r="M52" s="91">
        <f t="shared" si="6"/>
        <v>7.4128841177478838E-2</v>
      </c>
    </row>
    <row r="53" spans="1:13">
      <c r="A53" s="4" t="s">
        <v>144</v>
      </c>
      <c r="B53" s="30">
        <v>132169</v>
      </c>
      <c r="C53" s="79">
        <f t="shared" si="0"/>
        <v>2.2849049225491413E-2</v>
      </c>
      <c r="D53" s="36">
        <v>140470</v>
      </c>
      <c r="E53" s="79">
        <f t="shared" si="1"/>
        <v>2.4385637142691478E-2</v>
      </c>
      <c r="G53" s="90">
        <f>+'COEF Art 14 F I'!AF53</f>
        <v>0.12767396748427715</v>
      </c>
      <c r="H53" s="163"/>
      <c r="I53" s="36">
        <f t="shared" si="7"/>
        <v>2241712.3253949457</v>
      </c>
      <c r="J53" s="37">
        <f t="shared" si="8"/>
        <v>2392466.4350756845</v>
      </c>
      <c r="K53" s="37">
        <f t="shared" si="9"/>
        <v>10736613.291260062</v>
      </c>
      <c r="L53" s="37">
        <f t="shared" si="5"/>
        <v>15370792.051730692</v>
      </c>
      <c r="M53" s="91">
        <f t="shared" si="6"/>
        <v>5.4834330474147132E-2</v>
      </c>
    </row>
    <row r="54" spans="1:13">
      <c r="A54" s="4" t="s">
        <v>31</v>
      </c>
      <c r="B54" s="30">
        <v>306322</v>
      </c>
      <c r="C54" s="79">
        <f t="shared" si="0"/>
        <v>5.2956188341070756E-2</v>
      </c>
      <c r="D54" s="36">
        <v>328847</v>
      </c>
      <c r="E54" s="79">
        <f t="shared" si="1"/>
        <v>5.7087944881203563E-2</v>
      </c>
      <c r="G54" s="90">
        <f>+'COEF Art 14 F I'!AF54</f>
        <v>3.5829649803203661E-2</v>
      </c>
      <c r="H54" s="163"/>
      <c r="I54" s="36">
        <f t="shared" si="7"/>
        <v>5195513.3423089422</v>
      </c>
      <c r="J54" s="37">
        <f t="shared" si="8"/>
        <v>5600878.5489808051</v>
      </c>
      <c r="K54" s="37">
        <f t="shared" si="9"/>
        <v>3013058.1972056576</v>
      </c>
      <c r="L54" s="37">
        <f t="shared" si="5"/>
        <v>13809450.088495405</v>
      </c>
      <c r="M54" s="91">
        <f t="shared" si="6"/>
        <v>4.9264341568757086E-2</v>
      </c>
    </row>
    <row r="55" spans="1:13">
      <c r="A55" s="4" t="s">
        <v>32</v>
      </c>
      <c r="B55" s="30">
        <v>46784</v>
      </c>
      <c r="C55" s="79">
        <f t="shared" si="0"/>
        <v>8.0879019964242016E-3</v>
      </c>
      <c r="D55" s="36">
        <v>48083</v>
      </c>
      <c r="E55" s="79">
        <f t="shared" si="1"/>
        <v>8.3472242523815361E-3</v>
      </c>
      <c r="G55" s="90">
        <f>+'COEF Art 14 F I'!AF55</f>
        <v>1.588400000443569E-2</v>
      </c>
      <c r="H55" s="163"/>
      <c r="I55" s="36">
        <f t="shared" si="7"/>
        <v>793501.27057991771</v>
      </c>
      <c r="J55" s="37">
        <f t="shared" si="8"/>
        <v>818943.28751864564</v>
      </c>
      <c r="K55" s="37">
        <f t="shared" si="9"/>
        <v>1335748.9308617348</v>
      </c>
      <c r="L55" s="37">
        <f t="shared" si="5"/>
        <v>2948193.4889602982</v>
      </c>
      <c r="M55" s="91">
        <f t="shared" si="6"/>
        <v>1.051749418841271E-2</v>
      </c>
    </row>
    <row r="56" spans="1:13">
      <c r="A56" s="4" t="s">
        <v>33</v>
      </c>
      <c r="B56" s="30">
        <v>1552</v>
      </c>
      <c r="C56" s="79">
        <f t="shared" si="0"/>
        <v>2.6830591438206137E-4</v>
      </c>
      <c r="D56" s="36">
        <v>1988</v>
      </c>
      <c r="E56" s="79">
        <f t="shared" si="1"/>
        <v>3.4511743888140288E-4</v>
      </c>
      <c r="G56" s="90">
        <f>+'COEF Art 14 F I'!AF56</f>
        <v>2.8153920401096321E-3</v>
      </c>
      <c r="H56" s="163"/>
      <c r="I56" s="36">
        <f t="shared" si="7"/>
        <v>26323.400563013682</v>
      </c>
      <c r="J56" s="37">
        <f t="shared" si="8"/>
        <v>33859.35269403048</v>
      </c>
      <c r="K56" s="37">
        <f t="shared" si="9"/>
        <v>236757.54888459435</v>
      </c>
      <c r="L56" s="37">
        <f t="shared" si="5"/>
        <v>296940.30214163853</v>
      </c>
      <c r="M56" s="91">
        <f t="shared" si="6"/>
        <v>1.0593157856751017E-3</v>
      </c>
    </row>
    <row r="57" spans="1:13">
      <c r="A57" s="4" t="s">
        <v>34</v>
      </c>
      <c r="B57" s="30">
        <v>3573</v>
      </c>
      <c r="C57" s="79">
        <f t="shared" si="0"/>
        <v>6.1769138665406279E-4</v>
      </c>
      <c r="D57" s="36">
        <v>4677</v>
      </c>
      <c r="E57" s="79">
        <f t="shared" si="1"/>
        <v>8.1192870304241504E-4</v>
      </c>
      <c r="G57" s="90">
        <f>+'COEF Art 14 F I'!AF57</f>
        <v>2.4047940869498484E-3</v>
      </c>
      <c r="H57" s="163"/>
      <c r="I57" s="36">
        <f t="shared" si="7"/>
        <v>60601.488538432932</v>
      </c>
      <c r="J57" s="37">
        <f t="shared" si="8"/>
        <v>79658.044542243733</v>
      </c>
      <c r="K57" s="37">
        <f t="shared" si="9"/>
        <v>202228.72889000617</v>
      </c>
      <c r="L57" s="37">
        <f t="shared" si="5"/>
        <v>342488.26197068283</v>
      </c>
      <c r="M57" s="91">
        <f t="shared" si="6"/>
        <v>1.2218052574787211E-3</v>
      </c>
    </row>
    <row r="58" spans="1:13" ht="13.5" thickBot="1">
      <c r="A58" s="6" t="s">
        <v>35</v>
      </c>
      <c r="B58" s="39">
        <f>SUM(B7:B57)</f>
        <v>5784442</v>
      </c>
      <c r="C58" s="80">
        <f>SUM(C7:C57)</f>
        <v>1.0000000000000002</v>
      </c>
      <c r="D58" s="45">
        <f>SUM(D7:D57)</f>
        <v>5760358</v>
      </c>
      <c r="E58" s="80">
        <f t="shared" si="1"/>
        <v>1</v>
      </c>
      <c r="G58" s="92">
        <f t="shared" ref="G58:M58" si="10">SUM(G7:G57)</f>
        <v>1.0000000000000002</v>
      </c>
      <c r="H58" s="164"/>
      <c r="I58" s="45">
        <f t="shared" si="10"/>
        <v>98109654.509999976</v>
      </c>
      <c r="J58" s="46">
        <f t="shared" si="10"/>
        <v>98109654.50999999</v>
      </c>
      <c r="K58" s="46">
        <f t="shared" si="10"/>
        <v>84093989.579999998</v>
      </c>
      <c r="L58" s="46">
        <f t="shared" si="10"/>
        <v>280313298.60000014</v>
      </c>
      <c r="M58" s="93">
        <f t="shared" si="10"/>
        <v>0.99999999999999944</v>
      </c>
    </row>
    <row r="59" spans="1:13" ht="13.5" thickTop="1"/>
    <row r="60" spans="1:13" ht="15.75" customHeight="1">
      <c r="A60" s="11" t="s">
        <v>55</v>
      </c>
    </row>
    <row r="61" spans="1:13">
      <c r="A61" s="11" t="s">
        <v>150</v>
      </c>
    </row>
    <row r="62" spans="1:13">
      <c r="A62" s="11" t="s">
        <v>151</v>
      </c>
    </row>
  </sheetData>
  <mergeCells count="4">
    <mergeCell ref="A1:M1"/>
    <mergeCell ref="B3:C3"/>
    <mergeCell ref="D3:E3"/>
    <mergeCell ref="I3:M3"/>
  </mergeCells>
  <printOptions horizontalCentered="1"/>
  <pageMargins left="0.19685039370078741" right="0.19685039370078741" top="0.35433070866141736" bottom="0.15748031496062992" header="0.15748031496062992" footer="0.15748031496062992"/>
  <pageSetup scale="70" orientation="landscape" r:id="rId1"/>
  <headerFooter alignWithMargins="0">
    <oddHeader>&amp;LANEXO 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3"/>
  <sheetViews>
    <sheetView showGridLines="0" zoomScaleNormal="100" workbookViewId="0">
      <selection activeCell="G13" sqref="G13"/>
    </sheetView>
  </sheetViews>
  <sheetFormatPr baseColWidth="10" defaultColWidth="11.42578125" defaultRowHeight="12.75"/>
  <cols>
    <col min="1" max="1" width="5.7109375" style="110" customWidth="1"/>
    <col min="2" max="2" width="28.28515625" style="110" bestFit="1" customWidth="1"/>
    <col min="3" max="3" width="17.28515625" style="110" customWidth="1"/>
    <col min="4" max="4" width="16.85546875" style="110" customWidth="1"/>
    <col min="5" max="5" width="14.42578125" style="110" customWidth="1"/>
    <col min="6" max="6" width="21.140625" style="110" customWidth="1"/>
    <col min="7" max="7" width="17" style="110" customWidth="1"/>
    <col min="8" max="8" width="17.42578125" style="110" customWidth="1"/>
    <col min="9" max="9" width="15.42578125" style="110" customWidth="1"/>
    <col min="10" max="10" width="15" style="110" customWidth="1"/>
    <col min="11" max="11" width="21.42578125" style="110" customWidth="1"/>
    <col min="12" max="12" width="5.28515625" style="110" customWidth="1"/>
    <col min="13" max="13" width="28.140625" style="110" customWidth="1"/>
    <col min="14" max="18" width="18.85546875" style="110" customWidth="1"/>
    <col min="19" max="19" width="0.28515625" style="110" customWidth="1"/>
    <col min="20" max="20" width="11.42578125" style="110" customWidth="1"/>
    <col min="21" max="21" width="21.28515625" style="110" customWidth="1"/>
    <col min="22" max="22" width="16.7109375" style="110" bestFit="1" customWidth="1"/>
    <col min="23" max="24" width="15.28515625" style="110" bestFit="1" customWidth="1"/>
    <col min="25" max="25" width="14.28515625" style="110" bestFit="1" customWidth="1"/>
    <col min="26" max="26" width="13.28515625" style="110" bestFit="1" customWidth="1"/>
    <col min="27" max="27" width="12.5703125" style="110" bestFit="1" customWidth="1"/>
    <col min="28" max="28" width="14.28515625" style="110" bestFit="1" customWidth="1"/>
    <col min="29" max="16384" width="11.42578125" style="110"/>
  </cols>
  <sheetData>
    <row r="1" spans="1:29" ht="38.25" customHeight="1" thickBot="1">
      <c r="B1" s="145"/>
      <c r="C1" s="297" t="s">
        <v>127</v>
      </c>
      <c r="D1" s="297"/>
      <c r="E1" s="297"/>
      <c r="F1" s="297"/>
      <c r="G1" s="297" t="s">
        <v>126</v>
      </c>
      <c r="H1" s="297"/>
      <c r="I1" s="297"/>
      <c r="J1" s="297"/>
      <c r="K1" s="154" t="s">
        <v>125</v>
      </c>
      <c r="M1" s="297" t="s">
        <v>124</v>
      </c>
      <c r="N1" s="297"/>
      <c r="O1" s="297"/>
      <c r="P1" s="297"/>
      <c r="Q1" s="297"/>
      <c r="R1" s="297"/>
    </row>
    <row r="2" spans="1:29" ht="54.75" customHeight="1" thickTop="1" thickBot="1">
      <c r="B2" s="153" t="s">
        <v>0</v>
      </c>
      <c r="C2" s="152" t="s">
        <v>295</v>
      </c>
      <c r="D2" s="151" t="s">
        <v>294</v>
      </c>
      <c r="E2" s="151" t="s">
        <v>123</v>
      </c>
      <c r="F2" s="150" t="s">
        <v>122</v>
      </c>
      <c r="G2" s="151" t="s">
        <v>293</v>
      </c>
      <c r="H2" s="151" t="s">
        <v>121</v>
      </c>
      <c r="I2" s="151" t="s">
        <v>120</v>
      </c>
      <c r="J2" s="148" t="s">
        <v>119</v>
      </c>
      <c r="K2" s="149" t="s">
        <v>118</v>
      </c>
      <c r="M2" s="153" t="s">
        <v>0</v>
      </c>
      <c r="N2" s="152" t="s">
        <v>117</v>
      </c>
      <c r="O2" s="151" t="s">
        <v>116</v>
      </c>
      <c r="P2" s="150" t="s">
        <v>115</v>
      </c>
      <c r="Q2" s="149" t="s">
        <v>114</v>
      </c>
      <c r="R2" s="148" t="s">
        <v>61</v>
      </c>
    </row>
    <row r="3" spans="1:29" ht="21" customHeight="1" thickTop="1">
      <c r="B3" s="145"/>
      <c r="C3" s="147" t="s">
        <v>113</v>
      </c>
      <c r="D3" s="147" t="s">
        <v>112</v>
      </c>
      <c r="E3" s="147" t="s">
        <v>111</v>
      </c>
      <c r="F3" s="147" t="s">
        <v>110</v>
      </c>
      <c r="G3" s="147" t="s">
        <v>109</v>
      </c>
      <c r="H3" s="147" t="s">
        <v>108</v>
      </c>
      <c r="I3" s="147"/>
      <c r="J3" s="147" t="s">
        <v>107</v>
      </c>
      <c r="K3" s="147" t="s">
        <v>106</v>
      </c>
      <c r="N3" s="232">
        <f>N4*Q3</f>
        <v>232434856</v>
      </c>
      <c r="O3" s="232">
        <f>Q3*O4</f>
        <v>139460913.59999999</v>
      </c>
      <c r="P3" s="232">
        <f>Q3*P4</f>
        <v>92973942.400000006</v>
      </c>
      <c r="Q3" s="232">
        <f>+'PART PEF2023'!E11</f>
        <v>464869712</v>
      </c>
      <c r="R3" s="233"/>
    </row>
    <row r="4" spans="1:29" ht="13.5" thickBot="1">
      <c r="G4" s="146"/>
      <c r="H4" s="145"/>
      <c r="I4" s="145"/>
      <c r="J4" s="145"/>
      <c r="N4" s="234">
        <v>0.5</v>
      </c>
      <c r="O4" s="234">
        <v>0.3</v>
      </c>
      <c r="P4" s="234">
        <v>0.2</v>
      </c>
      <c r="Q4" s="235" t="s">
        <v>105</v>
      </c>
      <c r="R4" s="235"/>
    </row>
    <row r="5" spans="1:29" ht="13.5" thickTop="1">
      <c r="A5" s="110" t="s">
        <v>153</v>
      </c>
      <c r="B5" s="167" t="s">
        <v>1</v>
      </c>
      <c r="C5" s="139">
        <v>685947</v>
      </c>
      <c r="D5" s="138">
        <f>+'COEF Art 14 F I'!D7</f>
        <v>200922.61</v>
      </c>
      <c r="E5" s="144">
        <f t="shared" ref="E5:E36" si="0">IFERROR(D5/C5,0)</f>
        <v>0.29291273232480058</v>
      </c>
      <c r="F5" s="143">
        <f t="shared" ref="F5:F36" si="1">IFERROR(E5/$E$56,0)</f>
        <v>1.8633927432868534E-2</v>
      </c>
      <c r="G5" s="138">
        <v>145672.85</v>
      </c>
      <c r="H5" s="160">
        <f t="shared" ref="H5:H36" si="2">IFERROR((D5/G5)-1,0)</f>
        <v>0.37927287068249149</v>
      </c>
      <c r="I5" s="142">
        <f t="shared" ref="I5:I36" si="3">IF(H5&lt;0,0,H5)</f>
        <v>0.37927287068249149</v>
      </c>
      <c r="J5" s="135">
        <f t="shared" ref="J5:J36" si="4">IFERROR(I5/$I$56,0)</f>
        <v>3.6405629422176358E-2</v>
      </c>
      <c r="K5" s="141">
        <f t="shared" ref="K5:K36" si="5">IFERROR(D5/$D$56,0)</f>
        <v>8.3458031995978688E-5</v>
      </c>
      <c r="M5" s="140" t="s">
        <v>1</v>
      </c>
      <c r="N5" s="139">
        <f t="shared" ref="N5:N36" si="6">IFERROR($N$3*F5,0)</f>
        <v>4331174.2395732477</v>
      </c>
      <c r="O5" s="138">
        <f t="shared" ref="O5:O36" si="7">IFERROR($O$3*J5,0)</f>
        <v>5077162.339399755</v>
      </c>
      <c r="P5" s="137">
        <f t="shared" ref="P5:P36" si="8">IFERROR($P$3*K5,0)</f>
        <v>7759.4222596114796</v>
      </c>
      <c r="Q5" s="136">
        <f t="shared" ref="Q5:Q36" si="9">IFERROR(SUM(N5:P5),0)</f>
        <v>9416096.0012326147</v>
      </c>
      <c r="R5" s="135">
        <f t="shared" ref="R5:R36" si="10">IFERROR(Q5/$Q$56,0)</f>
        <v>2.0255344149486376E-2</v>
      </c>
      <c r="T5" s="111"/>
      <c r="AC5" s="111"/>
    </row>
    <row r="6" spans="1:29">
      <c r="A6" s="110" t="s">
        <v>154</v>
      </c>
      <c r="B6" s="168" t="s">
        <v>2</v>
      </c>
      <c r="C6" s="129">
        <v>2702829</v>
      </c>
      <c r="D6" s="128">
        <f>+'COEF Art 14 F I'!D8</f>
        <v>996274</v>
      </c>
      <c r="E6" s="134">
        <f t="shared" si="0"/>
        <v>0.3686041551278309</v>
      </c>
      <c r="F6" s="133">
        <f t="shared" si="1"/>
        <v>2.3449110673992593E-2</v>
      </c>
      <c r="G6" s="128">
        <v>768052</v>
      </c>
      <c r="H6" s="161">
        <f t="shared" si="2"/>
        <v>0.29714394337883365</v>
      </c>
      <c r="I6" s="132">
        <f t="shared" si="3"/>
        <v>0.29714394337883365</v>
      </c>
      <c r="J6" s="125">
        <f t="shared" si="4"/>
        <v>2.8522241172240413E-2</v>
      </c>
      <c r="K6" s="131">
        <f t="shared" si="5"/>
        <v>4.1382633526790079E-4</v>
      </c>
      <c r="M6" s="130" t="s">
        <v>2</v>
      </c>
      <c r="N6" s="129">
        <f t="shared" si="6"/>
        <v>5450390.6628375314</v>
      </c>
      <c r="O6" s="128">
        <f t="shared" si="7"/>
        <v>3977737.8118001828</v>
      </c>
      <c r="P6" s="127">
        <f t="shared" si="8"/>
        <v>38475.065858800903</v>
      </c>
      <c r="Q6" s="126">
        <f t="shared" si="9"/>
        <v>9466603.5404965151</v>
      </c>
      <c r="R6" s="125">
        <f t="shared" si="10"/>
        <v>2.0363992955722006E-2</v>
      </c>
      <c r="T6" s="111"/>
      <c r="U6" s="111"/>
      <c r="V6" s="111"/>
      <c r="W6" s="111"/>
      <c r="X6" s="111"/>
      <c r="Y6" s="111"/>
      <c r="Z6" s="111"/>
    </row>
    <row r="7" spans="1:29">
      <c r="A7" s="110" t="s">
        <v>155</v>
      </c>
      <c r="B7" s="168" t="s">
        <v>145</v>
      </c>
      <c r="C7" s="129">
        <v>1181103</v>
      </c>
      <c r="D7" s="128">
        <f>+'COEF Art 14 F I'!D9</f>
        <v>288767</v>
      </c>
      <c r="E7" s="134">
        <f t="shared" si="0"/>
        <v>0.24448926130913223</v>
      </c>
      <c r="F7" s="133">
        <f t="shared" si="1"/>
        <v>1.5553421379778883E-2</v>
      </c>
      <c r="G7" s="128">
        <v>272877</v>
      </c>
      <c r="H7" s="161">
        <f t="shared" si="2"/>
        <v>5.8231364314324852E-2</v>
      </c>
      <c r="I7" s="132">
        <f t="shared" si="3"/>
        <v>5.8231364314324852E-2</v>
      </c>
      <c r="J7" s="125">
        <f t="shared" si="4"/>
        <v>5.5895099118485917E-3</v>
      </c>
      <c r="K7" s="131">
        <f t="shared" si="5"/>
        <v>1.199463093047755E-4</v>
      </c>
      <c r="M7" s="130" t="s">
        <v>145</v>
      </c>
      <c r="N7" s="129">
        <f t="shared" si="6"/>
        <v>3615157.2587162261</v>
      </c>
      <c r="O7" s="128">
        <f t="shared" si="7"/>
        <v>779518.15888266009</v>
      </c>
      <c r="P7" s="127">
        <f t="shared" si="8"/>
        <v>11151.881252394782</v>
      </c>
      <c r="Q7" s="126">
        <f t="shared" si="9"/>
        <v>4405827.2988512814</v>
      </c>
      <c r="R7" s="125">
        <f t="shared" si="10"/>
        <v>9.4775529253049769E-3</v>
      </c>
      <c r="T7" s="111"/>
      <c r="U7" s="111"/>
      <c r="V7" s="111"/>
      <c r="W7" s="111"/>
      <c r="X7" s="111"/>
      <c r="Y7" s="111"/>
      <c r="Z7" s="111"/>
    </row>
    <row r="8" spans="1:29">
      <c r="A8" s="110" t="s">
        <v>156</v>
      </c>
      <c r="B8" s="168" t="s">
        <v>3</v>
      </c>
      <c r="C8" s="129">
        <v>56374737</v>
      </c>
      <c r="D8" s="128">
        <f>+'COEF Art 14 F I'!D10</f>
        <v>25832482</v>
      </c>
      <c r="E8" s="134">
        <f t="shared" si="0"/>
        <v>0.45822798250925767</v>
      </c>
      <c r="F8" s="133">
        <f t="shared" si="1"/>
        <v>2.9150617339225533E-2</v>
      </c>
      <c r="G8" s="128">
        <v>23142962</v>
      </c>
      <c r="H8" s="161">
        <f t="shared" si="2"/>
        <v>0.11621330061381085</v>
      </c>
      <c r="I8" s="132">
        <f t="shared" si="3"/>
        <v>0.11621330061381085</v>
      </c>
      <c r="J8" s="125">
        <f t="shared" si="4"/>
        <v>1.1155077737200482E-2</v>
      </c>
      <c r="K8" s="131">
        <f t="shared" si="5"/>
        <v>1.0730141865524958E-2</v>
      </c>
      <c r="M8" s="130" t="s">
        <v>3</v>
      </c>
      <c r="N8" s="129">
        <f t="shared" si="6"/>
        <v>6775619.5435539903</v>
      </c>
      <c r="O8" s="128">
        <f t="shared" si="7"/>
        <v>1555697.3325089999</v>
      </c>
      <c r="P8" s="127">
        <f t="shared" si="8"/>
        <v>997623.591749146</v>
      </c>
      <c r="Q8" s="126">
        <f t="shared" si="9"/>
        <v>9328940.4678121358</v>
      </c>
      <c r="R8" s="125">
        <f t="shared" si="10"/>
        <v>2.0067860363877907E-2</v>
      </c>
      <c r="T8" s="111"/>
      <c r="U8" s="111"/>
      <c r="V8" s="111"/>
      <c r="W8" s="111"/>
      <c r="X8" s="111"/>
      <c r="Y8" s="111"/>
      <c r="Z8" s="111"/>
    </row>
    <row r="9" spans="1:29">
      <c r="A9" s="110" t="s">
        <v>157</v>
      </c>
      <c r="B9" s="168" t="s">
        <v>146</v>
      </c>
      <c r="C9" s="129">
        <v>10911069</v>
      </c>
      <c r="D9" s="128">
        <f>+'COEF Art 14 F I'!D11</f>
        <v>1947895</v>
      </c>
      <c r="E9" s="134">
        <f t="shared" si="0"/>
        <v>0.17852467068075548</v>
      </c>
      <c r="F9" s="133">
        <f t="shared" si="1"/>
        <v>1.1357019997181904E-2</v>
      </c>
      <c r="G9" s="128">
        <v>2531264</v>
      </c>
      <c r="H9" s="161">
        <f t="shared" si="2"/>
        <v>-0.23046549075876721</v>
      </c>
      <c r="I9" s="132">
        <f t="shared" si="3"/>
        <v>0</v>
      </c>
      <c r="J9" s="125">
        <f t="shared" si="4"/>
        <v>0</v>
      </c>
      <c r="K9" s="131">
        <f t="shared" si="5"/>
        <v>8.0910497447154864E-4</v>
      </c>
      <c r="M9" s="130" t="s">
        <v>146</v>
      </c>
      <c r="N9" s="129">
        <f t="shared" si="6"/>
        <v>2639767.3076340961</v>
      </c>
      <c r="O9" s="128">
        <f t="shared" si="7"/>
        <v>0</v>
      </c>
      <c r="P9" s="127">
        <f t="shared" si="8"/>
        <v>75225.679292071232</v>
      </c>
      <c r="Q9" s="126">
        <f t="shared" si="9"/>
        <v>2714992.9869261673</v>
      </c>
      <c r="R9" s="125">
        <f t="shared" si="10"/>
        <v>5.8403309934852632E-3</v>
      </c>
      <c r="T9" s="111"/>
      <c r="U9" s="111"/>
      <c r="V9" s="111"/>
      <c r="W9" s="111"/>
      <c r="X9" s="111"/>
      <c r="Y9" s="111"/>
      <c r="Z9" s="111"/>
    </row>
    <row r="10" spans="1:29">
      <c r="A10" s="110" t="s">
        <v>158</v>
      </c>
      <c r="B10" s="168" t="s">
        <v>4</v>
      </c>
      <c r="C10" s="129">
        <v>696327770</v>
      </c>
      <c r="D10" s="128">
        <f>+'COEF Art 14 F I'!D12</f>
        <v>336540527.27999997</v>
      </c>
      <c r="E10" s="134">
        <f t="shared" si="0"/>
        <v>0.48330763439177499</v>
      </c>
      <c r="F10" s="133">
        <f t="shared" si="1"/>
        <v>3.0746083707352625E-2</v>
      </c>
      <c r="G10" s="128">
        <v>299493654.98000002</v>
      </c>
      <c r="H10" s="161">
        <f t="shared" si="2"/>
        <v>0.12369835448592026</v>
      </c>
      <c r="I10" s="132">
        <f t="shared" si="3"/>
        <v>0.12369835448592026</v>
      </c>
      <c r="J10" s="125">
        <f t="shared" si="4"/>
        <v>1.1873552794440112E-2</v>
      </c>
      <c r="K10" s="131">
        <f t="shared" si="5"/>
        <v>0.13979019132629114</v>
      </c>
      <c r="M10" s="130" t="s">
        <v>4</v>
      </c>
      <c r="N10" s="129">
        <f t="shared" si="6"/>
        <v>7146461.5390824536</v>
      </c>
      <c r="O10" s="128">
        <f t="shared" si="7"/>
        <v>1655896.520390451</v>
      </c>
      <c r="P10" s="127">
        <f t="shared" si="8"/>
        <v>12996845.196455574</v>
      </c>
      <c r="Q10" s="126">
        <f t="shared" si="9"/>
        <v>21799203.255928479</v>
      </c>
      <c r="R10" s="125">
        <f t="shared" si="10"/>
        <v>4.689314595726659E-2</v>
      </c>
      <c r="T10" s="111"/>
      <c r="U10" s="111"/>
      <c r="V10" s="111"/>
      <c r="W10" s="111"/>
      <c r="X10" s="111"/>
      <c r="Y10" s="111"/>
      <c r="Z10" s="111"/>
    </row>
    <row r="11" spans="1:29">
      <c r="A11" s="110" t="s">
        <v>159</v>
      </c>
      <c r="B11" s="130" t="s">
        <v>5</v>
      </c>
      <c r="C11" s="129">
        <v>1849663</v>
      </c>
      <c r="D11" s="128">
        <f>+'COEF Art 14 F I'!D13</f>
        <v>792296.3</v>
      </c>
      <c r="E11" s="134">
        <f t="shared" si="0"/>
        <v>0.42834629875820623</v>
      </c>
      <c r="F11" s="133">
        <f t="shared" si="1"/>
        <v>2.72496650584227E-2</v>
      </c>
      <c r="G11" s="128">
        <v>788778.4</v>
      </c>
      <c r="H11" s="161">
        <f t="shared" si="2"/>
        <v>4.459934501249041E-3</v>
      </c>
      <c r="I11" s="132">
        <f t="shared" si="3"/>
        <v>4.459934501249041E-3</v>
      </c>
      <c r="J11" s="125">
        <f t="shared" si="4"/>
        <v>4.2810001782483655E-4</v>
      </c>
      <c r="K11" s="131">
        <f t="shared" si="5"/>
        <v>3.2909929826063647E-4</v>
      </c>
      <c r="M11" s="130" t="s">
        <v>5</v>
      </c>
      <c r="N11" s="129">
        <f t="shared" si="6"/>
        <v>6333771.9739027116</v>
      </c>
      <c r="O11" s="128">
        <f t="shared" si="7"/>
        <v>59703.219598027987</v>
      </c>
      <c r="P11" s="127">
        <f t="shared" si="8"/>
        <v>30597.659200364837</v>
      </c>
      <c r="Q11" s="126">
        <f t="shared" si="9"/>
        <v>6424072.8527011042</v>
      </c>
      <c r="R11" s="125">
        <f t="shared" si="10"/>
        <v>1.3819082394210931E-2</v>
      </c>
      <c r="T11" s="111"/>
      <c r="U11" s="111"/>
      <c r="V11" s="111"/>
      <c r="W11" s="111"/>
      <c r="X11" s="111"/>
      <c r="Y11" s="111"/>
      <c r="Z11" s="111"/>
    </row>
    <row r="12" spans="1:29">
      <c r="A12" s="110" t="s">
        <v>160</v>
      </c>
      <c r="B12" s="168" t="s">
        <v>6</v>
      </c>
      <c r="C12" s="129">
        <v>2325037</v>
      </c>
      <c r="D12" s="128">
        <f>+'COEF Art 14 F I'!D14</f>
        <v>960189</v>
      </c>
      <c r="E12" s="134">
        <f t="shared" si="0"/>
        <v>0.41297794400691257</v>
      </c>
      <c r="F12" s="133">
        <f t="shared" si="1"/>
        <v>2.6271992271974354E-2</v>
      </c>
      <c r="G12" s="128">
        <v>799410</v>
      </c>
      <c r="H12" s="161">
        <f t="shared" si="2"/>
        <v>0.20112207753218003</v>
      </c>
      <c r="I12" s="132">
        <f t="shared" si="3"/>
        <v>0.20112207753218003</v>
      </c>
      <c r="J12" s="125">
        <f t="shared" si="4"/>
        <v>1.9305298082826401E-2</v>
      </c>
      <c r="K12" s="131">
        <f t="shared" si="5"/>
        <v>3.9883756379725896E-4</v>
      </c>
      <c r="M12" s="130" t="s">
        <v>6</v>
      </c>
      <c r="N12" s="129">
        <f t="shared" si="6"/>
        <v>6106526.7405694714</v>
      </c>
      <c r="O12" s="128">
        <f t="shared" si="7"/>
        <v>2692334.5079512983</v>
      </c>
      <c r="P12" s="127">
        <f t="shared" si="8"/>
        <v>37081.500683442682</v>
      </c>
      <c r="Q12" s="126">
        <f t="shared" si="9"/>
        <v>8835942.7492042109</v>
      </c>
      <c r="R12" s="125">
        <f t="shared" si="10"/>
        <v>1.9007353073594548E-2</v>
      </c>
      <c r="T12" s="111"/>
      <c r="U12" s="111"/>
      <c r="V12" s="111"/>
      <c r="W12" s="111"/>
      <c r="X12" s="111"/>
      <c r="Y12" s="111"/>
      <c r="Z12" s="111"/>
    </row>
    <row r="13" spans="1:29">
      <c r="A13" s="110" t="s">
        <v>161</v>
      </c>
      <c r="B13" s="168" t="s">
        <v>130</v>
      </c>
      <c r="C13" s="129">
        <v>116630005</v>
      </c>
      <c r="D13" s="128">
        <f>+'COEF Art 14 F I'!D15</f>
        <v>36285132.439999998</v>
      </c>
      <c r="E13" s="134">
        <f t="shared" si="0"/>
        <v>0.31111318601075255</v>
      </c>
      <c r="F13" s="133">
        <f t="shared" si="1"/>
        <v>1.9791766938640671E-2</v>
      </c>
      <c r="G13" s="128">
        <v>27527682</v>
      </c>
      <c r="H13" s="161">
        <f t="shared" si="2"/>
        <v>0.31813250530865611</v>
      </c>
      <c r="I13" s="132">
        <f t="shared" si="3"/>
        <v>0.31813250530865611</v>
      </c>
      <c r="J13" s="125">
        <f t="shared" si="4"/>
        <v>3.0536890430824436E-2</v>
      </c>
      <c r="K13" s="131">
        <f t="shared" si="5"/>
        <v>1.5071901286549306E-2</v>
      </c>
      <c r="M13" s="130" t="s">
        <v>130</v>
      </c>
      <c r="N13" s="129">
        <f t="shared" si="6"/>
        <v>4600296.4983685054</v>
      </c>
      <c r="O13" s="128">
        <f t="shared" si="7"/>
        <v>4258702.637985873</v>
      </c>
      <c r="P13" s="127">
        <f t="shared" si="8"/>
        <v>1401294.0820741211</v>
      </c>
      <c r="Q13" s="126">
        <f t="shared" si="9"/>
        <v>10260293.2184285</v>
      </c>
      <c r="R13" s="125">
        <f t="shared" si="10"/>
        <v>2.2071330855877532E-2</v>
      </c>
      <c r="T13" s="111"/>
      <c r="U13" s="111"/>
      <c r="V13" s="111"/>
      <c r="W13" s="111"/>
      <c r="X13" s="111"/>
      <c r="Y13" s="111"/>
      <c r="Z13" s="111"/>
    </row>
    <row r="14" spans="1:29">
      <c r="A14" s="110" t="s">
        <v>162</v>
      </c>
      <c r="B14" s="168" t="s">
        <v>131</v>
      </c>
      <c r="C14" s="129">
        <v>36098646</v>
      </c>
      <c r="D14" s="128">
        <f>+'COEF Art 14 F I'!D16</f>
        <v>5537234.6299999999</v>
      </c>
      <c r="E14" s="134">
        <f t="shared" si="0"/>
        <v>0.15339175408407285</v>
      </c>
      <c r="F14" s="133">
        <f t="shared" si="1"/>
        <v>9.7581651426253864E-3</v>
      </c>
      <c r="G14" s="174">
        <v>4946842.92</v>
      </c>
      <c r="H14" s="161">
        <f t="shared" si="2"/>
        <v>0.1193471714278731</v>
      </c>
      <c r="I14" s="132">
        <f t="shared" si="3"/>
        <v>0.1193471714278731</v>
      </c>
      <c r="J14" s="125">
        <f t="shared" si="4"/>
        <v>1.1455891605876144E-2</v>
      </c>
      <c r="K14" s="131">
        <f t="shared" si="5"/>
        <v>2.3000234016459435E-3</v>
      </c>
      <c r="M14" s="130" t="s">
        <v>131</v>
      </c>
      <c r="N14" s="129">
        <f t="shared" si="6"/>
        <v>2268137.709750351</v>
      </c>
      <c r="O14" s="128">
        <f t="shared" si="7"/>
        <v>1597649.1094580581</v>
      </c>
      <c r="P14" s="127">
        <f t="shared" si="8"/>
        <v>213842.24326328203</v>
      </c>
      <c r="Q14" s="126">
        <f t="shared" si="9"/>
        <v>4079629.0624716911</v>
      </c>
      <c r="R14" s="125">
        <f t="shared" si="10"/>
        <v>8.7758547334047272E-3</v>
      </c>
      <c r="T14" s="111"/>
      <c r="U14" s="111"/>
      <c r="V14" s="111"/>
      <c r="W14" s="111"/>
      <c r="X14" s="111"/>
      <c r="Y14" s="111"/>
      <c r="Z14" s="111"/>
    </row>
    <row r="15" spans="1:29">
      <c r="A15" s="110" t="s">
        <v>163</v>
      </c>
      <c r="B15" s="168" t="s">
        <v>132</v>
      </c>
      <c r="C15" s="129">
        <v>3294944</v>
      </c>
      <c r="D15" s="128">
        <f>+'COEF Art 14 F I'!D17</f>
        <v>1064298</v>
      </c>
      <c r="E15" s="134">
        <f t="shared" si="0"/>
        <v>0.32300943506171881</v>
      </c>
      <c r="F15" s="133">
        <f t="shared" si="1"/>
        <v>2.0548558354908743E-2</v>
      </c>
      <c r="G15" s="128">
        <v>1221813</v>
      </c>
      <c r="H15" s="161">
        <f t="shared" si="2"/>
        <v>-0.12891907354071364</v>
      </c>
      <c r="I15" s="132">
        <f t="shared" si="3"/>
        <v>0</v>
      </c>
      <c r="J15" s="125">
        <f t="shared" si="4"/>
        <v>0</v>
      </c>
      <c r="K15" s="131">
        <f t="shared" si="5"/>
        <v>4.420817375269818E-4</v>
      </c>
      <c r="M15" s="130" t="s">
        <v>132</v>
      </c>
      <c r="N15" s="129">
        <f t="shared" si="6"/>
        <v>4776201.2022308102</v>
      </c>
      <c r="O15" s="128">
        <f t="shared" si="7"/>
        <v>0</v>
      </c>
      <c r="P15" s="127">
        <f t="shared" si="8"/>
        <v>41102.082000925526</v>
      </c>
      <c r="Q15" s="126">
        <f t="shared" si="9"/>
        <v>4817303.2842317354</v>
      </c>
      <c r="R15" s="125">
        <f t="shared" si="10"/>
        <v>1.0362695524959768E-2</v>
      </c>
      <c r="T15" s="111"/>
      <c r="U15" s="111"/>
      <c r="V15" s="111"/>
      <c r="W15" s="111"/>
      <c r="X15" s="111"/>
      <c r="Y15" s="111"/>
      <c r="Z15" s="111"/>
    </row>
    <row r="16" spans="1:29">
      <c r="A16" s="110" t="s">
        <v>164</v>
      </c>
      <c r="B16" s="168" t="s">
        <v>7</v>
      </c>
      <c r="C16" s="129">
        <v>5282316</v>
      </c>
      <c r="D16" s="128">
        <f>+'COEF Art 14 F I'!D18</f>
        <v>1864847</v>
      </c>
      <c r="E16" s="134">
        <f t="shared" si="0"/>
        <v>0.35303586532876868</v>
      </c>
      <c r="F16" s="133">
        <f t="shared" si="1"/>
        <v>2.2458718825652205E-2</v>
      </c>
      <c r="G16" s="174">
        <v>1408205</v>
      </c>
      <c r="H16" s="161">
        <f t="shared" si="2"/>
        <v>0.32427238931831659</v>
      </c>
      <c r="I16" s="132">
        <f t="shared" si="3"/>
        <v>0.32427238931831659</v>
      </c>
      <c r="J16" s="125">
        <f t="shared" si="4"/>
        <v>3.1126245376113866E-2</v>
      </c>
      <c r="K16" s="131">
        <f t="shared" si="5"/>
        <v>7.7460899295308215E-4</v>
      </c>
      <c r="M16" s="130" t="s">
        <v>7</v>
      </c>
      <c r="N16" s="129">
        <f t="shared" si="6"/>
        <v>5220189.0761849592</v>
      </c>
      <c r="O16" s="128">
        <f t="shared" si="7"/>
        <v>4340894.6170906154</v>
      </c>
      <c r="P16" s="127">
        <f t="shared" si="8"/>
        <v>72018.451893341873</v>
      </c>
      <c r="Q16" s="126">
        <f t="shared" si="9"/>
        <v>9633102.1451689173</v>
      </c>
      <c r="R16" s="125">
        <f t="shared" si="10"/>
        <v>2.0722154824250886E-2</v>
      </c>
      <c r="T16" s="111"/>
      <c r="U16" s="111"/>
      <c r="V16" s="111"/>
      <c r="W16" s="111"/>
      <c r="X16" s="111"/>
      <c r="Y16" s="111"/>
      <c r="Z16" s="111"/>
    </row>
    <row r="17" spans="1:26">
      <c r="A17" s="110" t="s">
        <v>165</v>
      </c>
      <c r="B17" s="168" t="s">
        <v>133</v>
      </c>
      <c r="C17" s="129">
        <v>53700075</v>
      </c>
      <c r="D17" s="128">
        <f>+'COEF Art 14 F I'!D19</f>
        <v>14209085</v>
      </c>
      <c r="E17" s="134">
        <f t="shared" si="0"/>
        <v>0.26460084087405839</v>
      </c>
      <c r="F17" s="133">
        <f t="shared" si="1"/>
        <v>1.6832839011094548E-2</v>
      </c>
      <c r="G17" s="128">
        <v>12990205</v>
      </c>
      <c r="H17" s="161">
        <f t="shared" si="2"/>
        <v>9.3830697821935871E-2</v>
      </c>
      <c r="I17" s="132">
        <f t="shared" si="3"/>
        <v>9.3830697821935871E-2</v>
      </c>
      <c r="J17" s="125">
        <f t="shared" si="4"/>
        <v>9.0066173390748148E-3</v>
      </c>
      <c r="K17" s="131">
        <f t="shared" si="5"/>
        <v>5.9020847408043373E-3</v>
      </c>
      <c r="M17" s="130" t="s">
        <v>133</v>
      </c>
      <c r="N17" s="129">
        <f t="shared" si="6"/>
        <v>3912538.5116149434</v>
      </c>
      <c r="O17" s="128">
        <f t="shared" si="7"/>
        <v>1256071.0825529746</v>
      </c>
      <c r="P17" s="127">
        <f t="shared" si="8"/>
        <v>548740.08673146146</v>
      </c>
      <c r="Q17" s="126">
        <f t="shared" si="9"/>
        <v>5717349.6808993798</v>
      </c>
      <c r="R17" s="125">
        <f t="shared" si="10"/>
        <v>1.229882165543059E-2</v>
      </c>
      <c r="T17" s="111"/>
      <c r="U17" s="111"/>
      <c r="V17" s="111"/>
      <c r="W17" s="111"/>
      <c r="X17" s="111"/>
      <c r="Y17" s="111"/>
      <c r="Z17" s="111"/>
    </row>
    <row r="18" spans="1:26">
      <c r="A18" s="110" t="s">
        <v>166</v>
      </c>
      <c r="B18" s="168" t="s">
        <v>8</v>
      </c>
      <c r="C18" s="129">
        <v>7034210</v>
      </c>
      <c r="D18" s="128">
        <f>+'COEF Art 14 F I'!D20</f>
        <v>838434</v>
      </c>
      <c r="E18" s="134">
        <f t="shared" si="0"/>
        <v>0.11919376873877806</v>
      </c>
      <c r="F18" s="133">
        <f t="shared" si="1"/>
        <v>7.582627151439981E-3</v>
      </c>
      <c r="G18" s="128">
        <v>691812</v>
      </c>
      <c r="H18" s="161">
        <f t="shared" si="2"/>
        <v>0.21193908171584197</v>
      </c>
      <c r="I18" s="132">
        <f t="shared" si="3"/>
        <v>0.21193908171584197</v>
      </c>
      <c r="J18" s="125">
        <f t="shared" si="4"/>
        <v>2.0343600255770897E-2</v>
      </c>
      <c r="K18" s="131">
        <f t="shared" si="5"/>
        <v>3.4826370013069411E-4</v>
      </c>
      <c r="M18" s="130" t="s">
        <v>8</v>
      </c>
      <c r="N18" s="129">
        <f t="shared" si="6"/>
        <v>1762466.8500466421</v>
      </c>
      <c r="O18" s="128">
        <f t="shared" si="7"/>
        <v>2837137.0775830029</v>
      </c>
      <c r="P18" s="127">
        <f t="shared" si="8"/>
        <v>32379.449195962028</v>
      </c>
      <c r="Q18" s="126">
        <f t="shared" si="9"/>
        <v>4631983.3768256074</v>
      </c>
      <c r="R18" s="125">
        <f t="shared" si="10"/>
        <v>9.964046392477402E-3</v>
      </c>
      <c r="T18" s="111"/>
      <c r="U18" s="111"/>
      <c r="V18" s="111"/>
      <c r="W18" s="111"/>
      <c r="X18" s="111"/>
      <c r="Y18" s="111"/>
      <c r="Z18" s="111"/>
    </row>
    <row r="19" spans="1:26">
      <c r="A19" s="110" t="s">
        <v>167</v>
      </c>
      <c r="B19" s="168" t="s">
        <v>9</v>
      </c>
      <c r="C19" s="129">
        <v>1629962</v>
      </c>
      <c r="D19" s="128">
        <f>+'COEF Art 14 F I'!D21</f>
        <v>363195</v>
      </c>
      <c r="E19" s="134">
        <f t="shared" si="0"/>
        <v>0.22282421307981412</v>
      </c>
      <c r="F19" s="133">
        <f t="shared" si="1"/>
        <v>1.4175178333358298E-2</v>
      </c>
      <c r="G19" s="128">
        <v>329170</v>
      </c>
      <c r="H19" s="161">
        <f t="shared" si="2"/>
        <v>0.10336604186286724</v>
      </c>
      <c r="I19" s="132">
        <f t="shared" si="3"/>
        <v>0.10336604186286724</v>
      </c>
      <c r="J19" s="125">
        <f t="shared" si="4"/>
        <v>9.9218955685522765E-3</v>
      </c>
      <c r="K19" s="131">
        <f t="shared" si="5"/>
        <v>1.5086176678064992E-4</v>
      </c>
      <c r="M19" s="130" t="s">
        <v>9</v>
      </c>
      <c r="N19" s="129">
        <f t="shared" si="6"/>
        <v>3294805.534688456</v>
      </c>
      <c r="O19" s="128">
        <f t="shared" si="7"/>
        <v>1383716.6206340918</v>
      </c>
      <c r="P19" s="127">
        <f t="shared" si="8"/>
        <v>14026.213215026381</v>
      </c>
      <c r="Q19" s="126">
        <f t="shared" si="9"/>
        <v>4692548.3685375741</v>
      </c>
      <c r="R19" s="125">
        <f t="shared" si="10"/>
        <v>1.0094330190600964E-2</v>
      </c>
      <c r="T19" s="111"/>
      <c r="U19" s="111"/>
      <c r="V19" s="111"/>
      <c r="W19" s="111"/>
      <c r="X19" s="111"/>
      <c r="Y19" s="111"/>
      <c r="Z19" s="111"/>
    </row>
    <row r="20" spans="1:26">
      <c r="A20" s="110" t="s">
        <v>168</v>
      </c>
      <c r="B20" s="168" t="s">
        <v>134</v>
      </c>
      <c r="C20" s="129">
        <v>2243867</v>
      </c>
      <c r="D20" s="128">
        <f>+'COEF Art 14 F I'!D22</f>
        <v>1038863</v>
      </c>
      <c r="E20" s="134">
        <f t="shared" si="0"/>
        <v>0.46297886639448771</v>
      </c>
      <c r="F20" s="133">
        <f t="shared" si="1"/>
        <v>2.9452849423357665E-2</v>
      </c>
      <c r="G20" s="128">
        <v>632096</v>
      </c>
      <c r="H20" s="161">
        <f t="shared" si="2"/>
        <v>0.64352092087277879</v>
      </c>
      <c r="I20" s="132">
        <f t="shared" si="3"/>
        <v>0.64352092087277879</v>
      </c>
      <c r="J20" s="125">
        <f t="shared" si="4"/>
        <v>6.1770260890409545E-2</v>
      </c>
      <c r="K20" s="131">
        <f t="shared" si="5"/>
        <v>4.3151669935722226E-4</v>
      </c>
      <c r="M20" s="130" t="s">
        <v>134</v>
      </c>
      <c r="N20" s="129">
        <f t="shared" si="6"/>
        <v>6845868.8145078216</v>
      </c>
      <c r="O20" s="128">
        <f t="shared" si="7"/>
        <v>8614537.0170868635</v>
      </c>
      <c r="P20" s="127">
        <f t="shared" si="8"/>
        <v>40119.8087506765</v>
      </c>
      <c r="Q20" s="126">
        <f t="shared" si="9"/>
        <v>15500525.640345361</v>
      </c>
      <c r="R20" s="125">
        <f t="shared" si="10"/>
        <v>3.3343806318673147E-2</v>
      </c>
      <c r="T20" s="111"/>
      <c r="U20" s="111"/>
      <c r="V20" s="111"/>
      <c r="W20" s="111"/>
      <c r="X20" s="111"/>
      <c r="Y20" s="111"/>
      <c r="Z20" s="111"/>
    </row>
    <row r="21" spans="1:26">
      <c r="A21" s="110" t="s">
        <v>169</v>
      </c>
      <c r="B21" s="168" t="s">
        <v>10</v>
      </c>
      <c r="C21" s="129">
        <v>10409374</v>
      </c>
      <c r="D21" s="128">
        <f>+'COEF Art 14 F I'!D23</f>
        <v>1281029</v>
      </c>
      <c r="E21" s="134">
        <f t="shared" si="0"/>
        <v>0.12306494127312555</v>
      </c>
      <c r="F21" s="133">
        <f t="shared" si="1"/>
        <v>7.8288955451442082E-3</v>
      </c>
      <c r="G21" s="128">
        <v>1193413</v>
      </c>
      <c r="H21" s="161">
        <f t="shared" si="2"/>
        <v>7.3416327792641844E-2</v>
      </c>
      <c r="I21" s="132">
        <f t="shared" si="3"/>
        <v>7.3416327792641844E-2</v>
      </c>
      <c r="J21" s="125">
        <f t="shared" si="4"/>
        <v>7.0470835900979982E-3</v>
      </c>
      <c r="K21" s="131">
        <f t="shared" si="5"/>
        <v>5.3210616400900122E-4</v>
      </c>
      <c r="M21" s="130" t="s">
        <v>10</v>
      </c>
      <c r="N21" s="129">
        <f t="shared" si="6"/>
        <v>1819708.2086746355</v>
      </c>
      <c r="O21" s="128">
        <f t="shared" si="7"/>
        <v>982792.71569063468</v>
      </c>
      <c r="P21" s="127">
        <f t="shared" si="8"/>
        <v>49472.007843257838</v>
      </c>
      <c r="Q21" s="126">
        <f t="shared" si="9"/>
        <v>2851972.9322085278</v>
      </c>
      <c r="R21" s="125">
        <f t="shared" si="10"/>
        <v>6.1349940824033051E-3</v>
      </c>
      <c r="T21" s="111"/>
      <c r="U21" s="111"/>
      <c r="V21" s="111"/>
      <c r="W21" s="111"/>
      <c r="X21" s="111"/>
      <c r="Y21" s="111"/>
      <c r="Z21" s="111"/>
    </row>
    <row r="22" spans="1:26">
      <c r="A22" s="110" t="s">
        <v>170</v>
      </c>
      <c r="B22" s="168" t="s">
        <v>135</v>
      </c>
      <c r="C22" s="129">
        <v>415292639</v>
      </c>
      <c r="D22" s="128">
        <f>+'COEF Art 14 F I'!D24</f>
        <v>103525907.23999999</v>
      </c>
      <c r="E22" s="134">
        <f t="shared" si="0"/>
        <v>0.24928423361724933</v>
      </c>
      <c r="F22" s="133">
        <f t="shared" si="1"/>
        <v>1.5858458191674762E-2</v>
      </c>
      <c r="G22" s="128">
        <v>90011508</v>
      </c>
      <c r="H22" s="161">
        <f t="shared" si="2"/>
        <v>0.15014079355275323</v>
      </c>
      <c r="I22" s="132">
        <f t="shared" si="3"/>
        <v>0.15014079355275323</v>
      </c>
      <c r="J22" s="125">
        <f t="shared" si="4"/>
        <v>1.4411708597551812E-2</v>
      </c>
      <c r="K22" s="131">
        <f t="shared" si="5"/>
        <v>4.3001972146632185E-2</v>
      </c>
      <c r="M22" s="130" t="s">
        <v>135</v>
      </c>
      <c r="N22" s="129">
        <f t="shared" si="6"/>
        <v>3686058.4461639435</v>
      </c>
      <c r="O22" s="128">
        <f t="shared" si="7"/>
        <v>2009870.0475515504</v>
      </c>
      <c r="P22" s="127">
        <f t="shared" si="8"/>
        <v>3998062.8814473855</v>
      </c>
      <c r="Q22" s="126">
        <f t="shared" si="9"/>
        <v>9693991.375162879</v>
      </c>
      <c r="R22" s="125">
        <f t="shared" si="10"/>
        <v>2.0853136104429366E-2</v>
      </c>
      <c r="T22" s="111"/>
      <c r="U22" s="111"/>
      <c r="V22" s="111"/>
      <c r="W22" s="111"/>
      <c r="X22" s="111"/>
      <c r="Y22" s="111"/>
      <c r="Z22" s="111"/>
    </row>
    <row r="23" spans="1:26">
      <c r="A23" s="110" t="s">
        <v>171</v>
      </c>
      <c r="B23" s="168" t="s">
        <v>11</v>
      </c>
      <c r="C23" s="129">
        <v>4596412</v>
      </c>
      <c r="D23" s="128">
        <f>+'COEF Art 14 F I'!D25</f>
        <v>3566422</v>
      </c>
      <c r="E23" s="134">
        <f t="shared" si="0"/>
        <v>0.77591434362280842</v>
      </c>
      <c r="F23" s="133">
        <f t="shared" si="1"/>
        <v>4.9360543184435217E-2</v>
      </c>
      <c r="G23" s="128">
        <v>877317</v>
      </c>
      <c r="H23" s="161">
        <f t="shared" si="2"/>
        <v>3.0651463496090923</v>
      </c>
      <c r="I23" s="132">
        <f t="shared" si="3"/>
        <v>3.0651463496090923</v>
      </c>
      <c r="J23" s="125">
        <f t="shared" si="4"/>
        <v>0.29421714747960892</v>
      </c>
      <c r="K23" s="131">
        <f t="shared" si="5"/>
        <v>1.4813990390984983E-3</v>
      </c>
      <c r="M23" s="130" t="s">
        <v>11</v>
      </c>
      <c r="N23" s="129">
        <f t="shared" si="6"/>
        <v>11473110.747155981</v>
      </c>
      <c r="O23" s="128">
        <f t="shared" si="7"/>
        <v>41031792.184292197</v>
      </c>
      <c r="P23" s="127">
        <f t="shared" si="8"/>
        <v>137731.50893255914</v>
      </c>
      <c r="Q23" s="126">
        <f t="shared" si="9"/>
        <v>52642634.440380737</v>
      </c>
      <c r="R23" s="125">
        <f t="shared" si="10"/>
        <v>0.11324169564392002</v>
      </c>
      <c r="T23" s="111"/>
      <c r="U23" s="111"/>
      <c r="V23" s="111"/>
      <c r="W23" s="111"/>
      <c r="X23" s="111"/>
      <c r="Y23" s="111"/>
      <c r="Z23" s="111"/>
    </row>
    <row r="24" spans="1:26">
      <c r="A24" s="110" t="s">
        <v>172</v>
      </c>
      <c r="B24" s="168" t="s">
        <v>12</v>
      </c>
      <c r="C24" s="129">
        <v>459479979</v>
      </c>
      <c r="D24" s="128">
        <f>+'COEF Art 14 F I'!D26</f>
        <v>154603349.86000001</v>
      </c>
      <c r="E24" s="134">
        <f t="shared" si="0"/>
        <v>0.33647461679717716</v>
      </c>
      <c r="F24" s="133">
        <f t="shared" si="1"/>
        <v>2.1405158944912094E-2</v>
      </c>
      <c r="G24" s="174">
        <v>130662277.23999999</v>
      </c>
      <c r="H24" s="161">
        <f t="shared" si="2"/>
        <v>0.18322864965857844</v>
      </c>
      <c r="I24" s="132">
        <f t="shared" si="3"/>
        <v>0.18322864965857844</v>
      </c>
      <c r="J24" s="125">
        <f t="shared" si="4"/>
        <v>1.758774443052703E-2</v>
      </c>
      <c r="K24" s="131">
        <f t="shared" si="5"/>
        <v>6.4218214760904058E-2</v>
      </c>
      <c r="M24" s="130" t="s">
        <v>12</v>
      </c>
      <c r="N24" s="129">
        <f t="shared" si="6"/>
        <v>4975305.0370177543</v>
      </c>
      <c r="O24" s="128">
        <f t="shared" si="7"/>
        <v>2452802.906444611</v>
      </c>
      <c r="P24" s="127">
        <f t="shared" si="8"/>
        <v>5970620.6002111239</v>
      </c>
      <c r="Q24" s="126">
        <f t="shared" si="9"/>
        <v>13398728.543673489</v>
      </c>
      <c r="R24" s="125">
        <f t="shared" si="10"/>
        <v>2.8822545753794976E-2</v>
      </c>
      <c r="T24" s="111"/>
      <c r="U24" s="111"/>
      <c r="V24" s="111"/>
      <c r="W24" s="111"/>
      <c r="X24" s="111"/>
      <c r="Y24" s="111"/>
      <c r="Z24" s="111"/>
    </row>
    <row r="25" spans="1:26">
      <c r="A25" s="110" t="s">
        <v>173</v>
      </c>
      <c r="B25" s="168" t="s">
        <v>136</v>
      </c>
      <c r="C25" s="129">
        <v>12996129</v>
      </c>
      <c r="D25" s="128">
        <f>+'COEF Art 14 F I'!D27</f>
        <v>4608992</v>
      </c>
      <c r="E25" s="134">
        <f t="shared" si="0"/>
        <v>0.35464344806057252</v>
      </c>
      <c r="F25" s="133">
        <f t="shared" si="1"/>
        <v>2.2560986759616743E-2</v>
      </c>
      <c r="G25" s="128">
        <v>3648762.03</v>
      </c>
      <c r="H25" s="161">
        <f t="shared" si="2"/>
        <v>0.26316596207289522</v>
      </c>
      <c r="I25" s="132">
        <f t="shared" si="3"/>
        <v>0.26316596207289522</v>
      </c>
      <c r="J25" s="125">
        <f t="shared" si="4"/>
        <v>2.5260764036499857E-2</v>
      </c>
      <c r="K25" s="131">
        <f t="shared" si="5"/>
        <v>1.9144555299436426E-3</v>
      </c>
      <c r="M25" s="130" t="s">
        <v>136</v>
      </c>
      <c r="N25" s="129">
        <f t="shared" si="6"/>
        <v>5243959.7086894242</v>
      </c>
      <c r="O25" s="128">
        <f t="shared" si="7"/>
        <v>3522889.2307642936</v>
      </c>
      <c r="P25" s="127">
        <f t="shared" si="8"/>
        <v>177994.47816834171</v>
      </c>
      <c r="Q25" s="126">
        <f t="shared" si="9"/>
        <v>8944843.4176220596</v>
      </c>
      <c r="R25" s="125">
        <f t="shared" si="10"/>
        <v>1.9241613696747061E-2</v>
      </c>
      <c r="T25" s="111"/>
      <c r="U25" s="111"/>
      <c r="V25" s="111"/>
      <c r="W25" s="111"/>
      <c r="X25" s="111"/>
      <c r="Y25" s="111"/>
      <c r="Z25" s="111"/>
    </row>
    <row r="26" spans="1:26">
      <c r="A26" s="110" t="s">
        <v>174</v>
      </c>
      <c r="B26" s="168" t="s">
        <v>13</v>
      </c>
      <c r="C26" s="129">
        <v>844965</v>
      </c>
      <c r="D26" s="128">
        <f>+'COEF Art 14 F I'!D28</f>
        <v>246797</v>
      </c>
      <c r="E26" s="134">
        <f t="shared" si="0"/>
        <v>0.29207955359097715</v>
      </c>
      <c r="F26" s="133">
        <f t="shared" si="1"/>
        <v>1.8580923959986177E-2</v>
      </c>
      <c r="G26" s="174">
        <v>218938</v>
      </c>
      <c r="H26" s="161">
        <f t="shared" si="2"/>
        <v>0.12724606966355778</v>
      </c>
      <c r="I26" s="132">
        <f t="shared" si="3"/>
        <v>0.12724606966355778</v>
      </c>
      <c r="J26" s="125">
        <f t="shared" si="4"/>
        <v>1.2214090739640589E-2</v>
      </c>
      <c r="K26" s="131">
        <f t="shared" si="5"/>
        <v>1.0251306173312976E-4</v>
      </c>
      <c r="M26" s="130" t="s">
        <v>13</v>
      </c>
      <c r="N26" s="129">
        <f t="shared" si="6"/>
        <v>4318854.3849863363</v>
      </c>
      <c r="O26" s="128">
        <f t="shared" si="7"/>
        <v>1703388.2533435761</v>
      </c>
      <c r="P26" s="127">
        <f t="shared" si="8"/>
        <v>9531.0434968236514</v>
      </c>
      <c r="Q26" s="126">
        <f t="shared" si="9"/>
        <v>6031773.6818267358</v>
      </c>
      <c r="R26" s="125">
        <f t="shared" si="10"/>
        <v>1.2975191814231892E-2</v>
      </c>
      <c r="T26" s="111"/>
      <c r="U26" s="111"/>
      <c r="V26" s="111"/>
      <c r="W26" s="111"/>
      <c r="X26" s="111"/>
      <c r="Y26" s="111"/>
      <c r="Z26" s="111"/>
    </row>
    <row r="27" spans="1:26">
      <c r="A27" s="110" t="s">
        <v>175</v>
      </c>
      <c r="B27" s="130" t="s">
        <v>14</v>
      </c>
      <c r="C27" s="129">
        <v>1658016</v>
      </c>
      <c r="D27" s="128">
        <f>+'COEF Art 14 F I'!D29</f>
        <v>165744</v>
      </c>
      <c r="E27" s="134">
        <f t="shared" si="0"/>
        <v>9.996525968386312E-2</v>
      </c>
      <c r="F27" s="133">
        <f t="shared" si="1"/>
        <v>6.3593869067167458E-3</v>
      </c>
      <c r="G27" s="128">
        <v>140414</v>
      </c>
      <c r="H27" s="161">
        <f t="shared" si="2"/>
        <v>0.18039511729599611</v>
      </c>
      <c r="I27" s="132">
        <f t="shared" si="3"/>
        <v>0.18039511729599611</v>
      </c>
      <c r="J27" s="125">
        <f t="shared" si="4"/>
        <v>1.7315759437341809E-2</v>
      </c>
      <c r="K27" s="131">
        <f t="shared" si="5"/>
        <v>6.8845751382293376E-5</v>
      </c>
      <c r="M27" s="130" t="s">
        <v>14</v>
      </c>
      <c r="N27" s="129">
        <f t="shared" si="6"/>
        <v>1478143.1799109923</v>
      </c>
      <c r="O27" s="128">
        <f t="shared" si="7"/>
        <v>2414871.6308095106</v>
      </c>
      <c r="P27" s="127">
        <f t="shared" si="8"/>
        <v>6400.8609235020649</v>
      </c>
      <c r="Q27" s="126">
        <f t="shared" si="9"/>
        <v>3899415.671644005</v>
      </c>
      <c r="R27" s="125">
        <f t="shared" si="10"/>
        <v>8.3881904348373764E-3</v>
      </c>
      <c r="T27" s="111"/>
      <c r="U27" s="111"/>
      <c r="V27" s="111"/>
      <c r="W27" s="111"/>
      <c r="X27" s="111"/>
      <c r="Y27" s="111"/>
      <c r="Z27" s="111"/>
    </row>
    <row r="28" spans="1:26">
      <c r="A28" s="110" t="s">
        <v>176</v>
      </c>
      <c r="B28" s="130" t="s">
        <v>15</v>
      </c>
      <c r="C28" s="129">
        <v>69984471</v>
      </c>
      <c r="D28" s="128">
        <f>+'COEF Art 14 F I'!D30</f>
        <v>12472493</v>
      </c>
      <c r="E28" s="134">
        <f t="shared" si="0"/>
        <v>0.17821800782062067</v>
      </c>
      <c r="F28" s="133">
        <f t="shared" si="1"/>
        <v>1.1337511342038257E-2</v>
      </c>
      <c r="G28" s="128">
        <v>9156806</v>
      </c>
      <c r="H28" s="161">
        <f t="shared" si="2"/>
        <v>0.36210082423936907</v>
      </c>
      <c r="I28" s="132">
        <f t="shared" si="3"/>
        <v>0.36210082423936907</v>
      </c>
      <c r="J28" s="125">
        <f t="shared" si="4"/>
        <v>3.4757319702306971E-2</v>
      </c>
      <c r="K28" s="131">
        <f t="shared" si="5"/>
        <v>5.180749542640424E-3</v>
      </c>
      <c r="M28" s="130" t="s">
        <v>15</v>
      </c>
      <c r="N28" s="129">
        <f t="shared" si="6"/>
        <v>2635232.8161850288</v>
      </c>
      <c r="O28" s="128">
        <f t="shared" si="7"/>
        <v>4847287.5599710103</v>
      </c>
      <c r="P28" s="127">
        <f t="shared" si="8"/>
        <v>481674.70956627716</v>
      </c>
      <c r="Q28" s="126">
        <f t="shared" si="9"/>
        <v>7964195.085722317</v>
      </c>
      <c r="R28" s="125">
        <f t="shared" si="10"/>
        <v>1.7132101490239311E-2</v>
      </c>
      <c r="T28" s="111"/>
      <c r="U28" s="111"/>
      <c r="V28" s="111"/>
      <c r="W28" s="111"/>
      <c r="X28" s="111"/>
      <c r="Y28" s="111"/>
      <c r="Z28" s="111"/>
    </row>
    <row r="29" spans="1:26">
      <c r="A29" s="110" t="s">
        <v>177</v>
      </c>
      <c r="B29" s="130" t="s">
        <v>16</v>
      </c>
      <c r="C29" s="129">
        <v>534177051</v>
      </c>
      <c r="D29" s="128">
        <f>+'COEF Art 14 F I'!D31</f>
        <v>210861820.24000001</v>
      </c>
      <c r="E29" s="134">
        <f t="shared" si="0"/>
        <v>0.39474144358178354</v>
      </c>
      <c r="F29" s="133">
        <f t="shared" si="1"/>
        <v>2.5111859617943738E-2</v>
      </c>
      <c r="G29" s="128">
        <v>215375991.11000001</v>
      </c>
      <c r="H29" s="161">
        <f t="shared" si="2"/>
        <v>-2.0959489712548574E-2</v>
      </c>
      <c r="I29" s="132">
        <f t="shared" si="3"/>
        <v>0</v>
      </c>
      <c r="J29" s="125">
        <f t="shared" si="4"/>
        <v>0</v>
      </c>
      <c r="K29" s="131">
        <f t="shared" si="5"/>
        <v>8.7586521697683647E-2</v>
      </c>
      <c r="M29" s="130" t="s">
        <v>16</v>
      </c>
      <c r="N29" s="129">
        <f t="shared" si="6"/>
        <v>5836871.4741889676</v>
      </c>
      <c r="O29" s="128">
        <f t="shared" si="7"/>
        <v>0</v>
      </c>
      <c r="P29" s="127">
        <f t="shared" si="8"/>
        <v>8143264.2233367898</v>
      </c>
      <c r="Q29" s="126">
        <f t="shared" si="9"/>
        <v>13980135.697525758</v>
      </c>
      <c r="R29" s="125">
        <f t="shared" si="10"/>
        <v>3.0073234148508609E-2</v>
      </c>
      <c r="T29" s="111"/>
      <c r="U29" s="111"/>
      <c r="V29" s="111"/>
      <c r="W29" s="111"/>
      <c r="X29" s="111"/>
      <c r="Y29" s="111"/>
      <c r="Z29" s="111"/>
    </row>
    <row r="30" spans="1:26">
      <c r="A30" s="110" t="s">
        <v>178</v>
      </c>
      <c r="B30" s="130" t="s">
        <v>137</v>
      </c>
      <c r="C30" s="129">
        <v>1059673</v>
      </c>
      <c r="D30" s="128">
        <f>+'COEF Art 14 F I'!D32</f>
        <v>297293.69</v>
      </c>
      <c r="E30" s="134">
        <f t="shared" si="0"/>
        <v>0.28055229301869539</v>
      </c>
      <c r="F30" s="133">
        <f t="shared" si="1"/>
        <v>1.7847606103507739E-2</v>
      </c>
      <c r="G30" s="128">
        <v>288216.5</v>
      </c>
      <c r="H30" s="161">
        <f t="shared" si="2"/>
        <v>3.1494345396603007E-2</v>
      </c>
      <c r="I30" s="132">
        <f t="shared" si="3"/>
        <v>3.1494345396603007E-2</v>
      </c>
      <c r="J30" s="125">
        <f t="shared" si="4"/>
        <v>3.0230779895739184E-3</v>
      </c>
      <c r="K30" s="131">
        <f t="shared" si="5"/>
        <v>1.2348807479766748E-4</v>
      </c>
      <c r="M30" s="130" t="s">
        <v>137</v>
      </c>
      <c r="N30" s="129">
        <f t="shared" si="6"/>
        <v>4148405.7546135425</v>
      </c>
      <c r="O30" s="128">
        <f t="shared" si="7"/>
        <v>421601.21831002989</v>
      </c>
      <c r="P30" s="127">
        <f t="shared" si="8"/>
        <v>11481.17315332523</v>
      </c>
      <c r="Q30" s="126">
        <f t="shared" si="9"/>
        <v>4581488.1460768972</v>
      </c>
      <c r="R30" s="125">
        <f t="shared" si="10"/>
        <v>9.8554240635855793E-3</v>
      </c>
      <c r="T30" s="111"/>
      <c r="U30" s="111"/>
      <c r="V30" s="111"/>
      <c r="W30" s="111"/>
      <c r="X30" s="111"/>
      <c r="Y30" s="111"/>
      <c r="Z30" s="111"/>
    </row>
    <row r="31" spans="1:26">
      <c r="A31" s="110" t="s">
        <v>179</v>
      </c>
      <c r="B31" s="130" t="s">
        <v>17</v>
      </c>
      <c r="C31" s="129">
        <v>2387896</v>
      </c>
      <c r="D31" s="128">
        <f>+'COEF Art 14 F I'!D33</f>
        <v>539788</v>
      </c>
      <c r="E31" s="134">
        <f t="shared" si="0"/>
        <v>0.22605172084546396</v>
      </c>
      <c r="F31" s="133">
        <f t="shared" si="1"/>
        <v>1.4380499368797107E-2</v>
      </c>
      <c r="G31" s="128">
        <v>518824</v>
      </c>
      <c r="H31" s="161">
        <f t="shared" si="2"/>
        <v>4.0406766070960387E-2</v>
      </c>
      <c r="I31" s="132">
        <f t="shared" si="3"/>
        <v>4.0406766070960387E-2</v>
      </c>
      <c r="J31" s="125">
        <f t="shared" si="4"/>
        <v>3.8785630753944162E-3</v>
      </c>
      <c r="K31" s="131">
        <f t="shared" si="5"/>
        <v>2.2421391089357911E-4</v>
      </c>
      <c r="M31" s="130" t="s">
        <v>17</v>
      </c>
      <c r="N31" s="129">
        <f t="shared" si="6"/>
        <v>3342529.2999944463</v>
      </c>
      <c r="O31" s="128">
        <f t="shared" si="7"/>
        <v>540907.94994973089</v>
      </c>
      <c r="P31" s="127">
        <f t="shared" si="8"/>
        <v>20846.051236698357</v>
      </c>
      <c r="Q31" s="126">
        <f t="shared" si="9"/>
        <v>3904283.3011808759</v>
      </c>
      <c r="R31" s="125">
        <f t="shared" si="10"/>
        <v>8.3986613891955959E-3</v>
      </c>
      <c r="T31" s="111"/>
      <c r="U31" s="111"/>
      <c r="V31" s="111"/>
      <c r="W31" s="111"/>
      <c r="X31" s="111"/>
      <c r="Y31" s="111"/>
      <c r="Z31" s="111"/>
    </row>
    <row r="32" spans="1:26">
      <c r="A32" s="110" t="s">
        <v>180</v>
      </c>
      <c r="B32" s="130" t="s">
        <v>18</v>
      </c>
      <c r="C32" s="129">
        <v>708159</v>
      </c>
      <c r="D32" s="128">
        <f>+'COEF Art 14 F I'!D34</f>
        <v>419888</v>
      </c>
      <c r="E32" s="134">
        <f t="shared" si="0"/>
        <v>0.5929289891112024</v>
      </c>
      <c r="F32" s="133">
        <f t="shared" si="1"/>
        <v>3.7719752460916738E-2</v>
      </c>
      <c r="G32" s="128">
        <v>336929</v>
      </c>
      <c r="H32" s="161">
        <f t="shared" si="2"/>
        <v>0.2462210139228147</v>
      </c>
      <c r="I32" s="132">
        <f t="shared" si="3"/>
        <v>0.2462210139228147</v>
      </c>
      <c r="J32" s="125">
        <f t="shared" si="4"/>
        <v>2.3634253018667908E-2</v>
      </c>
      <c r="K32" s="131">
        <f t="shared" si="5"/>
        <v>1.7441056603200358E-4</v>
      </c>
      <c r="M32" s="130" t="s">
        <v>18</v>
      </c>
      <c r="N32" s="129">
        <f t="shared" si="6"/>
        <v>8767385.2316088267</v>
      </c>
      <c r="O32" s="128">
        <f t="shared" si="7"/>
        <v>3296054.518236984</v>
      </c>
      <c r="P32" s="127">
        <f t="shared" si="8"/>
        <v>16215.637920210898</v>
      </c>
      <c r="Q32" s="126">
        <f t="shared" si="9"/>
        <v>12079655.38776602</v>
      </c>
      <c r="R32" s="125">
        <f t="shared" si="10"/>
        <v>2.5985034249265144E-2</v>
      </c>
      <c r="T32" s="111"/>
      <c r="U32" s="111"/>
      <c r="V32" s="111"/>
      <c r="W32" s="111"/>
      <c r="X32" s="111"/>
      <c r="Y32" s="111"/>
      <c r="Z32" s="111"/>
    </row>
    <row r="33" spans="1:26">
      <c r="A33" s="110" t="s">
        <v>181</v>
      </c>
      <c r="B33" s="130" t="s">
        <v>19</v>
      </c>
      <c r="C33" s="129">
        <v>2080067</v>
      </c>
      <c r="D33" s="128">
        <f>+'COEF Art 14 F I'!D35</f>
        <v>656691</v>
      </c>
      <c r="E33" s="134">
        <f t="shared" si="0"/>
        <v>0.31570665752593546</v>
      </c>
      <c r="F33" s="133">
        <f t="shared" si="1"/>
        <v>2.0083985082247877E-2</v>
      </c>
      <c r="G33" s="128">
        <v>629171</v>
      </c>
      <c r="H33" s="161">
        <f t="shared" si="2"/>
        <v>4.3740096094702308E-2</v>
      </c>
      <c r="I33" s="132">
        <f t="shared" si="3"/>
        <v>4.3740096094702308E-2</v>
      </c>
      <c r="J33" s="125">
        <f t="shared" si="4"/>
        <v>4.1985226268587564E-3</v>
      </c>
      <c r="K33" s="131">
        <f t="shared" si="5"/>
        <v>2.7277237982062467E-4</v>
      </c>
      <c r="M33" s="130" t="s">
        <v>19</v>
      </c>
      <c r="N33" s="129">
        <f t="shared" si="6"/>
        <v>4668218.1804984333</v>
      </c>
      <c r="O33" s="128">
        <f t="shared" si="7"/>
        <v>585529.80131199409</v>
      </c>
      <c r="P33" s="127">
        <f t="shared" si="8"/>
        <v>25360.723529753683</v>
      </c>
      <c r="Q33" s="126">
        <f t="shared" si="9"/>
        <v>5279108.7053401805</v>
      </c>
      <c r="R33" s="125">
        <f t="shared" si="10"/>
        <v>1.1356103805145693E-2</v>
      </c>
      <c r="T33" s="111"/>
      <c r="U33" s="111"/>
      <c r="V33" s="111"/>
      <c r="W33" s="111"/>
      <c r="X33" s="111"/>
      <c r="Y33" s="111"/>
      <c r="Z33" s="111"/>
    </row>
    <row r="34" spans="1:26">
      <c r="A34" s="110" t="s">
        <v>182</v>
      </c>
      <c r="B34" s="130" t="s">
        <v>20</v>
      </c>
      <c r="C34" s="129">
        <v>619036</v>
      </c>
      <c r="D34" s="128">
        <f>+'COEF Art 14 F I'!D36</f>
        <v>129046</v>
      </c>
      <c r="E34" s="134">
        <f t="shared" si="0"/>
        <v>0.20846283576399435</v>
      </c>
      <c r="F34" s="133">
        <f t="shared" si="1"/>
        <v>1.326156539268801E-2</v>
      </c>
      <c r="G34" s="128">
        <v>112915</v>
      </c>
      <c r="H34" s="161">
        <f t="shared" si="2"/>
        <v>0.14285967320550852</v>
      </c>
      <c r="I34" s="132">
        <f t="shared" si="3"/>
        <v>0.14285967320550852</v>
      </c>
      <c r="J34" s="125">
        <f t="shared" si="4"/>
        <v>1.3712808703491198E-2</v>
      </c>
      <c r="K34" s="131">
        <f t="shared" si="5"/>
        <v>5.3602355638089046E-5</v>
      </c>
      <c r="M34" s="130" t="s">
        <v>20</v>
      </c>
      <c r="N34" s="129">
        <f t="shared" si="6"/>
        <v>3082450.042384021</v>
      </c>
      <c r="O34" s="128">
        <f t="shared" si="7"/>
        <v>1912400.8298109139</v>
      </c>
      <c r="P34" s="127">
        <f t="shared" si="8"/>
        <v>4983.6223256000067</v>
      </c>
      <c r="Q34" s="126">
        <f t="shared" si="9"/>
        <v>4999834.4945205348</v>
      </c>
      <c r="R34" s="125">
        <f t="shared" si="10"/>
        <v>1.0755345778518985E-2</v>
      </c>
      <c r="T34" s="111"/>
      <c r="U34" s="111"/>
      <c r="V34" s="111"/>
      <c r="W34" s="111"/>
      <c r="X34" s="111"/>
      <c r="Y34" s="111"/>
      <c r="Z34" s="111"/>
    </row>
    <row r="35" spans="1:26">
      <c r="A35" s="110" t="s">
        <v>183</v>
      </c>
      <c r="B35" s="130" t="s">
        <v>138</v>
      </c>
      <c r="C35" s="129">
        <v>593222877</v>
      </c>
      <c r="D35" s="128">
        <f>+'COEF Art 14 F I'!D37</f>
        <v>116809127.09999999</v>
      </c>
      <c r="E35" s="134">
        <f t="shared" si="0"/>
        <v>0.19690597181740177</v>
      </c>
      <c r="F35" s="133">
        <f t="shared" si="1"/>
        <v>1.252636428885362E-2</v>
      </c>
      <c r="G35" s="128">
        <v>99086847.890000001</v>
      </c>
      <c r="H35" s="161">
        <f t="shared" si="2"/>
        <v>0.1788560196169946</v>
      </c>
      <c r="I35" s="132">
        <f t="shared" si="3"/>
        <v>0.1788560196169946</v>
      </c>
      <c r="J35" s="125">
        <f t="shared" si="4"/>
        <v>1.7168024589749274E-2</v>
      </c>
      <c r="K35" s="131">
        <f t="shared" si="5"/>
        <v>4.8519476563310328E-2</v>
      </c>
      <c r="M35" s="130" t="s">
        <v>138</v>
      </c>
      <c r="N35" s="129">
        <f t="shared" si="6"/>
        <v>2911563.6796832336</v>
      </c>
      <c r="O35" s="128">
        <f t="shared" si="7"/>
        <v>2394268.393993699</v>
      </c>
      <c r="P35" s="127">
        <f t="shared" si="8"/>
        <v>4511047.0192753645</v>
      </c>
      <c r="Q35" s="126">
        <f t="shared" si="9"/>
        <v>9816879.0929522961</v>
      </c>
      <c r="R35" s="125">
        <f t="shared" si="10"/>
        <v>2.1117484834013663E-2</v>
      </c>
      <c r="T35" s="111"/>
      <c r="U35" s="111"/>
      <c r="V35" s="111"/>
      <c r="W35" s="111"/>
      <c r="X35" s="111"/>
      <c r="Y35" s="111"/>
      <c r="Z35" s="111"/>
    </row>
    <row r="36" spans="1:26">
      <c r="A36" s="110" t="s">
        <v>184</v>
      </c>
      <c r="B36" s="130" t="s">
        <v>21</v>
      </c>
      <c r="C36" s="129">
        <v>3907034</v>
      </c>
      <c r="D36" s="128">
        <f>+'COEF Art 14 F I'!D38</f>
        <v>1176027</v>
      </c>
      <c r="E36" s="134">
        <f t="shared" si="0"/>
        <v>0.3010024995943214</v>
      </c>
      <c r="F36" s="133">
        <f t="shared" si="1"/>
        <v>1.9148565820393086E-2</v>
      </c>
      <c r="G36" s="128">
        <v>1194083</v>
      </c>
      <c r="H36" s="161">
        <f t="shared" si="2"/>
        <v>-1.5121226916386843E-2</v>
      </c>
      <c r="I36" s="132">
        <f t="shared" si="3"/>
        <v>0</v>
      </c>
      <c r="J36" s="125">
        <f t="shared" si="4"/>
        <v>0</v>
      </c>
      <c r="K36" s="131">
        <f t="shared" si="5"/>
        <v>4.8849106128043447E-4</v>
      </c>
      <c r="M36" s="130" t="s">
        <v>21</v>
      </c>
      <c r="N36" s="129">
        <f t="shared" si="6"/>
        <v>4450794.1390695889</v>
      </c>
      <c r="O36" s="128">
        <f t="shared" si="7"/>
        <v>0</v>
      </c>
      <c r="P36" s="127">
        <f t="shared" si="8"/>
        <v>45416.939794401987</v>
      </c>
      <c r="Q36" s="126">
        <f t="shared" si="9"/>
        <v>4496211.0788639905</v>
      </c>
      <c r="R36" s="125">
        <f t="shared" si="10"/>
        <v>9.671981122452631E-3</v>
      </c>
      <c r="T36" s="111"/>
      <c r="U36" s="111"/>
      <c r="V36" s="111"/>
      <c r="W36" s="111"/>
      <c r="X36" s="111"/>
      <c r="Y36" s="111"/>
      <c r="Z36" s="111"/>
    </row>
    <row r="37" spans="1:26">
      <c r="A37" s="110" t="s">
        <v>185</v>
      </c>
      <c r="B37" s="130" t="s">
        <v>22</v>
      </c>
      <c r="C37" s="129">
        <v>40511812</v>
      </c>
      <c r="D37" s="128">
        <f>+'COEF Art 14 F I'!D39</f>
        <v>12032960</v>
      </c>
      <c r="E37" s="134">
        <f t="shared" ref="E37:E55" si="11">IFERROR(D37/C37,0)</f>
        <v>0.2970234952709595</v>
      </c>
      <c r="F37" s="133">
        <f t="shared" ref="F37:F55" si="12">IFERROR(E37/$E$56,0)</f>
        <v>1.8895437602892525E-2</v>
      </c>
      <c r="G37" s="128">
        <v>10280239</v>
      </c>
      <c r="H37" s="161">
        <f t="shared" ref="H37:H55" si="13">IFERROR((D37/G37)-1,0)</f>
        <v>0.17049418792695392</v>
      </c>
      <c r="I37" s="132">
        <f t="shared" ref="I37:I55" si="14">IF(H37&lt;0,0,H37)</f>
        <v>0.17049418792695392</v>
      </c>
      <c r="J37" s="125">
        <f t="shared" ref="J37:J55" si="15">IFERROR(I37/$I$56,0)</f>
        <v>1.6365389417741218E-2</v>
      </c>
      <c r="K37" s="131">
        <f t="shared" ref="K37:K55" si="16">IFERROR(D37/$D$56,0)</f>
        <v>4.9981789540078725E-3</v>
      </c>
      <c r="M37" s="130" t="s">
        <v>22</v>
      </c>
      <c r="N37" s="129">
        <f t="shared" ref="N37:N55" si="17">IFERROR($N$3*F37,0)</f>
        <v>4391958.3182853097</v>
      </c>
      <c r="O37" s="128">
        <f t="shared" ref="O37:O55" si="18">IFERROR($O$3*J37,0)</f>
        <v>2282332.1596179623</v>
      </c>
      <c r="P37" s="127">
        <f t="shared" ref="P37:P55" si="19">IFERROR($P$3*K37,0)</f>
        <v>464700.40217482019</v>
      </c>
      <c r="Q37" s="126">
        <f t="shared" ref="Q37:Q55" si="20">IFERROR(SUM(N37:P37),0)</f>
        <v>7138990.8800780922</v>
      </c>
      <c r="R37" s="125">
        <f t="shared" ref="R37:R55" si="21">IFERROR(Q37/$Q$56,0)</f>
        <v>1.5356971417570208E-2</v>
      </c>
      <c r="T37" s="111"/>
      <c r="U37" s="111"/>
      <c r="V37" s="111"/>
      <c r="W37" s="111"/>
      <c r="X37" s="111"/>
      <c r="Y37" s="111"/>
      <c r="Z37" s="111"/>
    </row>
    <row r="38" spans="1:26">
      <c r="A38" s="110" t="s">
        <v>186</v>
      </c>
      <c r="B38" s="130" t="s">
        <v>139</v>
      </c>
      <c r="C38" s="129">
        <v>2187206</v>
      </c>
      <c r="D38" s="128">
        <f>+'COEF Art 14 F I'!D40</f>
        <v>947940</v>
      </c>
      <c r="E38" s="134">
        <f t="shared" si="11"/>
        <v>0.43340224926230086</v>
      </c>
      <c r="F38" s="133">
        <f t="shared" si="12"/>
        <v>2.7571304251262588E-2</v>
      </c>
      <c r="G38" s="128">
        <v>940947</v>
      </c>
      <c r="H38" s="161">
        <f t="shared" si="13"/>
        <v>7.4318744838977047E-3</v>
      </c>
      <c r="I38" s="132">
        <f t="shared" si="14"/>
        <v>7.4318744838977047E-3</v>
      </c>
      <c r="J38" s="125">
        <f t="shared" si="15"/>
        <v>7.1337047621159604E-4</v>
      </c>
      <c r="K38" s="131">
        <f t="shared" si="16"/>
        <v>3.9374964744021612E-4</v>
      </c>
      <c r="M38" s="130" t="s">
        <v>139</v>
      </c>
      <c r="N38" s="129">
        <f t="shared" si="17"/>
        <v>6408532.1333744079</v>
      </c>
      <c r="O38" s="128">
        <f t="shared" si="18"/>
        <v>99487.298347736243</v>
      </c>
      <c r="P38" s="127">
        <f t="shared" si="19"/>
        <v>36608.45704112696</v>
      </c>
      <c r="Q38" s="126">
        <f t="shared" si="20"/>
        <v>6544627.8887632703</v>
      </c>
      <c r="R38" s="125">
        <f t="shared" si="21"/>
        <v>1.4078413197982819E-2</v>
      </c>
      <c r="T38" s="111"/>
      <c r="U38" s="111"/>
      <c r="V38" s="111"/>
      <c r="W38" s="111"/>
      <c r="X38" s="111"/>
      <c r="Y38" s="111"/>
      <c r="Z38" s="111"/>
    </row>
    <row r="39" spans="1:26">
      <c r="A39" s="110" t="s">
        <v>187</v>
      </c>
      <c r="B39" s="130" t="s">
        <v>23</v>
      </c>
      <c r="C39" s="129">
        <v>769899</v>
      </c>
      <c r="D39" s="128">
        <f>+'COEF Art 14 F I'!D41</f>
        <v>296637</v>
      </c>
      <c r="E39" s="134">
        <f t="shared" si="11"/>
        <v>0.38529339562721865</v>
      </c>
      <c r="F39" s="133">
        <f t="shared" si="12"/>
        <v>2.4510812887846654E-2</v>
      </c>
      <c r="G39" s="128">
        <v>301669</v>
      </c>
      <c r="H39" s="161">
        <f t="shared" si="13"/>
        <v>-1.6680533962720734E-2</v>
      </c>
      <c r="I39" s="132">
        <f t="shared" si="14"/>
        <v>0</v>
      </c>
      <c r="J39" s="125">
        <f t="shared" si="15"/>
        <v>0</v>
      </c>
      <c r="K39" s="131">
        <f t="shared" si="16"/>
        <v>1.2321530283322088E-4</v>
      </c>
      <c r="M39" s="130" t="s">
        <v>23</v>
      </c>
      <c r="N39" s="129">
        <f t="shared" si="17"/>
        <v>5697167.2640295811</v>
      </c>
      <c r="O39" s="128">
        <f t="shared" si="18"/>
        <v>0</v>
      </c>
      <c r="P39" s="127">
        <f t="shared" si="19"/>
        <v>11455.812468414435</v>
      </c>
      <c r="Q39" s="126">
        <f t="shared" si="20"/>
        <v>5708623.0764979953</v>
      </c>
      <c r="R39" s="125">
        <f t="shared" si="21"/>
        <v>1.2280049504489974E-2</v>
      </c>
      <c r="T39" s="111"/>
      <c r="U39" s="111"/>
      <c r="V39" s="111"/>
      <c r="W39" s="111"/>
      <c r="X39" s="111"/>
      <c r="Y39" s="111"/>
      <c r="Z39" s="111"/>
    </row>
    <row r="40" spans="1:26">
      <c r="A40" s="110" t="s">
        <v>188</v>
      </c>
      <c r="B40" s="130" t="s">
        <v>24</v>
      </c>
      <c r="C40" s="129">
        <v>847487</v>
      </c>
      <c r="D40" s="128">
        <f>+'COEF Art 14 F I'!D42</f>
        <v>101056</v>
      </c>
      <c r="E40" s="134">
        <f t="shared" si="11"/>
        <v>0.11924194707411441</v>
      </c>
      <c r="F40" s="133">
        <f t="shared" si="12"/>
        <v>7.585692062949183E-3</v>
      </c>
      <c r="G40" s="128">
        <v>64774</v>
      </c>
      <c r="H40" s="161">
        <f t="shared" si="13"/>
        <v>0.56013215178929809</v>
      </c>
      <c r="I40" s="132">
        <f t="shared" si="14"/>
        <v>0.56013215178929809</v>
      </c>
      <c r="J40" s="125">
        <f t="shared" si="15"/>
        <v>5.3765942997168838E-2</v>
      </c>
      <c r="K40" s="131">
        <f t="shared" si="16"/>
        <v>4.1976036850136589E-5</v>
      </c>
      <c r="M40" s="130" t="s">
        <v>24</v>
      </c>
      <c r="N40" s="129">
        <f t="shared" si="17"/>
        <v>1763179.2423119363</v>
      </c>
      <c r="O40" s="128">
        <f t="shared" si="18"/>
        <v>7498247.5309506878</v>
      </c>
      <c r="P40" s="127">
        <f t="shared" si="19"/>
        <v>3902.6776322848768</v>
      </c>
      <c r="Q40" s="126">
        <f t="shared" si="20"/>
        <v>9265329.450894909</v>
      </c>
      <c r="R40" s="125">
        <f t="shared" si="21"/>
        <v>1.9931024137995274E-2</v>
      </c>
      <c r="T40" s="111"/>
      <c r="U40" s="111"/>
      <c r="V40" s="111"/>
      <c r="W40" s="111"/>
      <c r="X40" s="111"/>
      <c r="Y40" s="111"/>
      <c r="Z40" s="111"/>
    </row>
    <row r="41" spans="1:26">
      <c r="A41" s="110" t="s">
        <v>189</v>
      </c>
      <c r="B41" s="130" t="s">
        <v>25</v>
      </c>
      <c r="C41" s="129">
        <v>4772320</v>
      </c>
      <c r="D41" s="128">
        <f>+'COEF Art 14 F I'!D43</f>
        <v>933845.6</v>
      </c>
      <c r="E41" s="134">
        <f t="shared" si="11"/>
        <v>0.19567958561035304</v>
      </c>
      <c r="F41" s="133">
        <f t="shared" si="12"/>
        <v>1.2448346541364662E-2</v>
      </c>
      <c r="G41" s="174">
        <v>1105076</v>
      </c>
      <c r="H41" s="161">
        <f t="shared" si="13"/>
        <v>-0.15494898088457265</v>
      </c>
      <c r="I41" s="132">
        <f t="shared" si="14"/>
        <v>0</v>
      </c>
      <c r="J41" s="125">
        <f t="shared" si="15"/>
        <v>0</v>
      </c>
      <c r="K41" s="131">
        <f t="shared" si="16"/>
        <v>3.8789519986876501E-4</v>
      </c>
      <c r="M41" s="130" t="s">
        <v>25</v>
      </c>
      <c r="N41" s="129">
        <f t="shared" si="17"/>
        <v>2893429.6357801934</v>
      </c>
      <c r="O41" s="128">
        <f t="shared" si="18"/>
        <v>0</v>
      </c>
      <c r="P41" s="127">
        <f t="shared" si="19"/>
        <v>36064.145969835045</v>
      </c>
      <c r="Q41" s="126">
        <f t="shared" si="20"/>
        <v>2929493.7817500285</v>
      </c>
      <c r="R41" s="125">
        <f t="shared" si="21"/>
        <v>6.3017523106560858E-3</v>
      </c>
      <c r="T41" s="111"/>
      <c r="U41" s="111"/>
      <c r="V41" s="111"/>
      <c r="W41" s="111"/>
      <c r="X41" s="111"/>
      <c r="Y41" s="111"/>
      <c r="Z41" s="111"/>
    </row>
    <row r="42" spans="1:26">
      <c r="A42" s="110" t="s">
        <v>190</v>
      </c>
      <c r="B42" s="130" t="s">
        <v>26</v>
      </c>
      <c r="C42" s="129">
        <v>62554222</v>
      </c>
      <c r="D42" s="128">
        <f>+'COEF Art 14 F I'!D44</f>
        <v>20840679</v>
      </c>
      <c r="E42" s="134">
        <f t="shared" si="11"/>
        <v>0.33316182878911033</v>
      </c>
      <c r="F42" s="133">
        <f t="shared" si="12"/>
        <v>2.1194412724176478E-2</v>
      </c>
      <c r="G42" s="128">
        <v>16891683.199999999</v>
      </c>
      <c r="H42" s="161">
        <f t="shared" si="13"/>
        <v>0.23378343965153214</v>
      </c>
      <c r="I42" s="132">
        <f t="shared" si="14"/>
        <v>0.23378343965153214</v>
      </c>
      <c r="J42" s="125">
        <f t="shared" si="15"/>
        <v>2.2440395627770664E-2</v>
      </c>
      <c r="K42" s="131">
        <f t="shared" si="16"/>
        <v>8.6566765920466655E-3</v>
      </c>
      <c r="M42" s="130" t="s">
        <v>26</v>
      </c>
      <c r="N42" s="129">
        <f t="shared" si="17"/>
        <v>4926320.2695485279</v>
      </c>
      <c r="O42" s="128">
        <f t="shared" si="18"/>
        <v>3129558.075794342</v>
      </c>
      <c r="P42" s="127">
        <f t="shared" si="19"/>
        <v>804845.35084437497</v>
      </c>
      <c r="Q42" s="126">
        <f t="shared" si="20"/>
        <v>8860723.6961872447</v>
      </c>
      <c r="R42" s="125">
        <f t="shared" si="21"/>
        <v>1.9060660368828777E-2</v>
      </c>
      <c r="T42" s="111"/>
      <c r="U42" s="111"/>
      <c r="V42" s="111"/>
      <c r="W42" s="111"/>
      <c r="X42" s="111"/>
      <c r="Y42" s="111"/>
      <c r="Z42" s="111"/>
    </row>
    <row r="43" spans="1:26">
      <c r="A43" s="110" t="s">
        <v>191</v>
      </c>
      <c r="B43" s="130" t="s">
        <v>27</v>
      </c>
      <c r="C43" s="129"/>
      <c r="D43" s="128"/>
      <c r="E43" s="134">
        <f t="shared" si="11"/>
        <v>0</v>
      </c>
      <c r="F43" s="133">
        <f t="shared" si="12"/>
        <v>0</v>
      </c>
      <c r="G43" s="128"/>
      <c r="H43" s="161">
        <f t="shared" si="13"/>
        <v>0</v>
      </c>
      <c r="I43" s="132">
        <f t="shared" si="14"/>
        <v>0</v>
      </c>
      <c r="J43" s="125">
        <f t="shared" si="15"/>
        <v>0</v>
      </c>
      <c r="K43" s="131">
        <f t="shared" si="16"/>
        <v>0</v>
      </c>
      <c r="M43" s="130" t="s">
        <v>27</v>
      </c>
      <c r="N43" s="129">
        <f t="shared" si="17"/>
        <v>0</v>
      </c>
      <c r="O43" s="128">
        <f t="shared" si="18"/>
        <v>0</v>
      </c>
      <c r="P43" s="127">
        <f t="shared" si="19"/>
        <v>0</v>
      </c>
      <c r="Q43" s="126">
        <f t="shared" si="20"/>
        <v>0</v>
      </c>
      <c r="R43" s="125">
        <f t="shared" si="21"/>
        <v>0</v>
      </c>
      <c r="T43" s="111"/>
      <c r="U43" s="111"/>
      <c r="V43" s="111"/>
      <c r="W43" s="111"/>
      <c r="X43" s="111"/>
      <c r="Y43" s="111"/>
      <c r="Z43" s="111"/>
    </row>
    <row r="44" spans="1:26">
      <c r="A44" s="110" t="s">
        <v>192</v>
      </c>
      <c r="B44" s="130" t="s">
        <v>140</v>
      </c>
      <c r="C44" s="129">
        <v>1399134</v>
      </c>
      <c r="D44" s="128">
        <f>+'COEF Art 14 F I'!D46</f>
        <v>378540</v>
      </c>
      <c r="E44" s="134">
        <f t="shared" si="11"/>
        <v>0.27055307068515239</v>
      </c>
      <c r="F44" s="133">
        <f t="shared" si="12"/>
        <v>1.7211495880952613E-2</v>
      </c>
      <c r="G44" s="128">
        <v>451420</v>
      </c>
      <c r="H44" s="161">
        <f t="shared" si="13"/>
        <v>-0.1614461034070267</v>
      </c>
      <c r="I44" s="132">
        <f t="shared" si="14"/>
        <v>0</v>
      </c>
      <c r="J44" s="125">
        <f t="shared" si="15"/>
        <v>0</v>
      </c>
      <c r="K44" s="131">
        <f t="shared" si="16"/>
        <v>1.572356811000901E-4</v>
      </c>
      <c r="M44" s="130" t="s">
        <v>140</v>
      </c>
      <c r="N44" s="129">
        <f t="shared" si="17"/>
        <v>4000551.566633814</v>
      </c>
      <c r="O44" s="128">
        <f t="shared" si="18"/>
        <v>0</v>
      </c>
      <c r="P44" s="127">
        <f t="shared" si="19"/>
        <v>14618.821157824546</v>
      </c>
      <c r="Q44" s="126">
        <f t="shared" si="20"/>
        <v>4015170.3877916387</v>
      </c>
      <c r="R44" s="125">
        <f t="shared" si="21"/>
        <v>8.6371950766963284E-3</v>
      </c>
      <c r="T44" s="111"/>
      <c r="U44" s="111"/>
      <c r="V44" s="111"/>
      <c r="W44" s="111"/>
      <c r="X44" s="111"/>
      <c r="Y44" s="111"/>
      <c r="Z44" s="111"/>
    </row>
    <row r="45" spans="1:26">
      <c r="A45" s="110" t="s">
        <v>193</v>
      </c>
      <c r="B45" s="130" t="s">
        <v>141</v>
      </c>
      <c r="C45" s="129">
        <v>110604359</v>
      </c>
      <c r="D45" s="128">
        <f>+'COEF Art 14 F I'!D47</f>
        <v>21534368.5</v>
      </c>
      <c r="E45" s="134">
        <f t="shared" si="11"/>
        <v>0.19469728584566906</v>
      </c>
      <c r="F45" s="133">
        <f t="shared" si="12"/>
        <v>1.2385856589537822E-2</v>
      </c>
      <c r="G45" s="128">
        <v>17252658</v>
      </c>
      <c r="H45" s="161">
        <f t="shared" si="13"/>
        <v>0.2481768606321415</v>
      </c>
      <c r="I45" s="132">
        <f t="shared" si="14"/>
        <v>0.2481768606321415</v>
      </c>
      <c r="J45" s="125">
        <f t="shared" si="15"/>
        <v>2.3821990755823232E-2</v>
      </c>
      <c r="K45" s="131">
        <f t="shared" si="16"/>
        <v>8.9448171875041622E-3</v>
      </c>
      <c r="M45" s="130" t="s">
        <v>141</v>
      </c>
      <c r="N45" s="129">
        <f t="shared" si="17"/>
        <v>2878904.7928258749</v>
      </c>
      <c r="O45" s="128">
        <f t="shared" si="18"/>
        <v>3322236.5945778624</v>
      </c>
      <c r="P45" s="127">
        <f t="shared" si="19"/>
        <v>831634.91796954209</v>
      </c>
      <c r="Q45" s="126">
        <f t="shared" si="20"/>
        <v>7032776.3053732794</v>
      </c>
      <c r="R45" s="125">
        <f t="shared" si="21"/>
        <v>1.5128488959016717E-2</v>
      </c>
      <c r="T45" s="111"/>
      <c r="U45" s="111"/>
      <c r="V45" s="111"/>
      <c r="W45" s="111"/>
      <c r="X45" s="111"/>
      <c r="Y45" s="111"/>
      <c r="Z45" s="111"/>
    </row>
    <row r="46" spans="1:26">
      <c r="A46" s="110" t="s">
        <v>194</v>
      </c>
      <c r="B46" s="130" t="s">
        <v>142</v>
      </c>
      <c r="C46" s="129">
        <v>8051951</v>
      </c>
      <c r="D46" s="128">
        <f>+'COEF Art 14 F I'!D48</f>
        <v>1244367</v>
      </c>
      <c r="E46" s="134">
        <f t="shared" si="11"/>
        <v>0.15454229664338495</v>
      </c>
      <c r="F46" s="133">
        <f t="shared" si="12"/>
        <v>9.8313580229364931E-3</v>
      </c>
      <c r="G46" s="128">
        <v>1075933</v>
      </c>
      <c r="H46" s="161">
        <f t="shared" si="13"/>
        <v>0.15654692253142155</v>
      </c>
      <c r="I46" s="132">
        <f t="shared" si="14"/>
        <v>0.15654692253142155</v>
      </c>
      <c r="J46" s="125">
        <f t="shared" si="15"/>
        <v>1.5026619854474546E-2</v>
      </c>
      <c r="K46" s="131">
        <f t="shared" si="16"/>
        <v>5.1687772172947588E-4</v>
      </c>
      <c r="M46" s="130" t="s">
        <v>142</v>
      </c>
      <c r="N46" s="129">
        <f t="shared" si="17"/>
        <v>2285150.2863456886</v>
      </c>
      <c r="O46" s="128">
        <f t="shared" si="18"/>
        <v>2095626.1332249192</v>
      </c>
      <c r="P46" s="127">
        <f t="shared" si="19"/>
        <v>48056.159527919524</v>
      </c>
      <c r="Q46" s="126">
        <f t="shared" si="20"/>
        <v>4428832.5790985273</v>
      </c>
      <c r="R46" s="125">
        <f t="shared" si="21"/>
        <v>9.5270405121565087E-3</v>
      </c>
      <c r="T46" s="111"/>
      <c r="U46" s="111"/>
      <c r="V46" s="111"/>
      <c r="W46" s="111"/>
      <c r="X46" s="111"/>
      <c r="Y46" s="111"/>
      <c r="Z46" s="111"/>
    </row>
    <row r="47" spans="1:26">
      <c r="A47" s="110" t="s">
        <v>195</v>
      </c>
      <c r="B47" s="130" t="s">
        <v>28</v>
      </c>
      <c r="C47" s="129">
        <v>1112166</v>
      </c>
      <c r="D47" s="128">
        <f>+'COEF Art 14 F I'!D49</f>
        <v>290271</v>
      </c>
      <c r="E47" s="134">
        <f t="shared" si="11"/>
        <v>0.26099611029288794</v>
      </c>
      <c r="F47" s="133">
        <f t="shared" si="12"/>
        <v>1.6603520580545449E-2</v>
      </c>
      <c r="G47" s="128">
        <v>222448</v>
      </c>
      <c r="H47" s="161">
        <f t="shared" si="13"/>
        <v>0.30489372797238001</v>
      </c>
      <c r="I47" s="132">
        <f t="shared" si="14"/>
        <v>0.30489372797238001</v>
      </c>
      <c r="J47" s="125">
        <f t="shared" si="15"/>
        <v>2.9266127191576952E-2</v>
      </c>
      <c r="K47" s="131">
        <f t="shared" si="16"/>
        <v>1.2057103182914423E-4</v>
      </c>
      <c r="M47" s="130" t="s">
        <v>28</v>
      </c>
      <c r="N47" s="129">
        <f t="shared" si="17"/>
        <v>3859236.9152321178</v>
      </c>
      <c r="O47" s="128">
        <f t="shared" si="18"/>
        <v>4081480.8356711236</v>
      </c>
      <c r="P47" s="127">
        <f t="shared" si="19"/>
        <v>11209.964168391423</v>
      </c>
      <c r="Q47" s="126">
        <f t="shared" si="20"/>
        <v>7951927.7150716325</v>
      </c>
      <c r="R47" s="125">
        <f t="shared" si="21"/>
        <v>1.7105712654111642E-2</v>
      </c>
      <c r="T47" s="111"/>
      <c r="U47" s="111"/>
      <c r="V47" s="111"/>
      <c r="W47" s="111"/>
      <c r="X47" s="111"/>
      <c r="Y47" s="111"/>
      <c r="Z47" s="111"/>
    </row>
    <row r="48" spans="1:26">
      <c r="A48" s="110" t="s">
        <v>196</v>
      </c>
      <c r="B48" s="130" t="s">
        <v>29</v>
      </c>
      <c r="C48" s="129">
        <v>18582885</v>
      </c>
      <c r="D48" s="128">
        <f>+'COEF Art 14 F I'!D50</f>
        <v>7908079.6500000004</v>
      </c>
      <c r="E48" s="134">
        <f t="shared" si="11"/>
        <v>0.42555715380039216</v>
      </c>
      <c r="F48" s="133">
        <f t="shared" si="12"/>
        <v>2.7072230897977848E-2</v>
      </c>
      <c r="G48" s="128">
        <v>7881801</v>
      </c>
      <c r="H48" s="161">
        <f t="shared" si="13"/>
        <v>3.3340920431765841E-3</v>
      </c>
      <c r="I48" s="132">
        <f t="shared" si="14"/>
        <v>3.3340920431765841E-3</v>
      </c>
      <c r="J48" s="125">
        <f t="shared" si="15"/>
        <v>3.2003269615592055E-4</v>
      </c>
      <c r="K48" s="131">
        <f t="shared" si="16"/>
        <v>3.2848108257027323E-3</v>
      </c>
      <c r="M48" s="130" t="s">
        <v>29</v>
      </c>
      <c r="N48" s="129">
        <f t="shared" si="17"/>
        <v>6292530.0903702313</v>
      </c>
      <c r="O48" s="128">
        <f t="shared" si="18"/>
        <v>44632.052187775887</v>
      </c>
      <c r="P48" s="127">
        <f t="shared" si="19"/>
        <v>305401.81250378228</v>
      </c>
      <c r="Q48" s="126">
        <f t="shared" si="20"/>
        <v>6642563.9550617896</v>
      </c>
      <c r="R48" s="125">
        <f t="shared" si="21"/>
        <v>1.428908742297625E-2</v>
      </c>
      <c r="T48" s="111"/>
      <c r="U48" s="111"/>
      <c r="V48" s="111"/>
      <c r="W48" s="111"/>
      <c r="X48" s="111"/>
      <c r="Y48" s="111"/>
      <c r="Z48" s="111"/>
    </row>
    <row r="49" spans="1:26">
      <c r="A49" s="110" t="s">
        <v>197</v>
      </c>
      <c r="B49" s="130" t="s">
        <v>30</v>
      </c>
      <c r="C49" s="129">
        <v>126915948</v>
      </c>
      <c r="D49" s="128">
        <f>+'COEF Art 14 F I'!D51</f>
        <v>23883804.280000001</v>
      </c>
      <c r="E49" s="134">
        <f t="shared" si="11"/>
        <v>0.18818599755485418</v>
      </c>
      <c r="F49" s="133">
        <f t="shared" si="12"/>
        <v>1.1971634672509675E-2</v>
      </c>
      <c r="G49" s="128">
        <v>19038713.890000001</v>
      </c>
      <c r="H49" s="161">
        <f t="shared" si="13"/>
        <v>0.25448622307123703</v>
      </c>
      <c r="I49" s="132">
        <f t="shared" si="14"/>
        <v>0.25448622307123703</v>
      </c>
      <c r="J49" s="125">
        <f t="shared" si="15"/>
        <v>2.442761358994416E-2</v>
      </c>
      <c r="K49" s="131">
        <f t="shared" si="16"/>
        <v>9.9207117695013659E-3</v>
      </c>
      <c r="M49" s="130" t="s">
        <v>30</v>
      </c>
      <c r="N49" s="129">
        <f t="shared" si="17"/>
        <v>2782625.1811893936</v>
      </c>
      <c r="O49" s="128">
        <f t="shared" si="18"/>
        <v>3406697.3083213884</v>
      </c>
      <c r="P49" s="127">
        <f t="shared" si="19"/>
        <v>922367.68462462211</v>
      </c>
      <c r="Q49" s="126">
        <f t="shared" si="20"/>
        <v>7111690.1741354037</v>
      </c>
      <c r="R49" s="125">
        <f t="shared" si="21"/>
        <v>1.5298243767138363E-2</v>
      </c>
      <c r="T49" s="111"/>
      <c r="U49" s="111"/>
      <c r="V49" s="111"/>
      <c r="W49" s="111"/>
      <c r="X49" s="111"/>
      <c r="Y49" s="111"/>
      <c r="Z49" s="111"/>
    </row>
    <row r="50" spans="1:26">
      <c r="A50" s="110" t="s">
        <v>198</v>
      </c>
      <c r="B50" s="130" t="s">
        <v>143</v>
      </c>
      <c r="C50" s="129">
        <v>649205075</v>
      </c>
      <c r="D50" s="128">
        <f>+'COEF Art 14 F I'!D52</f>
        <v>330884619.5</v>
      </c>
      <c r="E50" s="134">
        <f t="shared" si="11"/>
        <v>0.50967657561826674</v>
      </c>
      <c r="F50" s="133">
        <f t="shared" si="12"/>
        <v>3.242356946700603E-2</v>
      </c>
      <c r="G50" s="128">
        <v>306694612.58999997</v>
      </c>
      <c r="H50" s="161">
        <f t="shared" si="13"/>
        <v>7.8873269751034369E-2</v>
      </c>
      <c r="I50" s="132">
        <f t="shared" si="14"/>
        <v>7.8873269751034369E-2</v>
      </c>
      <c r="J50" s="125">
        <f t="shared" si="15"/>
        <v>7.5708843205801813E-3</v>
      </c>
      <c r="K50" s="131">
        <f t="shared" si="16"/>
        <v>0.13744087418139866</v>
      </c>
      <c r="M50" s="130" t="s">
        <v>143</v>
      </c>
      <c r="N50" s="129">
        <f t="shared" si="17"/>
        <v>7536367.700069543</v>
      </c>
      <c r="O50" s="128">
        <f t="shared" si="18"/>
        <v>1055842.4441080273</v>
      </c>
      <c r="P50" s="127">
        <f t="shared" si="19"/>
        <v>12778419.919547006</v>
      </c>
      <c r="Q50" s="126">
        <f t="shared" si="20"/>
        <v>21370630.063724577</v>
      </c>
      <c r="R50" s="125">
        <f t="shared" si="21"/>
        <v>4.5971224865956811E-2</v>
      </c>
      <c r="T50" s="111"/>
      <c r="U50" s="111"/>
      <c r="V50" s="111"/>
      <c r="W50" s="111"/>
      <c r="X50" s="111"/>
      <c r="Y50" s="111"/>
      <c r="Z50" s="111"/>
    </row>
    <row r="51" spans="1:26">
      <c r="A51" s="110" t="s">
        <v>199</v>
      </c>
      <c r="B51" s="130" t="s">
        <v>144</v>
      </c>
      <c r="C51" s="129">
        <v>1187612062</v>
      </c>
      <c r="D51" s="128">
        <f>+'COEF Art 14 F I'!D53</f>
        <v>722790593.90999997</v>
      </c>
      <c r="E51" s="134">
        <f t="shared" si="11"/>
        <v>0.60860833014173277</v>
      </c>
      <c r="F51" s="133">
        <f t="shared" si="12"/>
        <v>3.8717208941006262E-2</v>
      </c>
      <c r="G51" s="128">
        <v>671271036.40999997</v>
      </c>
      <c r="H51" s="161">
        <f t="shared" si="13"/>
        <v>7.6749263271554069E-2</v>
      </c>
      <c r="I51" s="132">
        <f t="shared" si="14"/>
        <v>7.6749263271554069E-2</v>
      </c>
      <c r="J51" s="125">
        <f t="shared" si="15"/>
        <v>7.3670052700087136E-3</v>
      </c>
      <c r="K51" s="131">
        <f t="shared" si="16"/>
        <v>0.30022843378817954</v>
      </c>
      <c r="M51" s="130" t="s">
        <v>144</v>
      </c>
      <c r="N51" s="129">
        <f t="shared" si="17"/>
        <v>8999228.8849247023</v>
      </c>
      <c r="O51" s="128">
        <f t="shared" si="18"/>
        <v>1027409.2854514298</v>
      </c>
      <c r="P51" s="127">
        <f t="shared" si="19"/>
        <v>27913421.109864421</v>
      </c>
      <c r="Q51" s="126">
        <f t="shared" si="20"/>
        <v>37940059.280240551</v>
      </c>
      <c r="R51" s="125">
        <f t="shared" si="21"/>
        <v>8.1614392809141678E-2</v>
      </c>
      <c r="T51" s="111"/>
      <c r="U51" s="111"/>
      <c r="V51" s="111"/>
      <c r="W51" s="111"/>
      <c r="X51" s="111"/>
      <c r="Y51" s="111"/>
      <c r="Z51" s="111"/>
    </row>
    <row r="52" spans="1:26">
      <c r="A52" s="110" t="s">
        <v>200</v>
      </c>
      <c r="B52" s="130" t="s">
        <v>31</v>
      </c>
      <c r="C52" s="129">
        <v>308328957</v>
      </c>
      <c r="D52" s="128">
        <f>+'COEF Art 14 F I'!D54</f>
        <v>126817695.59999999</v>
      </c>
      <c r="E52" s="134">
        <f t="shared" si="11"/>
        <v>0.41130647226235062</v>
      </c>
      <c r="F52" s="133">
        <f t="shared" si="12"/>
        <v>2.6165659976525618E-2</v>
      </c>
      <c r="G52" s="128">
        <v>112141719.38</v>
      </c>
      <c r="H52" s="161">
        <f t="shared" si="13"/>
        <v>0.13086990551901057</v>
      </c>
      <c r="I52" s="132">
        <f t="shared" si="14"/>
        <v>0.13086990551901057</v>
      </c>
      <c r="J52" s="125">
        <f t="shared" si="15"/>
        <v>1.2561935353474973E-2</v>
      </c>
      <c r="K52" s="131">
        <f t="shared" si="16"/>
        <v>5.2676775884212761E-2</v>
      </c>
      <c r="M52" s="130" t="s">
        <v>31</v>
      </c>
      <c r="N52" s="129">
        <f t="shared" si="17"/>
        <v>6081811.408788695</v>
      </c>
      <c r="O52" s="128">
        <f t="shared" si="18"/>
        <v>1751898.9809797585</v>
      </c>
      <c r="P52" s="127">
        <f t="shared" si="19"/>
        <v>4897567.5268765064</v>
      </c>
      <c r="Q52" s="126">
        <f t="shared" si="20"/>
        <v>12731277.916644961</v>
      </c>
      <c r="R52" s="125">
        <f t="shared" si="21"/>
        <v>2.7386765771147861E-2</v>
      </c>
      <c r="T52" s="111"/>
      <c r="U52" s="111"/>
      <c r="V52" s="111"/>
      <c r="W52" s="111"/>
      <c r="X52" s="111"/>
      <c r="Y52" s="111"/>
      <c r="Z52" s="111"/>
    </row>
    <row r="53" spans="1:26">
      <c r="A53" s="110" t="s">
        <v>201</v>
      </c>
      <c r="B53" s="130" t="s">
        <v>32</v>
      </c>
      <c r="C53" s="129">
        <v>208470911</v>
      </c>
      <c r="D53" s="128">
        <f>+'COEF Art 14 F I'!D55</f>
        <v>94615002.859999999</v>
      </c>
      <c r="E53" s="134">
        <f t="shared" si="11"/>
        <v>0.45385230201253352</v>
      </c>
      <c r="F53" s="133">
        <f t="shared" si="12"/>
        <v>2.8872254182396407E-2</v>
      </c>
      <c r="G53" s="128">
        <v>85362095.170000002</v>
      </c>
      <c r="H53" s="161">
        <f t="shared" si="13"/>
        <v>0.10839597682756819</v>
      </c>
      <c r="I53" s="132">
        <f t="shared" si="14"/>
        <v>0.10839597682756819</v>
      </c>
      <c r="J53" s="125">
        <f t="shared" si="15"/>
        <v>1.0404708768486757E-2</v>
      </c>
      <c r="K53" s="131">
        <f t="shared" si="16"/>
        <v>3.9300613982614974E-2</v>
      </c>
      <c r="M53" s="130" t="s">
        <v>32</v>
      </c>
      <c r="N53" s="129">
        <f t="shared" si="17"/>
        <v>6710918.2432807069</v>
      </c>
      <c r="O53" s="128">
        <f t="shared" si="18"/>
        <v>1451050.1905950939</v>
      </c>
      <c r="P53" s="127">
        <f t="shared" si="19"/>
        <v>3653933.0207042792</v>
      </c>
      <c r="Q53" s="126">
        <f t="shared" si="20"/>
        <v>11815901.45458008</v>
      </c>
      <c r="R53" s="125">
        <f t="shared" si="21"/>
        <v>2.5417662518267232E-2</v>
      </c>
      <c r="T53" s="111"/>
      <c r="U53" s="111"/>
      <c r="V53" s="111"/>
      <c r="W53" s="111"/>
      <c r="X53" s="111"/>
      <c r="Y53" s="111"/>
      <c r="Z53" s="111"/>
    </row>
    <row r="54" spans="1:26">
      <c r="A54" s="110" t="s">
        <v>202</v>
      </c>
      <c r="B54" s="130" t="s">
        <v>33</v>
      </c>
      <c r="C54" s="129">
        <v>4538835</v>
      </c>
      <c r="D54" s="128">
        <f>+'COEF Art 14 F I'!D56</f>
        <v>1178778</v>
      </c>
      <c r="E54" s="134">
        <f t="shared" si="11"/>
        <v>0.25970937476246658</v>
      </c>
      <c r="F54" s="133">
        <f t="shared" si="12"/>
        <v>1.6521663652344122E-2</v>
      </c>
      <c r="G54" s="174">
        <v>1456869</v>
      </c>
      <c r="H54" s="161">
        <f t="shared" si="13"/>
        <v>-0.19088263941370154</v>
      </c>
      <c r="I54" s="132">
        <f t="shared" si="14"/>
        <v>0</v>
      </c>
      <c r="J54" s="125">
        <f t="shared" si="15"/>
        <v>0</v>
      </c>
      <c r="K54" s="131">
        <f t="shared" si="16"/>
        <v>4.8963375520632429E-4</v>
      </c>
      <c r="M54" s="130" t="s">
        <v>33</v>
      </c>
      <c r="N54" s="129">
        <f t="shared" si="17"/>
        <v>3840210.5119130402</v>
      </c>
      <c r="O54" s="128">
        <f t="shared" si="18"/>
        <v>0</v>
      </c>
      <c r="P54" s="127">
        <f t="shared" si="19"/>
        <v>45523.180553648497</v>
      </c>
      <c r="Q54" s="126">
        <f t="shared" si="20"/>
        <v>3885733.6924666888</v>
      </c>
      <c r="R54" s="125">
        <f t="shared" si="21"/>
        <v>8.3587585772133283E-3</v>
      </c>
      <c r="T54" s="111"/>
      <c r="U54" s="111"/>
      <c r="V54" s="111"/>
      <c r="W54" s="111"/>
      <c r="X54" s="111"/>
      <c r="Y54" s="111"/>
      <c r="Z54" s="111"/>
    </row>
    <row r="55" spans="1:26">
      <c r="A55" s="110" t="s">
        <v>203</v>
      </c>
      <c r="B55" s="130" t="s">
        <v>34</v>
      </c>
      <c r="C55" s="129">
        <v>3120510</v>
      </c>
      <c r="D55" s="128">
        <f>+'COEF Art 14 F I'!D57</f>
        <v>668727</v>
      </c>
      <c r="E55" s="134">
        <f t="shared" si="11"/>
        <v>0.2143005470259669</v>
      </c>
      <c r="F55" s="133">
        <f t="shared" si="12"/>
        <v>1.3632937054023013E-2</v>
      </c>
      <c r="G55" s="128">
        <v>668168</v>
      </c>
      <c r="H55" s="161">
        <f t="shared" si="13"/>
        <v>8.3661594090100877E-4</v>
      </c>
      <c r="I55" s="132">
        <f t="shared" si="14"/>
        <v>8.3661594090100877E-4</v>
      </c>
      <c r="J55" s="125">
        <f t="shared" si="15"/>
        <v>8.0305058092660319E-5</v>
      </c>
      <c r="K55" s="131">
        <f t="shared" si="16"/>
        <v>2.7777182151164989E-4</v>
      </c>
      <c r="M55" s="130" t="s">
        <v>34</v>
      </c>
      <c r="N55" s="129">
        <f t="shared" si="17"/>
        <v>3168769.7610089034</v>
      </c>
      <c r="O55" s="128">
        <f t="shared" si="18"/>
        <v>11199.416768303481</v>
      </c>
      <c r="P55" s="127">
        <f t="shared" si="19"/>
        <v>25825.54133356722</v>
      </c>
      <c r="Q55" s="126">
        <f t="shared" si="20"/>
        <v>3205794.7191107743</v>
      </c>
      <c r="R55" s="125">
        <f t="shared" si="21"/>
        <v>6.896114408741637E-3</v>
      </c>
      <c r="T55" s="111"/>
      <c r="U55" s="111"/>
      <c r="V55" s="111"/>
      <c r="W55" s="111"/>
      <c r="X55" s="111"/>
      <c r="Y55" s="111"/>
      <c r="Z55" s="111"/>
    </row>
    <row r="56" spans="1:26" ht="13.5" thickBot="1">
      <c r="B56" s="117" t="s">
        <v>35</v>
      </c>
      <c r="C56" s="124">
        <f>SUM(C5:C55)</f>
        <v>5851281697</v>
      </c>
      <c r="D56" s="123">
        <f>SUM(D5:D55)</f>
        <v>2407468822.2900004</v>
      </c>
      <c r="E56" s="122">
        <f>SUM(E5:E55)</f>
        <v>15.719323442686026</v>
      </c>
      <c r="F56" s="121">
        <f>SUM(F5:F55)</f>
        <v>1.0000000000000002</v>
      </c>
      <c r="G56" s="115">
        <f>SUM(G5:G55)</f>
        <v>2184244772.5599999</v>
      </c>
      <c r="H56" s="120"/>
      <c r="I56" s="119">
        <f>SUM(I5:I55)</f>
        <v>10.417973173441654</v>
      </c>
      <c r="J56" s="112">
        <f>SUM(J5:J55)</f>
        <v>1</v>
      </c>
      <c r="K56" s="118">
        <f>SUM(K5:K55)</f>
        <v>0.99999999999999989</v>
      </c>
      <c r="M56" s="117" t="s">
        <v>35</v>
      </c>
      <c r="N56" s="116">
        <f>SUM(N5:N55)</f>
        <v>232434856.00000006</v>
      </c>
      <c r="O56" s="115">
        <f>SUM(O5:O55)</f>
        <v>139460913.60000005</v>
      </c>
      <c r="P56" s="114">
        <f>SUM(P5:P55)</f>
        <v>92973942.400000006</v>
      </c>
      <c r="Q56" s="113">
        <f>SUM(Q5:Q55)</f>
        <v>464869711.99999988</v>
      </c>
      <c r="R56" s="112">
        <f>SUM(R5:R55)</f>
        <v>1.0000000000000007</v>
      </c>
      <c r="T56" s="111"/>
      <c r="U56" s="111"/>
      <c r="V56" s="111"/>
      <c r="W56" s="111"/>
      <c r="X56" s="111"/>
      <c r="Y56" s="111"/>
      <c r="Z56" s="111"/>
    </row>
    <row r="57" spans="1:26" ht="13.5" thickTop="1"/>
    <row r="59" spans="1:26">
      <c r="M59" s="298" t="s">
        <v>104</v>
      </c>
      <c r="N59" s="298"/>
      <c r="O59" s="298"/>
      <c r="P59" s="298"/>
      <c r="Q59" s="298"/>
      <c r="R59" s="298"/>
    </row>
    <row r="60" spans="1:26">
      <c r="M60" s="298"/>
      <c r="N60" s="298"/>
      <c r="O60" s="298"/>
      <c r="P60" s="298"/>
      <c r="Q60" s="298"/>
      <c r="R60" s="298"/>
    </row>
    <row r="61" spans="1:26">
      <c r="M61" s="298"/>
      <c r="N61" s="298"/>
      <c r="O61" s="298"/>
      <c r="P61" s="298"/>
      <c r="Q61" s="298"/>
      <c r="R61" s="298"/>
    </row>
    <row r="62" spans="1:26">
      <c r="M62" s="298"/>
      <c r="N62" s="298"/>
      <c r="O62" s="298"/>
      <c r="P62" s="298"/>
      <c r="Q62" s="298"/>
      <c r="R62" s="298"/>
    </row>
    <row r="63" spans="1:26">
      <c r="M63" s="298"/>
      <c r="N63" s="298"/>
      <c r="O63" s="298"/>
      <c r="P63" s="298"/>
      <c r="Q63" s="298"/>
      <c r="R63" s="298"/>
    </row>
  </sheetData>
  <mergeCells count="4">
    <mergeCell ref="C1:F1"/>
    <mergeCell ref="G1:J1"/>
    <mergeCell ref="M1:R1"/>
    <mergeCell ref="M59:R63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70" orientation="landscape" r:id="rId1"/>
  <headerFooter>
    <oddHeader>&amp;LANEXO 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showGridLines="0" zoomScaleNormal="100" workbookViewId="0">
      <selection activeCell="C18" sqref="C18"/>
    </sheetView>
  </sheetViews>
  <sheetFormatPr baseColWidth="10" defaultRowHeight="12.75"/>
  <cols>
    <col min="1" max="1" width="38.42578125" style="203" customWidth="1"/>
    <col min="2" max="2" width="19" style="216" customWidth="1"/>
    <col min="3" max="3" width="19" style="203" customWidth="1"/>
    <col min="4" max="4" width="19" style="216" customWidth="1"/>
    <col min="5" max="16384" width="11.42578125" style="203"/>
  </cols>
  <sheetData>
    <row r="1" spans="1:4">
      <c r="A1" s="299" t="s">
        <v>233</v>
      </c>
      <c r="B1" s="299"/>
      <c r="C1" s="299"/>
      <c r="D1" s="299"/>
    </row>
    <row r="2" spans="1:4" ht="13.5" thickBot="1">
      <c r="A2" s="300" t="s">
        <v>302</v>
      </c>
      <c r="B2" s="300"/>
      <c r="C2" s="300"/>
      <c r="D2" s="300"/>
    </row>
    <row r="3" spans="1:4">
      <c r="A3" s="204" t="s">
        <v>234</v>
      </c>
      <c r="B3" s="205" t="s">
        <v>296</v>
      </c>
      <c r="C3" s="206" t="s">
        <v>235</v>
      </c>
      <c r="D3" s="238" t="s">
        <v>236</v>
      </c>
    </row>
    <row r="4" spans="1:4">
      <c r="A4" s="207" t="s">
        <v>237</v>
      </c>
      <c r="B4" s="208">
        <v>532855</v>
      </c>
      <c r="C4" s="209">
        <f t="shared" ref="C4:C54" si="0">+B4/B$55</f>
        <v>1.6375609345267589E-4</v>
      </c>
      <c r="D4" s="239">
        <f>+ROUND(C4*'PART PEF2023'!E$13,2)</f>
        <v>23849.23</v>
      </c>
    </row>
    <row r="5" spans="1:4">
      <c r="A5" s="207" t="s">
        <v>238</v>
      </c>
      <c r="B5" s="208">
        <v>500859.67</v>
      </c>
      <c r="C5" s="210">
        <f t="shared" si="0"/>
        <v>1.5392334298673448E-4</v>
      </c>
      <c r="D5" s="239">
        <f>+ROUND(C5*'PART PEF2023'!E$13,2)</f>
        <v>22417.200000000001</v>
      </c>
    </row>
    <row r="6" spans="1:4">
      <c r="A6" s="207" t="s">
        <v>239</v>
      </c>
      <c r="B6" s="208">
        <v>28654</v>
      </c>
      <c r="C6" s="210">
        <f t="shared" si="0"/>
        <v>8.8058986061742407E-6</v>
      </c>
      <c r="D6" s="239">
        <f>+ROUND(C6*'PART PEF2023'!E$13,2)</f>
        <v>1282.48</v>
      </c>
    </row>
    <row r="7" spans="1:4">
      <c r="A7" s="207" t="s">
        <v>240</v>
      </c>
      <c r="B7" s="208">
        <v>37159802.159999996</v>
      </c>
      <c r="C7" s="210">
        <f t="shared" si="0"/>
        <v>1.1419887277394238E-2</v>
      </c>
      <c r="D7" s="239">
        <f>+ROUND(C7*'PART PEF2023'!E$13,2)</f>
        <v>1663177.64</v>
      </c>
    </row>
    <row r="8" spans="1:4">
      <c r="A8" s="207" t="s">
        <v>241</v>
      </c>
      <c r="B8" s="208">
        <v>5443891</v>
      </c>
      <c r="C8" s="210">
        <f t="shared" si="0"/>
        <v>1.6730073347199167E-3</v>
      </c>
      <c r="D8" s="239">
        <f>+ROUND(C8*'PART PEF2023'!E$13,2)</f>
        <v>243654.63</v>
      </c>
    </row>
    <row r="9" spans="1:4">
      <c r="A9" s="207" t="s">
        <v>242</v>
      </c>
      <c r="B9" s="208">
        <v>437216011.37</v>
      </c>
      <c r="C9" s="210">
        <f t="shared" si="0"/>
        <v>0.13436448192643763</v>
      </c>
      <c r="D9" s="239">
        <f>+ROUND(C9*'PART PEF2023'!E$13,2)</f>
        <v>19568669.66</v>
      </c>
    </row>
    <row r="10" spans="1:4">
      <c r="A10" s="207" t="s">
        <v>243</v>
      </c>
      <c r="B10" s="208">
        <v>1643390.2</v>
      </c>
      <c r="C10" s="210">
        <f t="shared" si="0"/>
        <v>5.0504388467859313E-4</v>
      </c>
      <c r="D10" s="239">
        <f>+ROUND(C10*'PART PEF2023'!E$13,2)</f>
        <v>73553.94</v>
      </c>
    </row>
    <row r="11" spans="1:4">
      <c r="A11" s="207" t="s">
        <v>244</v>
      </c>
      <c r="B11" s="208">
        <v>262296</v>
      </c>
      <c r="C11" s="210">
        <f t="shared" si="0"/>
        <v>8.0608361164412597E-5</v>
      </c>
      <c r="D11" s="239">
        <f>+ROUND(C11*'PART PEF2023'!E$13,2)</f>
        <v>11739.7</v>
      </c>
    </row>
    <row r="12" spans="1:4">
      <c r="A12" s="207" t="s">
        <v>245</v>
      </c>
      <c r="B12" s="208">
        <v>27973313</v>
      </c>
      <c r="C12" s="210">
        <f t="shared" si="0"/>
        <v>8.596711033600048E-3</v>
      </c>
      <c r="D12" s="239">
        <f>+ROUND(C12*'PART PEF2023'!E$13,2)</f>
        <v>1252013.8899999999</v>
      </c>
    </row>
    <row r="13" spans="1:4">
      <c r="A13" s="207" t="s">
        <v>246</v>
      </c>
      <c r="B13" s="208">
        <v>11926844</v>
      </c>
      <c r="C13" s="210">
        <f t="shared" si="0"/>
        <v>3.6653374382514697E-3</v>
      </c>
      <c r="D13" s="239">
        <f>+ROUND(C13*'PART PEF2023'!E$13,2)</f>
        <v>533815.01</v>
      </c>
    </row>
    <row r="14" spans="1:4">
      <c r="A14" s="207" t="s">
        <v>247</v>
      </c>
      <c r="B14" s="208">
        <v>1083458.81</v>
      </c>
      <c r="C14" s="210">
        <f t="shared" si="0"/>
        <v>3.3296672104509675E-4</v>
      </c>
      <c r="D14" s="239">
        <f>+ROUND(C14*'PART PEF2023'!E$13,2)</f>
        <v>48492.84</v>
      </c>
    </row>
    <row r="15" spans="1:4">
      <c r="A15" s="207" t="s">
        <v>248</v>
      </c>
      <c r="B15" s="208">
        <v>1158032.3600000001</v>
      </c>
      <c r="C15" s="210">
        <f t="shared" si="0"/>
        <v>3.5588453775489172E-4</v>
      </c>
      <c r="D15" s="239">
        <f>+ROUND(C15*'PART PEF2023'!E$13,2)</f>
        <v>51830.559999999998</v>
      </c>
    </row>
    <row r="16" spans="1:4">
      <c r="A16" s="207" t="s">
        <v>249</v>
      </c>
      <c r="B16" s="208">
        <v>70814518</v>
      </c>
      <c r="C16" s="210">
        <f t="shared" si="0"/>
        <v>2.1762597380927642E-2</v>
      </c>
      <c r="D16" s="239">
        <f>+ROUND(C16*'PART PEF2023'!E$13,2)</f>
        <v>3169476.58</v>
      </c>
    </row>
    <row r="17" spans="1:4">
      <c r="A17" s="207" t="s">
        <v>250</v>
      </c>
      <c r="B17" s="208">
        <v>242570</v>
      </c>
      <c r="C17" s="210">
        <f t="shared" si="0"/>
        <v>7.454620035247036E-5</v>
      </c>
      <c r="D17" s="239">
        <f>+ROUND(C17*'PART PEF2023'!E$13,2)</f>
        <v>10856.81</v>
      </c>
    </row>
    <row r="18" spans="1:4">
      <c r="A18" s="207" t="s">
        <v>251</v>
      </c>
      <c r="B18" s="208">
        <v>50402.16</v>
      </c>
      <c r="C18" s="210">
        <f t="shared" si="0"/>
        <v>1.5489506194324392E-5</v>
      </c>
      <c r="D18" s="239">
        <f>+ROUND(C18*'PART PEF2023'!E$13,2)</f>
        <v>2255.87</v>
      </c>
    </row>
    <row r="19" spans="1:4">
      <c r="A19" s="207" t="s">
        <v>252</v>
      </c>
      <c r="B19" s="208">
        <v>934148.74</v>
      </c>
      <c r="C19" s="210">
        <f t="shared" si="0"/>
        <v>2.8708100396193978E-4</v>
      </c>
      <c r="D19" s="239">
        <f>+ROUND(C19*'PART PEF2023'!E$13,2)</f>
        <v>41810.11</v>
      </c>
    </row>
    <row r="20" spans="1:4">
      <c r="A20" s="207" t="s">
        <v>253</v>
      </c>
      <c r="B20" s="208">
        <v>1427519</v>
      </c>
      <c r="C20" s="210">
        <f t="shared" si="0"/>
        <v>4.3870271418954584E-4</v>
      </c>
      <c r="D20" s="239">
        <f>+ROUND(C20*'PART PEF2023'!E$13,2)</f>
        <v>63892.1</v>
      </c>
    </row>
    <row r="21" spans="1:4">
      <c r="A21" s="207" t="s">
        <v>254</v>
      </c>
      <c r="B21" s="208">
        <v>302546029</v>
      </c>
      <c r="C21" s="210">
        <f t="shared" si="0"/>
        <v>9.2977931704985389E-2</v>
      </c>
      <c r="D21" s="239">
        <f>+ROUND(C21*'PART PEF2023'!E$13,2)</f>
        <v>13541185.92</v>
      </c>
    </row>
    <row r="22" spans="1:4">
      <c r="A22" s="207" t="s">
        <v>255</v>
      </c>
      <c r="B22" s="208">
        <v>569006</v>
      </c>
      <c r="C22" s="210">
        <f t="shared" si="0"/>
        <v>1.7486595736388566E-4</v>
      </c>
      <c r="D22" s="239">
        <f>+ROUND(C22*'PART PEF2023'!E$13,2)</f>
        <v>25467.25</v>
      </c>
    </row>
    <row r="23" spans="1:4">
      <c r="A23" s="207" t="s">
        <v>256</v>
      </c>
      <c r="B23" s="208">
        <v>154080926.87</v>
      </c>
      <c r="C23" s="210">
        <f t="shared" si="0"/>
        <v>4.7351888712311309E-2</v>
      </c>
      <c r="D23" s="239">
        <f>+ROUND(C23*'PART PEF2023'!E$13,2)</f>
        <v>6896267.9299999997</v>
      </c>
    </row>
    <row r="24" spans="1:4">
      <c r="A24" s="207" t="s">
        <v>257</v>
      </c>
      <c r="B24" s="208">
        <v>4946509.51</v>
      </c>
      <c r="C24" s="210">
        <f t="shared" si="0"/>
        <v>1.5201529001024857E-3</v>
      </c>
      <c r="D24" s="239">
        <f>+ROUND(C24*'PART PEF2023'!E$13,2)</f>
        <v>221393.11</v>
      </c>
    </row>
    <row r="25" spans="1:4">
      <c r="A25" s="207" t="s">
        <v>258</v>
      </c>
      <c r="B25" s="208">
        <v>47700</v>
      </c>
      <c r="C25" s="210">
        <f t="shared" si="0"/>
        <v>1.4659082973215302E-5</v>
      </c>
      <c r="D25" s="239">
        <f>+ROUND(C25*'PART PEF2023'!E$13,2)</f>
        <v>2134.9299999999998</v>
      </c>
    </row>
    <row r="26" spans="1:4">
      <c r="A26" s="207" t="s">
        <v>259</v>
      </c>
      <c r="B26" s="208">
        <v>4418</v>
      </c>
      <c r="C26" s="210">
        <f t="shared" si="0"/>
        <v>1.3577322552550358E-6</v>
      </c>
      <c r="D26" s="239">
        <f>+ROUND(C26*'PART PEF2023'!E$13,2)</f>
        <v>197.74</v>
      </c>
    </row>
    <row r="27" spans="1:4">
      <c r="A27" s="207" t="s">
        <v>260</v>
      </c>
      <c r="B27" s="208">
        <v>6963081.1699999999</v>
      </c>
      <c r="C27" s="210">
        <f t="shared" si="0"/>
        <v>2.1398822771543625E-3</v>
      </c>
      <c r="D27" s="239">
        <f>+ROUND(C27*'PART PEF2023'!E$13,2)</f>
        <v>311649.69</v>
      </c>
    </row>
    <row r="28" spans="1:4">
      <c r="A28" s="207" t="s">
        <v>261</v>
      </c>
      <c r="B28" s="208">
        <v>183395793.03999999</v>
      </c>
      <c r="C28" s="210">
        <f t="shared" si="0"/>
        <v>5.6360883587253281E-2</v>
      </c>
      <c r="D28" s="239">
        <f>+ROUND(C28*'PART PEF2023'!E$13,2)</f>
        <v>8208326.3099999996</v>
      </c>
    </row>
    <row r="29" spans="1:4">
      <c r="A29" s="207" t="s">
        <v>262</v>
      </c>
      <c r="B29" s="208">
        <v>35168</v>
      </c>
      <c r="C29" s="210">
        <f t="shared" si="0"/>
        <v>1.0807770021007039E-5</v>
      </c>
      <c r="D29" s="239">
        <f>+ROUND(C29*'PART PEF2023'!E$13,2)</f>
        <v>1574.03</v>
      </c>
    </row>
    <row r="30" spans="1:4">
      <c r="A30" s="207" t="s">
        <v>263</v>
      </c>
      <c r="B30" s="208">
        <v>204866.33</v>
      </c>
      <c r="C30" s="210">
        <f t="shared" si="0"/>
        <v>6.2959172534341867E-5</v>
      </c>
      <c r="D30" s="239">
        <f>+ROUND(C30*'PART PEF2023'!E$13,2)</f>
        <v>9169.2900000000009</v>
      </c>
    </row>
    <row r="31" spans="1:4">
      <c r="A31" s="207" t="s">
        <v>264</v>
      </c>
      <c r="B31" s="208">
        <v>276953.90000000002</v>
      </c>
      <c r="C31" s="210">
        <f t="shared" si="0"/>
        <v>8.5113002093408261E-5</v>
      </c>
      <c r="D31" s="239">
        <f>+ROUND(C31*'PART PEF2023'!E$13,2)</f>
        <v>12395.75</v>
      </c>
    </row>
    <row r="32" spans="1:4">
      <c r="A32" s="211" t="s">
        <v>265</v>
      </c>
      <c r="B32" s="208">
        <v>1253398.98</v>
      </c>
      <c r="C32" s="210">
        <f t="shared" si="0"/>
        <v>3.8519244541642403E-4</v>
      </c>
      <c r="D32" s="239">
        <f>+ROUND(C32*'PART PEF2023'!E$13,2)</f>
        <v>56098.93</v>
      </c>
    </row>
    <row r="33" spans="1:4">
      <c r="A33" s="207" t="s">
        <v>266</v>
      </c>
      <c r="B33" s="208">
        <v>24273</v>
      </c>
      <c r="C33" s="210">
        <f t="shared" si="0"/>
        <v>7.4595371280682398E-6</v>
      </c>
      <c r="D33" s="239">
        <f>+ROUND(C33*'PART PEF2023'!E$13,2)</f>
        <v>1086.4000000000001</v>
      </c>
    </row>
    <row r="34" spans="1:4">
      <c r="A34" s="207" t="s">
        <v>267</v>
      </c>
      <c r="B34" s="208">
        <v>96713324.799999997</v>
      </c>
      <c r="C34" s="210">
        <f t="shared" si="0"/>
        <v>2.9721774693054953E-2</v>
      </c>
      <c r="D34" s="239">
        <f>+ROUND(C34*'PART PEF2023'!E$13,2)</f>
        <v>4328640.8899999997</v>
      </c>
    </row>
    <row r="35" spans="1:4">
      <c r="A35" s="207" t="s">
        <v>268</v>
      </c>
      <c r="B35" s="208">
        <v>2624214.0099999998</v>
      </c>
      <c r="C35" s="210">
        <f t="shared" si="0"/>
        <v>8.0646899186717083E-4</v>
      </c>
      <c r="D35" s="239">
        <f>+ROUND(C35*'PART PEF2023'!E$13,2)</f>
        <v>117453.1</v>
      </c>
    </row>
    <row r="36" spans="1:4">
      <c r="A36" s="211" t="s">
        <v>269</v>
      </c>
      <c r="B36" s="208">
        <v>10174486.800000001</v>
      </c>
      <c r="C36" s="210">
        <f t="shared" si="0"/>
        <v>3.126806000232366E-3</v>
      </c>
      <c r="D36" s="239">
        <f>+ROUND(C36*'PART PEF2023'!E$13,2)</f>
        <v>455383.99</v>
      </c>
    </row>
    <row r="37" spans="1:4">
      <c r="A37" s="207" t="s">
        <v>270</v>
      </c>
      <c r="B37" s="208">
        <v>2990927.88</v>
      </c>
      <c r="C37" s="210">
        <f t="shared" si="0"/>
        <v>9.1916687546798621E-4</v>
      </c>
      <c r="D37" s="239">
        <f>+ROUND(C37*'PART PEF2023'!E$13,2)</f>
        <v>133866.28</v>
      </c>
    </row>
    <row r="38" spans="1:4">
      <c r="A38" s="207" t="s">
        <v>271</v>
      </c>
      <c r="B38" s="208">
        <v>105901.43</v>
      </c>
      <c r="C38" s="210">
        <f t="shared" si="0"/>
        <v>3.2545447575516818E-5</v>
      </c>
      <c r="D38" s="239">
        <f>+ROUND(C38*'PART PEF2023'!E$13,2)</f>
        <v>4739.88</v>
      </c>
    </row>
    <row r="39" spans="1:4">
      <c r="A39" s="207" t="s">
        <v>272</v>
      </c>
      <c r="B39" s="208">
        <v>1884</v>
      </c>
      <c r="C39" s="210">
        <f t="shared" si="0"/>
        <v>5.7898767969680569E-7</v>
      </c>
      <c r="D39" s="239">
        <f>+ROUND(C39*'PART PEF2023'!E$13,2)</f>
        <v>84.32</v>
      </c>
    </row>
    <row r="40" spans="1:4">
      <c r="A40" s="207" t="s">
        <v>273</v>
      </c>
      <c r="B40" s="208">
        <v>788755</v>
      </c>
      <c r="C40" s="210">
        <f t="shared" si="0"/>
        <v>2.4239884676181207E-4</v>
      </c>
      <c r="D40" s="239">
        <f>+ROUND(C40*'PART PEF2023'!E$13,2)</f>
        <v>35302.660000000003</v>
      </c>
    </row>
    <row r="41" spans="1:4">
      <c r="A41" s="207" t="s">
        <v>274</v>
      </c>
      <c r="B41" s="208">
        <v>40444725</v>
      </c>
      <c r="C41" s="210">
        <f t="shared" si="0"/>
        <v>1.2429404184567616E-2</v>
      </c>
      <c r="D41" s="239">
        <f>+ROUND(C41*'PART PEF2023'!E$13,2)</f>
        <v>1810202.38</v>
      </c>
    </row>
    <row r="42" spans="1:4">
      <c r="A42" s="211" t="s">
        <v>275</v>
      </c>
      <c r="B42" s="208">
        <v>838189118</v>
      </c>
      <c r="C42" s="210">
        <f t="shared" si="0"/>
        <v>0.25759085593308495</v>
      </c>
      <c r="D42" s="239">
        <f>+ROUND(C42*'PART PEF2023'!E$13,2)</f>
        <v>37515199.659999996</v>
      </c>
    </row>
    <row r="43" spans="1:4">
      <c r="A43" s="207" t="s">
        <v>276</v>
      </c>
      <c r="B43" s="208">
        <v>166956</v>
      </c>
      <c r="C43" s="210">
        <f t="shared" si="0"/>
        <v>5.1308634316061513E-5</v>
      </c>
      <c r="D43" s="239">
        <f>+ROUND(C43*'PART PEF2023'!E$13,2)</f>
        <v>7472.52</v>
      </c>
    </row>
    <row r="44" spans="1:4">
      <c r="A44" s="207" t="s">
        <v>277</v>
      </c>
      <c r="B44" s="208">
        <v>31107300</v>
      </c>
      <c r="C44" s="210">
        <f t="shared" si="0"/>
        <v>9.5598425948155222E-3</v>
      </c>
      <c r="D44" s="239">
        <f>+ROUND(C44*'PART PEF2023'!E$13,2)</f>
        <v>1392283.13</v>
      </c>
    </row>
    <row r="45" spans="1:4">
      <c r="A45" s="207" t="s">
        <v>278</v>
      </c>
      <c r="B45" s="208">
        <v>2720907.64</v>
      </c>
      <c r="C45" s="210">
        <f t="shared" si="0"/>
        <v>8.3618471398774492E-4</v>
      </c>
      <c r="D45" s="239">
        <f>+ROUND(C45*'PART PEF2023'!E$13,2)</f>
        <v>121780.86</v>
      </c>
    </row>
    <row r="46" spans="1:4">
      <c r="A46" s="207" t="s">
        <v>279</v>
      </c>
      <c r="B46" s="208">
        <v>126794.61</v>
      </c>
      <c r="C46" s="210">
        <f t="shared" si="0"/>
        <v>3.896630416239989E-5</v>
      </c>
      <c r="D46" s="239">
        <f>+ROUND(C46*'PART PEF2023'!E$13,2)</f>
        <v>5675</v>
      </c>
    </row>
    <row r="47" spans="1:4">
      <c r="A47" s="207" t="s">
        <v>280</v>
      </c>
      <c r="B47" s="208">
        <v>3898012.83</v>
      </c>
      <c r="C47" s="210">
        <f t="shared" si="0"/>
        <v>1.1979306814597023E-3</v>
      </c>
      <c r="D47" s="239">
        <f>+ROUND(C47*'PART PEF2023'!E$13,2)</f>
        <v>174465.08</v>
      </c>
    </row>
    <row r="48" spans="1:4">
      <c r="A48" s="207" t="s">
        <v>281</v>
      </c>
      <c r="B48" s="208">
        <v>44901466.07</v>
      </c>
      <c r="C48" s="210">
        <f t="shared" si="0"/>
        <v>1.3799042279646576E-2</v>
      </c>
      <c r="D48" s="239">
        <f>+ROUND(C48*'PART PEF2023'!E$13,2)</f>
        <v>2009674.7</v>
      </c>
    </row>
    <row r="49" spans="1:4">
      <c r="A49" s="207" t="s">
        <v>282</v>
      </c>
      <c r="B49" s="208">
        <v>113461498</v>
      </c>
      <c r="C49" s="210">
        <f t="shared" si="0"/>
        <v>3.4868794831180341E-2</v>
      </c>
      <c r="D49" s="239">
        <f>+ROUND(C49*'PART PEF2023'!E$13,2)</f>
        <v>5078246.26</v>
      </c>
    </row>
    <row r="50" spans="1:4">
      <c r="A50" s="212" t="s">
        <v>283</v>
      </c>
      <c r="B50" s="208">
        <v>476069452.07999998</v>
      </c>
      <c r="C50" s="210">
        <f t="shared" si="0"/>
        <v>0.14630485532607687</v>
      </c>
      <c r="D50" s="239">
        <f>+ROUND(C50*'PART PEF2023'!E$13,2)</f>
        <v>21307650.219999999</v>
      </c>
    </row>
    <row r="51" spans="1:4">
      <c r="A51" s="207" t="s">
        <v>284</v>
      </c>
      <c r="B51" s="208">
        <v>171024852.19</v>
      </c>
      <c r="C51" s="210">
        <f t="shared" si="0"/>
        <v>5.2559067059435909E-2</v>
      </c>
      <c r="D51" s="239">
        <f>+ROUND(C51*'PART PEF2023'!E$13,2)</f>
        <v>7654634.6600000001</v>
      </c>
    </row>
    <row r="52" spans="1:4">
      <c r="A52" s="207" t="s">
        <v>285</v>
      </c>
      <c r="B52" s="208">
        <v>164398080.58000001</v>
      </c>
      <c r="C52" s="210">
        <f t="shared" si="0"/>
        <v>5.0522538864980197E-2</v>
      </c>
      <c r="D52" s="239">
        <f>+ROUND(C52*'PART PEF2023'!E$13,2)</f>
        <v>7358037.3300000001</v>
      </c>
    </row>
    <row r="53" spans="1:4">
      <c r="A53" s="207" t="s">
        <v>286</v>
      </c>
      <c r="B53" s="208">
        <v>724463.75</v>
      </c>
      <c r="C53" s="210">
        <f t="shared" si="0"/>
        <v>2.2264096902173392E-4</v>
      </c>
      <c r="D53" s="239">
        <f>+ROUND(C53*'PART PEF2023'!E$13,2)</f>
        <v>32425.14</v>
      </c>
    </row>
    <row r="54" spans="1:4">
      <c r="A54" s="207" t="s">
        <v>287</v>
      </c>
      <c r="B54" s="208">
        <v>575440</v>
      </c>
      <c r="C54" s="210">
        <f t="shared" si="0"/>
        <v>1.7684324331461245E-4</v>
      </c>
      <c r="D54" s="239">
        <f>+ROUND(C54*'PART PEF2023'!E$13,2)</f>
        <v>25755.22</v>
      </c>
    </row>
    <row r="55" spans="1:4" ht="13.5" thickBot="1">
      <c r="A55" s="213" t="s">
        <v>288</v>
      </c>
      <c r="B55" s="214">
        <f>+SUM(B4:B54)</f>
        <v>3253955249.9400001</v>
      </c>
      <c r="C55" s="215">
        <f>SUM(C4:C54)</f>
        <v>0.99999999999999967</v>
      </c>
      <c r="D55" s="240">
        <f>SUM(D4:D54)</f>
        <v>145638708.81</v>
      </c>
    </row>
  </sheetData>
  <mergeCells count="2">
    <mergeCell ref="A1:D1"/>
    <mergeCell ref="A2:D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portrait" r:id="rId1"/>
  <headerFooter>
    <oddHeader>&amp;L
&amp;C&amp;"-,Negrita"&amp;12COORDINACIÓN DE PLANEACIÓN HACENDARIA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9</vt:i4>
      </vt:variant>
    </vt:vector>
  </HeadingPairs>
  <TitlesOfParts>
    <vt:vector size="16" baseType="lpstr">
      <vt:lpstr>PART PEF2023</vt:lpstr>
      <vt:lpstr>Distr</vt:lpstr>
      <vt:lpstr>COEF Art 14 F I</vt:lpstr>
      <vt:lpstr>CALCULO GARANTIA</vt:lpstr>
      <vt:lpstr>COEF Art 14 F II</vt:lpstr>
      <vt:lpstr>Art.14 Frac.III</vt:lpstr>
      <vt:lpstr>ISR BI</vt:lpstr>
      <vt:lpstr>'Art.14 Frac.III'!Área_de_impresión</vt:lpstr>
      <vt:lpstr>'CALCULO GARANTIA'!Área_de_impresión</vt:lpstr>
      <vt:lpstr>'COEF Art 14 F I'!Área_de_impresión</vt:lpstr>
      <vt:lpstr>'COEF Art 14 F II'!Área_de_impresión</vt:lpstr>
      <vt:lpstr>Distr!Área_de_impresión</vt:lpstr>
      <vt:lpstr>'ISR BI'!Área_de_impresión</vt:lpstr>
      <vt:lpstr>'PART PEF2023'!Área_de_impresión</vt:lpstr>
      <vt:lpstr>'COEF Art 14 F I'!Títulos_a_imprimir</vt:lpstr>
      <vt:lpstr>Distr!Títulos_a_imprimir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2023-01-26T18:33:40Z</cp:lastPrinted>
  <dcterms:created xsi:type="dcterms:W3CDTF">2009-12-17T23:31:03Z</dcterms:created>
  <dcterms:modified xsi:type="dcterms:W3CDTF">2023-02-02T19:46:47Z</dcterms:modified>
</cp:coreProperties>
</file>