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es 2023\Participaciones\Ajuste 1er Sem\"/>
    </mc:Choice>
  </mc:AlternateContent>
  <xr:revisionPtr revIDLastSave="0" documentId="13_ncr:1_{12F49158-D345-4F4D-92FE-1F09AF2BD89D}" xr6:coauthVersionLast="36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PART 2023" sheetId="55" r:id="rId1"/>
    <sheet name="Ajuste 1er Sem" sheetId="57" r:id="rId2"/>
    <sheet name="Distr 1er sem" sheetId="56" r:id="rId3"/>
    <sheet name="Distr Var Actuales" sheetId="51" r:id="rId4"/>
    <sheet name="COEF Art 14 F I" sheetId="1" r:id="rId5"/>
    <sheet name="PISO 2021" sheetId="28" r:id="rId6"/>
    <sheet name="Copete" sheetId="52" r:id="rId7"/>
    <sheet name="COEF Art 14 F II" sheetId="36" r:id="rId8"/>
    <sheet name="Art.14 Frac.III" sheetId="44" r:id="rId9"/>
    <sheet name="ISR BI" sheetId="49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1" hidden="1">'Ajuste 1er Sem'!#REF!</definedName>
    <definedName name="_xlnm._FilterDatabase" localSheetId="2" hidden="1">'Distr 1er sem'!#REF!</definedName>
    <definedName name="_xlnm._FilterDatabase" localSheetId="3" hidden="1">'Distr Var Actuales'!#REF!</definedName>
    <definedName name="A_impresión_IM" localSheetId="1">#REF!</definedName>
    <definedName name="A_impresión_IM" localSheetId="7">#REF!</definedName>
    <definedName name="A_impresión_IM" localSheetId="6">#REF!</definedName>
    <definedName name="A_impresión_IM" localSheetId="2">#REF!</definedName>
    <definedName name="A_impresión_IM" localSheetId="3">#REF!</definedName>
    <definedName name="A_impresión_IM" localSheetId="9">#REF!</definedName>
    <definedName name="A_impresión_IM" localSheetId="0">#REF!</definedName>
    <definedName name="A_impresión_IM" localSheetId="5">#REF!</definedName>
    <definedName name="A_impresión_IM">#REF!</definedName>
    <definedName name="AJUSTES" localSheetId="1" hidden="1">{"'beneficiarios'!$A$1:$C$7"}</definedName>
    <definedName name="AJUSTES" localSheetId="6" hidden="1">{"'beneficiarios'!$A$1:$C$7"}</definedName>
    <definedName name="AJUSTES" localSheetId="2" hidden="1">{"'beneficiarios'!$A$1:$C$7"}</definedName>
    <definedName name="AJUSTES" localSheetId="3" hidden="1">{"'beneficiarios'!$A$1:$C$7"}</definedName>
    <definedName name="AJUSTES" localSheetId="9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hidden="1">{"'beneficiarios'!$A$1:$C$7"}</definedName>
    <definedName name="_xlnm.Print_Area" localSheetId="1">'Ajuste 1er Sem'!$B$63:$L$118</definedName>
    <definedName name="_xlnm.Print_Area" localSheetId="8">'Art.14 Frac.III'!$B$1:$R$56</definedName>
    <definedName name="_xlnm.Print_Area" localSheetId="4">'COEF Art 14 F I'!$B$3:$AF$60</definedName>
    <definedName name="_xlnm.Print_Area" localSheetId="7">'COEF Art 14 F II'!$B$3:$N$62</definedName>
    <definedName name="_xlnm.Print_Area" localSheetId="6">Copete!$B$1:$H$60</definedName>
    <definedName name="_xlnm.Print_Area" localSheetId="2">'Distr 1er sem'!$B$5:$V$59</definedName>
    <definedName name="_xlnm.Print_Area" localSheetId="3">'Distr Var Actuales'!$B$5:$V$59</definedName>
    <definedName name="_xlnm.Print_Area" localSheetId="9">'ISR BI'!$B$1:$E$55</definedName>
    <definedName name="_xlnm.Print_Area" localSheetId="0">'PART 2023'!$A$3:$Z$15</definedName>
    <definedName name="_xlnm.Print_Area" localSheetId="5">'PISO 2021'!$B$1:$Q$57</definedName>
    <definedName name="_xlnm.Database" localSheetId="1">#REF!</definedName>
    <definedName name="_xlnm.Database" localSheetId="7">#REF!</definedName>
    <definedName name="_xlnm.Database" localSheetId="6">#REF!</definedName>
    <definedName name="_xlnm.Database" localSheetId="2">#REF!</definedName>
    <definedName name="_xlnm.Database" localSheetId="3">#REF!</definedName>
    <definedName name="_xlnm.Database" localSheetId="9">#REF!</definedName>
    <definedName name="_xlnm.Database" localSheetId="0">#REF!</definedName>
    <definedName name="_xlnm.Database" localSheetId="5">#REF!</definedName>
    <definedName name="_xlnm.Database">#REF!</definedName>
    <definedName name="cierre_2001" localSheetId="1">'[1]deuda c sadm'!#REF!</definedName>
    <definedName name="cierre_2001" localSheetId="7">'[1]deuda c sadm'!#REF!</definedName>
    <definedName name="cierre_2001" localSheetId="6">'[1]deuda c sadm'!#REF!</definedName>
    <definedName name="cierre_2001" localSheetId="2">'[1]deuda c sadm'!#REF!</definedName>
    <definedName name="cierre_2001" localSheetId="3">'[1]deuda c sadm'!#REF!</definedName>
    <definedName name="cierre_2001" localSheetId="9">'[1]deuda c sadm'!#REF!</definedName>
    <definedName name="cierre_2001" localSheetId="0">'[1]deuda c sadm'!#REF!</definedName>
    <definedName name="cierre_2001">'[1]deuda c sadm'!#REF!</definedName>
    <definedName name="deuda" localSheetId="1">'[1]deuda c sadm'!#REF!</definedName>
    <definedName name="deuda" localSheetId="7">'[1]deuda c sadm'!#REF!</definedName>
    <definedName name="deuda" localSheetId="6">'[1]deuda c sadm'!#REF!</definedName>
    <definedName name="deuda" localSheetId="2">'[1]deuda c sadm'!#REF!</definedName>
    <definedName name="deuda" localSheetId="3">'[1]deuda c sadm'!#REF!</definedName>
    <definedName name="deuda" localSheetId="9">'[1]deuda c sadm'!#REF!</definedName>
    <definedName name="deuda" localSheetId="0">'[1]deuda c sadm'!#REF!</definedName>
    <definedName name="deuda">'[1]deuda c sadm'!#REF!</definedName>
    <definedName name="Deuda_ingTot" localSheetId="1">'[1]deuda c sadm'!#REF!</definedName>
    <definedName name="Deuda_ingTot" localSheetId="7">'[1]deuda c sadm'!#REF!</definedName>
    <definedName name="Deuda_ingTot" localSheetId="6">'[1]deuda c sadm'!#REF!</definedName>
    <definedName name="Deuda_ingTot" localSheetId="2">'[1]deuda c sadm'!#REF!</definedName>
    <definedName name="Deuda_ingTot" localSheetId="3">'[1]deuda c sadm'!#REF!</definedName>
    <definedName name="Deuda_ingTot" localSheetId="9">'[1]deuda c sadm'!#REF!</definedName>
    <definedName name="Deuda_ingTot" localSheetId="0">'[1]deuda c sadm'!#REF!</definedName>
    <definedName name="Deuda_ingTot">'[1]deuda c sadm'!#REF!</definedName>
    <definedName name="ENERO" localSheetId="1">#REF!</definedName>
    <definedName name="ENERO" localSheetId="7">#REF!</definedName>
    <definedName name="ENERO" localSheetId="6">#REF!</definedName>
    <definedName name="ENERO" localSheetId="2">#REF!</definedName>
    <definedName name="ENERO" localSheetId="3">#REF!</definedName>
    <definedName name="ENERO" localSheetId="9">#REF!</definedName>
    <definedName name="ENERO" localSheetId="0">#REF!</definedName>
    <definedName name="ENERO" localSheetId="5">#REF!</definedName>
    <definedName name="ENERO">#REF!</definedName>
    <definedName name="ENEROAJUSTE" localSheetId="1">#REF!</definedName>
    <definedName name="ENEROAJUSTE" localSheetId="6">#REF!</definedName>
    <definedName name="ENEROAJUSTE" localSheetId="2">#REF!</definedName>
    <definedName name="ENEROAJUSTE" localSheetId="3">#REF!</definedName>
    <definedName name="ENEROAJUSTE" localSheetId="9">#REF!</definedName>
    <definedName name="ENEROAJUSTE" localSheetId="0">#REF!</definedName>
    <definedName name="ENEROAJUSTE">#REF!</definedName>
    <definedName name="Estado">'[2]Compendio de nombres'!$C$2:$C$33</definedName>
    <definedName name="Estado1" localSheetId="1">#REF!</definedName>
    <definedName name="Estado1" localSheetId="6">#REF!</definedName>
    <definedName name="Estado1" localSheetId="2">#REF!</definedName>
    <definedName name="Estado1" localSheetId="3">#REF!</definedName>
    <definedName name="Estado1" localSheetId="9">#REF!</definedName>
    <definedName name="Estado1" localSheetId="0">#REF!</definedName>
    <definedName name="Estado1">#REF!</definedName>
    <definedName name="Fto_1" localSheetId="1">#REF!</definedName>
    <definedName name="Fto_1" localSheetId="7">#REF!</definedName>
    <definedName name="Fto_1" localSheetId="6">#REF!</definedName>
    <definedName name="Fto_1" localSheetId="2">#REF!</definedName>
    <definedName name="Fto_1" localSheetId="3">#REF!</definedName>
    <definedName name="Fto_1" localSheetId="9">#REF!</definedName>
    <definedName name="Fto_1" localSheetId="0">#REF!</definedName>
    <definedName name="Fto_1" localSheetId="5">#REF!</definedName>
    <definedName name="Fto_1">#REF!</definedName>
    <definedName name="HTML_CodePage" hidden="1">1252</definedName>
    <definedName name="HTML_Control" localSheetId="1" hidden="1">{"'beneficiarios'!$A$1:$C$7"}</definedName>
    <definedName name="HTML_Control" localSheetId="6" hidden="1">{"'beneficiarios'!$A$1:$C$7"}</definedName>
    <definedName name="HTML_Control" localSheetId="2" hidden="1">{"'beneficiarios'!$A$1:$C$7"}</definedName>
    <definedName name="HTML_Control" localSheetId="3" hidden="1">{"'beneficiarios'!$A$1:$C$7"}</definedName>
    <definedName name="HTML_Control" localSheetId="9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" hidden="1">{"'beneficiarios'!$A$1:$C$7"}</definedName>
    <definedName name="INDICADORES" localSheetId="6" hidden="1">{"'beneficiarios'!$A$1:$C$7"}</definedName>
    <definedName name="INDICADORES" localSheetId="2" hidden="1">{"'beneficiarios'!$A$1:$C$7"}</definedName>
    <definedName name="INDICADORES" localSheetId="3" hidden="1">{"'beneficiarios'!$A$1:$C$7"}</definedName>
    <definedName name="INDICADORES" localSheetId="9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hidden="1">{"'beneficiarios'!$A$1:$C$7"}</definedName>
    <definedName name="ingresofederales" localSheetId="1" hidden="1">{"'beneficiarios'!$A$1:$C$7"}</definedName>
    <definedName name="ingresofederales" localSheetId="6" hidden="1">{"'beneficiarios'!$A$1:$C$7"}</definedName>
    <definedName name="ingresofederales" localSheetId="2" hidden="1">{"'beneficiarios'!$A$1:$C$7"}</definedName>
    <definedName name="ingresofederales" localSheetId="3" hidden="1">{"'beneficiarios'!$A$1:$C$7"}</definedName>
    <definedName name="ingresofederales" localSheetId="9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hidden="1">{"'beneficiarios'!$A$1:$C$7"}</definedName>
    <definedName name="MUNICIPIOS" localSheetId="8">[3]IMPORTE!$A$3:$A$53</definedName>
    <definedName name="MUNICIPIOS" localSheetId="9" hidden="1">{"'beneficiarios'!$A$1:$C$7"}</definedName>
    <definedName name="MUNICIPIOS" hidden="1">{"'beneficiarios'!$A$1:$C$7"}</definedName>
    <definedName name="Notas_Fto_1" localSheetId="1">#REF!</definedName>
    <definedName name="Notas_Fto_1" localSheetId="7">#REF!</definedName>
    <definedName name="Notas_Fto_1" localSheetId="6">#REF!</definedName>
    <definedName name="Notas_Fto_1" localSheetId="2">#REF!</definedName>
    <definedName name="Notas_Fto_1" localSheetId="3">#REF!</definedName>
    <definedName name="Notas_Fto_1" localSheetId="9">#REF!</definedName>
    <definedName name="Notas_Fto_1" localSheetId="0">#REF!</definedName>
    <definedName name="Notas_Fto_1">#REF!</definedName>
    <definedName name="Partidas">[4]TECHO!$B$1:$Q$2798</definedName>
    <definedName name="SINAJUSTE" localSheetId="1" hidden="1">{"'beneficiarios'!$A$1:$C$7"}</definedName>
    <definedName name="SINAJUSTE" localSheetId="6" hidden="1">{"'beneficiarios'!$A$1:$C$7"}</definedName>
    <definedName name="SINAJUSTE" localSheetId="2" hidden="1">{"'beneficiarios'!$A$1:$C$7"}</definedName>
    <definedName name="SINAJUSTE" localSheetId="3" hidden="1">{"'beneficiarios'!$A$1:$C$7"}</definedName>
    <definedName name="SINAJUSTE" localSheetId="9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hidden="1">{"'beneficiarios'!$A$1:$C$7"}</definedName>
    <definedName name="t" localSheetId="1">#REF!</definedName>
    <definedName name="t" localSheetId="6">#REF!</definedName>
    <definedName name="t" localSheetId="2">#REF!</definedName>
    <definedName name="t" localSheetId="3">#REF!</definedName>
    <definedName name="t" localSheetId="9">#REF!</definedName>
    <definedName name="t" localSheetId="0">#REF!</definedName>
    <definedName name="t">#REF!</definedName>
    <definedName name="_xlnm.Print_Titles" localSheetId="1">'Ajuste 1er Sem'!$B:$B</definedName>
    <definedName name="_xlnm.Print_Titles" localSheetId="4">'COEF Art 14 F I'!$B:$B,'COEF Art 14 F I'!$3:$3</definedName>
    <definedName name="_xlnm.Print_Titles" localSheetId="2">'Distr 1er sem'!$B:$B</definedName>
    <definedName name="_xlnm.Print_Titles" localSheetId="3">'Distr Var Actuales'!$B:$B</definedName>
    <definedName name="_xlnm.Print_Titles" localSheetId="0">'PART 2023'!$A:$A</definedName>
    <definedName name="TOT" localSheetId="1">#REF!</definedName>
    <definedName name="TOT" localSheetId="7">#REF!</definedName>
    <definedName name="TOT" localSheetId="6">#REF!</definedName>
    <definedName name="TOT" localSheetId="2">#REF!</definedName>
    <definedName name="TOT" localSheetId="3">#REF!</definedName>
    <definedName name="TOT" localSheetId="9">#REF!</definedName>
    <definedName name="TOT" localSheetId="0">#REF!</definedName>
    <definedName name="TOT">#REF!</definedName>
    <definedName name="TOTAL" localSheetId="1">#REF!</definedName>
    <definedName name="TOTAL" localSheetId="7">#REF!</definedName>
    <definedName name="TOTAL" localSheetId="6">#REF!</definedName>
    <definedName name="TOTAL" localSheetId="2">#REF!</definedName>
    <definedName name="TOTAL" localSheetId="3">#REF!</definedName>
    <definedName name="TOTAL" localSheetId="9">#REF!</definedName>
    <definedName name="TOTAL" localSheetId="0">#REF!</definedName>
    <definedName name="TOTAL">#REF!</definedName>
  </definedNames>
  <calcPr calcId="191029"/>
</workbook>
</file>

<file path=xl/calcChain.xml><?xml version="1.0" encoding="utf-8"?>
<calcChain xmlns="http://schemas.openxmlformats.org/spreadsheetml/2006/main">
  <c r="V58" i="56" l="1"/>
  <c r="V8" i="56"/>
  <c r="V9" i="56"/>
  <c r="V10" i="56"/>
  <c r="V11" i="56"/>
  <c r="V12" i="56"/>
  <c r="U12" i="56" s="1"/>
  <c r="V13" i="56"/>
  <c r="U13" i="56" s="1"/>
  <c r="V14" i="56"/>
  <c r="V15" i="56"/>
  <c r="V16" i="56"/>
  <c r="V17" i="56"/>
  <c r="V18" i="56"/>
  <c r="V19" i="56"/>
  <c r="V20" i="56"/>
  <c r="U20" i="56" s="1"/>
  <c r="V21" i="56"/>
  <c r="U21" i="56" s="1"/>
  <c r="V22" i="56"/>
  <c r="U22" i="56" s="1"/>
  <c r="V23" i="56"/>
  <c r="U23" i="56" s="1"/>
  <c r="V24" i="56"/>
  <c r="V25" i="56"/>
  <c r="V26" i="56"/>
  <c r="V27" i="56"/>
  <c r="V28" i="56"/>
  <c r="U28" i="56" s="1"/>
  <c r="V29" i="56"/>
  <c r="U29" i="56" s="1"/>
  <c r="V30" i="56"/>
  <c r="V31" i="56"/>
  <c r="V32" i="56"/>
  <c r="V33" i="56"/>
  <c r="V34" i="56"/>
  <c r="V35" i="56"/>
  <c r="V36" i="56"/>
  <c r="U36" i="56" s="1"/>
  <c r="V37" i="56"/>
  <c r="U37" i="56" s="1"/>
  <c r="V38" i="56"/>
  <c r="U38" i="56" s="1"/>
  <c r="V39" i="56"/>
  <c r="U39" i="56" s="1"/>
  <c r="V40" i="56"/>
  <c r="V41" i="56"/>
  <c r="V42" i="56"/>
  <c r="V43" i="56"/>
  <c r="V44" i="56"/>
  <c r="U44" i="56" s="1"/>
  <c r="V45" i="56"/>
  <c r="U45" i="56" s="1"/>
  <c r="V46" i="56"/>
  <c r="V47" i="56"/>
  <c r="V48" i="56"/>
  <c r="V49" i="56"/>
  <c r="V50" i="56"/>
  <c r="V51" i="56"/>
  <c r="V52" i="56"/>
  <c r="U52" i="56" s="1"/>
  <c r="V53" i="56"/>
  <c r="U53" i="56" s="1"/>
  <c r="V54" i="56"/>
  <c r="U54" i="56" s="1"/>
  <c r="V55" i="56"/>
  <c r="U55" i="56" s="1"/>
  <c r="V56" i="56"/>
  <c r="V57" i="56"/>
  <c r="V7" i="56"/>
  <c r="V58" i="51"/>
  <c r="V8" i="51"/>
  <c r="V9" i="51"/>
  <c r="V10" i="51"/>
  <c r="V11" i="51"/>
  <c r="V12" i="51"/>
  <c r="V13" i="51"/>
  <c r="V14" i="51"/>
  <c r="V15" i="51"/>
  <c r="V16" i="51"/>
  <c r="V17" i="51"/>
  <c r="V18" i="51"/>
  <c r="V19" i="51"/>
  <c r="V20" i="51"/>
  <c r="V21" i="51"/>
  <c r="V22" i="51"/>
  <c r="V23" i="51"/>
  <c r="V24" i="51"/>
  <c r="V25" i="51"/>
  <c r="V26" i="51"/>
  <c r="V27" i="51"/>
  <c r="V28" i="51"/>
  <c r="V29" i="51"/>
  <c r="V30" i="51"/>
  <c r="V31" i="51"/>
  <c r="V32" i="51"/>
  <c r="V33" i="51"/>
  <c r="V34" i="51"/>
  <c r="V35" i="51"/>
  <c r="V36" i="51"/>
  <c r="V37" i="51"/>
  <c r="V38" i="51"/>
  <c r="V39" i="51"/>
  <c r="V40" i="51"/>
  <c r="V41" i="51"/>
  <c r="V42" i="51"/>
  <c r="V43" i="51"/>
  <c r="V44" i="51"/>
  <c r="V45" i="51"/>
  <c r="V46" i="51"/>
  <c r="V47" i="51"/>
  <c r="V48" i="51"/>
  <c r="V49" i="51"/>
  <c r="V50" i="51"/>
  <c r="V51" i="51"/>
  <c r="V52" i="51"/>
  <c r="V53" i="51"/>
  <c r="V54" i="51"/>
  <c r="V55" i="51"/>
  <c r="V56" i="51"/>
  <c r="V57" i="51"/>
  <c r="V7" i="51"/>
  <c r="Q57" i="51"/>
  <c r="Q56" i="51"/>
  <c r="Q55" i="51"/>
  <c r="Q54" i="51"/>
  <c r="Q53" i="51"/>
  <c r="Q52" i="51"/>
  <c r="Q51" i="51"/>
  <c r="Q50" i="51"/>
  <c r="Q49" i="51"/>
  <c r="Q48" i="51"/>
  <c r="Q47" i="51"/>
  <c r="Q46" i="51"/>
  <c r="Q45" i="51"/>
  <c r="Q44" i="51"/>
  <c r="Q43" i="51"/>
  <c r="Q42" i="51"/>
  <c r="Q41" i="51"/>
  <c r="Q40" i="51"/>
  <c r="Q39" i="51"/>
  <c r="Q38" i="51"/>
  <c r="Q37" i="51"/>
  <c r="Q36" i="51"/>
  <c r="Q35" i="51"/>
  <c r="Q34" i="51"/>
  <c r="Q33" i="51"/>
  <c r="Q32" i="51"/>
  <c r="Q31" i="51"/>
  <c r="Q30" i="51"/>
  <c r="Q29" i="51"/>
  <c r="Q28" i="51"/>
  <c r="Q27" i="51"/>
  <c r="Q26" i="51"/>
  <c r="Q25" i="51"/>
  <c r="Q24" i="51"/>
  <c r="Q23" i="51"/>
  <c r="Q22" i="51"/>
  <c r="Q21" i="51"/>
  <c r="Q20" i="51"/>
  <c r="Q19" i="51"/>
  <c r="Q18" i="51"/>
  <c r="Q17" i="51"/>
  <c r="Q16" i="51"/>
  <c r="Q15" i="51"/>
  <c r="Q14" i="51"/>
  <c r="Q13" i="51"/>
  <c r="Q12" i="51"/>
  <c r="Q11" i="51"/>
  <c r="Q10" i="51"/>
  <c r="Q9" i="51"/>
  <c r="Q8" i="51"/>
  <c r="Q7" i="51"/>
  <c r="Q58" i="51" s="1"/>
  <c r="S57" i="51"/>
  <c r="S56" i="51"/>
  <c r="S55" i="51"/>
  <c r="S54" i="51"/>
  <c r="S53" i="51"/>
  <c r="S52" i="51"/>
  <c r="S51" i="51"/>
  <c r="S50" i="51"/>
  <c r="S49" i="51"/>
  <c r="S48" i="51"/>
  <c r="S47" i="51"/>
  <c r="S46" i="51"/>
  <c r="S45" i="51"/>
  <c r="S44" i="51"/>
  <c r="S43" i="51"/>
  <c r="S42" i="51"/>
  <c r="S41" i="51"/>
  <c r="S40" i="51"/>
  <c r="S39" i="51"/>
  <c r="S38" i="51"/>
  <c r="S37" i="51"/>
  <c r="S36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58" i="51" s="1"/>
  <c r="S9" i="51"/>
  <c r="S8" i="51"/>
  <c r="S7" i="51"/>
  <c r="O57" i="51"/>
  <c r="O56" i="51"/>
  <c r="O55" i="51"/>
  <c r="O54" i="51"/>
  <c r="O53" i="51"/>
  <c r="O52" i="51"/>
  <c r="O51" i="51"/>
  <c r="O50" i="51"/>
  <c r="O49" i="51"/>
  <c r="O48" i="51"/>
  <c r="O47" i="51"/>
  <c r="O46" i="51"/>
  <c r="O45" i="51"/>
  <c r="O44" i="51"/>
  <c r="O43" i="51"/>
  <c r="O42" i="51"/>
  <c r="O41" i="51"/>
  <c r="O40" i="51"/>
  <c r="O39" i="51"/>
  <c r="O38" i="51"/>
  <c r="O37" i="51"/>
  <c r="O36" i="51"/>
  <c r="O35" i="51"/>
  <c r="O34" i="51"/>
  <c r="O33" i="51"/>
  <c r="O32" i="51"/>
  <c r="O31" i="51"/>
  <c r="O30" i="51"/>
  <c r="O29" i="51"/>
  <c r="O28" i="51"/>
  <c r="O27" i="51"/>
  <c r="O26" i="51"/>
  <c r="O25" i="51"/>
  <c r="O24" i="51"/>
  <c r="O23" i="51"/>
  <c r="O22" i="51"/>
  <c r="O21" i="51"/>
  <c r="O20" i="51"/>
  <c r="O19" i="51"/>
  <c r="O18" i="51"/>
  <c r="O17" i="51"/>
  <c r="O16" i="51"/>
  <c r="O15" i="51"/>
  <c r="O14" i="51"/>
  <c r="O13" i="51"/>
  <c r="O12" i="51"/>
  <c r="O11" i="51"/>
  <c r="O10" i="51"/>
  <c r="O9" i="51"/>
  <c r="O58" i="51" s="1"/>
  <c r="O8" i="51"/>
  <c r="O7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58" i="51" s="1"/>
  <c r="M9" i="51"/>
  <c r="M8" i="51"/>
  <c r="M7" i="51"/>
  <c r="K57" i="51"/>
  <c r="K56" i="51"/>
  <c r="K55" i="51"/>
  <c r="K54" i="51"/>
  <c r="K53" i="51"/>
  <c r="K52" i="51"/>
  <c r="K51" i="51"/>
  <c r="K50" i="51"/>
  <c r="K49" i="51"/>
  <c r="K48" i="51"/>
  <c r="K47" i="51"/>
  <c r="K46" i="51"/>
  <c r="K45" i="51"/>
  <c r="K44" i="51"/>
  <c r="K43" i="51"/>
  <c r="K42" i="51"/>
  <c r="K41" i="51"/>
  <c r="K40" i="51"/>
  <c r="K39" i="51"/>
  <c r="K38" i="51"/>
  <c r="K37" i="51"/>
  <c r="K36" i="51"/>
  <c r="K35" i="51"/>
  <c r="K34" i="51"/>
  <c r="K33" i="51"/>
  <c r="K32" i="51"/>
  <c r="K31" i="51"/>
  <c r="K30" i="51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58" i="51" s="1"/>
  <c r="K9" i="51"/>
  <c r="K8" i="51"/>
  <c r="K7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I58" i="51"/>
  <c r="I57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E57" i="51"/>
  <c r="E56" i="51"/>
  <c r="E55" i="51"/>
  <c r="E54" i="51"/>
  <c r="E53" i="51"/>
  <c r="E52" i="51"/>
  <c r="E51" i="51"/>
  <c r="E50" i="51"/>
  <c r="E49" i="51"/>
  <c r="E48" i="51"/>
  <c r="E47" i="51"/>
  <c r="E46" i="5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58" i="51" s="1"/>
  <c r="E9" i="51"/>
  <c r="E8" i="51"/>
  <c r="E7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58" i="51" s="1"/>
  <c r="C9" i="51"/>
  <c r="C8" i="51"/>
  <c r="C7" i="51"/>
  <c r="U57" i="56"/>
  <c r="U56" i="56"/>
  <c r="U51" i="56"/>
  <c r="U50" i="56"/>
  <c r="U49" i="56"/>
  <c r="U48" i="56"/>
  <c r="U47" i="56"/>
  <c r="U46" i="56"/>
  <c r="U43" i="56"/>
  <c r="U42" i="56"/>
  <c r="U41" i="56"/>
  <c r="U40" i="56"/>
  <c r="U35" i="56"/>
  <c r="U34" i="56"/>
  <c r="U33" i="56"/>
  <c r="U32" i="56"/>
  <c r="U31" i="56"/>
  <c r="U30" i="56"/>
  <c r="U27" i="56"/>
  <c r="U26" i="56"/>
  <c r="U25" i="56"/>
  <c r="U24" i="56"/>
  <c r="U19" i="56"/>
  <c r="U18" i="56"/>
  <c r="U17" i="56"/>
  <c r="U16" i="56"/>
  <c r="U15" i="56"/>
  <c r="U14" i="56"/>
  <c r="U11" i="56"/>
  <c r="U10" i="56"/>
  <c r="U9" i="56"/>
  <c r="U8" i="56"/>
  <c r="S57" i="56"/>
  <c r="S56" i="56"/>
  <c r="S55" i="56"/>
  <c r="S54" i="56"/>
  <c r="S53" i="56"/>
  <c r="S52" i="56"/>
  <c r="S51" i="56"/>
  <c r="S50" i="56"/>
  <c r="S49" i="56"/>
  <c r="S48" i="56"/>
  <c r="S47" i="56"/>
  <c r="S46" i="56"/>
  <c r="S45" i="56"/>
  <c r="S44" i="56"/>
  <c r="S43" i="56"/>
  <c r="S42" i="56"/>
  <c r="S41" i="56"/>
  <c r="S40" i="56"/>
  <c r="S39" i="56"/>
  <c r="S38" i="56"/>
  <c r="S37" i="56"/>
  <c r="S36" i="56"/>
  <c r="S35" i="56"/>
  <c r="S34" i="56"/>
  <c r="S33" i="56"/>
  <c r="S32" i="56"/>
  <c r="S31" i="56"/>
  <c r="S30" i="56"/>
  <c r="S29" i="56"/>
  <c r="S28" i="56"/>
  <c r="S27" i="56"/>
  <c r="S26" i="56"/>
  <c r="S25" i="56"/>
  <c r="S24" i="56"/>
  <c r="S23" i="56"/>
  <c r="S22" i="56"/>
  <c r="S21" i="56"/>
  <c r="S20" i="56"/>
  <c r="S19" i="56"/>
  <c r="S18" i="56"/>
  <c r="S17" i="56"/>
  <c r="S16" i="56"/>
  <c r="S15" i="56"/>
  <c r="S14" i="56"/>
  <c r="S13" i="56"/>
  <c r="S12" i="56"/>
  <c r="S11" i="56"/>
  <c r="S10" i="56"/>
  <c r="S9" i="56"/>
  <c r="S8" i="56"/>
  <c r="S7" i="56"/>
  <c r="S58" i="56" s="1"/>
  <c r="Q57" i="56"/>
  <c r="Q56" i="56"/>
  <c r="Q55" i="56"/>
  <c r="Q54" i="56"/>
  <c r="Q53" i="56"/>
  <c r="Q52" i="56"/>
  <c r="Q51" i="56"/>
  <c r="Q50" i="56"/>
  <c r="Q49" i="56"/>
  <c r="Q48" i="56"/>
  <c r="Q47" i="56"/>
  <c r="Q46" i="56"/>
  <c r="Q45" i="56"/>
  <c r="Q44" i="56"/>
  <c r="Q43" i="56"/>
  <c r="Q42" i="56"/>
  <c r="Q41" i="56"/>
  <c r="Q40" i="56"/>
  <c r="Q39" i="56"/>
  <c r="Q38" i="56"/>
  <c r="Q37" i="56"/>
  <c r="Q36" i="56"/>
  <c r="Q35" i="56"/>
  <c r="Q34" i="56"/>
  <c r="Q33" i="56"/>
  <c r="Q32" i="56"/>
  <c r="Q31" i="56"/>
  <c r="Q30" i="56"/>
  <c r="Q29" i="56"/>
  <c r="Q28" i="56"/>
  <c r="Q27" i="56"/>
  <c r="Q26" i="56"/>
  <c r="Q25" i="56"/>
  <c r="Q24" i="56"/>
  <c r="Q23" i="56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Q9" i="56"/>
  <c r="Q8" i="56"/>
  <c r="Q58" i="56" s="1"/>
  <c r="Q7" i="56"/>
  <c r="O57" i="56"/>
  <c r="O56" i="56"/>
  <c r="O55" i="56"/>
  <c r="O54" i="56"/>
  <c r="O53" i="56"/>
  <c r="O52" i="56"/>
  <c r="O51" i="56"/>
  <c r="O50" i="56"/>
  <c r="O49" i="56"/>
  <c r="O48" i="56"/>
  <c r="O47" i="56"/>
  <c r="O46" i="56"/>
  <c r="O45" i="56"/>
  <c r="O44" i="56"/>
  <c r="O43" i="56"/>
  <c r="O42" i="56"/>
  <c r="O41" i="56"/>
  <c r="O40" i="56"/>
  <c r="O39" i="56"/>
  <c r="O38" i="56"/>
  <c r="O37" i="56"/>
  <c r="O36" i="56"/>
  <c r="O35" i="56"/>
  <c r="O34" i="56"/>
  <c r="O33" i="56"/>
  <c r="O32" i="56"/>
  <c r="O31" i="56"/>
  <c r="O30" i="56"/>
  <c r="O29" i="56"/>
  <c r="O28" i="56"/>
  <c r="O27" i="56"/>
  <c r="O26" i="56"/>
  <c r="O25" i="56"/>
  <c r="O24" i="56"/>
  <c r="O23" i="56"/>
  <c r="O22" i="56"/>
  <c r="O21" i="56"/>
  <c r="O20" i="56"/>
  <c r="O19" i="56"/>
  <c r="O18" i="56"/>
  <c r="O17" i="56"/>
  <c r="O16" i="56"/>
  <c r="O15" i="56"/>
  <c r="O14" i="56"/>
  <c r="O13" i="56"/>
  <c r="O12" i="56"/>
  <c r="O11" i="56"/>
  <c r="O10" i="56"/>
  <c r="O9" i="56"/>
  <c r="O8" i="56"/>
  <c r="O7" i="56"/>
  <c r="O58" i="56" s="1"/>
  <c r="M57" i="56"/>
  <c r="M56" i="56"/>
  <c r="M55" i="56"/>
  <c r="M54" i="56"/>
  <c r="M53" i="56"/>
  <c r="M52" i="56"/>
  <c r="M51" i="56"/>
  <c r="M50" i="56"/>
  <c r="M49" i="56"/>
  <c r="M48" i="56"/>
  <c r="M47" i="56"/>
  <c r="M46" i="56"/>
  <c r="M45" i="56"/>
  <c r="M44" i="56"/>
  <c r="M43" i="56"/>
  <c r="M42" i="56"/>
  <c r="M41" i="56"/>
  <c r="M40" i="56"/>
  <c r="M39" i="56"/>
  <c r="M38" i="56"/>
  <c r="M37" i="56"/>
  <c r="M36" i="56"/>
  <c r="M35" i="56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M7" i="56"/>
  <c r="M58" i="56" s="1"/>
  <c r="K57" i="56"/>
  <c r="K56" i="56"/>
  <c r="K55" i="56"/>
  <c r="K54" i="56"/>
  <c r="K53" i="56"/>
  <c r="K52" i="56"/>
  <c r="K51" i="56"/>
  <c r="K50" i="56"/>
  <c r="K49" i="56"/>
  <c r="K48" i="56"/>
  <c r="K47" i="56"/>
  <c r="K46" i="56"/>
  <c r="K45" i="56"/>
  <c r="K44" i="56"/>
  <c r="K43" i="56"/>
  <c r="K42" i="56"/>
  <c r="K41" i="56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K10" i="56"/>
  <c r="K9" i="56"/>
  <c r="K8" i="56"/>
  <c r="K7" i="56"/>
  <c r="K58" i="56" s="1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58" i="56" s="1"/>
  <c r="I8" i="56"/>
  <c r="I7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58" i="56" s="1"/>
  <c r="G7" i="56"/>
  <c r="E57" i="56"/>
  <c r="E56" i="56"/>
  <c r="E55" i="56"/>
  <c r="E54" i="56"/>
  <c r="E53" i="56"/>
  <c r="E52" i="56"/>
  <c r="E51" i="56"/>
  <c r="E50" i="56"/>
  <c r="E49" i="56"/>
  <c r="E48" i="56"/>
  <c r="E47" i="56"/>
  <c r="E46" i="56"/>
  <c r="E45" i="56"/>
  <c r="E44" i="56"/>
  <c r="E43" i="56"/>
  <c r="E42" i="56"/>
  <c r="E41" i="56"/>
  <c r="E40" i="56"/>
  <c r="E39" i="56"/>
  <c r="E38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58" i="56" s="1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E9" i="56"/>
  <c r="E8" i="56"/>
  <c r="E7" i="56"/>
  <c r="C58" i="56"/>
  <c r="C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7" i="56"/>
  <c r="U7" i="56" l="1"/>
  <c r="U58" i="56"/>
  <c r="AE5" i="1"/>
  <c r="P6" i="44" l="1"/>
  <c r="P7" i="44"/>
  <c r="P8" i="44"/>
  <c r="P9" i="44"/>
  <c r="P10" i="44"/>
  <c r="P11" i="44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" i="44"/>
  <c r="O6" i="44"/>
  <c r="O7" i="44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" i="44"/>
  <c r="N6" i="44"/>
  <c r="N7" i="44"/>
  <c r="N8" i="44"/>
  <c r="N9" i="44"/>
  <c r="N10" i="44"/>
  <c r="N11" i="44"/>
  <c r="N12" i="44"/>
  <c r="N13" i="44"/>
  <c r="N14" i="44"/>
  <c r="N15" i="44"/>
  <c r="N16" i="44"/>
  <c r="N17" i="44"/>
  <c r="N18" i="44"/>
  <c r="N19" i="44"/>
  <c r="N20" i="44"/>
  <c r="N21" i="44"/>
  <c r="N22" i="44"/>
  <c r="N23" i="44"/>
  <c r="N24" i="44"/>
  <c r="N25" i="44"/>
  <c r="N26" i="44"/>
  <c r="N27" i="44"/>
  <c r="N28" i="44"/>
  <c r="N29" i="44"/>
  <c r="N30" i="44"/>
  <c r="N31" i="44"/>
  <c r="N32" i="44"/>
  <c r="N33" i="44"/>
  <c r="N34" i="44"/>
  <c r="N35" i="44"/>
  <c r="N36" i="44"/>
  <c r="N37" i="44"/>
  <c r="N38" i="44"/>
  <c r="N39" i="44"/>
  <c r="N40" i="44"/>
  <c r="N41" i="44"/>
  <c r="N42" i="44"/>
  <c r="N43" i="44"/>
  <c r="N44" i="44"/>
  <c r="N45" i="44"/>
  <c r="N46" i="44"/>
  <c r="N47" i="44"/>
  <c r="N48" i="44"/>
  <c r="N49" i="44"/>
  <c r="N50" i="44"/>
  <c r="N51" i="44"/>
  <c r="N52" i="44"/>
  <c r="N53" i="44"/>
  <c r="N54" i="44"/>
  <c r="N55" i="44"/>
  <c r="N5" i="44"/>
  <c r="Y4" i="55" l="1"/>
  <c r="P58" i="56" l="1"/>
  <c r="R58" i="56"/>
  <c r="T58" i="56"/>
  <c r="F58" i="56"/>
  <c r="H58" i="56"/>
  <c r="J58" i="56"/>
  <c r="L58" i="56"/>
  <c r="N58" i="56"/>
  <c r="D58" i="56"/>
  <c r="P10" i="55" l="1"/>
  <c r="Q10" i="55"/>
  <c r="J7" i="28"/>
  <c r="K7" i="28"/>
  <c r="L7" i="28"/>
  <c r="M7" i="28"/>
  <c r="N7" i="28"/>
  <c r="O7" i="28"/>
  <c r="J8" i="28"/>
  <c r="K8" i="28"/>
  <c r="L8" i="28"/>
  <c r="M8" i="28"/>
  <c r="N8" i="28"/>
  <c r="O8" i="28"/>
  <c r="J9" i="28"/>
  <c r="K9" i="28"/>
  <c r="L9" i="28"/>
  <c r="M9" i="28"/>
  <c r="N9" i="28"/>
  <c r="O9" i="28"/>
  <c r="J10" i="28"/>
  <c r="K10" i="28"/>
  <c r="L10" i="28"/>
  <c r="M10" i="28"/>
  <c r="N10" i="28"/>
  <c r="O10" i="28"/>
  <c r="J11" i="28"/>
  <c r="K11" i="28"/>
  <c r="L11" i="28"/>
  <c r="M11" i="28"/>
  <c r="N11" i="28"/>
  <c r="O11" i="28"/>
  <c r="J12" i="28"/>
  <c r="K12" i="28"/>
  <c r="L12" i="28"/>
  <c r="M12" i="28"/>
  <c r="N12" i="28"/>
  <c r="O12" i="28"/>
  <c r="J13" i="28"/>
  <c r="K13" i="28"/>
  <c r="L13" i="28"/>
  <c r="M13" i="28"/>
  <c r="N13" i="28"/>
  <c r="O13" i="28"/>
  <c r="J14" i="28"/>
  <c r="K14" i="28"/>
  <c r="L14" i="28"/>
  <c r="M14" i="28"/>
  <c r="N14" i="28"/>
  <c r="O14" i="28"/>
  <c r="J15" i="28"/>
  <c r="K15" i="28"/>
  <c r="L15" i="28"/>
  <c r="M15" i="28"/>
  <c r="N15" i="28"/>
  <c r="O15" i="28"/>
  <c r="J16" i="28"/>
  <c r="K16" i="28"/>
  <c r="L16" i="28"/>
  <c r="M16" i="28"/>
  <c r="N16" i="28"/>
  <c r="O16" i="28"/>
  <c r="J17" i="28"/>
  <c r="K17" i="28"/>
  <c r="L17" i="28"/>
  <c r="M17" i="28"/>
  <c r="N17" i="28"/>
  <c r="O17" i="28"/>
  <c r="J18" i="28"/>
  <c r="K18" i="28"/>
  <c r="L18" i="28"/>
  <c r="M18" i="28"/>
  <c r="N18" i="28"/>
  <c r="O18" i="28"/>
  <c r="J19" i="28"/>
  <c r="K19" i="28"/>
  <c r="L19" i="28"/>
  <c r="M19" i="28"/>
  <c r="N19" i="28"/>
  <c r="O19" i="28"/>
  <c r="J20" i="28"/>
  <c r="K20" i="28"/>
  <c r="L20" i="28"/>
  <c r="M20" i="28"/>
  <c r="N20" i="28"/>
  <c r="O20" i="28"/>
  <c r="J21" i="28"/>
  <c r="K21" i="28"/>
  <c r="L21" i="28"/>
  <c r="M21" i="28"/>
  <c r="N21" i="28"/>
  <c r="O21" i="28"/>
  <c r="J22" i="28"/>
  <c r="K22" i="28"/>
  <c r="L22" i="28"/>
  <c r="M22" i="28"/>
  <c r="N22" i="28"/>
  <c r="O22" i="28"/>
  <c r="J23" i="28"/>
  <c r="K23" i="28"/>
  <c r="L23" i="28"/>
  <c r="M23" i="28"/>
  <c r="N23" i="28"/>
  <c r="O23" i="28"/>
  <c r="J24" i="28"/>
  <c r="K24" i="28"/>
  <c r="L24" i="28"/>
  <c r="M24" i="28"/>
  <c r="N24" i="28"/>
  <c r="O24" i="28"/>
  <c r="J25" i="28"/>
  <c r="K25" i="28"/>
  <c r="L25" i="28"/>
  <c r="M25" i="28"/>
  <c r="N25" i="28"/>
  <c r="O25" i="28"/>
  <c r="J26" i="28"/>
  <c r="K26" i="28"/>
  <c r="L26" i="28"/>
  <c r="M26" i="28"/>
  <c r="N26" i="28"/>
  <c r="O26" i="28"/>
  <c r="J27" i="28"/>
  <c r="K27" i="28"/>
  <c r="L27" i="28"/>
  <c r="M27" i="28"/>
  <c r="N27" i="28"/>
  <c r="O27" i="28"/>
  <c r="J28" i="28"/>
  <c r="K28" i="28"/>
  <c r="L28" i="28"/>
  <c r="M28" i="28"/>
  <c r="N28" i="28"/>
  <c r="O28" i="28"/>
  <c r="J29" i="28"/>
  <c r="K29" i="28"/>
  <c r="L29" i="28"/>
  <c r="M29" i="28"/>
  <c r="N29" i="28"/>
  <c r="O29" i="28"/>
  <c r="J30" i="28"/>
  <c r="K30" i="28"/>
  <c r="L30" i="28"/>
  <c r="M30" i="28"/>
  <c r="N30" i="28"/>
  <c r="O30" i="28"/>
  <c r="J31" i="28"/>
  <c r="K31" i="28"/>
  <c r="L31" i="28"/>
  <c r="M31" i="28"/>
  <c r="N31" i="28"/>
  <c r="O31" i="28"/>
  <c r="J32" i="28"/>
  <c r="K32" i="28"/>
  <c r="L32" i="28"/>
  <c r="M32" i="28"/>
  <c r="N32" i="28"/>
  <c r="O32" i="28"/>
  <c r="J33" i="28"/>
  <c r="K33" i="28"/>
  <c r="L33" i="28"/>
  <c r="M33" i="28"/>
  <c r="N33" i="28"/>
  <c r="O33" i="28"/>
  <c r="J34" i="28"/>
  <c r="K34" i="28"/>
  <c r="L34" i="28"/>
  <c r="M34" i="28"/>
  <c r="N34" i="28"/>
  <c r="O34" i="28"/>
  <c r="J35" i="28"/>
  <c r="K35" i="28"/>
  <c r="L35" i="28"/>
  <c r="M35" i="28"/>
  <c r="N35" i="28"/>
  <c r="O35" i="28"/>
  <c r="J36" i="28"/>
  <c r="K36" i="28"/>
  <c r="L36" i="28"/>
  <c r="M36" i="28"/>
  <c r="N36" i="28"/>
  <c r="O36" i="28"/>
  <c r="J37" i="28"/>
  <c r="K37" i="28"/>
  <c r="L37" i="28"/>
  <c r="M37" i="28"/>
  <c r="N37" i="28"/>
  <c r="O37" i="28"/>
  <c r="J38" i="28"/>
  <c r="K38" i="28"/>
  <c r="L38" i="28"/>
  <c r="M38" i="28"/>
  <c r="N38" i="28"/>
  <c r="O38" i="28"/>
  <c r="J39" i="28"/>
  <c r="K39" i="28"/>
  <c r="L39" i="28"/>
  <c r="M39" i="28"/>
  <c r="N39" i="28"/>
  <c r="O39" i="28"/>
  <c r="J40" i="28"/>
  <c r="K40" i="28"/>
  <c r="L40" i="28"/>
  <c r="M40" i="28"/>
  <c r="N40" i="28"/>
  <c r="O40" i="28"/>
  <c r="J41" i="28"/>
  <c r="K41" i="28"/>
  <c r="L41" i="28"/>
  <c r="M41" i="28"/>
  <c r="N41" i="28"/>
  <c r="O41" i="28"/>
  <c r="J42" i="28"/>
  <c r="K42" i="28"/>
  <c r="L42" i="28"/>
  <c r="M42" i="28"/>
  <c r="N42" i="28"/>
  <c r="O42" i="28"/>
  <c r="J43" i="28"/>
  <c r="K43" i="28"/>
  <c r="L43" i="28"/>
  <c r="M43" i="28"/>
  <c r="N43" i="28"/>
  <c r="O43" i="28"/>
  <c r="J44" i="28"/>
  <c r="K44" i="28"/>
  <c r="L44" i="28"/>
  <c r="M44" i="28"/>
  <c r="N44" i="28"/>
  <c r="O44" i="28"/>
  <c r="J45" i="28"/>
  <c r="K45" i="28"/>
  <c r="L45" i="28"/>
  <c r="M45" i="28"/>
  <c r="N45" i="28"/>
  <c r="O45" i="28"/>
  <c r="J46" i="28"/>
  <c r="K46" i="28"/>
  <c r="L46" i="28"/>
  <c r="M46" i="28"/>
  <c r="N46" i="28"/>
  <c r="O46" i="28"/>
  <c r="J47" i="28"/>
  <c r="K47" i="28"/>
  <c r="L47" i="28"/>
  <c r="M47" i="28"/>
  <c r="N47" i="28"/>
  <c r="O47" i="28"/>
  <c r="J48" i="28"/>
  <c r="K48" i="28"/>
  <c r="L48" i="28"/>
  <c r="M48" i="28"/>
  <c r="N48" i="28"/>
  <c r="O48" i="28"/>
  <c r="J49" i="28"/>
  <c r="K49" i="28"/>
  <c r="L49" i="28"/>
  <c r="M49" i="28"/>
  <c r="N49" i="28"/>
  <c r="O49" i="28"/>
  <c r="J50" i="28"/>
  <c r="K50" i="28"/>
  <c r="L50" i="28"/>
  <c r="M50" i="28"/>
  <c r="N50" i="28"/>
  <c r="O50" i="28"/>
  <c r="J51" i="28"/>
  <c r="K51" i="28"/>
  <c r="L51" i="28"/>
  <c r="M51" i="28"/>
  <c r="N51" i="28"/>
  <c r="O51" i="28"/>
  <c r="J52" i="28"/>
  <c r="K52" i="28"/>
  <c r="L52" i="28"/>
  <c r="M52" i="28"/>
  <c r="N52" i="28"/>
  <c r="O52" i="28"/>
  <c r="J53" i="28"/>
  <c r="K53" i="28"/>
  <c r="L53" i="28"/>
  <c r="M53" i="28"/>
  <c r="N53" i="28"/>
  <c r="O53" i="28"/>
  <c r="J54" i="28"/>
  <c r="K54" i="28"/>
  <c r="L54" i="28"/>
  <c r="M54" i="28"/>
  <c r="N54" i="28"/>
  <c r="O54" i="28"/>
  <c r="J55" i="28"/>
  <c r="K55" i="28"/>
  <c r="L55" i="28"/>
  <c r="M55" i="28"/>
  <c r="N55" i="28"/>
  <c r="O55" i="28"/>
  <c r="J56" i="28"/>
  <c r="K56" i="28"/>
  <c r="L56" i="28"/>
  <c r="M56" i="28"/>
  <c r="N56" i="28"/>
  <c r="O56" i="28"/>
  <c r="O6" i="28"/>
  <c r="N6" i="28"/>
  <c r="M6" i="28"/>
  <c r="L6" i="28"/>
  <c r="K6" i="28"/>
  <c r="J6" i="28"/>
  <c r="P14" i="55" l="1"/>
  <c r="P15" i="55" s="1"/>
  <c r="Y9" i="55" l="1"/>
  <c r="Y8" i="55"/>
  <c r="Y7" i="55"/>
  <c r="Y6" i="55"/>
  <c r="Y5" i="55"/>
  <c r="U4" i="55" l="1"/>
  <c r="C14" i="55"/>
  <c r="D14" i="55"/>
  <c r="E14" i="55"/>
  <c r="F14" i="55"/>
  <c r="G14" i="55"/>
  <c r="G15" i="55" s="1"/>
  <c r="H14" i="55"/>
  <c r="I14" i="55"/>
  <c r="J14" i="55"/>
  <c r="K14" i="55"/>
  <c r="L14" i="55"/>
  <c r="M14" i="55"/>
  <c r="N14" i="55"/>
  <c r="O14" i="55"/>
  <c r="Q14" i="55"/>
  <c r="R14" i="55"/>
  <c r="S14" i="55"/>
  <c r="T14" i="55"/>
  <c r="B14" i="55"/>
  <c r="C10" i="55"/>
  <c r="D10" i="55"/>
  <c r="E10" i="55"/>
  <c r="F10" i="55"/>
  <c r="G10" i="55"/>
  <c r="H10" i="55"/>
  <c r="I10" i="55"/>
  <c r="J10" i="55"/>
  <c r="J15" i="55" s="1"/>
  <c r="K10" i="55"/>
  <c r="K15" i="55" s="1"/>
  <c r="L10" i="55"/>
  <c r="L15" i="55" s="1"/>
  <c r="M10" i="55"/>
  <c r="M15" i="55" s="1"/>
  <c r="N10" i="55"/>
  <c r="O10" i="55"/>
  <c r="R10" i="55"/>
  <c r="S10" i="55"/>
  <c r="T10" i="55"/>
  <c r="U13" i="55"/>
  <c r="U12" i="55"/>
  <c r="U11" i="55"/>
  <c r="U14" i="55" s="1"/>
  <c r="U5" i="55"/>
  <c r="U6" i="55"/>
  <c r="U7" i="55"/>
  <c r="U8" i="55"/>
  <c r="U9" i="55"/>
  <c r="B10" i="55"/>
  <c r="Q15" i="55" l="1"/>
  <c r="O15" i="55"/>
  <c r="N15" i="55"/>
  <c r="U10" i="55"/>
  <c r="B15" i="55"/>
  <c r="H15" i="55"/>
  <c r="E15" i="55"/>
  <c r="D15" i="55"/>
  <c r="T15" i="55"/>
  <c r="S15" i="55"/>
  <c r="C15" i="55"/>
  <c r="R15" i="55"/>
  <c r="U15" i="55"/>
  <c r="F15" i="55"/>
  <c r="I15" i="55"/>
  <c r="V21" i="55"/>
  <c r="V22" i="55" s="1"/>
  <c r="W13" i="55"/>
  <c r="W12" i="55"/>
  <c r="M5" i="36" s="1"/>
  <c r="W11" i="55"/>
  <c r="Q3" i="44" s="1"/>
  <c r="X10" i="55"/>
  <c r="X15" i="55" s="1"/>
  <c r="W9" i="55"/>
  <c r="Z9" i="55" s="1"/>
  <c r="W8" i="55"/>
  <c r="W7" i="55"/>
  <c r="W6" i="55"/>
  <c r="Z6" i="55" s="1"/>
  <c r="E14" i="49" l="1"/>
  <c r="T17" i="51" s="1"/>
  <c r="K16" i="57" s="1"/>
  <c r="K76" i="57" s="1"/>
  <c r="E30" i="49"/>
  <c r="T33" i="51" s="1"/>
  <c r="K32" i="57" s="1"/>
  <c r="K92" i="57" s="1"/>
  <c r="E46" i="49"/>
  <c r="T49" i="51" s="1"/>
  <c r="K48" i="57" s="1"/>
  <c r="K108" i="57" s="1"/>
  <c r="E36" i="49"/>
  <c r="T39" i="51" s="1"/>
  <c r="K38" i="57" s="1"/>
  <c r="K98" i="57" s="1"/>
  <c r="E54" i="49"/>
  <c r="T57" i="51" s="1"/>
  <c r="K56" i="57" s="1"/>
  <c r="K116" i="57" s="1"/>
  <c r="E24" i="49"/>
  <c r="T27" i="51" s="1"/>
  <c r="K26" i="57" s="1"/>
  <c r="K86" i="57" s="1"/>
  <c r="E45" i="49"/>
  <c r="T48" i="51" s="1"/>
  <c r="K47" i="57" s="1"/>
  <c r="K107" i="57" s="1"/>
  <c r="E15" i="49"/>
  <c r="T18" i="51" s="1"/>
  <c r="K17" i="57" s="1"/>
  <c r="K77" i="57" s="1"/>
  <c r="E31" i="49"/>
  <c r="T34" i="51" s="1"/>
  <c r="K33" i="57" s="1"/>
  <c r="K93" i="57" s="1"/>
  <c r="E47" i="49"/>
  <c r="T50" i="51" s="1"/>
  <c r="K49" i="57" s="1"/>
  <c r="K109" i="57" s="1"/>
  <c r="E50" i="49"/>
  <c r="T53" i="51" s="1"/>
  <c r="K52" i="57" s="1"/>
  <c r="K112" i="57" s="1"/>
  <c r="E51" i="49"/>
  <c r="T54" i="51" s="1"/>
  <c r="K53" i="57" s="1"/>
  <c r="K113" i="57" s="1"/>
  <c r="E53" i="49"/>
  <c r="T56" i="51" s="1"/>
  <c r="K55" i="57" s="1"/>
  <c r="K115" i="57" s="1"/>
  <c r="E38" i="49"/>
  <c r="T41" i="51" s="1"/>
  <c r="K40" i="57" s="1"/>
  <c r="K100" i="57" s="1"/>
  <c r="E26" i="49"/>
  <c r="T29" i="51" s="1"/>
  <c r="K28" i="57" s="1"/>
  <c r="K88" i="57" s="1"/>
  <c r="E16" i="49"/>
  <c r="T19" i="51" s="1"/>
  <c r="K18" i="57" s="1"/>
  <c r="K78" i="57" s="1"/>
  <c r="E32" i="49"/>
  <c r="T35" i="51" s="1"/>
  <c r="K34" i="57" s="1"/>
  <c r="K94" i="57" s="1"/>
  <c r="E48" i="49"/>
  <c r="T51" i="51" s="1"/>
  <c r="K50" i="57" s="1"/>
  <c r="K110" i="57" s="1"/>
  <c r="E19" i="49"/>
  <c r="T22" i="51" s="1"/>
  <c r="K21" i="57" s="1"/>
  <c r="K81" i="57" s="1"/>
  <c r="E39" i="49"/>
  <c r="T42" i="51" s="1"/>
  <c r="K41" i="57" s="1"/>
  <c r="K101" i="57" s="1"/>
  <c r="E10" i="49"/>
  <c r="T13" i="51" s="1"/>
  <c r="K12" i="57" s="1"/>
  <c r="K72" i="57" s="1"/>
  <c r="E44" i="49"/>
  <c r="T47" i="51" s="1"/>
  <c r="K46" i="57" s="1"/>
  <c r="K106" i="57" s="1"/>
  <c r="E17" i="49"/>
  <c r="T20" i="51" s="1"/>
  <c r="K19" i="57" s="1"/>
  <c r="K79" i="57" s="1"/>
  <c r="E33" i="49"/>
  <c r="T36" i="51" s="1"/>
  <c r="K35" i="57" s="1"/>
  <c r="K95" i="57" s="1"/>
  <c r="E49" i="49"/>
  <c r="T52" i="51" s="1"/>
  <c r="K51" i="57" s="1"/>
  <c r="K111" i="57" s="1"/>
  <c r="E52" i="49"/>
  <c r="T55" i="51" s="1"/>
  <c r="K54" i="57" s="1"/>
  <c r="K114" i="57" s="1"/>
  <c r="E21" i="49"/>
  <c r="T24" i="51" s="1"/>
  <c r="K23" i="57" s="1"/>
  <c r="K83" i="57" s="1"/>
  <c r="E23" i="49"/>
  <c r="T26" i="51" s="1"/>
  <c r="K25" i="57" s="1"/>
  <c r="K85" i="57" s="1"/>
  <c r="E4" i="49"/>
  <c r="T7" i="51" s="1"/>
  <c r="E9" i="49"/>
  <c r="T12" i="51" s="1"/>
  <c r="K11" i="57" s="1"/>
  <c r="K71" i="57" s="1"/>
  <c r="E11" i="49"/>
  <c r="T14" i="51" s="1"/>
  <c r="K13" i="57" s="1"/>
  <c r="K73" i="57" s="1"/>
  <c r="E18" i="49"/>
  <c r="T21" i="51" s="1"/>
  <c r="K20" i="57" s="1"/>
  <c r="K80" i="57" s="1"/>
  <c r="E34" i="49"/>
  <c r="T37" i="51" s="1"/>
  <c r="K36" i="57" s="1"/>
  <c r="K96" i="57" s="1"/>
  <c r="E20" i="49"/>
  <c r="T23" i="51" s="1"/>
  <c r="K22" i="57" s="1"/>
  <c r="K82" i="57" s="1"/>
  <c r="E6" i="49"/>
  <c r="T9" i="51" s="1"/>
  <c r="K8" i="57" s="1"/>
  <c r="K68" i="57" s="1"/>
  <c r="E8" i="49"/>
  <c r="T11" i="51" s="1"/>
  <c r="K10" i="57" s="1"/>
  <c r="K70" i="57" s="1"/>
  <c r="E35" i="49"/>
  <c r="T38" i="51" s="1"/>
  <c r="K37" i="57" s="1"/>
  <c r="K97" i="57" s="1"/>
  <c r="E37" i="49"/>
  <c r="T40" i="51" s="1"/>
  <c r="K39" i="57" s="1"/>
  <c r="K99" i="57" s="1"/>
  <c r="E7" i="49"/>
  <c r="T10" i="51" s="1"/>
  <c r="K9" i="57" s="1"/>
  <c r="K69" i="57" s="1"/>
  <c r="E25" i="49"/>
  <c r="T28" i="51" s="1"/>
  <c r="K27" i="57" s="1"/>
  <c r="K87" i="57" s="1"/>
  <c r="E28" i="49"/>
  <c r="T31" i="51" s="1"/>
  <c r="K30" i="57" s="1"/>
  <c r="K90" i="57" s="1"/>
  <c r="E22" i="49"/>
  <c r="T25" i="51" s="1"/>
  <c r="K24" i="57" s="1"/>
  <c r="K84" i="57" s="1"/>
  <c r="E40" i="49"/>
  <c r="T43" i="51" s="1"/>
  <c r="K42" i="57" s="1"/>
  <c r="K102" i="57" s="1"/>
  <c r="E43" i="49"/>
  <c r="T46" i="51" s="1"/>
  <c r="K45" i="57" s="1"/>
  <c r="K105" i="57" s="1"/>
  <c r="E13" i="49"/>
  <c r="T16" i="51" s="1"/>
  <c r="K15" i="57" s="1"/>
  <c r="K75" i="57" s="1"/>
  <c r="E5" i="49"/>
  <c r="T8" i="51" s="1"/>
  <c r="K7" i="57" s="1"/>
  <c r="K67" i="57" s="1"/>
  <c r="E27" i="49"/>
  <c r="T30" i="51" s="1"/>
  <c r="K29" i="57" s="1"/>
  <c r="K89" i="57" s="1"/>
  <c r="E29" i="49"/>
  <c r="T32" i="51" s="1"/>
  <c r="K31" i="57" s="1"/>
  <c r="K91" i="57" s="1"/>
  <c r="E41" i="49"/>
  <c r="T44" i="51" s="1"/>
  <c r="K43" i="57" s="1"/>
  <c r="K103" i="57" s="1"/>
  <c r="E12" i="49"/>
  <c r="T15" i="51" s="1"/>
  <c r="K14" i="57" s="1"/>
  <c r="K74" i="57" s="1"/>
  <c r="E42" i="49"/>
  <c r="T45" i="51" s="1"/>
  <c r="K44" i="57" s="1"/>
  <c r="K104" i="57" s="1"/>
  <c r="Z8" i="55"/>
  <c r="W4" i="55"/>
  <c r="W14" i="55"/>
  <c r="W21" i="55"/>
  <c r="W5" i="55"/>
  <c r="Y10" i="55"/>
  <c r="Y15" i="55" s="1"/>
  <c r="Z7" i="55"/>
  <c r="K6" i="57" l="1"/>
  <c r="K57" i="57" s="1"/>
  <c r="T58" i="51"/>
  <c r="Z4" i="55"/>
  <c r="W10" i="55"/>
  <c r="W15" i="55" s="1"/>
  <c r="Z5" i="55"/>
  <c r="K66" i="57" l="1"/>
  <c r="K117" i="57" s="1"/>
  <c r="Z10" i="55"/>
  <c r="Z15" i="55" s="1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6" i="28"/>
  <c r="D44" i="44" l="1"/>
  <c r="D45" i="44"/>
  <c r="D46" i="44"/>
  <c r="D47" i="44"/>
  <c r="D48" i="44"/>
  <c r="D49" i="44"/>
  <c r="D50" i="44"/>
  <c r="D51" i="44"/>
  <c r="D52" i="44"/>
  <c r="D53" i="44"/>
  <c r="D54" i="44"/>
  <c r="D5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5" i="44"/>
  <c r="J57" i="28" l="1"/>
  <c r="K57" i="28"/>
  <c r="L57" i="28"/>
  <c r="M57" i="28"/>
  <c r="N57" i="28"/>
  <c r="O57" i="28"/>
  <c r="P54" i="28" l="1"/>
  <c r="P38" i="28" l="1"/>
  <c r="P31" i="28"/>
  <c r="P37" i="28"/>
  <c r="P46" i="28"/>
  <c r="P24" i="28"/>
  <c r="P39" i="28"/>
  <c r="P8" i="28"/>
  <c r="P34" i="28"/>
  <c r="P9" i="28"/>
  <c r="P23" i="28"/>
  <c r="P51" i="28"/>
  <c r="P13" i="28"/>
  <c r="P41" i="28"/>
  <c r="P28" i="28"/>
  <c r="P33" i="28"/>
  <c r="P21" i="28"/>
  <c r="P18" i="28"/>
  <c r="P16" i="28"/>
  <c r="P42" i="28"/>
  <c r="P52" i="28"/>
  <c r="P27" i="28"/>
  <c r="P19" i="28"/>
  <c r="P30" i="28"/>
  <c r="P55" i="28"/>
  <c r="P53" i="28"/>
  <c r="P15" i="28"/>
  <c r="P7" i="28"/>
  <c r="P10" i="28"/>
  <c r="P35" i="28"/>
  <c r="P36" i="28"/>
  <c r="P14" i="28"/>
  <c r="P22" i="28"/>
  <c r="P12" i="28"/>
  <c r="P45" i="28"/>
  <c r="P48" i="28"/>
  <c r="P25" i="28"/>
  <c r="P50" i="28"/>
  <c r="P44" i="28"/>
  <c r="P40" i="28"/>
  <c r="P47" i="28"/>
  <c r="P17" i="28"/>
  <c r="P32" i="28"/>
  <c r="P43" i="28"/>
  <c r="P11" i="28"/>
  <c r="P49" i="28"/>
  <c r="P29" i="28"/>
  <c r="P26" i="28"/>
  <c r="P20" i="28"/>
  <c r="P56" i="28"/>
  <c r="I57" i="28"/>
  <c r="P6" i="28"/>
  <c r="C55" i="49" l="1"/>
  <c r="D54" i="49" s="1"/>
  <c r="D19" i="49" l="1"/>
  <c r="D31" i="49"/>
  <c r="D9" i="49"/>
  <c r="D21" i="49"/>
  <c r="D33" i="49"/>
  <c r="D39" i="49"/>
  <c r="D45" i="49"/>
  <c r="D51" i="49"/>
  <c r="D13" i="49"/>
  <c r="D25" i="49"/>
  <c r="D37" i="49"/>
  <c r="D43" i="49"/>
  <c r="D49" i="49"/>
  <c r="D8" i="49"/>
  <c r="D20" i="49"/>
  <c r="D32" i="49"/>
  <c r="D38" i="49"/>
  <c r="D44" i="49"/>
  <c r="D50" i="49"/>
  <c r="D15" i="49"/>
  <c r="D27" i="49"/>
  <c r="D26" i="49"/>
  <c r="D10" i="49"/>
  <c r="D22" i="49"/>
  <c r="D34" i="49"/>
  <c r="D46" i="49"/>
  <c r="D11" i="49"/>
  <c r="D35" i="49"/>
  <c r="D7" i="49"/>
  <c r="D14" i="49"/>
  <c r="D4" i="49"/>
  <c r="D16" i="49"/>
  <c r="D28" i="49"/>
  <c r="D40" i="49"/>
  <c r="D52" i="49"/>
  <c r="D5" i="49"/>
  <c r="D17" i="49"/>
  <c r="D23" i="49"/>
  <c r="D29" i="49"/>
  <c r="D41" i="49"/>
  <c r="D47" i="49"/>
  <c r="D53" i="49"/>
  <c r="D6" i="49"/>
  <c r="D12" i="49"/>
  <c r="D18" i="49"/>
  <c r="D24" i="49"/>
  <c r="D30" i="49"/>
  <c r="D36" i="49"/>
  <c r="D42" i="49"/>
  <c r="D48" i="49"/>
  <c r="D55" i="49" l="1"/>
  <c r="E55" i="49" l="1"/>
  <c r="Q58" i="1"/>
  <c r="P58" i="1"/>
  <c r="R39" i="1" s="1"/>
  <c r="S39" i="1" s="1"/>
  <c r="O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P57" i="28" l="1"/>
  <c r="R9" i="1"/>
  <c r="S9" i="1" s="1"/>
  <c r="R21" i="1"/>
  <c r="S21" i="1" s="1"/>
  <c r="R55" i="1"/>
  <c r="S55" i="1" s="1"/>
  <c r="R56" i="1"/>
  <c r="S56" i="1" s="1"/>
  <c r="R52" i="1"/>
  <c r="S52" i="1" s="1"/>
  <c r="R48" i="1"/>
  <c r="S48" i="1" s="1"/>
  <c r="R44" i="1"/>
  <c r="S44" i="1" s="1"/>
  <c r="R40" i="1"/>
  <c r="S40" i="1" s="1"/>
  <c r="R36" i="1"/>
  <c r="S36" i="1" s="1"/>
  <c r="R32" i="1"/>
  <c r="S32" i="1" s="1"/>
  <c r="R28" i="1"/>
  <c r="S28" i="1" s="1"/>
  <c r="R24" i="1"/>
  <c r="S24" i="1" s="1"/>
  <c r="R20" i="1"/>
  <c r="S20" i="1" s="1"/>
  <c r="R16" i="1"/>
  <c r="S16" i="1" s="1"/>
  <c r="R12" i="1"/>
  <c r="S12" i="1" s="1"/>
  <c r="R8" i="1"/>
  <c r="S8" i="1" s="1"/>
  <c r="R57" i="1"/>
  <c r="S57" i="1" s="1"/>
  <c r="R41" i="1"/>
  <c r="S41" i="1" s="1"/>
  <c r="R53" i="1"/>
  <c r="S53" i="1" s="1"/>
  <c r="R49" i="1"/>
  <c r="S49" i="1" s="1"/>
  <c r="R45" i="1"/>
  <c r="S45" i="1" s="1"/>
  <c r="R37" i="1"/>
  <c r="S37" i="1" s="1"/>
  <c r="R33" i="1"/>
  <c r="S33" i="1" s="1"/>
  <c r="R54" i="1"/>
  <c r="S54" i="1" s="1"/>
  <c r="R50" i="1"/>
  <c r="S50" i="1" s="1"/>
  <c r="R46" i="1"/>
  <c r="S46" i="1" s="1"/>
  <c r="R42" i="1"/>
  <c r="S42" i="1" s="1"/>
  <c r="R38" i="1"/>
  <c r="S38" i="1" s="1"/>
  <c r="R34" i="1"/>
  <c r="S34" i="1" s="1"/>
  <c r="R30" i="1"/>
  <c r="S30" i="1" s="1"/>
  <c r="R26" i="1"/>
  <c r="S26" i="1" s="1"/>
  <c r="R22" i="1"/>
  <c r="S22" i="1" s="1"/>
  <c r="R18" i="1"/>
  <c r="S18" i="1" s="1"/>
  <c r="R14" i="1"/>
  <c r="S14" i="1" s="1"/>
  <c r="R10" i="1"/>
  <c r="S10" i="1" s="1"/>
  <c r="R7" i="1"/>
  <c r="R19" i="1"/>
  <c r="S19" i="1" s="1"/>
  <c r="R31" i="1"/>
  <c r="S31" i="1" s="1"/>
  <c r="R43" i="1"/>
  <c r="S43" i="1" s="1"/>
  <c r="V58" i="1"/>
  <c r="W39" i="1" s="1"/>
  <c r="R17" i="1"/>
  <c r="S17" i="1" s="1"/>
  <c r="R29" i="1"/>
  <c r="S29" i="1" s="1"/>
  <c r="R15" i="1"/>
  <c r="S15" i="1" s="1"/>
  <c r="R47" i="1"/>
  <c r="S47" i="1" s="1"/>
  <c r="R13" i="1"/>
  <c r="S13" i="1" s="1"/>
  <c r="R25" i="1"/>
  <c r="S25" i="1" s="1"/>
  <c r="R51" i="1"/>
  <c r="S51" i="1" s="1"/>
  <c r="R27" i="1"/>
  <c r="S27" i="1" s="1"/>
  <c r="R35" i="1"/>
  <c r="S35" i="1" s="1"/>
  <c r="R11" i="1"/>
  <c r="S11" i="1" s="1"/>
  <c r="R23" i="1"/>
  <c r="S23" i="1" s="1"/>
  <c r="W50" i="1" l="1"/>
  <c r="Q20" i="28"/>
  <c r="Q36" i="28"/>
  <c r="Q52" i="28"/>
  <c r="Q37" i="28"/>
  <c r="Q22" i="28"/>
  <c r="Q38" i="28"/>
  <c r="Q7" i="28"/>
  <c r="Q39" i="28"/>
  <c r="Q8" i="28"/>
  <c r="Q40" i="28"/>
  <c r="Q9" i="28"/>
  <c r="Q41" i="28"/>
  <c r="Q26" i="28"/>
  <c r="Q11" i="28"/>
  <c r="Q28" i="28"/>
  <c r="Q45" i="28"/>
  <c r="Q14" i="28"/>
  <c r="Q47" i="28"/>
  <c r="Q32" i="28"/>
  <c r="Q17" i="28"/>
  <c r="Q34" i="28"/>
  <c r="Q19" i="28"/>
  <c r="Q21" i="28"/>
  <c r="Q53" i="28"/>
  <c r="Q23" i="28"/>
  <c r="Q24" i="28"/>
  <c r="Q56" i="28"/>
  <c r="Q25" i="28"/>
  <c r="Q10" i="28"/>
  <c r="Q27" i="28"/>
  <c r="Q12" i="28"/>
  <c r="Q29" i="28"/>
  <c r="Q30" i="28"/>
  <c r="Q16" i="28"/>
  <c r="Q33" i="28"/>
  <c r="Q51" i="28"/>
  <c r="Q54" i="28"/>
  <c r="Q42" i="28"/>
  <c r="Q43" i="28"/>
  <c r="Q44" i="28"/>
  <c r="Q46" i="28"/>
  <c r="Q49" i="28"/>
  <c r="Q18" i="28"/>
  <c r="Q35" i="28"/>
  <c r="Q55" i="28"/>
  <c r="Q13" i="28"/>
  <c r="Q15" i="28"/>
  <c r="Q48" i="28"/>
  <c r="Q31" i="28"/>
  <c r="Q50" i="28"/>
  <c r="Q6" i="28"/>
  <c r="W48" i="1"/>
  <c r="W38" i="1"/>
  <c r="W36" i="1"/>
  <c r="W24" i="1"/>
  <c r="W34" i="1"/>
  <c r="W12" i="1"/>
  <c r="W30" i="1"/>
  <c r="W54" i="1"/>
  <c r="W42" i="1"/>
  <c r="W56" i="1"/>
  <c r="W52" i="1"/>
  <c r="W16" i="1"/>
  <c r="W18" i="1"/>
  <c r="W20" i="1"/>
  <c r="R58" i="1"/>
  <c r="S7" i="1"/>
  <c r="W32" i="1"/>
  <c r="W8" i="1"/>
  <c r="W28" i="1"/>
  <c r="W11" i="1"/>
  <c r="W22" i="1"/>
  <c r="W44" i="1"/>
  <c r="W46" i="1"/>
  <c r="W55" i="1"/>
  <c r="W27" i="1"/>
  <c r="W26" i="1"/>
  <c r="W23" i="1"/>
  <c r="W40" i="1"/>
  <c r="W10" i="1"/>
  <c r="W51" i="1"/>
  <c r="W14" i="1"/>
  <c r="W35" i="1"/>
  <c r="W25" i="1"/>
  <c r="W13" i="1"/>
  <c r="W53" i="1"/>
  <c r="W17" i="1"/>
  <c r="W57" i="1"/>
  <c r="W41" i="1"/>
  <c r="W29" i="1"/>
  <c r="W43" i="1"/>
  <c r="W37" i="1"/>
  <c r="W31" i="1"/>
  <c r="W19" i="1"/>
  <c r="W7" i="1"/>
  <c r="W45" i="1"/>
  <c r="W49" i="1"/>
  <c r="W21" i="1"/>
  <c r="W9" i="1"/>
  <c r="W33" i="1"/>
  <c r="W15" i="1"/>
  <c r="W47" i="1"/>
  <c r="Q57" i="28" l="1"/>
  <c r="W58" i="1"/>
  <c r="S58" i="1"/>
  <c r="T7" i="1" s="1"/>
  <c r="T21" i="1" l="1"/>
  <c r="T9" i="1"/>
  <c r="T39" i="1"/>
  <c r="T55" i="1"/>
  <c r="T28" i="1"/>
  <c r="T13" i="1"/>
  <c r="T49" i="1"/>
  <c r="T57" i="1"/>
  <c r="T19" i="1"/>
  <c r="T40" i="1"/>
  <c r="T52" i="1"/>
  <c r="T18" i="1"/>
  <c r="T46" i="1"/>
  <c r="T16" i="1"/>
  <c r="T54" i="1"/>
  <c r="T35" i="1"/>
  <c r="T45" i="1"/>
  <c r="T24" i="1"/>
  <c r="T25" i="1"/>
  <c r="T36" i="1"/>
  <c r="T30" i="1"/>
  <c r="T26" i="1"/>
  <c r="T11" i="1"/>
  <c r="T29" i="1"/>
  <c r="T38" i="1"/>
  <c r="T31" i="1"/>
  <c r="T14" i="1"/>
  <c r="T53" i="1"/>
  <c r="T48" i="1"/>
  <c r="T41" i="1"/>
  <c r="T8" i="1"/>
  <c r="T37" i="1"/>
  <c r="T42" i="1"/>
  <c r="T44" i="1"/>
  <c r="T56" i="1"/>
  <c r="T15" i="1"/>
  <c r="T12" i="1"/>
  <c r="T32" i="1"/>
  <c r="T50" i="1"/>
  <c r="T47" i="1"/>
  <c r="T23" i="1"/>
  <c r="T20" i="1"/>
  <c r="T10" i="1"/>
  <c r="T17" i="1"/>
  <c r="T43" i="1"/>
  <c r="T51" i="1"/>
  <c r="T33" i="1"/>
  <c r="T27" i="1"/>
  <c r="T22" i="1"/>
  <c r="T34" i="1"/>
  <c r="T58" i="1" l="1"/>
  <c r="H57" i="28" l="1"/>
  <c r="G57" i="28"/>
  <c r="F57" i="28"/>
  <c r="E57" i="28"/>
  <c r="D57" i="28"/>
  <c r="C57" i="28"/>
  <c r="E5" i="44" l="1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E56" i="44" l="1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Q34" i="44" l="1"/>
  <c r="H36" i="51" s="1"/>
  <c r="E35" i="57" s="1"/>
  <c r="E95" i="57" s="1"/>
  <c r="Q13" i="44"/>
  <c r="H15" i="51" s="1"/>
  <c r="E14" i="57" s="1"/>
  <c r="E74" i="57" s="1"/>
  <c r="Q33" i="44"/>
  <c r="H35" i="51" s="1"/>
  <c r="E34" i="57" s="1"/>
  <c r="E94" i="57" s="1"/>
  <c r="Q29" i="44"/>
  <c r="H31" i="51" s="1"/>
  <c r="E30" i="57" s="1"/>
  <c r="E90" i="57" s="1"/>
  <c r="Q46" i="44"/>
  <c r="H48" i="51" s="1"/>
  <c r="E47" i="57" s="1"/>
  <c r="E107" i="57" s="1"/>
  <c r="Q30" i="44"/>
  <c r="H32" i="51" s="1"/>
  <c r="E31" i="57" s="1"/>
  <c r="E91" i="57" s="1"/>
  <c r="Q51" i="44"/>
  <c r="H53" i="51" s="1"/>
  <c r="E52" i="57" s="1"/>
  <c r="E112" i="57" s="1"/>
  <c r="Q11" i="44"/>
  <c r="H13" i="51" s="1"/>
  <c r="E12" i="57" s="1"/>
  <c r="E72" i="57" s="1"/>
  <c r="Q20" i="44"/>
  <c r="H22" i="51" s="1"/>
  <c r="E21" i="57" s="1"/>
  <c r="E81" i="57" s="1"/>
  <c r="Q55" i="44"/>
  <c r="H57" i="51" s="1"/>
  <c r="E56" i="57" s="1"/>
  <c r="E116" i="57" s="1"/>
  <c r="Q17" i="44"/>
  <c r="H19" i="51" s="1"/>
  <c r="E18" i="57" s="1"/>
  <c r="E78" i="57" s="1"/>
  <c r="Q21" i="44"/>
  <c r="H23" i="51" s="1"/>
  <c r="E22" i="57" s="1"/>
  <c r="E82" i="57" s="1"/>
  <c r="Q31" i="44"/>
  <c r="H33" i="51" s="1"/>
  <c r="E32" i="57" s="1"/>
  <c r="E92" i="57" s="1"/>
  <c r="Q35" i="44"/>
  <c r="H37" i="51" s="1"/>
  <c r="E36" i="57" s="1"/>
  <c r="E96" i="57" s="1"/>
  <c r="Q47" i="44"/>
  <c r="H49" i="51" s="1"/>
  <c r="E48" i="57" s="1"/>
  <c r="E108" i="57" s="1"/>
  <c r="Q32" i="44"/>
  <c r="H34" i="51" s="1"/>
  <c r="E33" i="57" s="1"/>
  <c r="E93" i="57" s="1"/>
  <c r="Q18" i="44"/>
  <c r="H20" i="51" s="1"/>
  <c r="E19" i="57" s="1"/>
  <c r="E79" i="57" s="1"/>
  <c r="Q54" i="44"/>
  <c r="H56" i="51" s="1"/>
  <c r="E55" i="57" s="1"/>
  <c r="E115" i="57" s="1"/>
  <c r="Q19" i="44"/>
  <c r="H21" i="51" s="1"/>
  <c r="E20" i="57" s="1"/>
  <c r="E80" i="57" s="1"/>
  <c r="Q15" i="44"/>
  <c r="H17" i="51" s="1"/>
  <c r="E16" i="57" s="1"/>
  <c r="E76" i="57" s="1"/>
  <c r="Q16" i="44"/>
  <c r="H18" i="51" s="1"/>
  <c r="E17" i="57" s="1"/>
  <c r="E77" i="57" s="1"/>
  <c r="Q9" i="44"/>
  <c r="H11" i="51" s="1"/>
  <c r="E10" i="57" s="1"/>
  <c r="E70" i="57" s="1"/>
  <c r="Q24" i="44"/>
  <c r="H26" i="51" s="1"/>
  <c r="E25" i="57" s="1"/>
  <c r="E85" i="57" s="1"/>
  <c r="Q39" i="44"/>
  <c r="H41" i="51" s="1"/>
  <c r="E40" i="57" s="1"/>
  <c r="E100" i="57" s="1"/>
  <c r="Q26" i="44"/>
  <c r="H28" i="51" s="1"/>
  <c r="E27" i="57" s="1"/>
  <c r="E87" i="57" s="1"/>
  <c r="Q41" i="44"/>
  <c r="H43" i="51" s="1"/>
  <c r="E42" i="57" s="1"/>
  <c r="E102" i="57" s="1"/>
  <c r="Q28" i="44"/>
  <c r="H30" i="51" s="1"/>
  <c r="E29" i="57" s="1"/>
  <c r="E89" i="57" s="1"/>
  <c r="Q43" i="44"/>
  <c r="H45" i="51" s="1"/>
  <c r="E44" i="57" s="1"/>
  <c r="E104" i="57" s="1"/>
  <c r="Q7" i="44"/>
  <c r="H9" i="51" s="1"/>
  <c r="E8" i="57" s="1"/>
  <c r="E68" i="57" s="1"/>
  <c r="Q22" i="44"/>
  <c r="H24" i="51" s="1"/>
  <c r="E23" i="57" s="1"/>
  <c r="E83" i="57" s="1"/>
  <c r="Q37" i="44"/>
  <c r="H39" i="51" s="1"/>
  <c r="E38" i="57" s="1"/>
  <c r="E98" i="57" s="1"/>
  <c r="Q36" i="44"/>
  <c r="H38" i="51" s="1"/>
  <c r="E37" i="57" s="1"/>
  <c r="E97" i="57" s="1"/>
  <c r="Q12" i="44"/>
  <c r="H14" i="51" s="1"/>
  <c r="E13" i="57" s="1"/>
  <c r="E73" i="57" s="1"/>
  <c r="Q14" i="44"/>
  <c r="H16" i="51" s="1"/>
  <c r="E15" i="57" s="1"/>
  <c r="E75" i="57" s="1"/>
  <c r="Q40" i="44"/>
  <c r="H42" i="51" s="1"/>
  <c r="E41" i="57" s="1"/>
  <c r="E101" i="57" s="1"/>
  <c r="Q8" i="44"/>
  <c r="H10" i="51" s="1"/>
  <c r="E9" i="57" s="1"/>
  <c r="E69" i="57" s="1"/>
  <c r="Q38" i="44"/>
  <c r="H40" i="51" s="1"/>
  <c r="E39" i="57" s="1"/>
  <c r="E99" i="57" s="1"/>
  <c r="P56" i="44"/>
  <c r="Q45" i="44"/>
  <c r="H47" i="51" s="1"/>
  <c r="E46" i="57" s="1"/>
  <c r="E106" i="57" s="1"/>
  <c r="Q44" i="44"/>
  <c r="H46" i="51" s="1"/>
  <c r="E45" i="57" s="1"/>
  <c r="E105" i="57" s="1"/>
  <c r="Q49" i="44"/>
  <c r="H51" i="51" s="1"/>
  <c r="E50" i="57" s="1"/>
  <c r="E110" i="57" s="1"/>
  <c r="Q48" i="44"/>
  <c r="H50" i="51" s="1"/>
  <c r="E49" i="57" s="1"/>
  <c r="E109" i="57" s="1"/>
  <c r="Q10" i="44"/>
  <c r="H12" i="51" s="1"/>
  <c r="E11" i="57" s="1"/>
  <c r="E71" i="57" s="1"/>
  <c r="Q27" i="44"/>
  <c r="H29" i="51" s="1"/>
  <c r="E28" i="57" s="1"/>
  <c r="E88" i="57" s="1"/>
  <c r="Q52" i="44"/>
  <c r="H54" i="51" s="1"/>
  <c r="E53" i="57" s="1"/>
  <c r="E113" i="57" s="1"/>
  <c r="O56" i="44"/>
  <c r="N56" i="44"/>
  <c r="Q5" i="44"/>
  <c r="H7" i="51" s="1"/>
  <c r="Q42" i="44"/>
  <c r="H44" i="51" s="1"/>
  <c r="E43" i="57" s="1"/>
  <c r="E103" i="57" s="1"/>
  <c r="Q6" i="44"/>
  <c r="H8" i="51" s="1"/>
  <c r="E7" i="57" s="1"/>
  <c r="E67" i="57" s="1"/>
  <c r="Q23" i="44"/>
  <c r="H25" i="51" s="1"/>
  <c r="E24" i="57" s="1"/>
  <c r="E84" i="57" s="1"/>
  <c r="Q50" i="44"/>
  <c r="H52" i="51" s="1"/>
  <c r="E51" i="57" s="1"/>
  <c r="E111" i="57" s="1"/>
  <c r="Q25" i="44"/>
  <c r="H27" i="51" s="1"/>
  <c r="E26" i="57" s="1"/>
  <c r="E86" i="57" s="1"/>
  <c r="Q53" i="44"/>
  <c r="H55" i="51" s="1"/>
  <c r="E54" i="57" s="1"/>
  <c r="E114" i="57" s="1"/>
  <c r="E6" i="57" l="1"/>
  <c r="E57" i="57" s="1"/>
  <c r="H58" i="51"/>
  <c r="Q56" i="44"/>
  <c r="R23" i="44" s="1"/>
  <c r="E66" i="57" l="1"/>
  <c r="E117" i="57" s="1"/>
  <c r="R49" i="44"/>
  <c r="R25" i="44"/>
  <c r="R52" i="44"/>
  <c r="R48" i="44"/>
  <c r="R45" i="44"/>
  <c r="R10" i="44"/>
  <c r="R42" i="44"/>
  <c r="R44" i="44"/>
  <c r="R27" i="44"/>
  <c r="R5" i="44"/>
  <c r="R9" i="44"/>
  <c r="R17" i="44"/>
  <c r="R31" i="44"/>
  <c r="R47" i="44"/>
  <c r="R19" i="44"/>
  <c r="R33" i="44"/>
  <c r="R20" i="44"/>
  <c r="R35" i="44"/>
  <c r="R51" i="44"/>
  <c r="R15" i="44"/>
  <c r="R29" i="44"/>
  <c r="R55" i="44"/>
  <c r="R54" i="44"/>
  <c r="R21" i="44"/>
  <c r="R32" i="44"/>
  <c r="R16" i="44"/>
  <c r="R46" i="44"/>
  <c r="R30" i="44"/>
  <c r="R18" i="44"/>
  <c r="R24" i="44"/>
  <c r="R39" i="44"/>
  <c r="R11" i="44"/>
  <c r="R26" i="44"/>
  <c r="R41" i="44"/>
  <c r="R13" i="44"/>
  <c r="R28" i="44"/>
  <c r="R43" i="44"/>
  <c r="R7" i="44"/>
  <c r="R22" i="44"/>
  <c r="R37" i="44"/>
  <c r="R36" i="44"/>
  <c r="R12" i="44"/>
  <c r="R34" i="44"/>
  <c r="R14" i="44"/>
  <c r="R40" i="44"/>
  <c r="R8" i="44"/>
  <c r="R38" i="44"/>
  <c r="R6" i="44"/>
  <c r="R50" i="44"/>
  <c r="R53" i="44"/>
  <c r="D58" i="1"/>
  <c r="C58" i="1"/>
  <c r="J5" i="36"/>
  <c r="E58" i="36"/>
  <c r="F58" i="36" s="1"/>
  <c r="C58" i="36"/>
  <c r="D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D11" i="36"/>
  <c r="D7" i="36"/>
  <c r="D26" i="36"/>
  <c r="D8" i="36"/>
  <c r="D16" i="36"/>
  <c r="D33" i="36"/>
  <c r="D17" i="36"/>
  <c r="D48" i="36"/>
  <c r="D56" i="36"/>
  <c r="E7" i="1"/>
  <c r="F7" i="1" s="1"/>
  <c r="D47" i="36"/>
  <c r="D51" i="36"/>
  <c r="D55" i="36"/>
  <c r="K58" i="1"/>
  <c r="L10" i="1" s="1"/>
  <c r="M10" i="1" s="1"/>
  <c r="H58" i="1"/>
  <c r="I10" i="1" s="1"/>
  <c r="J10" i="1" s="1"/>
  <c r="D39" i="36" l="1"/>
  <c r="D46" i="36"/>
  <c r="D38" i="36"/>
  <c r="D29" i="36"/>
  <c r="D34" i="36"/>
  <c r="D25" i="36"/>
  <c r="D21" i="36"/>
  <c r="L9" i="1"/>
  <c r="M9" i="1" s="1"/>
  <c r="L13" i="1"/>
  <c r="M13" i="1" s="1"/>
  <c r="L26" i="1"/>
  <c r="M26" i="1" s="1"/>
  <c r="D24" i="36"/>
  <c r="J24" i="36" s="1"/>
  <c r="D43" i="36"/>
  <c r="J43" i="36" s="1"/>
  <c r="D12" i="36"/>
  <c r="J12" i="36" s="1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D50" i="36"/>
  <c r="J50" i="36" s="1"/>
  <c r="D13" i="36"/>
  <c r="J13" i="36" s="1"/>
  <c r="D35" i="36"/>
  <c r="J35" i="36" s="1"/>
  <c r="D30" i="36"/>
  <c r="I24" i="1"/>
  <c r="J24" i="1" s="1"/>
  <c r="L34" i="1"/>
  <c r="M34" i="1" s="1"/>
  <c r="I25" i="1"/>
  <c r="J25" i="1" s="1"/>
  <c r="I51" i="1"/>
  <c r="J51" i="1" s="1"/>
  <c r="D53" i="36"/>
  <c r="J53" i="36" s="1"/>
  <c r="D49" i="36"/>
  <c r="J49" i="36" s="1"/>
  <c r="D52" i="36"/>
  <c r="J52" i="36" s="1"/>
  <c r="D45" i="36"/>
  <c r="J45" i="36" s="1"/>
  <c r="D41" i="36"/>
  <c r="J41" i="36" s="1"/>
  <c r="D54" i="36"/>
  <c r="D42" i="36"/>
  <c r="D36" i="36"/>
  <c r="J36" i="36" s="1"/>
  <c r="D32" i="36"/>
  <c r="J32" i="36" s="1"/>
  <c r="D40" i="36"/>
  <c r="J40" i="36" s="1"/>
  <c r="D31" i="36"/>
  <c r="J31" i="36" s="1"/>
  <c r="D27" i="36"/>
  <c r="J27" i="36" s="1"/>
  <c r="D23" i="36"/>
  <c r="J23" i="36" s="1"/>
  <c r="D19" i="36"/>
  <c r="J19" i="36" s="1"/>
  <c r="D44" i="36"/>
  <c r="J44" i="36" s="1"/>
  <c r="D28" i="36"/>
  <c r="J28" i="36" s="1"/>
  <c r="D20" i="36"/>
  <c r="J20" i="36" s="1"/>
  <c r="D14" i="36"/>
  <c r="D10" i="36"/>
  <c r="D37" i="36"/>
  <c r="J37" i="36" s="1"/>
  <c r="D18" i="36"/>
  <c r="J18" i="36" s="1"/>
  <c r="D9" i="36"/>
  <c r="D15" i="36"/>
  <c r="J15" i="36" s="1"/>
  <c r="D22" i="36"/>
  <c r="J22" i="36" s="1"/>
  <c r="F7" i="36"/>
  <c r="F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I54" i="1"/>
  <c r="J54" i="1" s="1"/>
  <c r="I46" i="1"/>
  <c r="J46" i="1" s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L36" i="1"/>
  <c r="M36" i="1" s="1"/>
  <c r="L32" i="1"/>
  <c r="M32" i="1" s="1"/>
  <c r="L28" i="1"/>
  <c r="M28" i="1" s="1"/>
  <c r="L24" i="1"/>
  <c r="M24" i="1" s="1"/>
  <c r="L20" i="1"/>
  <c r="M20" i="1" s="1"/>
  <c r="L16" i="1"/>
  <c r="M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L49" i="1"/>
  <c r="M49" i="1" s="1"/>
  <c r="L47" i="1"/>
  <c r="M47" i="1" s="1"/>
  <c r="L45" i="1"/>
  <c r="M45" i="1" s="1"/>
  <c r="L43" i="1"/>
  <c r="M43" i="1" s="1"/>
  <c r="L41" i="1"/>
  <c r="M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L42" i="1"/>
  <c r="M42" i="1" s="1"/>
  <c r="N10" i="1"/>
  <c r="R56" i="44"/>
  <c r="F27" i="36"/>
  <c r="F22" i="36"/>
  <c r="F43" i="36"/>
  <c r="F54" i="36"/>
  <c r="F28" i="36"/>
  <c r="F51" i="36"/>
  <c r="F35" i="36"/>
  <c r="F19" i="36"/>
  <c r="F38" i="36"/>
  <c r="F10" i="36"/>
  <c r="F40" i="36"/>
  <c r="F55" i="36"/>
  <c r="F47" i="36"/>
  <c r="F39" i="36"/>
  <c r="F31" i="36"/>
  <c r="F23" i="36"/>
  <c r="F15" i="36"/>
  <c r="F48" i="36"/>
  <c r="F50" i="36"/>
  <c r="F46" i="36"/>
  <c r="F30" i="36"/>
  <c r="F14" i="36"/>
  <c r="F44" i="36"/>
  <c r="F13" i="36"/>
  <c r="F11" i="36"/>
  <c r="F57" i="36"/>
  <c r="F53" i="36"/>
  <c r="F49" i="36"/>
  <c r="F45" i="36"/>
  <c r="F41" i="36"/>
  <c r="F37" i="36"/>
  <c r="F33" i="36"/>
  <c r="F29" i="36"/>
  <c r="F25" i="36"/>
  <c r="F21" i="36"/>
  <c r="F17" i="36"/>
  <c r="F56" i="36"/>
  <c r="F52" i="36"/>
  <c r="F42" i="36"/>
  <c r="F34" i="36"/>
  <c r="F26" i="36"/>
  <c r="F18" i="36"/>
  <c r="F12" i="36"/>
  <c r="F8" i="36"/>
  <c r="F36" i="36"/>
  <c r="F20" i="36"/>
  <c r="F9" i="36"/>
  <c r="F24" i="36"/>
  <c r="F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I43" i="1"/>
  <c r="J43" i="1" s="1"/>
  <c r="I12" i="1"/>
  <c r="J12" i="1" s="1"/>
  <c r="I21" i="1"/>
  <c r="J21" i="1" s="1"/>
  <c r="I29" i="1"/>
  <c r="J29" i="1" s="1"/>
  <c r="I37" i="1"/>
  <c r="J37" i="1" s="1"/>
  <c r="I45" i="1"/>
  <c r="J45" i="1" s="1"/>
  <c r="I49" i="1"/>
  <c r="J49" i="1" s="1"/>
  <c r="I53" i="1"/>
  <c r="J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J55" i="36"/>
  <c r="J34" i="36"/>
  <c r="J47" i="36"/>
  <c r="J10" i="36"/>
  <c r="J26" i="36"/>
  <c r="J42" i="36"/>
  <c r="J7" i="36"/>
  <c r="J39" i="36"/>
  <c r="AB5" i="1"/>
  <c r="J57" i="36"/>
  <c r="J33" i="36"/>
  <c r="J29" i="36"/>
  <c r="J25" i="36"/>
  <c r="J21" i="36"/>
  <c r="J17" i="36"/>
  <c r="J56" i="36"/>
  <c r="J48" i="36"/>
  <c r="J16" i="36"/>
  <c r="J8" i="36"/>
  <c r="K5" i="36"/>
  <c r="L5" i="36"/>
  <c r="J14" i="36"/>
  <c r="J30" i="36"/>
  <c r="J38" i="36"/>
  <c r="J46" i="36"/>
  <c r="J54" i="36"/>
  <c r="J11" i="36"/>
  <c r="J51" i="36"/>
  <c r="E58" i="1"/>
  <c r="F58" i="1"/>
  <c r="G7" i="1" s="1"/>
  <c r="N13" i="1" l="1"/>
  <c r="N24" i="1"/>
  <c r="N9" i="1"/>
  <c r="N41" i="1"/>
  <c r="N39" i="1"/>
  <c r="N29" i="1"/>
  <c r="N28" i="1"/>
  <c r="N20" i="1"/>
  <c r="N25" i="1"/>
  <c r="N51" i="1"/>
  <c r="N40" i="1"/>
  <c r="N16" i="1"/>
  <c r="N53" i="1"/>
  <c r="N38" i="1"/>
  <c r="N17" i="1"/>
  <c r="N12" i="1"/>
  <c r="N22" i="1"/>
  <c r="N11" i="1"/>
  <c r="N33" i="1"/>
  <c r="N34" i="1"/>
  <c r="N23" i="1"/>
  <c r="N56" i="1"/>
  <c r="N46" i="1"/>
  <c r="N48" i="1"/>
  <c r="D58" i="36"/>
  <c r="J9" i="36"/>
  <c r="N8" i="1"/>
  <c r="N45" i="1"/>
  <c r="N14" i="1"/>
  <c r="N42" i="1"/>
  <c r="N31" i="1"/>
  <c r="N44" i="1"/>
  <c r="N18" i="1"/>
  <c r="G50" i="1"/>
  <c r="AB50" i="1" s="1"/>
  <c r="G48" i="1"/>
  <c r="AB48" i="1" s="1"/>
  <c r="G39" i="1"/>
  <c r="AB39" i="1" s="1"/>
  <c r="G33" i="1"/>
  <c r="AB33" i="1" s="1"/>
  <c r="G31" i="1"/>
  <c r="AB31" i="1" s="1"/>
  <c r="G27" i="1"/>
  <c r="AB27" i="1" s="1"/>
  <c r="G43" i="1"/>
  <c r="AB43" i="1" s="1"/>
  <c r="N32" i="1"/>
  <c r="N55" i="1"/>
  <c r="N43" i="1"/>
  <c r="N35" i="1"/>
  <c r="N27" i="1"/>
  <c r="N19" i="1"/>
  <c r="N36" i="1"/>
  <c r="G25" i="1"/>
  <c r="AB25" i="1" s="1"/>
  <c r="G17" i="1"/>
  <c r="AB17" i="1" s="1"/>
  <c r="G15" i="1"/>
  <c r="AB15" i="1" s="1"/>
  <c r="G10" i="1"/>
  <c r="AB10" i="1" s="1"/>
  <c r="G8" i="1"/>
  <c r="AB8" i="1" s="1"/>
  <c r="G51" i="1"/>
  <c r="AB51" i="1" s="1"/>
  <c r="G49" i="1"/>
  <c r="AB49" i="1" s="1"/>
  <c r="G45" i="1"/>
  <c r="AB45" i="1" s="1"/>
  <c r="G40" i="1"/>
  <c r="AB40" i="1" s="1"/>
  <c r="G34" i="1"/>
  <c r="AB34" i="1" s="1"/>
  <c r="G32" i="1"/>
  <c r="AB32" i="1" s="1"/>
  <c r="G28" i="1"/>
  <c r="AB28" i="1" s="1"/>
  <c r="G26" i="1"/>
  <c r="AB26" i="1" s="1"/>
  <c r="G18" i="1"/>
  <c r="AB18" i="1" s="1"/>
  <c r="G16" i="1"/>
  <c r="AB16" i="1" s="1"/>
  <c r="G13" i="1"/>
  <c r="AB13" i="1" s="1"/>
  <c r="G9" i="1"/>
  <c r="AB9" i="1" s="1"/>
  <c r="N54" i="1"/>
  <c r="N47" i="1"/>
  <c r="M58" i="1"/>
  <c r="N52" i="1"/>
  <c r="N57" i="1"/>
  <c r="N49" i="1"/>
  <c r="N37" i="1"/>
  <c r="N21" i="1"/>
  <c r="J7" i="1"/>
  <c r="I58" i="1"/>
  <c r="AD5" i="1"/>
  <c r="AC5" i="1"/>
  <c r="J58" i="36"/>
  <c r="K13" i="36"/>
  <c r="K50" i="36"/>
  <c r="K9" i="36"/>
  <c r="K8" i="36"/>
  <c r="K12" i="36"/>
  <c r="K20" i="36"/>
  <c r="K54" i="36"/>
  <c r="K56" i="36"/>
  <c r="K15" i="36"/>
  <c r="K17" i="36"/>
  <c r="K19" i="36"/>
  <c r="K21" i="36"/>
  <c r="K23" i="36"/>
  <c r="K25" i="36"/>
  <c r="K27" i="36"/>
  <c r="K29" i="36"/>
  <c r="K31" i="36"/>
  <c r="K33" i="36"/>
  <c r="K35" i="36"/>
  <c r="K37" i="36"/>
  <c r="K39" i="36"/>
  <c r="K41" i="36"/>
  <c r="K43" i="36"/>
  <c r="K45" i="36"/>
  <c r="K47" i="36"/>
  <c r="K49" i="36"/>
  <c r="K51" i="36"/>
  <c r="K53" i="36"/>
  <c r="K55" i="36"/>
  <c r="K57" i="36"/>
  <c r="K28" i="36"/>
  <c r="K36" i="36"/>
  <c r="K44" i="36"/>
  <c r="K18" i="36"/>
  <c r="K22" i="36"/>
  <c r="K26" i="36"/>
  <c r="K30" i="36"/>
  <c r="K34" i="36"/>
  <c r="K38" i="36"/>
  <c r="K42" i="36"/>
  <c r="K46" i="36"/>
  <c r="K48" i="36"/>
  <c r="K52" i="36"/>
  <c r="K7" i="36"/>
  <c r="K10" i="36"/>
  <c r="K32" i="36"/>
  <c r="K16" i="36"/>
  <c r="K24" i="36"/>
  <c r="K40" i="36"/>
  <c r="K11" i="36"/>
  <c r="K14" i="36"/>
  <c r="AB7" i="1"/>
  <c r="G57" i="1"/>
  <c r="AB57" i="1" s="1"/>
  <c r="G37" i="1"/>
  <c r="AB37" i="1" s="1"/>
  <c r="G53" i="1"/>
  <c r="AB53" i="1" s="1"/>
  <c r="G21" i="1"/>
  <c r="AB21" i="1" s="1"/>
  <c r="G38" i="1"/>
  <c r="AB38" i="1" s="1"/>
  <c r="G54" i="1"/>
  <c r="AB54" i="1" s="1"/>
  <c r="G42" i="1"/>
  <c r="AB42" i="1" s="1"/>
  <c r="G23" i="1"/>
  <c r="AB23" i="1" s="1"/>
  <c r="G55" i="1"/>
  <c r="AB55" i="1" s="1"/>
  <c r="G46" i="1"/>
  <c r="AB46" i="1" s="1"/>
  <c r="G36" i="1"/>
  <c r="AB36" i="1" s="1"/>
  <c r="G29" i="1"/>
  <c r="AB29" i="1" s="1"/>
  <c r="G14" i="1"/>
  <c r="AB14" i="1" s="1"/>
  <c r="G44" i="1"/>
  <c r="AB44" i="1" s="1"/>
  <c r="G30" i="1"/>
  <c r="AB30" i="1" s="1"/>
  <c r="G20" i="1"/>
  <c r="AB20" i="1" s="1"/>
  <c r="G41" i="1"/>
  <c r="AB41" i="1" s="1"/>
  <c r="G19" i="1"/>
  <c r="AB19" i="1" s="1"/>
  <c r="G22" i="1"/>
  <c r="AB22" i="1" s="1"/>
  <c r="G12" i="1"/>
  <c r="AB12" i="1" s="1"/>
  <c r="G56" i="1"/>
  <c r="AB56" i="1" s="1"/>
  <c r="G52" i="1"/>
  <c r="AB52" i="1" s="1"/>
  <c r="G47" i="1"/>
  <c r="AB47" i="1" s="1"/>
  <c r="G11" i="1"/>
  <c r="AB11" i="1" s="1"/>
  <c r="G24" i="1"/>
  <c r="AB24" i="1" s="1"/>
  <c r="G35" i="1"/>
  <c r="AB35" i="1" s="1"/>
  <c r="X18" i="1" l="1"/>
  <c r="X30" i="1"/>
  <c r="X42" i="1"/>
  <c r="X54" i="1"/>
  <c r="U15" i="1"/>
  <c r="U27" i="1"/>
  <c r="U39" i="1"/>
  <c r="U51" i="1"/>
  <c r="X33" i="1"/>
  <c r="Y33" i="1" s="1"/>
  <c r="X57" i="1"/>
  <c r="U30" i="1"/>
  <c r="U54" i="1"/>
  <c r="X10" i="1"/>
  <c r="X46" i="1"/>
  <c r="U19" i="1"/>
  <c r="U55" i="1"/>
  <c r="X36" i="1"/>
  <c r="U33" i="1"/>
  <c r="U48" i="1"/>
  <c r="X16" i="1"/>
  <c r="X52" i="1"/>
  <c r="U50" i="1"/>
  <c r="X19" i="1"/>
  <c r="X31" i="1"/>
  <c r="X43" i="1"/>
  <c r="X55" i="1"/>
  <c r="U16" i="1"/>
  <c r="U28" i="1"/>
  <c r="U40" i="1"/>
  <c r="U52" i="1"/>
  <c r="X22" i="1"/>
  <c r="X7" i="1"/>
  <c r="U43" i="1"/>
  <c r="X23" i="1"/>
  <c r="X35" i="1"/>
  <c r="X47" i="1"/>
  <c r="U8" i="1"/>
  <c r="U20" i="1"/>
  <c r="U32" i="1"/>
  <c r="U44" i="1"/>
  <c r="U56" i="1"/>
  <c r="X12" i="1"/>
  <c r="X48" i="1"/>
  <c r="U45" i="1"/>
  <c r="X26" i="1"/>
  <c r="Y26" i="1" s="1"/>
  <c r="U23" i="1"/>
  <c r="X15" i="1"/>
  <c r="Y15" i="1" s="1"/>
  <c r="U12" i="1"/>
  <c r="U49" i="1"/>
  <c r="X41" i="1"/>
  <c r="U14" i="1"/>
  <c r="X8" i="1"/>
  <c r="X20" i="1"/>
  <c r="X32" i="1"/>
  <c r="X44" i="1"/>
  <c r="X56" i="1"/>
  <c r="U17" i="1"/>
  <c r="U29" i="1"/>
  <c r="U41" i="1"/>
  <c r="U53" i="1"/>
  <c r="X9" i="1"/>
  <c r="X21" i="1"/>
  <c r="X45" i="1"/>
  <c r="U18" i="1"/>
  <c r="U42" i="1"/>
  <c r="X34" i="1"/>
  <c r="U31" i="1"/>
  <c r="X24" i="1"/>
  <c r="U21" i="1"/>
  <c r="X38" i="1"/>
  <c r="X40" i="1"/>
  <c r="U25" i="1"/>
  <c r="X17" i="1"/>
  <c r="U26" i="1"/>
  <c r="X11" i="1"/>
  <c r="U57" i="1"/>
  <c r="U11" i="1"/>
  <c r="U47" i="1"/>
  <c r="X51" i="1"/>
  <c r="U36" i="1"/>
  <c r="U9" i="1"/>
  <c r="X50" i="1"/>
  <c r="X28" i="1"/>
  <c r="U13" i="1"/>
  <c r="X13" i="1"/>
  <c r="X25" i="1"/>
  <c r="X37" i="1"/>
  <c r="X49" i="1"/>
  <c r="U10" i="1"/>
  <c r="U22" i="1"/>
  <c r="U34" i="1"/>
  <c r="U46" i="1"/>
  <c r="U7" i="1"/>
  <c r="X39" i="1"/>
  <c r="Y39" i="1" s="1"/>
  <c r="U24" i="1"/>
  <c r="U38" i="1"/>
  <c r="X14" i="1"/>
  <c r="U35" i="1"/>
  <c r="X27" i="1"/>
  <c r="U37" i="1"/>
  <c r="X29" i="1"/>
  <c r="X53" i="1"/>
  <c r="AC36" i="1"/>
  <c r="N7" i="1"/>
  <c r="N58" i="1" s="1"/>
  <c r="J58" i="1"/>
  <c r="AC54" i="1"/>
  <c r="AC16" i="1"/>
  <c r="AC53" i="1"/>
  <c r="AC24" i="1"/>
  <c r="AC12" i="1"/>
  <c r="AC35" i="1"/>
  <c r="AC48" i="1"/>
  <c r="AC9" i="1"/>
  <c r="AC26" i="1"/>
  <c r="AC15" i="1"/>
  <c r="AC46" i="1"/>
  <c r="AC47" i="1"/>
  <c r="AC21" i="1"/>
  <c r="AC11" i="1"/>
  <c r="AC38" i="1"/>
  <c r="AC34" i="1"/>
  <c r="AC10" i="1"/>
  <c r="AC40" i="1"/>
  <c r="AC22" i="1"/>
  <c r="AC50" i="1"/>
  <c r="AC43" i="1"/>
  <c r="AC8" i="1"/>
  <c r="AC25" i="1"/>
  <c r="AC17" i="1"/>
  <c r="AC51" i="1"/>
  <c r="AC39" i="1"/>
  <c r="AC27" i="1"/>
  <c r="AC30" i="1"/>
  <c r="AC45" i="1"/>
  <c r="AC42" i="1"/>
  <c r="AC19" i="1"/>
  <c r="AC32" i="1"/>
  <c r="AC41" i="1"/>
  <c r="AC20" i="1"/>
  <c r="AC52" i="1"/>
  <c r="AC37" i="1"/>
  <c r="AC44" i="1"/>
  <c r="AC56" i="1"/>
  <c r="AC29" i="1"/>
  <c r="AC55" i="1"/>
  <c r="AC18" i="1"/>
  <c r="AC14" i="1"/>
  <c r="AC49" i="1"/>
  <c r="AC57" i="1"/>
  <c r="AC28" i="1"/>
  <c r="AC23" i="1"/>
  <c r="AC31" i="1"/>
  <c r="AC13" i="1"/>
  <c r="AC33" i="1"/>
  <c r="K58" i="36"/>
  <c r="G58" i="1"/>
  <c r="AB58" i="1"/>
  <c r="Y32" i="1" l="1"/>
  <c r="Y35" i="1"/>
  <c r="Y57" i="1"/>
  <c r="Y56" i="1"/>
  <c r="Y40" i="1"/>
  <c r="Y44" i="1"/>
  <c r="Y19" i="1"/>
  <c r="Y20" i="1"/>
  <c r="Y52" i="1"/>
  <c r="Y16" i="1"/>
  <c r="Y28" i="1"/>
  <c r="Y47" i="1"/>
  <c r="Y31" i="1"/>
  <c r="Y51" i="1"/>
  <c r="Y48" i="1"/>
  <c r="Y14" i="1"/>
  <c r="Y50" i="1"/>
  <c r="Y38" i="1"/>
  <c r="Y27" i="1"/>
  <c r="Y37" i="1"/>
  <c r="Y10" i="1"/>
  <c r="Y18" i="1"/>
  <c r="U58" i="1"/>
  <c r="Y24" i="1"/>
  <c r="X58" i="1"/>
  <c r="Y7" i="1"/>
  <c r="Y22" i="1"/>
  <c r="Y53" i="1"/>
  <c r="Y34" i="1"/>
  <c r="Y12" i="1"/>
  <c r="Y23" i="1"/>
  <c r="Y29" i="1"/>
  <c r="Y36" i="1"/>
  <c r="Y49" i="1"/>
  <c r="Y8" i="1"/>
  <c r="Y54" i="1"/>
  <c r="Y11" i="1"/>
  <c r="Y45" i="1"/>
  <c r="Y42" i="1"/>
  <c r="Y25" i="1"/>
  <c r="Y21" i="1"/>
  <c r="Y41" i="1"/>
  <c r="Y55" i="1"/>
  <c r="Y46" i="1"/>
  <c r="Y30" i="1"/>
  <c r="Y13" i="1"/>
  <c r="Y17" i="1"/>
  <c r="Y9" i="1"/>
  <c r="Y43" i="1"/>
  <c r="AC7" i="1"/>
  <c r="AC58" i="1" s="1"/>
  <c r="Y58" i="1" l="1"/>
  <c r="Z36" i="1" s="1"/>
  <c r="AD36" i="1" s="1"/>
  <c r="AE36" i="1" s="1"/>
  <c r="Z11" i="1" l="1"/>
  <c r="AD11" i="1" s="1"/>
  <c r="AE11" i="1" s="1"/>
  <c r="Z49" i="1"/>
  <c r="AD49" i="1" s="1"/>
  <c r="AE49" i="1" s="1"/>
  <c r="Z21" i="1"/>
  <c r="AD21" i="1" s="1"/>
  <c r="AE21" i="1" s="1"/>
  <c r="Z23" i="1"/>
  <c r="AD23" i="1" s="1"/>
  <c r="AE23" i="1" s="1"/>
  <c r="Z25" i="1"/>
  <c r="AD25" i="1" s="1"/>
  <c r="AE25" i="1" s="1"/>
  <c r="Z24" i="1"/>
  <c r="AD24" i="1" s="1"/>
  <c r="AE24" i="1" s="1"/>
  <c r="Z9" i="1"/>
  <c r="AD9" i="1" s="1"/>
  <c r="AE9" i="1" s="1"/>
  <c r="Z53" i="1"/>
  <c r="AD53" i="1" s="1"/>
  <c r="AE53" i="1" s="1"/>
  <c r="Z41" i="1"/>
  <c r="AD41" i="1" s="1"/>
  <c r="AE41" i="1" s="1"/>
  <c r="Z8" i="1"/>
  <c r="AD8" i="1" s="1"/>
  <c r="AE8" i="1" s="1"/>
  <c r="Z29" i="1"/>
  <c r="AD29" i="1" s="1"/>
  <c r="AE29" i="1" s="1"/>
  <c r="Z43" i="1"/>
  <c r="AD43" i="1" s="1"/>
  <c r="AE43" i="1" s="1"/>
  <c r="Z34" i="1"/>
  <c r="AD34" i="1" s="1"/>
  <c r="AE34" i="1" s="1"/>
  <c r="Z54" i="1"/>
  <c r="AD54" i="1" s="1"/>
  <c r="AE54" i="1" s="1"/>
  <c r="Z46" i="1"/>
  <c r="AD46" i="1" s="1"/>
  <c r="AE46" i="1" s="1"/>
  <c r="Z12" i="1"/>
  <c r="AD12" i="1" s="1"/>
  <c r="AE12" i="1" s="1"/>
  <c r="Z30" i="1"/>
  <c r="AD30" i="1" s="1"/>
  <c r="AE30" i="1" s="1"/>
  <c r="Z45" i="1"/>
  <c r="AD45" i="1" s="1"/>
  <c r="AE45" i="1" s="1"/>
  <c r="Z7" i="1"/>
  <c r="Z13" i="1"/>
  <c r="AD13" i="1" s="1"/>
  <c r="AE13" i="1" s="1"/>
  <c r="Z42" i="1"/>
  <c r="AD42" i="1" s="1"/>
  <c r="AE42" i="1" s="1"/>
  <c r="Z47" i="1"/>
  <c r="AD47" i="1" s="1"/>
  <c r="AE47" i="1" s="1"/>
  <c r="Z31" i="1"/>
  <c r="AD31" i="1" s="1"/>
  <c r="AE31" i="1" s="1"/>
  <c r="Z40" i="1"/>
  <c r="AD40" i="1" s="1"/>
  <c r="AE40" i="1" s="1"/>
  <c r="Z15" i="1"/>
  <c r="AD15" i="1" s="1"/>
  <c r="AE15" i="1" s="1"/>
  <c r="Z38" i="1"/>
  <c r="AD38" i="1" s="1"/>
  <c r="AE38" i="1" s="1"/>
  <c r="Z27" i="1"/>
  <c r="AD27" i="1" s="1"/>
  <c r="AE27" i="1" s="1"/>
  <c r="Z35" i="1"/>
  <c r="AD35" i="1" s="1"/>
  <c r="AE35" i="1" s="1"/>
  <c r="Z50" i="1"/>
  <c r="AD50" i="1" s="1"/>
  <c r="AE50" i="1" s="1"/>
  <c r="Z52" i="1"/>
  <c r="AD52" i="1" s="1"/>
  <c r="AE52" i="1" s="1"/>
  <c r="Z39" i="1"/>
  <c r="AD39" i="1" s="1"/>
  <c r="AE39" i="1" s="1"/>
  <c r="Z28" i="1"/>
  <c r="AD28" i="1" s="1"/>
  <c r="AE28" i="1" s="1"/>
  <c r="Z16" i="1"/>
  <c r="AD16" i="1" s="1"/>
  <c r="AE16" i="1" s="1"/>
  <c r="Z37" i="1"/>
  <c r="AD37" i="1" s="1"/>
  <c r="AE37" i="1" s="1"/>
  <c r="Z33" i="1"/>
  <c r="AD33" i="1" s="1"/>
  <c r="AE33" i="1" s="1"/>
  <c r="Z26" i="1"/>
  <c r="AD26" i="1" s="1"/>
  <c r="AE26" i="1" s="1"/>
  <c r="Z10" i="1"/>
  <c r="AD10" i="1" s="1"/>
  <c r="AE10" i="1" s="1"/>
  <c r="Z32" i="1"/>
  <c r="AD32" i="1" s="1"/>
  <c r="AE32" i="1" s="1"/>
  <c r="Z19" i="1"/>
  <c r="AD19" i="1" s="1"/>
  <c r="AE19" i="1" s="1"/>
  <c r="Z18" i="1"/>
  <c r="AD18" i="1" s="1"/>
  <c r="AE18" i="1" s="1"/>
  <c r="Z57" i="1"/>
  <c r="AD57" i="1" s="1"/>
  <c r="AE57" i="1" s="1"/>
  <c r="Z14" i="1"/>
  <c r="AD14" i="1" s="1"/>
  <c r="AE14" i="1" s="1"/>
  <c r="Z56" i="1"/>
  <c r="AD56" i="1" s="1"/>
  <c r="AE56" i="1" s="1"/>
  <c r="Z51" i="1"/>
  <c r="AD51" i="1" s="1"/>
  <c r="AE51" i="1" s="1"/>
  <c r="Z44" i="1"/>
  <c r="AD44" i="1" s="1"/>
  <c r="AE44" i="1" s="1"/>
  <c r="Z20" i="1"/>
  <c r="AD20" i="1" s="1"/>
  <c r="AE20" i="1" s="1"/>
  <c r="Z48" i="1"/>
  <c r="AD48" i="1" s="1"/>
  <c r="AE48" i="1" s="1"/>
  <c r="Z22" i="1"/>
  <c r="AD22" i="1" s="1"/>
  <c r="AE22" i="1" s="1"/>
  <c r="Z55" i="1"/>
  <c r="AD55" i="1" s="1"/>
  <c r="AE55" i="1" s="1"/>
  <c r="Z17" i="1"/>
  <c r="AD17" i="1" s="1"/>
  <c r="AE17" i="1" s="1"/>
  <c r="AD7" i="1" l="1"/>
  <c r="Z58" i="1"/>
  <c r="AD58" i="1" l="1"/>
  <c r="AE7" i="1"/>
  <c r="AE58" i="1" l="1"/>
  <c r="AF7" i="1" l="1"/>
  <c r="AF31" i="1"/>
  <c r="AF57" i="1"/>
  <c r="AF24" i="1"/>
  <c r="AF27" i="1"/>
  <c r="AF32" i="1"/>
  <c r="AF40" i="1"/>
  <c r="AF28" i="1"/>
  <c r="AF35" i="1"/>
  <c r="AF8" i="1"/>
  <c r="AF52" i="1"/>
  <c r="AF48" i="1"/>
  <c r="AF56" i="1"/>
  <c r="AF19" i="1"/>
  <c r="AF46" i="1"/>
  <c r="AF53" i="1"/>
  <c r="AF39" i="1"/>
  <c r="AF13" i="1"/>
  <c r="AF43" i="1"/>
  <c r="AF10" i="1"/>
  <c r="AF38" i="1"/>
  <c r="AF36" i="1"/>
  <c r="AF41" i="1"/>
  <c r="AF45" i="1"/>
  <c r="AF23" i="1"/>
  <c r="AF15" i="1"/>
  <c r="AF55" i="1"/>
  <c r="AF18" i="1"/>
  <c r="AF37" i="1"/>
  <c r="AF34" i="1"/>
  <c r="AF49" i="1"/>
  <c r="AF51" i="1"/>
  <c r="AF26" i="1"/>
  <c r="AF29" i="1"/>
  <c r="AF16" i="1"/>
  <c r="AF14" i="1"/>
  <c r="AF11" i="1"/>
  <c r="AF30" i="1"/>
  <c r="AF17" i="1"/>
  <c r="AF20" i="1"/>
  <c r="AF12" i="1"/>
  <c r="AF25" i="1"/>
  <c r="AF22" i="1"/>
  <c r="AF54" i="1"/>
  <c r="AF44" i="1"/>
  <c r="AF47" i="1"/>
  <c r="AF33" i="1"/>
  <c r="AF50" i="1"/>
  <c r="AF42" i="1"/>
  <c r="AF21" i="1"/>
  <c r="AF9" i="1"/>
  <c r="E50" i="52" l="1"/>
  <c r="F50" i="52"/>
  <c r="G50" i="52"/>
  <c r="D50" i="52"/>
  <c r="C50" i="52"/>
  <c r="G49" i="52"/>
  <c r="E49" i="52"/>
  <c r="F49" i="52"/>
  <c r="C49" i="52"/>
  <c r="D49" i="52"/>
  <c r="E32" i="52"/>
  <c r="G32" i="52"/>
  <c r="F32" i="52"/>
  <c r="C32" i="52"/>
  <c r="D32" i="52"/>
  <c r="E46" i="52"/>
  <c r="J47" i="51" s="1"/>
  <c r="F46" i="57" s="1"/>
  <c r="F106" i="57" s="1"/>
  <c r="F46" i="52"/>
  <c r="G46" i="52"/>
  <c r="C46" i="52"/>
  <c r="D46" i="52"/>
  <c r="G43" i="52"/>
  <c r="F43" i="52"/>
  <c r="E43" i="52"/>
  <c r="C43" i="52"/>
  <c r="D43" i="52"/>
  <c r="E51" i="52"/>
  <c r="G51" i="52"/>
  <c r="F51" i="52"/>
  <c r="C51" i="52"/>
  <c r="D52" i="51" s="1"/>
  <c r="C51" i="57" s="1"/>
  <c r="D51" i="52"/>
  <c r="E45" i="52"/>
  <c r="J46" i="51" s="1"/>
  <c r="F45" i="57" s="1"/>
  <c r="F105" i="57" s="1"/>
  <c r="F45" i="52"/>
  <c r="L46" i="51" s="1"/>
  <c r="G45" i="57" s="1"/>
  <c r="G105" i="57" s="1"/>
  <c r="G45" i="52"/>
  <c r="C45" i="52"/>
  <c r="D45" i="52"/>
  <c r="E55" i="52"/>
  <c r="F55" i="52"/>
  <c r="G55" i="52"/>
  <c r="C55" i="52"/>
  <c r="D55" i="52"/>
  <c r="E53" i="52"/>
  <c r="F53" i="52"/>
  <c r="G53" i="52"/>
  <c r="D53" i="52"/>
  <c r="C53" i="52"/>
  <c r="D54" i="51" s="1"/>
  <c r="C53" i="57" s="1"/>
  <c r="F21" i="52"/>
  <c r="G21" i="52"/>
  <c r="N22" i="51" s="1"/>
  <c r="H21" i="57" s="1"/>
  <c r="H81" i="57" s="1"/>
  <c r="E21" i="52"/>
  <c r="J22" i="51" s="1"/>
  <c r="F21" i="57" s="1"/>
  <c r="F81" i="57" s="1"/>
  <c r="D21" i="52"/>
  <c r="C21" i="52"/>
  <c r="F24" i="52"/>
  <c r="E24" i="52"/>
  <c r="G24" i="52"/>
  <c r="C24" i="52"/>
  <c r="D24" i="52"/>
  <c r="E39" i="52"/>
  <c r="F39" i="52"/>
  <c r="G39" i="52"/>
  <c r="C39" i="52"/>
  <c r="D39" i="52"/>
  <c r="E48" i="52"/>
  <c r="F48" i="52"/>
  <c r="G48" i="52"/>
  <c r="D48" i="52"/>
  <c r="F49" i="51" s="1"/>
  <c r="D48" i="57" s="1"/>
  <c r="D108" i="57" s="1"/>
  <c r="C48" i="52"/>
  <c r="E18" i="52"/>
  <c r="F18" i="52"/>
  <c r="G18" i="52"/>
  <c r="C18" i="52"/>
  <c r="D18" i="52"/>
  <c r="E36" i="52"/>
  <c r="F36" i="52"/>
  <c r="G36" i="52"/>
  <c r="C36" i="52"/>
  <c r="D36" i="52"/>
  <c r="G17" i="52"/>
  <c r="E17" i="52"/>
  <c r="F17" i="52"/>
  <c r="D17" i="52"/>
  <c r="F18" i="51" s="1"/>
  <c r="D17" i="57" s="1"/>
  <c r="D77" i="57" s="1"/>
  <c r="C17" i="52"/>
  <c r="D18" i="51" s="1"/>
  <c r="C17" i="57" s="1"/>
  <c r="G54" i="52"/>
  <c r="F54" i="52"/>
  <c r="E54" i="52"/>
  <c r="C54" i="52"/>
  <c r="D54" i="52"/>
  <c r="E14" i="52"/>
  <c r="F14" i="52"/>
  <c r="G14" i="52"/>
  <c r="C14" i="52"/>
  <c r="D14" i="52"/>
  <c r="E11" i="52"/>
  <c r="G11" i="52"/>
  <c r="F11" i="52"/>
  <c r="D11" i="52"/>
  <c r="C11" i="52"/>
  <c r="D12" i="51" s="1"/>
  <c r="C11" i="57" s="1"/>
  <c r="E34" i="52"/>
  <c r="J35" i="51" s="1"/>
  <c r="F34" i="57" s="1"/>
  <c r="F94" i="57" s="1"/>
  <c r="F34" i="52"/>
  <c r="G34" i="52"/>
  <c r="C34" i="52"/>
  <c r="D34" i="52"/>
  <c r="F44" i="52"/>
  <c r="G44" i="52"/>
  <c r="E44" i="52"/>
  <c r="C44" i="52"/>
  <c r="D44" i="52"/>
  <c r="E16" i="52"/>
  <c r="F16" i="52"/>
  <c r="G16" i="52"/>
  <c r="D16" i="52"/>
  <c r="C16" i="52"/>
  <c r="D17" i="51" s="1"/>
  <c r="C16" i="57" s="1"/>
  <c r="G35" i="52"/>
  <c r="N36" i="51" s="1"/>
  <c r="H35" i="57" s="1"/>
  <c r="H95" i="57" s="1"/>
  <c r="E35" i="52"/>
  <c r="J36" i="51" s="1"/>
  <c r="F35" i="57" s="1"/>
  <c r="F95" i="57" s="1"/>
  <c r="F35" i="52"/>
  <c r="C35" i="52"/>
  <c r="D35" i="52"/>
  <c r="G26" i="52"/>
  <c r="E26" i="52"/>
  <c r="F26" i="52"/>
  <c r="C26" i="52"/>
  <c r="D26" i="52"/>
  <c r="F12" i="52"/>
  <c r="G12" i="52"/>
  <c r="E12" i="52"/>
  <c r="D12" i="52"/>
  <c r="C12" i="52"/>
  <c r="E52" i="52"/>
  <c r="F52" i="52"/>
  <c r="L53" i="51" s="1"/>
  <c r="G52" i="57" s="1"/>
  <c r="G112" i="57" s="1"/>
  <c r="G52" i="52"/>
  <c r="N53" i="51" s="1"/>
  <c r="H52" i="57" s="1"/>
  <c r="H112" i="57" s="1"/>
  <c r="D52" i="52"/>
  <c r="C52" i="52"/>
  <c r="G33" i="52"/>
  <c r="E33" i="52"/>
  <c r="F33" i="52"/>
  <c r="D33" i="52"/>
  <c r="C33" i="52"/>
  <c r="E47" i="52"/>
  <c r="F47" i="52"/>
  <c r="G47" i="52"/>
  <c r="D47" i="52"/>
  <c r="C47" i="52"/>
  <c r="E7" i="52"/>
  <c r="F7" i="52"/>
  <c r="G7" i="52"/>
  <c r="N8" i="51" s="1"/>
  <c r="H7" i="57" s="1"/>
  <c r="H67" i="57" s="1"/>
  <c r="D7" i="52"/>
  <c r="F8" i="51" s="1"/>
  <c r="D7" i="57" s="1"/>
  <c r="D67" i="57" s="1"/>
  <c r="C7" i="52"/>
  <c r="F22" i="52"/>
  <c r="E22" i="52"/>
  <c r="G22" i="52"/>
  <c r="D22" i="52"/>
  <c r="C22" i="52"/>
  <c r="F19" i="52"/>
  <c r="G19" i="52"/>
  <c r="E19" i="52"/>
  <c r="D19" i="52"/>
  <c r="C19" i="52"/>
  <c r="D20" i="51" s="1"/>
  <c r="C19" i="57" s="1"/>
  <c r="G27" i="52"/>
  <c r="E27" i="52"/>
  <c r="F27" i="52"/>
  <c r="D27" i="52"/>
  <c r="F28" i="51" s="1"/>
  <c r="D27" i="57" s="1"/>
  <c r="D87" i="57" s="1"/>
  <c r="C27" i="52"/>
  <c r="D28" i="51" s="1"/>
  <c r="C27" i="57" s="1"/>
  <c r="F40" i="52"/>
  <c r="G40" i="52"/>
  <c r="E40" i="52"/>
  <c r="C40" i="52"/>
  <c r="D40" i="52"/>
  <c r="E29" i="52"/>
  <c r="F29" i="52"/>
  <c r="G29" i="52"/>
  <c r="C29" i="52"/>
  <c r="D29" i="52"/>
  <c r="G31" i="52"/>
  <c r="E31" i="52"/>
  <c r="F31" i="52"/>
  <c r="C31" i="52"/>
  <c r="D32" i="51" s="1"/>
  <c r="C31" i="57" s="1"/>
  <c r="D31" i="52"/>
  <c r="E10" i="52"/>
  <c r="J11" i="51" s="1"/>
  <c r="F10" i="57" s="1"/>
  <c r="F70" i="57" s="1"/>
  <c r="F10" i="52"/>
  <c r="G10" i="52"/>
  <c r="D10" i="52"/>
  <c r="C10" i="52"/>
  <c r="G37" i="52"/>
  <c r="E37" i="52"/>
  <c r="F37" i="52"/>
  <c r="D37" i="52"/>
  <c r="C37" i="52"/>
  <c r="E13" i="52"/>
  <c r="G13" i="52"/>
  <c r="F13" i="52"/>
  <c r="D13" i="52"/>
  <c r="C13" i="52"/>
  <c r="D14" i="51" s="1"/>
  <c r="C13" i="57" s="1"/>
  <c r="E9" i="52"/>
  <c r="J10" i="51" s="1"/>
  <c r="F9" i="57" s="1"/>
  <c r="F69" i="57" s="1"/>
  <c r="F9" i="52"/>
  <c r="L10" i="51" s="1"/>
  <c r="G9" i="57" s="1"/>
  <c r="G69" i="57" s="1"/>
  <c r="G9" i="52"/>
  <c r="D9" i="52"/>
  <c r="C9" i="52"/>
  <c r="E23" i="52"/>
  <c r="F23" i="52"/>
  <c r="G23" i="52"/>
  <c r="D23" i="52"/>
  <c r="C23" i="52"/>
  <c r="E8" i="52"/>
  <c r="F8" i="52"/>
  <c r="G8" i="52"/>
  <c r="D8" i="52"/>
  <c r="C8" i="52"/>
  <c r="D9" i="51" s="1"/>
  <c r="C8" i="57" s="1"/>
  <c r="E15" i="52"/>
  <c r="F15" i="52"/>
  <c r="L16" i="51" s="1"/>
  <c r="G15" i="57" s="1"/>
  <c r="G75" i="57" s="1"/>
  <c r="G15" i="52"/>
  <c r="N16" i="51" s="1"/>
  <c r="H15" i="57" s="1"/>
  <c r="H75" i="57" s="1"/>
  <c r="D15" i="52"/>
  <c r="C15" i="52"/>
  <c r="F42" i="52"/>
  <c r="E42" i="52"/>
  <c r="G42" i="52"/>
  <c r="C42" i="52"/>
  <c r="D42" i="52"/>
  <c r="G56" i="52"/>
  <c r="E56" i="52"/>
  <c r="F56" i="52"/>
  <c r="D56" i="52"/>
  <c r="C56" i="52"/>
  <c r="D57" i="51" s="1"/>
  <c r="C56" i="57" s="1"/>
  <c r="E20" i="52"/>
  <c r="G20" i="52"/>
  <c r="F20" i="52"/>
  <c r="L21" i="51" s="1"/>
  <c r="G20" i="57" s="1"/>
  <c r="G80" i="57" s="1"/>
  <c r="C20" i="52"/>
  <c r="D21" i="51" s="1"/>
  <c r="C20" i="57" s="1"/>
  <c r="D20" i="52"/>
  <c r="F28" i="52"/>
  <c r="G28" i="52"/>
  <c r="E28" i="52"/>
  <c r="C28" i="52"/>
  <c r="D28" i="52"/>
  <c r="F30" i="52"/>
  <c r="E30" i="52"/>
  <c r="G30" i="52"/>
  <c r="C30" i="52"/>
  <c r="D31" i="51" s="1"/>
  <c r="C30" i="57" s="1"/>
  <c r="D30" i="52"/>
  <c r="E41" i="52"/>
  <c r="F41" i="52"/>
  <c r="G41" i="52"/>
  <c r="D41" i="52"/>
  <c r="F42" i="51" s="1"/>
  <c r="D41" i="57" s="1"/>
  <c r="D101" i="57" s="1"/>
  <c r="C41" i="52"/>
  <c r="D42" i="51" s="1"/>
  <c r="C41" i="57" s="1"/>
  <c r="E25" i="52"/>
  <c r="F25" i="52"/>
  <c r="G25" i="52"/>
  <c r="D25" i="52"/>
  <c r="C25" i="52"/>
  <c r="E38" i="52"/>
  <c r="F38" i="52"/>
  <c r="G38" i="52"/>
  <c r="D38" i="52"/>
  <c r="C38" i="52"/>
  <c r="D39" i="51" s="1"/>
  <c r="C38" i="57" s="1"/>
  <c r="G6" i="52"/>
  <c r="F6" i="52"/>
  <c r="E6" i="52"/>
  <c r="D6" i="52"/>
  <c r="C6" i="52"/>
  <c r="D7" i="51" s="1"/>
  <c r="C6" i="57" s="1"/>
  <c r="D50" i="51"/>
  <c r="C49" i="57" s="1"/>
  <c r="D53" i="51"/>
  <c r="C52" i="57" s="1"/>
  <c r="D19" i="51"/>
  <c r="C18" i="57" s="1"/>
  <c r="D51" i="51"/>
  <c r="C50" i="57" s="1"/>
  <c r="D34" i="51"/>
  <c r="C33" i="57" s="1"/>
  <c r="D56" i="51"/>
  <c r="C55" i="57" s="1"/>
  <c r="D8" i="51"/>
  <c r="C7" i="57" s="1"/>
  <c r="D27" i="51"/>
  <c r="C26" i="57" s="1"/>
  <c r="D47" i="51"/>
  <c r="C46" i="57" s="1"/>
  <c r="D48" i="51"/>
  <c r="C47" i="57" s="1"/>
  <c r="D23" i="51"/>
  <c r="C22" i="57" s="1"/>
  <c r="D40" i="51"/>
  <c r="C39" i="57" s="1"/>
  <c r="D24" i="51"/>
  <c r="C23" i="57" s="1"/>
  <c r="D46" i="51"/>
  <c r="C45" i="57" s="1"/>
  <c r="D15" i="51"/>
  <c r="C14" i="57" s="1"/>
  <c r="D41" i="51"/>
  <c r="C40" i="57" s="1"/>
  <c r="D11" i="51"/>
  <c r="C10" i="57" s="1"/>
  <c r="D43" i="51"/>
  <c r="C42" i="57" s="1"/>
  <c r="D33" i="51"/>
  <c r="C32" i="57" s="1"/>
  <c r="D37" i="51"/>
  <c r="C36" i="57" s="1"/>
  <c r="D55" i="51"/>
  <c r="C54" i="57" s="1"/>
  <c r="D25" i="51"/>
  <c r="C24" i="57" s="1"/>
  <c r="D45" i="51"/>
  <c r="C44" i="57" s="1"/>
  <c r="D30" i="51"/>
  <c r="C29" i="57" s="1"/>
  <c r="D36" i="51"/>
  <c r="C35" i="57" s="1"/>
  <c r="D38" i="51"/>
  <c r="C37" i="57" s="1"/>
  <c r="D10" i="51"/>
  <c r="C9" i="57" s="1"/>
  <c r="D16" i="51"/>
  <c r="C15" i="57" s="1"/>
  <c r="D29" i="51"/>
  <c r="C28" i="57" s="1"/>
  <c r="D13" i="51"/>
  <c r="C12" i="57" s="1"/>
  <c r="D49" i="51"/>
  <c r="C48" i="57" s="1"/>
  <c r="D44" i="51"/>
  <c r="C43" i="57" s="1"/>
  <c r="D22" i="51"/>
  <c r="C21" i="57" s="1"/>
  <c r="D35" i="51"/>
  <c r="C34" i="57" s="1"/>
  <c r="D26" i="51"/>
  <c r="C25" i="57" s="1"/>
  <c r="J44" i="51"/>
  <c r="F43" i="57" s="1"/>
  <c r="F103" i="57" s="1"/>
  <c r="F44" i="51"/>
  <c r="D43" i="57" s="1"/>
  <c r="D103" i="57" s="1"/>
  <c r="L44" i="51"/>
  <c r="G43" i="57" s="1"/>
  <c r="G103" i="57" s="1"/>
  <c r="N44" i="51"/>
  <c r="H43" i="57" s="1"/>
  <c r="H103" i="57" s="1"/>
  <c r="H43" i="52"/>
  <c r="P44" i="51" s="1"/>
  <c r="I43" i="57" s="1"/>
  <c r="I103" i="57" s="1"/>
  <c r="F15" i="51"/>
  <c r="D14" i="57" s="1"/>
  <c r="D74" i="57" s="1"/>
  <c r="J15" i="51"/>
  <c r="F14" i="57" s="1"/>
  <c r="F74" i="57" s="1"/>
  <c r="L15" i="51"/>
  <c r="G14" i="57" s="1"/>
  <c r="G74" i="57" s="1"/>
  <c r="N15" i="51"/>
  <c r="H14" i="57" s="1"/>
  <c r="H74" i="57" s="1"/>
  <c r="H14" i="52"/>
  <c r="P15" i="51" s="1"/>
  <c r="I14" i="57" s="1"/>
  <c r="I74" i="57" s="1"/>
  <c r="L54" i="51"/>
  <c r="G53" i="57" s="1"/>
  <c r="G113" i="57" s="1"/>
  <c r="N54" i="51"/>
  <c r="H53" i="57" s="1"/>
  <c r="H113" i="57" s="1"/>
  <c r="H53" i="52"/>
  <c r="P54" i="51" s="1"/>
  <c r="I53" i="57" s="1"/>
  <c r="I113" i="57" s="1"/>
  <c r="J54" i="51"/>
  <c r="F53" i="57" s="1"/>
  <c r="F113" i="57" s="1"/>
  <c r="F54" i="51"/>
  <c r="D53" i="57" s="1"/>
  <c r="D113" i="57" s="1"/>
  <c r="J20" i="51"/>
  <c r="F19" i="57" s="1"/>
  <c r="F79" i="57" s="1"/>
  <c r="L20" i="51"/>
  <c r="G19" i="57" s="1"/>
  <c r="G79" i="57" s="1"/>
  <c r="N20" i="51"/>
  <c r="H19" i="57" s="1"/>
  <c r="H79" i="57" s="1"/>
  <c r="H19" i="52"/>
  <c r="P20" i="51" s="1"/>
  <c r="I19" i="57" s="1"/>
  <c r="I79" i="57" s="1"/>
  <c r="F20" i="51"/>
  <c r="D19" i="57" s="1"/>
  <c r="D79" i="57" s="1"/>
  <c r="J18" i="51"/>
  <c r="F17" i="57" s="1"/>
  <c r="F77" i="57" s="1"/>
  <c r="L18" i="51"/>
  <c r="G17" i="57" s="1"/>
  <c r="G77" i="57" s="1"/>
  <c r="N18" i="51"/>
  <c r="H17" i="57" s="1"/>
  <c r="H77" i="57" s="1"/>
  <c r="H17" i="52"/>
  <c r="P18" i="51" s="1"/>
  <c r="I17" i="57" s="1"/>
  <c r="I77" i="57" s="1"/>
  <c r="F55" i="51"/>
  <c r="D54" i="57" s="1"/>
  <c r="D114" i="57" s="1"/>
  <c r="J55" i="51"/>
  <c r="F54" i="57" s="1"/>
  <c r="F114" i="57" s="1"/>
  <c r="L55" i="51"/>
  <c r="G54" i="57" s="1"/>
  <c r="G114" i="57" s="1"/>
  <c r="N55" i="51"/>
  <c r="H54" i="57" s="1"/>
  <c r="H114" i="57" s="1"/>
  <c r="H54" i="52"/>
  <c r="P55" i="51" s="1"/>
  <c r="I54" i="57" s="1"/>
  <c r="I114" i="57" s="1"/>
  <c r="N25" i="51"/>
  <c r="H24" i="57" s="1"/>
  <c r="H84" i="57" s="1"/>
  <c r="H24" i="52"/>
  <c r="P25" i="51" s="1"/>
  <c r="I24" i="57" s="1"/>
  <c r="I84" i="57" s="1"/>
  <c r="L25" i="51"/>
  <c r="G24" i="57" s="1"/>
  <c r="G84" i="57" s="1"/>
  <c r="J25" i="51"/>
  <c r="F24" i="57" s="1"/>
  <c r="F84" i="57" s="1"/>
  <c r="F25" i="51"/>
  <c r="D24" i="57" s="1"/>
  <c r="D84" i="57" s="1"/>
  <c r="H44" i="52"/>
  <c r="P45" i="51" s="1"/>
  <c r="I44" i="57" s="1"/>
  <c r="I104" i="57" s="1"/>
  <c r="N45" i="51"/>
  <c r="H44" i="57" s="1"/>
  <c r="H104" i="57" s="1"/>
  <c r="F45" i="51"/>
  <c r="D44" i="57" s="1"/>
  <c r="D104" i="57" s="1"/>
  <c r="J45" i="51"/>
  <c r="F44" i="57" s="1"/>
  <c r="F104" i="57" s="1"/>
  <c r="L45" i="51"/>
  <c r="G44" i="57" s="1"/>
  <c r="G104" i="57" s="1"/>
  <c r="F32" i="51"/>
  <c r="D31" i="57" s="1"/>
  <c r="D91" i="57" s="1"/>
  <c r="J32" i="51"/>
  <c r="F31" i="57" s="1"/>
  <c r="F91" i="57" s="1"/>
  <c r="L32" i="51"/>
  <c r="G31" i="57" s="1"/>
  <c r="G91" i="57" s="1"/>
  <c r="N32" i="51"/>
  <c r="H31" i="57" s="1"/>
  <c r="H91" i="57" s="1"/>
  <c r="H31" i="52"/>
  <c r="P32" i="51" s="1"/>
  <c r="I31" i="57" s="1"/>
  <c r="I91" i="57" s="1"/>
  <c r="F11" i="51"/>
  <c r="D10" i="57" s="1"/>
  <c r="D70" i="57" s="1"/>
  <c r="L11" i="51"/>
  <c r="G10" i="57" s="1"/>
  <c r="G70" i="57" s="1"/>
  <c r="N11" i="51"/>
  <c r="H10" i="57" s="1"/>
  <c r="H70" i="57" s="1"/>
  <c r="H10" i="52"/>
  <c r="P11" i="51" s="1"/>
  <c r="I10" i="57" s="1"/>
  <c r="I70" i="57" s="1"/>
  <c r="F24" i="51"/>
  <c r="D23" i="57" s="1"/>
  <c r="D83" i="57" s="1"/>
  <c r="J24" i="51"/>
  <c r="F23" i="57" s="1"/>
  <c r="F83" i="57" s="1"/>
  <c r="L24" i="51"/>
  <c r="G23" i="57" s="1"/>
  <c r="G83" i="57" s="1"/>
  <c r="N24" i="51"/>
  <c r="H23" i="57" s="1"/>
  <c r="H83" i="57" s="1"/>
  <c r="H23" i="52"/>
  <c r="P24" i="51" s="1"/>
  <c r="I23" i="57" s="1"/>
  <c r="I83" i="57" s="1"/>
  <c r="J42" i="51"/>
  <c r="F41" i="57" s="1"/>
  <c r="F101" i="57" s="1"/>
  <c r="L42" i="51"/>
  <c r="G41" i="57" s="1"/>
  <c r="G101" i="57" s="1"/>
  <c r="N42" i="51"/>
  <c r="H41" i="57" s="1"/>
  <c r="H101" i="57" s="1"/>
  <c r="H41" i="52"/>
  <c r="P42" i="51" s="1"/>
  <c r="I41" i="57" s="1"/>
  <c r="I101" i="57" s="1"/>
  <c r="F37" i="51"/>
  <c r="D36" i="57" s="1"/>
  <c r="D96" i="57" s="1"/>
  <c r="J37" i="51"/>
  <c r="F36" i="57" s="1"/>
  <c r="F96" i="57" s="1"/>
  <c r="L37" i="51"/>
  <c r="G36" i="57" s="1"/>
  <c r="G96" i="57" s="1"/>
  <c r="N37" i="51"/>
  <c r="H36" i="57" s="1"/>
  <c r="H96" i="57" s="1"/>
  <c r="H36" i="52"/>
  <c r="P37" i="51" s="1"/>
  <c r="I36" i="57" s="1"/>
  <c r="I96" i="57" s="1"/>
  <c r="J8" i="51"/>
  <c r="F7" i="57" s="1"/>
  <c r="F67" i="57" s="1"/>
  <c r="L8" i="51"/>
  <c r="G7" i="57" s="1"/>
  <c r="G67" i="57" s="1"/>
  <c r="H7" i="52"/>
  <c r="P8" i="51" s="1"/>
  <c r="I7" i="57" s="1"/>
  <c r="I67" i="57" s="1"/>
  <c r="J12" i="51"/>
  <c r="F11" i="57" s="1"/>
  <c r="F71" i="57" s="1"/>
  <c r="L12" i="51"/>
  <c r="G11" i="57" s="1"/>
  <c r="G71" i="57" s="1"/>
  <c r="N12" i="51"/>
  <c r="H11" i="57" s="1"/>
  <c r="H71" i="57" s="1"/>
  <c r="H11" i="52"/>
  <c r="P12" i="51" s="1"/>
  <c r="I11" i="57" s="1"/>
  <c r="I71" i="57" s="1"/>
  <c r="F12" i="51"/>
  <c r="D11" i="57" s="1"/>
  <c r="D71" i="57" s="1"/>
  <c r="N41" i="51"/>
  <c r="H40" i="57" s="1"/>
  <c r="H100" i="57" s="1"/>
  <c r="H40" i="52"/>
  <c r="P41" i="51" s="1"/>
  <c r="I40" i="57" s="1"/>
  <c r="I100" i="57" s="1"/>
  <c r="J41" i="51"/>
  <c r="F40" i="57" s="1"/>
  <c r="F100" i="57" s="1"/>
  <c r="L41" i="51"/>
  <c r="G40" i="57" s="1"/>
  <c r="G100" i="57" s="1"/>
  <c r="F41" i="51"/>
  <c r="D40" i="57" s="1"/>
  <c r="D100" i="57" s="1"/>
  <c r="L36" i="51"/>
  <c r="G35" i="57" s="1"/>
  <c r="G95" i="57" s="1"/>
  <c r="F36" i="51"/>
  <c r="D35" i="57" s="1"/>
  <c r="D95" i="57" s="1"/>
  <c r="H35" i="52"/>
  <c r="P36" i="51" s="1"/>
  <c r="I35" i="57" s="1"/>
  <c r="I95" i="57" s="1"/>
  <c r="F27" i="51"/>
  <c r="D26" i="57" s="1"/>
  <c r="D86" i="57" s="1"/>
  <c r="J27" i="51"/>
  <c r="F26" i="57" s="1"/>
  <c r="F86" i="57" s="1"/>
  <c r="L27" i="51"/>
  <c r="G26" i="57" s="1"/>
  <c r="G86" i="57" s="1"/>
  <c r="N27" i="51"/>
  <c r="H26" i="57" s="1"/>
  <c r="H86" i="57" s="1"/>
  <c r="H26" i="52"/>
  <c r="P27" i="51" s="1"/>
  <c r="I26" i="57" s="1"/>
  <c r="I86" i="57" s="1"/>
  <c r="N14" i="51"/>
  <c r="H13" i="57" s="1"/>
  <c r="H73" i="57" s="1"/>
  <c r="H13" i="52"/>
  <c r="P14" i="51" s="1"/>
  <c r="I13" i="57" s="1"/>
  <c r="I73" i="57" s="1"/>
  <c r="F14" i="51"/>
  <c r="D13" i="57" s="1"/>
  <c r="D73" i="57" s="1"/>
  <c r="J14" i="51"/>
  <c r="F13" i="57" s="1"/>
  <c r="F73" i="57" s="1"/>
  <c r="L14" i="51"/>
  <c r="G13" i="57" s="1"/>
  <c r="G73" i="57" s="1"/>
  <c r="F16" i="51"/>
  <c r="D15" i="57" s="1"/>
  <c r="D75" i="57" s="1"/>
  <c r="J16" i="51"/>
  <c r="F15" i="57" s="1"/>
  <c r="F75" i="57" s="1"/>
  <c r="H15" i="52"/>
  <c r="P16" i="51" s="1"/>
  <c r="I15" i="57" s="1"/>
  <c r="I75" i="57" s="1"/>
  <c r="F21" i="51"/>
  <c r="D20" i="57" s="1"/>
  <c r="D80" i="57" s="1"/>
  <c r="J21" i="51"/>
  <c r="F20" i="57" s="1"/>
  <c r="F80" i="57" s="1"/>
  <c r="N21" i="51"/>
  <c r="H20" i="57" s="1"/>
  <c r="H80" i="57" s="1"/>
  <c r="H20" i="52"/>
  <c r="P21" i="51" s="1"/>
  <c r="I20" i="57" s="1"/>
  <c r="I80" i="57" s="1"/>
  <c r="F31" i="51"/>
  <c r="D30" i="57" s="1"/>
  <c r="D90" i="57" s="1"/>
  <c r="J31" i="51"/>
  <c r="F30" i="57" s="1"/>
  <c r="F90" i="57" s="1"/>
  <c r="L31" i="51"/>
  <c r="G30" i="57" s="1"/>
  <c r="G90" i="57" s="1"/>
  <c r="N31" i="51"/>
  <c r="H30" i="57" s="1"/>
  <c r="H90" i="57" s="1"/>
  <c r="H30" i="52"/>
  <c r="P31" i="51" s="1"/>
  <c r="I30" i="57" s="1"/>
  <c r="I90" i="57" s="1"/>
  <c r="F50" i="51"/>
  <c r="D49" i="57" s="1"/>
  <c r="D109" i="57" s="1"/>
  <c r="J50" i="51"/>
  <c r="F49" i="57" s="1"/>
  <c r="F109" i="57" s="1"/>
  <c r="L50" i="51"/>
  <c r="G49" i="57" s="1"/>
  <c r="G109" i="57" s="1"/>
  <c r="N50" i="51"/>
  <c r="H49" i="57" s="1"/>
  <c r="H109" i="57" s="1"/>
  <c r="H49" i="52"/>
  <c r="P50" i="51" s="1"/>
  <c r="I49" i="57" s="1"/>
  <c r="I109" i="57" s="1"/>
  <c r="F22" i="51"/>
  <c r="D21" i="57" s="1"/>
  <c r="D81" i="57" s="1"/>
  <c r="H21" i="52"/>
  <c r="P22" i="51" s="1"/>
  <c r="I21" i="57" s="1"/>
  <c r="I81" i="57" s="1"/>
  <c r="L22" i="51"/>
  <c r="G21" i="57" s="1"/>
  <c r="G81" i="57" s="1"/>
  <c r="N35" i="51"/>
  <c r="H34" i="57" s="1"/>
  <c r="H94" i="57" s="1"/>
  <c r="F35" i="51"/>
  <c r="D34" i="57" s="1"/>
  <c r="D94" i="57" s="1"/>
  <c r="L35" i="51"/>
  <c r="G34" i="57" s="1"/>
  <c r="G94" i="57" s="1"/>
  <c r="H34" i="52"/>
  <c r="P35" i="51" s="1"/>
  <c r="I34" i="57" s="1"/>
  <c r="I94" i="57" s="1"/>
  <c r="J28" i="51"/>
  <c r="F27" i="57" s="1"/>
  <c r="F87" i="57" s="1"/>
  <c r="L28" i="51"/>
  <c r="G27" i="57" s="1"/>
  <c r="G87" i="57" s="1"/>
  <c r="N28" i="51"/>
  <c r="H27" i="57" s="1"/>
  <c r="H87" i="57" s="1"/>
  <c r="H27" i="52"/>
  <c r="P28" i="51" s="1"/>
  <c r="I27" i="57" s="1"/>
  <c r="I87" i="57" s="1"/>
  <c r="F40" i="51"/>
  <c r="D39" i="57" s="1"/>
  <c r="D99" i="57" s="1"/>
  <c r="J40" i="51"/>
  <c r="F39" i="57" s="1"/>
  <c r="F99" i="57" s="1"/>
  <c r="L40" i="51"/>
  <c r="G39" i="57" s="1"/>
  <c r="G99" i="57" s="1"/>
  <c r="N40" i="51"/>
  <c r="H39" i="57" s="1"/>
  <c r="H99" i="57" s="1"/>
  <c r="H39" i="52"/>
  <c r="P40" i="51" s="1"/>
  <c r="I39" i="57" s="1"/>
  <c r="I99" i="57" s="1"/>
  <c r="N57" i="51"/>
  <c r="H56" i="57" s="1"/>
  <c r="H116" i="57" s="1"/>
  <c r="H56" i="52"/>
  <c r="P57" i="51" s="1"/>
  <c r="I56" i="57" s="1"/>
  <c r="I116" i="57" s="1"/>
  <c r="F57" i="51"/>
  <c r="D56" i="57" s="1"/>
  <c r="D116" i="57" s="1"/>
  <c r="J57" i="51"/>
  <c r="F56" i="57" s="1"/>
  <c r="F116" i="57" s="1"/>
  <c r="L57" i="51"/>
  <c r="G56" i="57" s="1"/>
  <c r="G116" i="57" s="1"/>
  <c r="F29" i="51"/>
  <c r="D28" i="57" s="1"/>
  <c r="D88" i="57" s="1"/>
  <c r="J29" i="51"/>
  <c r="F28" i="57" s="1"/>
  <c r="F88" i="57" s="1"/>
  <c r="L29" i="51"/>
  <c r="G28" i="57" s="1"/>
  <c r="G88" i="57" s="1"/>
  <c r="N29" i="51"/>
  <c r="H28" i="57" s="1"/>
  <c r="H88" i="57" s="1"/>
  <c r="H28" i="52"/>
  <c r="P29" i="51" s="1"/>
  <c r="I28" i="57" s="1"/>
  <c r="I88" i="57" s="1"/>
  <c r="F39" i="51"/>
  <c r="D38" i="57" s="1"/>
  <c r="D98" i="57" s="1"/>
  <c r="J39" i="51"/>
  <c r="F38" i="57" s="1"/>
  <c r="F98" i="57" s="1"/>
  <c r="L39" i="51"/>
  <c r="G38" i="57" s="1"/>
  <c r="G98" i="57" s="1"/>
  <c r="N39" i="51"/>
  <c r="H38" i="57" s="1"/>
  <c r="H98" i="57" s="1"/>
  <c r="H38" i="52"/>
  <c r="P39" i="51" s="1"/>
  <c r="I38" i="57" s="1"/>
  <c r="I98" i="57" s="1"/>
  <c r="J56" i="51"/>
  <c r="F55" i="57" s="1"/>
  <c r="F115" i="57" s="1"/>
  <c r="N56" i="51"/>
  <c r="H55" i="57" s="1"/>
  <c r="H115" i="57" s="1"/>
  <c r="L56" i="51"/>
  <c r="G55" i="57" s="1"/>
  <c r="G115" i="57" s="1"/>
  <c r="F56" i="51"/>
  <c r="D55" i="57" s="1"/>
  <c r="D115" i="57" s="1"/>
  <c r="H55" i="52"/>
  <c r="P56" i="51" s="1"/>
  <c r="I55" i="57" s="1"/>
  <c r="I115" i="57" s="1"/>
  <c r="L48" i="51"/>
  <c r="G47" i="57" s="1"/>
  <c r="G107" i="57" s="1"/>
  <c r="J48" i="51"/>
  <c r="F47" i="57" s="1"/>
  <c r="F107" i="57" s="1"/>
  <c r="F48" i="51"/>
  <c r="D47" i="57" s="1"/>
  <c r="D107" i="57" s="1"/>
  <c r="N48" i="51"/>
  <c r="H47" i="57" s="1"/>
  <c r="H107" i="57" s="1"/>
  <c r="H47" i="52"/>
  <c r="P48" i="51" s="1"/>
  <c r="I47" i="57" s="1"/>
  <c r="I107" i="57" s="1"/>
  <c r="J52" i="51"/>
  <c r="F51" i="57" s="1"/>
  <c r="F111" i="57" s="1"/>
  <c r="L52" i="51"/>
  <c r="G51" i="57" s="1"/>
  <c r="G111" i="57" s="1"/>
  <c r="N52" i="51"/>
  <c r="H51" i="57" s="1"/>
  <c r="H111" i="57" s="1"/>
  <c r="H51" i="52"/>
  <c r="P52" i="51" s="1"/>
  <c r="I51" i="57" s="1"/>
  <c r="I111" i="57" s="1"/>
  <c r="F52" i="51"/>
  <c r="D51" i="57" s="1"/>
  <c r="D111" i="57" s="1"/>
  <c r="F23" i="51"/>
  <c r="D22" i="57" s="1"/>
  <c r="D82" i="57" s="1"/>
  <c r="J23" i="51"/>
  <c r="F22" i="57" s="1"/>
  <c r="F82" i="57" s="1"/>
  <c r="L23" i="51"/>
  <c r="G22" i="57" s="1"/>
  <c r="G82" i="57" s="1"/>
  <c r="N23" i="51"/>
  <c r="H22" i="57" s="1"/>
  <c r="H82" i="57" s="1"/>
  <c r="H22" i="52"/>
  <c r="P23" i="51" s="1"/>
  <c r="I22" i="57" s="1"/>
  <c r="I82" i="57" s="1"/>
  <c r="N17" i="51"/>
  <c r="H16" i="57" s="1"/>
  <c r="H76" i="57" s="1"/>
  <c r="H16" i="52"/>
  <c r="P17" i="51" s="1"/>
  <c r="I16" i="57" s="1"/>
  <c r="I76" i="57" s="1"/>
  <c r="J17" i="51"/>
  <c r="F16" i="57" s="1"/>
  <c r="F76" i="57" s="1"/>
  <c r="F17" i="51"/>
  <c r="D16" i="57" s="1"/>
  <c r="D76" i="57" s="1"/>
  <c r="L17" i="51"/>
  <c r="G16" i="57" s="1"/>
  <c r="G76" i="57" s="1"/>
  <c r="H29" i="52"/>
  <c r="P30" i="51" s="1"/>
  <c r="I29" i="57" s="1"/>
  <c r="I89" i="57" s="1"/>
  <c r="N30" i="51"/>
  <c r="H29" i="57" s="1"/>
  <c r="H89" i="57" s="1"/>
  <c r="F30" i="51"/>
  <c r="D29" i="57" s="1"/>
  <c r="D89" i="57" s="1"/>
  <c r="J30" i="51"/>
  <c r="F29" i="57" s="1"/>
  <c r="F89" i="57" s="1"/>
  <c r="L30" i="51"/>
  <c r="G29" i="57" s="1"/>
  <c r="G89" i="57" s="1"/>
  <c r="J38" i="51"/>
  <c r="F37" i="57" s="1"/>
  <c r="F97" i="57" s="1"/>
  <c r="H37" i="52"/>
  <c r="P38" i="51" s="1"/>
  <c r="I37" i="57" s="1"/>
  <c r="I97" i="57" s="1"/>
  <c r="L38" i="51"/>
  <c r="G37" i="57" s="1"/>
  <c r="G97" i="57" s="1"/>
  <c r="F38" i="51"/>
  <c r="D37" i="57" s="1"/>
  <c r="D97" i="57" s="1"/>
  <c r="N38" i="51"/>
  <c r="H37" i="57" s="1"/>
  <c r="H97" i="57" s="1"/>
  <c r="F10" i="51"/>
  <c r="D9" i="57" s="1"/>
  <c r="D69" i="57" s="1"/>
  <c r="N10" i="51"/>
  <c r="H9" i="57" s="1"/>
  <c r="H69" i="57" s="1"/>
  <c r="H9" i="52"/>
  <c r="P10" i="51" s="1"/>
  <c r="I9" i="57" s="1"/>
  <c r="I69" i="57" s="1"/>
  <c r="N9" i="51"/>
  <c r="H8" i="57" s="1"/>
  <c r="H68" i="57" s="1"/>
  <c r="H8" i="52"/>
  <c r="P9" i="51" s="1"/>
  <c r="I8" i="57" s="1"/>
  <c r="I68" i="57" s="1"/>
  <c r="L9" i="51"/>
  <c r="G8" i="57" s="1"/>
  <c r="G68" i="57" s="1"/>
  <c r="F9" i="51"/>
  <c r="D8" i="57" s="1"/>
  <c r="D68" i="57" s="1"/>
  <c r="J9" i="51"/>
  <c r="F8" i="57" s="1"/>
  <c r="F68" i="57" s="1"/>
  <c r="F43" i="51"/>
  <c r="D42" i="57" s="1"/>
  <c r="D102" i="57" s="1"/>
  <c r="N43" i="51"/>
  <c r="H42" i="57" s="1"/>
  <c r="H102" i="57" s="1"/>
  <c r="J43" i="51"/>
  <c r="F42" i="57" s="1"/>
  <c r="F102" i="57" s="1"/>
  <c r="H42" i="52"/>
  <c r="P43" i="51" s="1"/>
  <c r="I42" i="57" s="1"/>
  <c r="I102" i="57" s="1"/>
  <c r="L43" i="51"/>
  <c r="G42" i="57" s="1"/>
  <c r="G102" i="57" s="1"/>
  <c r="F13" i="51"/>
  <c r="D12" i="57" s="1"/>
  <c r="D72" i="57" s="1"/>
  <c r="J13" i="51"/>
  <c r="F12" i="57" s="1"/>
  <c r="F72" i="57" s="1"/>
  <c r="L13" i="51"/>
  <c r="G12" i="57" s="1"/>
  <c r="G72" i="57" s="1"/>
  <c r="N13" i="51"/>
  <c r="H12" i="57" s="1"/>
  <c r="H72" i="57" s="1"/>
  <c r="H12" i="52"/>
  <c r="P13" i="51" s="1"/>
  <c r="I12" i="57" s="1"/>
  <c r="I72" i="57" s="1"/>
  <c r="F26" i="51"/>
  <c r="D25" i="57" s="1"/>
  <c r="D85" i="57" s="1"/>
  <c r="J26" i="51"/>
  <c r="F25" i="57" s="1"/>
  <c r="F85" i="57" s="1"/>
  <c r="L26" i="51"/>
  <c r="G25" i="57" s="1"/>
  <c r="G85" i="57" s="1"/>
  <c r="N26" i="51"/>
  <c r="H25" i="57" s="1"/>
  <c r="H85" i="57" s="1"/>
  <c r="H25" i="52"/>
  <c r="P26" i="51" s="1"/>
  <c r="I25" i="57" s="1"/>
  <c r="I85" i="57" s="1"/>
  <c r="N51" i="51"/>
  <c r="H50" i="57" s="1"/>
  <c r="H110" i="57" s="1"/>
  <c r="H50" i="52"/>
  <c r="P51" i="51" s="1"/>
  <c r="I50" i="57" s="1"/>
  <c r="I110" i="57" s="1"/>
  <c r="F51" i="51"/>
  <c r="D50" i="57" s="1"/>
  <c r="D110" i="57" s="1"/>
  <c r="J51" i="51"/>
  <c r="F50" i="57" s="1"/>
  <c r="F110" i="57" s="1"/>
  <c r="L51" i="51"/>
  <c r="G50" i="57" s="1"/>
  <c r="G110" i="57" s="1"/>
  <c r="F53" i="51"/>
  <c r="D52" i="57" s="1"/>
  <c r="D112" i="57" s="1"/>
  <c r="J53" i="51"/>
  <c r="F52" i="57" s="1"/>
  <c r="F112" i="57" s="1"/>
  <c r="H52" i="52"/>
  <c r="P53" i="51" s="1"/>
  <c r="I52" i="57" s="1"/>
  <c r="I112" i="57" s="1"/>
  <c r="N33" i="51"/>
  <c r="H32" i="57" s="1"/>
  <c r="H92" i="57" s="1"/>
  <c r="H32" i="52"/>
  <c r="P33" i="51" s="1"/>
  <c r="I32" i="57" s="1"/>
  <c r="I92" i="57" s="1"/>
  <c r="L33" i="51"/>
  <c r="G32" i="57" s="1"/>
  <c r="G92" i="57" s="1"/>
  <c r="J33" i="51"/>
  <c r="F32" i="57" s="1"/>
  <c r="F92" i="57" s="1"/>
  <c r="F33" i="51"/>
  <c r="D32" i="57" s="1"/>
  <c r="D92" i="57" s="1"/>
  <c r="N49" i="51"/>
  <c r="H48" i="57" s="1"/>
  <c r="H108" i="57" s="1"/>
  <c r="H48" i="52"/>
  <c r="P49" i="51" s="1"/>
  <c r="I48" i="57" s="1"/>
  <c r="I108" i="57" s="1"/>
  <c r="L49" i="51"/>
  <c r="G48" i="57" s="1"/>
  <c r="G108" i="57" s="1"/>
  <c r="J49" i="51"/>
  <c r="F48" i="57" s="1"/>
  <c r="F108" i="57" s="1"/>
  <c r="H45" i="52"/>
  <c r="P46" i="51" s="1"/>
  <c r="I45" i="57" s="1"/>
  <c r="I105" i="57" s="1"/>
  <c r="F46" i="51"/>
  <c r="D45" i="57" s="1"/>
  <c r="D105" i="57" s="1"/>
  <c r="N46" i="51"/>
  <c r="H45" i="57" s="1"/>
  <c r="H105" i="57" s="1"/>
  <c r="F47" i="51"/>
  <c r="D46" i="57" s="1"/>
  <c r="D106" i="57" s="1"/>
  <c r="L47" i="51"/>
  <c r="G46" i="57" s="1"/>
  <c r="G106" i="57" s="1"/>
  <c r="N47" i="51"/>
  <c r="H46" i="57" s="1"/>
  <c r="H106" i="57" s="1"/>
  <c r="H46" i="52"/>
  <c r="P47" i="51" s="1"/>
  <c r="I46" i="57" s="1"/>
  <c r="I106" i="57" s="1"/>
  <c r="F34" i="51"/>
  <c r="D33" i="57" s="1"/>
  <c r="D93" i="57" s="1"/>
  <c r="J34" i="51"/>
  <c r="F33" i="57" s="1"/>
  <c r="F93" i="57" s="1"/>
  <c r="L34" i="51"/>
  <c r="G33" i="57" s="1"/>
  <c r="G93" i="57" s="1"/>
  <c r="N34" i="51"/>
  <c r="H33" i="57" s="1"/>
  <c r="H93" i="57" s="1"/>
  <c r="H33" i="52"/>
  <c r="P34" i="51" s="1"/>
  <c r="I33" i="57" s="1"/>
  <c r="I93" i="57" s="1"/>
  <c r="F19" i="51"/>
  <c r="D18" i="57" s="1"/>
  <c r="D78" i="57" s="1"/>
  <c r="J19" i="51"/>
  <c r="F18" i="57" s="1"/>
  <c r="F78" i="57" s="1"/>
  <c r="L19" i="51"/>
  <c r="G18" i="57" s="1"/>
  <c r="G78" i="57" s="1"/>
  <c r="N19" i="51"/>
  <c r="H18" i="57" s="1"/>
  <c r="H78" i="57" s="1"/>
  <c r="H18" i="52"/>
  <c r="P19" i="51" s="1"/>
  <c r="I18" i="57" s="1"/>
  <c r="I78" i="57" s="1"/>
  <c r="H6" i="52"/>
  <c r="P7" i="51" s="1"/>
  <c r="I6" i="57" s="1"/>
  <c r="N7" i="51"/>
  <c r="H6" i="57" s="1"/>
  <c r="L7" i="51"/>
  <c r="G6" i="57" s="1"/>
  <c r="J7" i="51"/>
  <c r="F6" i="57" s="1"/>
  <c r="H30" i="36"/>
  <c r="L30" i="36" s="1"/>
  <c r="M30" i="36" s="1"/>
  <c r="R30" i="51" s="1"/>
  <c r="J29" i="57" s="1"/>
  <c r="J89" i="57" s="1"/>
  <c r="H40" i="36"/>
  <c r="L40" i="36" s="1"/>
  <c r="M40" i="36" s="1"/>
  <c r="R40" i="51" s="1"/>
  <c r="J39" i="57" s="1"/>
  <c r="J99" i="57" s="1"/>
  <c r="H10" i="36"/>
  <c r="L10" i="36" s="1"/>
  <c r="M10" i="36" s="1"/>
  <c r="R10" i="51" s="1"/>
  <c r="J9" i="57" s="1"/>
  <c r="J69" i="57" s="1"/>
  <c r="H24" i="36"/>
  <c r="L24" i="36" s="1"/>
  <c r="M24" i="36" s="1"/>
  <c r="R24" i="51" s="1"/>
  <c r="J23" i="57" s="1"/>
  <c r="J83" i="57" s="1"/>
  <c r="H27" i="36"/>
  <c r="L27" i="36" s="1"/>
  <c r="M27" i="36" s="1"/>
  <c r="R27" i="51" s="1"/>
  <c r="J26" i="57" s="1"/>
  <c r="J86" i="57" s="1"/>
  <c r="H14" i="36"/>
  <c r="L14" i="36" s="1"/>
  <c r="M14" i="36" s="1"/>
  <c r="R14" i="51" s="1"/>
  <c r="J13" i="57" s="1"/>
  <c r="J73" i="57" s="1"/>
  <c r="H43" i="36"/>
  <c r="L43" i="36" s="1"/>
  <c r="M43" i="36" s="1"/>
  <c r="R43" i="51" s="1"/>
  <c r="J42" i="57" s="1"/>
  <c r="J102" i="57" s="1"/>
  <c r="H29" i="36"/>
  <c r="L29" i="36" s="1"/>
  <c r="M29" i="36" s="1"/>
  <c r="R29" i="51" s="1"/>
  <c r="J28" i="57" s="1"/>
  <c r="J88" i="57" s="1"/>
  <c r="H17" i="36"/>
  <c r="L17" i="36" s="1"/>
  <c r="M17" i="36" s="1"/>
  <c r="R17" i="51" s="1"/>
  <c r="J16" i="57" s="1"/>
  <c r="J76" i="57" s="1"/>
  <c r="H36" i="36"/>
  <c r="L36" i="36" s="1"/>
  <c r="M36" i="36" s="1"/>
  <c r="R36" i="51" s="1"/>
  <c r="J35" i="57" s="1"/>
  <c r="J95" i="57" s="1"/>
  <c r="H38" i="36"/>
  <c r="L38" i="36" s="1"/>
  <c r="M38" i="36" s="1"/>
  <c r="R38" i="51" s="1"/>
  <c r="J37" i="57" s="1"/>
  <c r="J97" i="57" s="1"/>
  <c r="H16" i="36"/>
  <c r="L16" i="36" s="1"/>
  <c r="M16" i="36" s="1"/>
  <c r="R16" i="51" s="1"/>
  <c r="J15" i="57" s="1"/>
  <c r="J75" i="57" s="1"/>
  <c r="H21" i="36"/>
  <c r="L21" i="36" s="1"/>
  <c r="M21" i="36" s="1"/>
  <c r="R21" i="51" s="1"/>
  <c r="J20" i="57" s="1"/>
  <c r="J80" i="57" s="1"/>
  <c r="H31" i="36"/>
  <c r="L31" i="36" s="1"/>
  <c r="M31" i="36" s="1"/>
  <c r="R31" i="51" s="1"/>
  <c r="J30" i="57" s="1"/>
  <c r="J90" i="57" s="1"/>
  <c r="H42" i="36"/>
  <c r="L42" i="36" s="1"/>
  <c r="M42" i="36" s="1"/>
  <c r="R42" i="51" s="1"/>
  <c r="J41" i="57" s="1"/>
  <c r="J101" i="57" s="1"/>
  <c r="H39" i="36"/>
  <c r="L39" i="36" s="1"/>
  <c r="M39" i="36" s="1"/>
  <c r="R39" i="51" s="1"/>
  <c r="J38" i="57" s="1"/>
  <c r="J98" i="57" s="1"/>
  <c r="H53" i="36"/>
  <c r="L53" i="36" s="1"/>
  <c r="M53" i="36" s="1"/>
  <c r="R53" i="51" s="1"/>
  <c r="J52" i="57" s="1"/>
  <c r="J112" i="57" s="1"/>
  <c r="H34" i="36"/>
  <c r="L34" i="36" s="1"/>
  <c r="M34" i="36" s="1"/>
  <c r="R34" i="51" s="1"/>
  <c r="J33" i="57" s="1"/>
  <c r="J93" i="57" s="1"/>
  <c r="H33" i="36"/>
  <c r="L33" i="36" s="1"/>
  <c r="M33" i="36" s="1"/>
  <c r="R33" i="51" s="1"/>
  <c r="J32" i="57" s="1"/>
  <c r="J92" i="57" s="1"/>
  <c r="H48" i="36"/>
  <c r="L48" i="36" s="1"/>
  <c r="M48" i="36" s="1"/>
  <c r="R48" i="51" s="1"/>
  <c r="J47" i="57" s="1"/>
  <c r="J107" i="57" s="1"/>
  <c r="H55" i="36"/>
  <c r="L55" i="36" s="1"/>
  <c r="M55" i="36" s="1"/>
  <c r="R55" i="51" s="1"/>
  <c r="J54" i="57" s="1"/>
  <c r="J114" i="57" s="1"/>
  <c r="H25" i="36"/>
  <c r="L25" i="36" s="1"/>
  <c r="M25" i="36" s="1"/>
  <c r="R25" i="51" s="1"/>
  <c r="J24" i="57" s="1"/>
  <c r="J84" i="57" s="1"/>
  <c r="H41" i="36"/>
  <c r="L41" i="36" s="1"/>
  <c r="M41" i="36" s="1"/>
  <c r="R41" i="51" s="1"/>
  <c r="J40" i="57" s="1"/>
  <c r="J100" i="57" s="1"/>
  <c r="H32" i="36"/>
  <c r="L32" i="36" s="1"/>
  <c r="M32" i="36" s="1"/>
  <c r="R32" i="51" s="1"/>
  <c r="J31" i="57" s="1"/>
  <c r="J91" i="57" s="1"/>
  <c r="H11" i="36"/>
  <c r="L11" i="36" s="1"/>
  <c r="M11" i="36" s="1"/>
  <c r="R11" i="51" s="1"/>
  <c r="J10" i="57" s="1"/>
  <c r="J70" i="57" s="1"/>
  <c r="H9" i="36"/>
  <c r="L9" i="36" s="1"/>
  <c r="M9" i="36" s="1"/>
  <c r="R9" i="51" s="1"/>
  <c r="J8" i="57" s="1"/>
  <c r="J68" i="57" s="1"/>
  <c r="H57" i="36"/>
  <c r="L57" i="36" s="1"/>
  <c r="M57" i="36" s="1"/>
  <c r="R57" i="51" s="1"/>
  <c r="J56" i="57" s="1"/>
  <c r="J116" i="57" s="1"/>
  <c r="H13" i="36"/>
  <c r="L13" i="36" s="1"/>
  <c r="M13" i="36" s="1"/>
  <c r="R13" i="51" s="1"/>
  <c r="J12" i="57" s="1"/>
  <c r="J72" i="57" s="1"/>
  <c r="H26" i="36"/>
  <c r="L26" i="36" s="1"/>
  <c r="M26" i="36" s="1"/>
  <c r="R26" i="51" s="1"/>
  <c r="J25" i="57" s="1"/>
  <c r="J85" i="57" s="1"/>
  <c r="H50" i="36"/>
  <c r="L50" i="36" s="1"/>
  <c r="M50" i="36" s="1"/>
  <c r="R50" i="51" s="1"/>
  <c r="J49" i="57" s="1"/>
  <c r="J109" i="57" s="1"/>
  <c r="H46" i="36"/>
  <c r="L46" i="36" s="1"/>
  <c r="M46" i="36" s="1"/>
  <c r="R46" i="51" s="1"/>
  <c r="J45" i="57" s="1"/>
  <c r="J105" i="57" s="1"/>
  <c r="H44" i="36"/>
  <c r="L44" i="36" s="1"/>
  <c r="M44" i="36" s="1"/>
  <c r="R44" i="51" s="1"/>
  <c r="J43" i="57" s="1"/>
  <c r="J103" i="57" s="1"/>
  <c r="H56" i="36"/>
  <c r="L56" i="36" s="1"/>
  <c r="M56" i="36" s="1"/>
  <c r="R56" i="51" s="1"/>
  <c r="J55" i="57" s="1"/>
  <c r="J115" i="57" s="1"/>
  <c r="H54" i="36"/>
  <c r="L54" i="36" s="1"/>
  <c r="M54" i="36" s="1"/>
  <c r="R54" i="51" s="1"/>
  <c r="J53" i="57" s="1"/>
  <c r="J113" i="57" s="1"/>
  <c r="H15" i="36"/>
  <c r="L15" i="36" s="1"/>
  <c r="M15" i="36" s="1"/>
  <c r="R15" i="51" s="1"/>
  <c r="J14" i="57" s="1"/>
  <c r="J74" i="57" s="1"/>
  <c r="H51" i="36"/>
  <c r="L51" i="36" s="1"/>
  <c r="M51" i="36" s="1"/>
  <c r="R51" i="51" s="1"/>
  <c r="J50" i="57" s="1"/>
  <c r="J110" i="57" s="1"/>
  <c r="H49" i="36"/>
  <c r="L49" i="36" s="1"/>
  <c r="M49" i="36" s="1"/>
  <c r="R49" i="51" s="1"/>
  <c r="J48" i="57" s="1"/>
  <c r="J108" i="57" s="1"/>
  <c r="H47" i="36"/>
  <c r="L47" i="36" s="1"/>
  <c r="M47" i="36" s="1"/>
  <c r="R47" i="51" s="1"/>
  <c r="J46" i="57" s="1"/>
  <c r="J106" i="57" s="1"/>
  <c r="H19" i="36"/>
  <c r="L19" i="36" s="1"/>
  <c r="M19" i="36" s="1"/>
  <c r="R19" i="51" s="1"/>
  <c r="J18" i="57" s="1"/>
  <c r="J78" i="57" s="1"/>
  <c r="H37" i="36"/>
  <c r="L37" i="36" s="1"/>
  <c r="M37" i="36" s="1"/>
  <c r="R37" i="51" s="1"/>
  <c r="J36" i="57" s="1"/>
  <c r="J96" i="57" s="1"/>
  <c r="H18" i="36"/>
  <c r="L18" i="36" s="1"/>
  <c r="M18" i="36" s="1"/>
  <c r="R18" i="51" s="1"/>
  <c r="J17" i="57" s="1"/>
  <c r="J77" i="57" s="1"/>
  <c r="H22" i="36"/>
  <c r="L22" i="36" s="1"/>
  <c r="M22" i="36" s="1"/>
  <c r="R22" i="51" s="1"/>
  <c r="J21" i="57" s="1"/>
  <c r="J81" i="57" s="1"/>
  <c r="H52" i="36"/>
  <c r="L52" i="36" s="1"/>
  <c r="M52" i="36" s="1"/>
  <c r="R52" i="51" s="1"/>
  <c r="J51" i="57" s="1"/>
  <c r="J111" i="57" s="1"/>
  <c r="H8" i="36"/>
  <c r="L8" i="36" s="1"/>
  <c r="M8" i="36" s="1"/>
  <c r="R8" i="51" s="1"/>
  <c r="J7" i="57" s="1"/>
  <c r="J67" i="57" s="1"/>
  <c r="H12" i="36"/>
  <c r="L12" i="36" s="1"/>
  <c r="M12" i="36" s="1"/>
  <c r="R12" i="51" s="1"/>
  <c r="J11" i="57" s="1"/>
  <c r="J71" i="57" s="1"/>
  <c r="H23" i="36"/>
  <c r="L23" i="36" s="1"/>
  <c r="M23" i="36" s="1"/>
  <c r="R23" i="51" s="1"/>
  <c r="J22" i="57" s="1"/>
  <c r="J82" i="57" s="1"/>
  <c r="H35" i="36"/>
  <c r="L35" i="36" s="1"/>
  <c r="M35" i="36" s="1"/>
  <c r="R35" i="51" s="1"/>
  <c r="J34" i="57" s="1"/>
  <c r="J94" i="57" s="1"/>
  <c r="H20" i="36"/>
  <c r="L20" i="36" s="1"/>
  <c r="M20" i="36" s="1"/>
  <c r="R20" i="51" s="1"/>
  <c r="J19" i="57" s="1"/>
  <c r="J79" i="57" s="1"/>
  <c r="H45" i="36"/>
  <c r="L45" i="36" s="1"/>
  <c r="M45" i="36" s="1"/>
  <c r="R45" i="51" s="1"/>
  <c r="J44" i="57" s="1"/>
  <c r="J104" i="57" s="1"/>
  <c r="H28" i="36"/>
  <c r="L28" i="36" s="1"/>
  <c r="M28" i="36" s="1"/>
  <c r="R28" i="51" s="1"/>
  <c r="J27" i="57" s="1"/>
  <c r="J87" i="57" s="1"/>
  <c r="H7" i="36"/>
  <c r="L7" i="36" s="1"/>
  <c r="AF58" i="1"/>
  <c r="C87" i="57" l="1"/>
  <c r="L87" i="57" s="1"/>
  <c r="L27" i="57"/>
  <c r="C66" i="57"/>
  <c r="C76" i="57"/>
  <c r="L76" i="57" s="1"/>
  <c r="L16" i="57"/>
  <c r="C113" i="57"/>
  <c r="L113" i="57" s="1"/>
  <c r="L53" i="57"/>
  <c r="C68" i="57"/>
  <c r="L68" i="57" s="1"/>
  <c r="L8" i="57"/>
  <c r="C79" i="57"/>
  <c r="L79" i="57" s="1"/>
  <c r="L19" i="57"/>
  <c r="C77" i="57"/>
  <c r="L77" i="57" s="1"/>
  <c r="L17" i="57"/>
  <c r="C101" i="57"/>
  <c r="L101" i="57" s="1"/>
  <c r="L41" i="57"/>
  <c r="C73" i="57"/>
  <c r="L73" i="57" s="1"/>
  <c r="L13" i="57"/>
  <c r="C91" i="57"/>
  <c r="L91" i="57" s="1"/>
  <c r="L31" i="57"/>
  <c r="C98" i="57"/>
  <c r="L98" i="57" s="1"/>
  <c r="L38" i="57"/>
  <c r="C80" i="57"/>
  <c r="L80" i="57" s="1"/>
  <c r="L20" i="57"/>
  <c r="C81" i="57"/>
  <c r="L81" i="57" s="1"/>
  <c r="L21" i="57"/>
  <c r="C84" i="57"/>
  <c r="L84" i="57" s="1"/>
  <c r="L24" i="57"/>
  <c r="C107" i="57"/>
  <c r="L107" i="57" s="1"/>
  <c r="L47" i="57"/>
  <c r="C94" i="57"/>
  <c r="L94" i="57" s="1"/>
  <c r="L34" i="57"/>
  <c r="C103" i="57"/>
  <c r="L103" i="57" s="1"/>
  <c r="L43" i="57"/>
  <c r="C114" i="57"/>
  <c r="L54" i="57"/>
  <c r="C106" i="57"/>
  <c r="L106" i="57" s="1"/>
  <c r="L46" i="57"/>
  <c r="C71" i="57"/>
  <c r="L71" i="57" s="1"/>
  <c r="L11" i="57"/>
  <c r="C108" i="57"/>
  <c r="L48" i="57"/>
  <c r="C96" i="57"/>
  <c r="L96" i="57" s="1"/>
  <c r="L36" i="57"/>
  <c r="C86" i="57"/>
  <c r="L86" i="57" s="1"/>
  <c r="L26" i="57"/>
  <c r="C90" i="57"/>
  <c r="L90" i="57" s="1"/>
  <c r="L30" i="57"/>
  <c r="C92" i="57"/>
  <c r="L92" i="57" s="1"/>
  <c r="L32" i="57"/>
  <c r="C72" i="57"/>
  <c r="L72" i="57" s="1"/>
  <c r="L12" i="57"/>
  <c r="C116" i="57"/>
  <c r="L116" i="57" s="1"/>
  <c r="L56" i="57"/>
  <c r="C67" i="57"/>
  <c r="L67" i="57" s="1"/>
  <c r="L7" i="57"/>
  <c r="C88" i="57"/>
  <c r="L88" i="57" s="1"/>
  <c r="L28" i="57"/>
  <c r="C102" i="57"/>
  <c r="L102" i="57" s="1"/>
  <c r="L42" i="57"/>
  <c r="C111" i="57"/>
  <c r="L111" i="57" s="1"/>
  <c r="L51" i="57"/>
  <c r="C115" i="57"/>
  <c r="L115" i="57" s="1"/>
  <c r="L55" i="57"/>
  <c r="C82" i="57"/>
  <c r="L82" i="57" s="1"/>
  <c r="L22" i="57"/>
  <c r="C75" i="57"/>
  <c r="L75" i="57" s="1"/>
  <c r="L15" i="57"/>
  <c r="C70" i="57"/>
  <c r="L70" i="57" s="1"/>
  <c r="L10" i="57"/>
  <c r="C93" i="57"/>
  <c r="L93" i="57" s="1"/>
  <c r="L33" i="57"/>
  <c r="C69" i="57"/>
  <c r="L69" i="57" s="1"/>
  <c r="L9" i="57"/>
  <c r="C100" i="57"/>
  <c r="L100" i="57" s="1"/>
  <c r="L40" i="57"/>
  <c r="C110" i="57"/>
  <c r="L110" i="57" s="1"/>
  <c r="L50" i="57"/>
  <c r="C97" i="57"/>
  <c r="L97" i="57" s="1"/>
  <c r="L37" i="57"/>
  <c r="C74" i="57"/>
  <c r="L74" i="57" s="1"/>
  <c r="L14" i="57"/>
  <c r="C78" i="57"/>
  <c r="L78" i="57" s="1"/>
  <c r="L18" i="57"/>
  <c r="C95" i="57"/>
  <c r="L95" i="57" s="1"/>
  <c r="L35" i="57"/>
  <c r="C112" i="57"/>
  <c r="L112" i="57" s="1"/>
  <c r="L52" i="57"/>
  <c r="C89" i="57"/>
  <c r="L89" i="57" s="1"/>
  <c r="L29" i="57"/>
  <c r="C105" i="57"/>
  <c r="L105" i="57" s="1"/>
  <c r="L45" i="57"/>
  <c r="C85" i="57"/>
  <c r="L85" i="57" s="1"/>
  <c r="L25" i="57"/>
  <c r="C83" i="57"/>
  <c r="L83" i="57" s="1"/>
  <c r="L23" i="57"/>
  <c r="C109" i="57"/>
  <c r="L109" i="57" s="1"/>
  <c r="L49" i="57"/>
  <c r="C104" i="57"/>
  <c r="L104" i="57" s="1"/>
  <c r="L44" i="57"/>
  <c r="C99" i="57"/>
  <c r="L99" i="57" s="1"/>
  <c r="L39" i="57"/>
  <c r="I66" i="57"/>
  <c r="I117" i="57" s="1"/>
  <c r="I57" i="57"/>
  <c r="H66" i="57"/>
  <c r="H117" i="57" s="1"/>
  <c r="H57" i="57"/>
  <c r="F66" i="57"/>
  <c r="F117" i="57" s="1"/>
  <c r="F57" i="57"/>
  <c r="C57" i="57"/>
  <c r="G66" i="57"/>
  <c r="G117" i="57" s="1"/>
  <c r="G57" i="57"/>
  <c r="L108" i="57"/>
  <c r="L114" i="57"/>
  <c r="D58" i="51"/>
  <c r="J58" i="51"/>
  <c r="L58" i="51"/>
  <c r="N58" i="51"/>
  <c r="P58" i="51"/>
  <c r="D57" i="52"/>
  <c r="F7" i="51"/>
  <c r="E57" i="52"/>
  <c r="F57" i="52"/>
  <c r="C57" i="52"/>
  <c r="G57" i="52"/>
  <c r="H57" i="52"/>
  <c r="H58" i="36"/>
  <c r="L58" i="36"/>
  <c r="M7" i="36"/>
  <c r="R7" i="51" s="1"/>
  <c r="C117" i="57" l="1"/>
  <c r="R58" i="51"/>
  <c r="J6" i="57"/>
  <c r="J57" i="57" s="1"/>
  <c r="F58" i="51"/>
  <c r="D6" i="57"/>
  <c r="L6" i="57" s="1"/>
  <c r="M58" i="36"/>
  <c r="N7" i="36" s="1"/>
  <c r="U7" i="51" l="1"/>
  <c r="D66" i="57"/>
  <c r="D117" i="57" s="1"/>
  <c r="D57" i="57"/>
  <c r="L57" i="57" s="1"/>
  <c r="J66" i="57"/>
  <c r="J117" i="57" s="1"/>
  <c r="N56" i="36"/>
  <c r="N22" i="36"/>
  <c r="N31" i="36"/>
  <c r="N25" i="36"/>
  <c r="N50" i="36"/>
  <c r="N34" i="36"/>
  <c r="N53" i="36"/>
  <c r="N40" i="36"/>
  <c r="N38" i="36"/>
  <c r="N43" i="36"/>
  <c r="N26" i="36"/>
  <c r="N57" i="36"/>
  <c r="N39" i="36"/>
  <c r="N32" i="36"/>
  <c r="N48" i="36"/>
  <c r="N30" i="36"/>
  <c r="N37" i="36"/>
  <c r="N27" i="36"/>
  <c r="N19" i="36"/>
  <c r="N10" i="36"/>
  <c r="N20" i="36"/>
  <c r="N51" i="36"/>
  <c r="N14" i="36"/>
  <c r="N21" i="36"/>
  <c r="N41" i="36"/>
  <c r="N45" i="36"/>
  <c r="N23" i="36"/>
  <c r="N54" i="36"/>
  <c r="N44" i="36"/>
  <c r="N15" i="36"/>
  <c r="N47" i="36"/>
  <c r="N18" i="36"/>
  <c r="N46" i="36"/>
  <c r="N8" i="36"/>
  <c r="N42" i="36"/>
  <c r="N11" i="36"/>
  <c r="N52" i="36"/>
  <c r="N36" i="36"/>
  <c r="N17" i="36"/>
  <c r="N35" i="36"/>
  <c r="N16" i="36"/>
  <c r="N55" i="36"/>
  <c r="N33" i="36"/>
  <c r="N9" i="36"/>
  <c r="N13" i="36"/>
  <c r="N29" i="36"/>
  <c r="N49" i="36"/>
  <c r="N12" i="36"/>
  <c r="N28" i="36"/>
  <c r="N24" i="36"/>
  <c r="U17" i="51" l="1"/>
  <c r="U54" i="51"/>
  <c r="U15" i="51"/>
  <c r="U19" i="51"/>
  <c r="U33" i="51"/>
  <c r="U46" i="51"/>
  <c r="U29" i="51"/>
  <c r="U14" i="51"/>
  <c r="U25" i="51"/>
  <c r="U53" i="51"/>
  <c r="U13" i="51"/>
  <c r="U41" i="51"/>
  <c r="U56" i="51"/>
  <c r="U39" i="51"/>
  <c r="U21" i="51"/>
  <c r="U23" i="51"/>
  <c r="U47" i="51"/>
  <c r="U38" i="51"/>
  <c r="U45" i="51"/>
  <c r="U20" i="51"/>
  <c r="U52" i="51"/>
  <c r="U37" i="51"/>
  <c r="U42" i="51"/>
  <c r="U12" i="51"/>
  <c r="U51" i="51"/>
  <c r="U34" i="51"/>
  <c r="U22" i="51"/>
  <c r="U31" i="51"/>
  <c r="U49" i="51"/>
  <c r="U8" i="51"/>
  <c r="U40" i="51"/>
  <c r="U27" i="51"/>
  <c r="U43" i="51"/>
  <c r="U57" i="51"/>
  <c r="U26" i="51"/>
  <c r="U50" i="51"/>
  <c r="U44" i="51"/>
  <c r="U32" i="51"/>
  <c r="U48" i="51"/>
  <c r="U55" i="51"/>
  <c r="U24" i="51"/>
  <c r="U30" i="51"/>
  <c r="U18" i="51"/>
  <c r="U36" i="51"/>
  <c r="U35" i="51"/>
  <c r="U10" i="51"/>
  <c r="U11" i="51"/>
  <c r="U9" i="51"/>
  <c r="U16" i="51"/>
  <c r="U28" i="51"/>
  <c r="L66" i="57"/>
  <c r="L117" i="57"/>
  <c r="N58" i="36"/>
  <c r="U58" i="51" l="1"/>
</calcChain>
</file>

<file path=xl/sharedStrings.xml><?xml version="1.0" encoding="utf-8"?>
<sst xmlns="http://schemas.openxmlformats.org/spreadsheetml/2006/main" count="867" uniqueCount="242">
  <si>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</si>
  <si>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</si>
  <si>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</si>
  <si>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</si>
  <si>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</si>
  <si>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</si>
  <si>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</si>
  <si>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</si>
  <si>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</si>
  <si>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</si>
  <si>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</si>
  <si>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</si>
  <si>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</si>
  <si>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</si>
  <si>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</si>
  <si>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</si>
  <si>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</si>
  <si>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</si>
  <si>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</si>
  <si>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</si>
  <si>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</si>
  <si>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</si>
  <si>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</si>
  <si>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</si>
  <si>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</si>
  <si>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</si>
  <si>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</si>
  <si>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</si>
  <si>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</si>
  <si>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</si>
  <si>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</si>
  <si>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</si>
  <si>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</si>
  <si>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</si>
  <si>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</si>
  <si>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</si>
  <si>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</si>
  <si>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</si>
  <si>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</si>
  <si>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</si>
  <si>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</si>
  <si>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</si>
  <si>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</si>
  <si>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</si>
  <si>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</si>
  <si>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</si>
  <si>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</si>
  <si>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</si>
  <si>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</si>
  <si>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</si>
  <si>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</si>
  <si>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</si>
  <si>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</si>
  <si>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</si>
  <si>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</si>
  <si>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</si>
  <si>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</si>
  <si>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</si>
  <si>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</si>
  <si>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</si>
  <si>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</si>
  <si>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</si>
  <si>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</si>
  <si>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</si>
  <si>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</si>
  <si>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</si>
  <si>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</si>
  <si>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</si>
  <si>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</si>
  <si>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</si>
  <si>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</si>
  <si>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</si>
  <si>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</si>
  <si>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</si>
  <si>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</si>
  <si>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</si>
  <si>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</si>
  <si>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</si>
  <si>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</si>
  <si>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</si>
  <si>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</si>
  <si>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</si>
  <si>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</si>
  <si>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</si>
  <si>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</si>
  <si>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Fondo General de Participaciones (FGP)</t>
  </si>
  <si>
    <t>Impuesto Especial sobre Producción y Servicios (IEPS)</t>
  </si>
  <si>
    <t>SECRETARÍA DE FINANZAS Y TESORERÍA GENERAL DEL ESTADO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</si>
  <si>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</si>
  <si>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</si>
  <si>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</si>
  <si>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</si>
  <si>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</si>
  <si>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</si>
  <si>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DETERMINACIÓN PRELIMINAR DE LOS COEFICIENTES DE PARTICIPACIÓN DE RECURSOS A MUNICIPIOS POR VARIABLE (ARTÍCULO14 FRACC II LCH)</t>
  </si>
  <si>
    <t>MONTO OBS. + ESTIM. DE PARTICIPACIONES</t>
  </si>
  <si>
    <t>Fondo de Compensacion ISAN</t>
  </si>
  <si>
    <t xml:space="preserve">Impuesto sobre Adquisición de Vehículos Nuevos (ISAN) </t>
  </si>
  <si>
    <t>ISAN</t>
  </si>
  <si>
    <t>COMP ISAN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</si>
  <si>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</si>
  <si>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</si>
  <si>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</si>
  <si>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</si>
  <si>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</si>
  <si>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</si>
  <si>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</si>
  <si>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</si>
  <si>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</si>
  <si>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</si>
  <si>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</si>
  <si>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</si>
  <si>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</si>
  <si>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</si>
  <si>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</si>
  <si>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</si>
  <si>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</si>
  <si>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</si>
  <si>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</si>
  <si>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</si>
  <si>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</si>
  <si>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</si>
  <si>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</si>
  <si>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</si>
  <si>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</si>
  <si>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</si>
  <si>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</si>
  <si>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</si>
  <si>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</si>
  <si>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</si>
  <si>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</si>
  <si>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</si>
  <si>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</si>
  <si>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</si>
  <si>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</si>
  <si>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</si>
  <si>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</si>
  <si>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</si>
  <si>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</si>
  <si>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</si>
  <si>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</si>
  <si>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</si>
  <si>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</si>
  <si>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</si>
  <si>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FFM 70%</t>
  </si>
  <si>
    <t>Fondo de Fomento Municipal (FFM)</t>
  </si>
  <si>
    <t>parte fija 2013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</si>
  <si>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</si>
  <si>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</si>
  <si>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</si>
  <si>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</si>
  <si>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Total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</si>
  <si>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</si>
  <si>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</si>
  <si>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</si>
  <si>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</si>
  <si>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</si>
  <si>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</si>
  <si>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</si>
  <si>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</si>
  <si>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Intensidad de la Pobreza</t>
  </si>
  <si>
    <t>Proporcion de Intensidad de la Pobreza</t>
  </si>
  <si>
    <t xml:space="preserve">Distribución del 85% por Pobreza </t>
  </si>
  <si>
    <t>Mejora en Pobreza Municipal</t>
  </si>
  <si>
    <t>Proporción de la eficacia en Pobreza</t>
  </si>
  <si>
    <t xml:space="preserve">Distribución del 15% por eficacia de Pobreza </t>
  </si>
  <si>
    <t>Distribución por Indice de Pobreza</t>
  </si>
  <si>
    <t>PP2M</t>
  </si>
  <si>
    <t>PP1M</t>
  </si>
  <si>
    <t>CPP1M</t>
  </si>
  <si>
    <t>ICPM=(PP1M/∑PP1M)</t>
  </si>
  <si>
    <t>IP=(ICPM*CPP!M)</t>
  </si>
  <si>
    <t>IP/∑IP</t>
  </si>
  <si>
    <t>(0.85*CIMP)*(IP)</t>
  </si>
  <si>
    <t>M=PP2M/PP1M</t>
  </si>
  <si>
    <t>EP/∑EP</t>
  </si>
  <si>
    <t>(0.15*CIMP)*(EP/∑EP)</t>
  </si>
  <si>
    <t>DIPM</t>
  </si>
  <si>
    <t>CDIPM</t>
  </si>
  <si>
    <t>Diferencia</t>
  </si>
  <si>
    <t>FONDO DE ISR POR LA ENAJENACIÓN DE BIENES INMUEBLES</t>
  </si>
  <si>
    <t xml:space="preserve"> MUNICIPIO </t>
  </si>
  <si>
    <t>COEFICIENTE</t>
  </si>
  <si>
    <t>DISTRIBUCIÓN</t>
  </si>
  <si>
    <t xml:space="preserve">         TOTAL </t>
  </si>
  <si>
    <t>SUBTOTAL</t>
  </si>
  <si>
    <t>Impuesto sobre la Renta de Enajenación de Bienes Inmuebles (ISR BI)</t>
  </si>
  <si>
    <t>PERSONAS EN POBREZA 2015</t>
  </si>
  <si>
    <t>PERSONAS EN POBREZA 2020</t>
  </si>
  <si>
    <t>RECAUDACIÓN 2021</t>
  </si>
  <si>
    <t>SUBSECRETARÍA DE POLITICA DE INGRESOS, COORDINACIÓN DE PLANEACIÓN HACENDARIA</t>
  </si>
  <si>
    <t>IEPS GYD</t>
  </si>
  <si>
    <t>Incidencia de la Pobreza 2020</t>
  </si>
  <si>
    <t>Carencias promedio en situación de pobreza 2020</t>
  </si>
  <si>
    <t>ISR BI</t>
  </si>
  <si>
    <t>PROYECCIÓN DE POBLACIÓN 2022</t>
  </si>
  <si>
    <t>Cálculo de Distribución 2023</t>
  </si>
  <si>
    <t>RECAUDACIÓN 2022</t>
  </si>
  <si>
    <t>FACTURACIÓN 2022
(2018-2022)</t>
  </si>
  <si>
    <t>ISAI 2022</t>
  </si>
  <si>
    <t>Distribución Anual 2021</t>
  </si>
  <si>
    <t>COEFICIENTE BASE 2021</t>
  </si>
  <si>
    <t>PARTICIPACIONES AÑO ANTERIOR
FGP, FFM 70%, FOFIR, IEPS, ISAN</t>
  </si>
  <si>
    <t>PARTICIPACIONES A MUNICIPIOS 2021</t>
  </si>
  <si>
    <t>CÁLCULO DE PARTICIPACIONES DEL COPETE A MUNICIPIOS 2023</t>
  </si>
  <si>
    <t>Ret FEIEF Feb</t>
  </si>
  <si>
    <t>Ret FEIEF Mar</t>
  </si>
  <si>
    <t>Ret FEIEF Abr</t>
  </si>
  <si>
    <t>Ret FEIEF May</t>
  </si>
  <si>
    <t>May</t>
  </si>
  <si>
    <t>Jun</t>
  </si>
  <si>
    <t>Ret FEIEF Jun</t>
  </si>
  <si>
    <t>Ret FEIEF Ene</t>
  </si>
  <si>
    <t>Ene</t>
  </si>
  <si>
    <t>Feb</t>
  </si>
  <si>
    <t>Monto Distribuido 1er Sem 2021</t>
  </si>
  <si>
    <t xml:space="preserve"> DISTRIBUCION 1ER SEM 2023 FFM 30%</t>
  </si>
  <si>
    <t>MONTO OBS 1er SEM 2023 IEPS GYD</t>
  </si>
  <si>
    <t>Complementaria</t>
  </si>
  <si>
    <t>CÁLCULO DE DISTRIBUCIÓN DE PARTICIPACIONES POR EL AJUSTE ESTATAL DEL 1er SEMESTRE</t>
  </si>
  <si>
    <t>DISTRIBUCIÓN DE PARTICIPACIONES 1er SEMESTRE 2023</t>
  </si>
  <si>
    <t>CÁLCULO DE DISTRIBUCIÓN DE PARTICIPACIONES 1er SEMESTRE 2023 CON VARIABLES ACTUALIZADAS</t>
  </si>
  <si>
    <t>1ER SEMESTRE 2023</t>
  </si>
  <si>
    <t>Distribución 1ER SEMESTRE 2021</t>
  </si>
  <si>
    <t>Participaciones 1er Semestre 2023</t>
  </si>
  <si>
    <t>A APLICAR DE MANERA MENSUAL EN EL PERIODO JULIO A DICIEMBRE 2023</t>
  </si>
  <si>
    <t>FUENTE:
Facturación de Predial.- Instituto Registral y Catastral
Recaudación de Predial.- Municipios del Estado
Población.- Censo de Población y Vivienda 2020
Territorio.- INEGI
Indicadores de Pobreza 2015 Y 2020.- CONEVAL</t>
  </si>
  <si>
    <t>4to Ajuste Trim 2022</t>
  </si>
  <si>
    <t>FEIEF cierre anual 2022</t>
  </si>
  <si>
    <t>3er Ajuste Cuatrim 2022</t>
  </si>
  <si>
    <t>Mar</t>
  </si>
  <si>
    <t>Abr</t>
  </si>
  <si>
    <t>1er Ajuste Trim 2023</t>
  </si>
  <si>
    <t>1er Ajuste Cuatrim 2023</t>
  </si>
  <si>
    <t>Ajuste Def 2022</t>
  </si>
  <si>
    <t>Monto Anual Distribuido 2021</t>
  </si>
  <si>
    <t>Porcentaje de Distribución</t>
  </si>
  <si>
    <t>Porcentaje</t>
  </si>
  <si>
    <t>Monto</t>
  </si>
  <si>
    <t>Monto a Distribuir 2023</t>
  </si>
  <si>
    <t>FACTURACIÓN  2021
(2017-2021)</t>
  </si>
  <si>
    <t>Las sumas puede no coincidr por cuestiones de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</si>
</sst>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#,##0\ &quot;$&quot;;[Red]\-#,##0\ &quot;$&quot;"/>
    <numFmt numFmtId="168" formatCode="&quot;$&quot;\ #,##0.00"/>
    <numFmt numFmtId="169" formatCode="\U\ #,##0.00"/>
    <numFmt numFmtId="170" formatCode="_(* #,##0.000000_);_(* \(#,##0.000000\);_(* &quot;-&quot;??_);_(@_)"/>
    <numFmt numFmtId="171" formatCode="0.00000000%"/>
    <numFmt numFmtId="172" formatCode="_(* #,##0.00000000_);_(* \(#,##0.00000000\);_(* &quot;-&quot;??_);_(@_)"/>
    <numFmt numFmtId="173" formatCode="0.000000"/>
    <numFmt numFmtId="174" formatCode="0.00000000"/>
    <numFmt numFmtId="175" formatCode="0.0000000000"/>
    <numFmt numFmtId="176" formatCode="0.000000000"/>
    <numFmt numFmtId="177" formatCode="#,##0.0000;\-#,##0.0000"/>
    <numFmt numFmtId="178" formatCode="#,##0.00000000000;\-#,##0.00000000000"/>
    <numFmt numFmtId="179" formatCode="0.0000%"/>
    <numFmt numFmtId="180" formatCode="General_)"/>
    <numFmt numFmtId="181" formatCode="_-[$€-2]* #,##0.00_-;\-[$€-2]* #,##0.00_-;_-[$€-2]* &quot;-&quot;??_-"/>
    <numFmt numFmtId="182" formatCode="_-* #,##0_-;\-* #,##0_-;_-* &quot;-&quot;??_-;_-@_-"/>
    <numFmt numFmtId="183" formatCode="_-* #,##0.0000_-;\-* #,##0.0000_-;_-* &quot;-&quot;????_-;_-@_-"/>
    <numFmt numFmtId="184" formatCode="_-* #,##0.0000_-;\-* #,##0.0000_-;_-* &quot;-&quot;_-;_-@_-"/>
    <numFmt numFmtId="185" formatCode="_-* #,##0.0000_-;\-* #,##0.0000_-;_-* &quot;-&quot;??_-;_-@_-"/>
    <numFmt numFmtId="186" formatCode="#,##0.0000_ ;[Red]\-#,##0.0000\ "/>
    <numFmt numFmtId="187" formatCode="#,##0_ ;[Red]\-#,##0\ "/>
    <numFmt numFmtId="188" formatCode="0.00000000000"/>
    <numFmt numFmtId="189" formatCode="#,##0.00_ ;[Red]\-#,##0.00\ "/>
    <numFmt numFmtId="190" formatCode="_-* #,##0.000000_-;\-* #,##0.000000_-;_-* &quot;-&quot;??_-;_-@_-"/>
    <numFmt numFmtId="191" formatCode="_-* #,##0.00000_-;\-* #,##0.00000_-;_-* &quot;-&quot;??_-;_-@_-"/>
    <numFmt numFmtId="192" formatCode="#,##0.0000000;\-#,##0.0000000"/>
    <numFmt numFmtId="193" formatCode="#,##0.00000000;\-#,##0.00000000"/>
    <numFmt numFmtId="194" formatCode="#,##0.000_ ;[Red]\-#,##0.000\ "/>
    <numFmt numFmtId="195" formatCode="#,##0.000000_ ;[Red]\-#,##0.000000\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  <font>
      <b/>
      <sz val="10"/>
      <color indexed="62"/>
      <name val="Arial"/>
      <family val="2"/>
    </font>
    <font>
      <b/>
      <sz val="10"/>
      <color rgb="FF006100"/>
      <name val="Arial"/>
      <family val="2"/>
    </font>
    <font>
      <b/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7" fontId="9" fillId="0" borderId="0" applyFont="0" applyFill="0" applyBorder="0" applyAlignment="0" applyProtection="0"/>
    <xf numFmtId="0" fontId="23" fillId="3" borderId="0" applyNumberFormat="0" applyBorder="0" applyAlignment="0" applyProtection="0"/>
    <xf numFmtId="164" fontId="9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11" fillId="0" borderId="0"/>
    <xf numFmtId="37" fontId="10" fillId="0" borderId="0"/>
    <xf numFmtId="0" fontId="15" fillId="23" borderId="4" applyNumberFormat="0" applyFont="0" applyAlignment="0" applyProtection="0"/>
    <xf numFmtId="168" fontId="11" fillId="0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169" fontId="12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0" fontId="9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81" fontId="9" fillId="0" borderId="0" applyFont="0" applyFill="0" applyBorder="0" applyAlignment="0" applyProtection="0"/>
    <xf numFmtId="0" fontId="23" fillId="3" borderId="0" applyNumberFormat="0" applyBorder="0" applyAlignment="0" applyProtection="0"/>
    <xf numFmtId="41" fontId="9" fillId="0" borderId="0" applyFont="0" applyFill="0" applyBorder="0" applyAlignment="0" applyProtection="0"/>
    <xf numFmtId="0" fontId="24" fillId="22" borderId="0" applyNumberFormat="0" applyBorder="0" applyAlignment="0" applyProtection="0"/>
    <xf numFmtId="0" fontId="9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8" fillId="0" borderId="0"/>
    <xf numFmtId="43" fontId="9" fillId="0" borderId="0" applyFont="0" applyFill="0" applyBorder="0" applyAlignment="0" applyProtection="0"/>
    <xf numFmtId="0" fontId="48" fillId="0" borderId="0"/>
    <xf numFmtId="0" fontId="7" fillId="0" borderId="0"/>
    <xf numFmtId="43" fontId="49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9" fillId="0" borderId="0"/>
    <xf numFmtId="0" fontId="52" fillId="0" borderId="0"/>
    <xf numFmtId="43" fontId="5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3" fillId="2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4" fillId="0" borderId="0"/>
    <xf numFmtId="0" fontId="3" fillId="0" borderId="0"/>
    <xf numFmtId="43" fontId="3" fillId="0" borderId="0" applyFont="0" applyFill="0" applyBorder="0" applyAlignment="0" applyProtection="0"/>
    <xf numFmtId="0" fontId="18" fillId="16" borderId="73" applyNumberFormat="0" applyAlignment="0" applyProtection="0"/>
    <xf numFmtId="0" fontId="19" fillId="17" borderId="74" applyNumberFormat="0" applyAlignment="0" applyProtection="0"/>
    <xf numFmtId="0" fontId="22" fillId="7" borderId="73" applyNumberFormat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23" borderId="75" applyNumberFormat="0" applyFont="0" applyAlignment="0" applyProtection="0"/>
    <xf numFmtId="0" fontId="25" fillId="16" borderId="76" applyNumberFormat="0" applyAlignment="0" applyProtection="0"/>
    <xf numFmtId="0" fontId="31" fillId="0" borderId="77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06">
    <xf numFmtId="0" fontId="0" fillId="0" borderId="0" xfId="0"/>
    <xf numFmtId="37" fontId="14" fillId="0" borderId="0" xfId="37" applyFont="1" applyAlignment="1" applyProtection="1">
      <alignment horizontal="center" vertical="center" wrapText="1"/>
      <protection hidden="1"/>
    </xf>
    <xf numFmtId="37" fontId="9" fillId="0" borderId="11" xfId="37" applyFont="1" applyBorder="1" applyAlignment="1" applyProtection="1">
      <alignment horizontal="left"/>
      <protection hidden="1"/>
    </xf>
    <xf numFmtId="37" fontId="9" fillId="0" borderId="20" xfId="37" applyFont="1" applyBorder="1" applyAlignment="1" applyProtection="1">
      <alignment horizontal="right"/>
      <protection hidden="1"/>
    </xf>
    <xf numFmtId="37" fontId="9" fillId="0" borderId="12" xfId="37" applyFont="1" applyBorder="1" applyAlignment="1" applyProtection="1">
      <alignment horizontal="left"/>
      <protection hidden="1"/>
    </xf>
    <xf numFmtId="37" fontId="9" fillId="0" borderId="22" xfId="37" applyFont="1" applyBorder="1" applyAlignment="1" applyProtection="1">
      <alignment horizontal="right"/>
      <protection hidden="1"/>
    </xf>
    <xf numFmtId="37" fontId="13" fillId="0" borderId="13" xfId="37" applyFont="1" applyBorder="1" applyAlignment="1" applyProtection="1">
      <alignment horizontal="left"/>
      <protection hidden="1"/>
    </xf>
    <xf numFmtId="37" fontId="13" fillId="0" borderId="14" xfId="37" applyFont="1" applyBorder="1" applyAlignment="1" applyProtection="1">
      <alignment horizontal="right"/>
      <protection hidden="1"/>
    </xf>
    <xf numFmtId="37" fontId="13" fillId="0" borderId="10" xfId="37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9" fontId="13" fillId="0" borderId="10" xfId="40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Protection="1">
      <protection hidden="1"/>
    </xf>
    <xf numFmtId="9" fontId="13" fillId="0" borderId="10" xfId="0" applyNumberFormat="1" applyFont="1" applyBorder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Protection="1">
      <protection hidden="1"/>
    </xf>
    <xf numFmtId="37" fontId="39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173" fontId="39" fillId="0" borderId="0" xfId="37" applyNumberFormat="1" applyFont="1" applyProtection="1">
      <protection hidden="1"/>
    </xf>
    <xf numFmtId="174" fontId="40" fillId="0" borderId="0" xfId="0" applyNumberFormat="1" applyFont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" fontId="33" fillId="0" borderId="20" xfId="0" applyNumberFormat="1" applyFont="1" applyBorder="1" applyProtection="1">
      <protection hidden="1"/>
    </xf>
    <xf numFmtId="173" fontId="9" fillId="0" borderId="20" xfId="40" applyNumberFormat="1" applyFont="1" applyFill="1" applyBorder="1" applyProtection="1">
      <protection hidden="1"/>
    </xf>
    <xf numFmtId="165" fontId="9" fillId="0" borderId="20" xfId="33" applyNumberFormat="1" applyFont="1" applyFill="1" applyBorder="1" applyProtection="1">
      <protection hidden="1"/>
    </xf>
    <xf numFmtId="173" fontId="9" fillId="0" borderId="25" xfId="40" applyNumberFormat="1" applyFont="1" applyFill="1" applyBorder="1" applyProtection="1">
      <protection hidden="1"/>
    </xf>
    <xf numFmtId="170" fontId="9" fillId="0" borderId="20" xfId="33" applyNumberFormat="1" applyFont="1" applyFill="1" applyBorder="1" applyProtection="1">
      <protection hidden="1"/>
    </xf>
    <xf numFmtId="165" fontId="9" fillId="0" borderId="25" xfId="33" applyNumberFormat="1" applyFont="1" applyFill="1" applyBorder="1" applyProtection="1">
      <protection hidden="1"/>
    </xf>
    <xf numFmtId="37" fontId="9" fillId="0" borderId="11" xfId="37" applyFont="1" applyBorder="1" applyProtection="1">
      <protection hidden="1"/>
    </xf>
    <xf numFmtId="37" fontId="9" fillId="0" borderId="20" xfId="37" applyFont="1" applyBorder="1" applyProtection="1">
      <protection hidden="1"/>
    </xf>
    <xf numFmtId="174" fontId="9" fillId="0" borderId="21" xfId="40" applyNumberFormat="1" applyFont="1" applyBorder="1" applyProtection="1">
      <protection hidden="1"/>
    </xf>
    <xf numFmtId="3" fontId="33" fillId="0" borderId="22" xfId="0" applyNumberFormat="1" applyFont="1" applyBorder="1" applyProtection="1">
      <protection hidden="1"/>
    </xf>
    <xf numFmtId="173" fontId="9" fillId="0" borderId="22" xfId="40" applyNumberFormat="1" applyFont="1" applyFill="1" applyBorder="1" applyProtection="1">
      <protection hidden="1"/>
    </xf>
    <xf numFmtId="165" fontId="9" fillId="0" borderId="22" xfId="33" applyNumberFormat="1" applyFont="1" applyFill="1" applyBorder="1" applyProtection="1">
      <protection hidden="1"/>
    </xf>
    <xf numFmtId="173" fontId="9" fillId="0" borderId="26" xfId="40" applyNumberFormat="1" applyFont="1" applyFill="1" applyBorder="1" applyProtection="1">
      <protection hidden="1"/>
    </xf>
    <xf numFmtId="170" fontId="9" fillId="0" borderId="22" xfId="33" applyNumberFormat="1" applyFont="1" applyFill="1" applyBorder="1" applyProtection="1">
      <protection hidden="1"/>
    </xf>
    <xf numFmtId="165" fontId="9" fillId="0" borderId="26" xfId="33" applyNumberFormat="1" applyFont="1" applyFill="1" applyBorder="1" applyProtection="1">
      <protection hidden="1"/>
    </xf>
    <xf numFmtId="37" fontId="9" fillId="0" borderId="12" xfId="37" applyFont="1" applyBorder="1" applyProtection="1">
      <protection hidden="1"/>
    </xf>
    <xf numFmtId="37" fontId="9" fillId="0" borderId="22" xfId="37" applyFont="1" applyBorder="1" applyProtection="1">
      <protection hidden="1"/>
    </xf>
    <xf numFmtId="174" fontId="9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3" fontId="13" fillId="0" borderId="14" xfId="40" applyNumberFormat="1" applyFont="1" applyFill="1" applyBorder="1" applyProtection="1">
      <protection hidden="1"/>
    </xf>
    <xf numFmtId="165" fontId="13" fillId="0" borderId="14" xfId="33" applyNumberFormat="1" applyFont="1" applyFill="1" applyBorder="1" applyProtection="1">
      <protection hidden="1"/>
    </xf>
    <xf numFmtId="173" fontId="13" fillId="0" borderId="24" xfId="40" applyNumberFormat="1" applyFont="1" applyFill="1" applyBorder="1" applyProtection="1">
      <protection hidden="1"/>
    </xf>
    <xf numFmtId="170" fontId="13" fillId="0" borderId="14" xfId="33" applyNumberFormat="1" applyFont="1" applyFill="1" applyBorder="1" applyProtection="1">
      <protection hidden="1"/>
    </xf>
    <xf numFmtId="165" fontId="13" fillId="0" borderId="24" xfId="40" applyNumberFormat="1" applyFont="1" applyFill="1" applyBorder="1" applyProtection="1">
      <protection hidden="1"/>
    </xf>
    <xf numFmtId="37" fontId="13" fillId="0" borderId="13" xfId="37" applyFont="1" applyBorder="1" applyProtection="1">
      <protection hidden="1"/>
    </xf>
    <xf numFmtId="37" fontId="13" fillId="0" borderId="14" xfId="37" applyFont="1" applyBorder="1" applyProtection="1">
      <protection hidden="1"/>
    </xf>
    <xf numFmtId="174" fontId="13" fillId="0" borderId="15" xfId="40" applyNumberFormat="1" applyFont="1" applyBorder="1" applyProtection="1">
      <protection hidden="1"/>
    </xf>
    <xf numFmtId="173" fontId="9" fillId="0" borderId="0" xfId="37" applyNumberFormat="1" applyFont="1" applyProtection="1">
      <protection hidden="1"/>
    </xf>
    <xf numFmtId="39" fontId="9" fillId="0" borderId="0" xfId="37" applyNumberFormat="1" applyFont="1" applyProtection="1">
      <protection hidden="1"/>
    </xf>
    <xf numFmtId="174" fontId="9" fillId="0" borderId="0" xfId="37" applyNumberFormat="1" applyFont="1" applyProtection="1">
      <protection hidden="1"/>
    </xf>
    <xf numFmtId="166" fontId="9" fillId="0" borderId="0" xfId="40" applyNumberFormat="1" applyFont="1" applyProtection="1">
      <protection hidden="1"/>
    </xf>
    <xf numFmtId="166" fontId="9" fillId="0" borderId="0" xfId="40" applyNumberFormat="1" applyFont="1" applyFill="1" applyProtection="1">
      <protection hidden="1"/>
    </xf>
    <xf numFmtId="39" fontId="13" fillId="0" borderId="10" xfId="37" applyNumberFormat="1" applyFont="1" applyBorder="1" applyAlignment="1" applyProtection="1">
      <alignment horizontal="center" vertical="center" wrapText="1"/>
      <protection hidden="1"/>
    </xf>
    <xf numFmtId="37" fontId="36" fillId="0" borderId="0" xfId="37" applyFont="1" applyAlignment="1" applyProtection="1">
      <alignment horizontal="center" vertical="center" wrapText="1"/>
      <protection hidden="1"/>
    </xf>
    <xf numFmtId="39" fontId="34" fillId="0" borderId="0" xfId="37" applyNumberFormat="1" applyFont="1" applyAlignment="1" applyProtection="1">
      <alignment horizontal="center" vertical="center" wrapText="1"/>
      <protection hidden="1"/>
    </xf>
    <xf numFmtId="174" fontId="39" fillId="0" borderId="0" xfId="37" applyNumberFormat="1" applyFont="1" applyProtection="1">
      <protection hidden="1"/>
    </xf>
    <xf numFmtId="39" fontId="39" fillId="0" borderId="0" xfId="37" applyNumberFormat="1" applyFont="1" applyAlignment="1" applyProtection="1">
      <alignment horizontal="center" vertical="center" wrapText="1"/>
      <protection hidden="1"/>
    </xf>
    <xf numFmtId="174" fontId="39" fillId="0" borderId="0" xfId="37" applyNumberFormat="1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9" fillId="0" borderId="0" xfId="37" applyFont="1" applyAlignment="1" applyProtection="1">
      <alignment wrapText="1"/>
      <protection hidden="1"/>
    </xf>
    <xf numFmtId="37" fontId="9" fillId="0" borderId="27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173" fontId="34" fillId="0" borderId="0" xfId="0" applyNumberFormat="1" applyFont="1" applyAlignment="1" applyProtection="1">
      <alignment horizontal="center" vertical="center" wrapText="1"/>
      <protection hidden="1"/>
    </xf>
    <xf numFmtId="174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4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Alignment="1" applyProtection="1">
      <alignment horizontal="center" vertical="center" wrapText="1"/>
      <protection hidden="1"/>
    </xf>
    <xf numFmtId="168" fontId="34" fillId="0" borderId="0" xfId="39" applyFont="1" applyFill="1" applyBorder="1" applyAlignment="1" applyProtection="1">
      <alignment horizontal="center" vertical="center" wrapText="1"/>
      <protection hidden="1"/>
    </xf>
    <xf numFmtId="175" fontId="9" fillId="0" borderId="20" xfId="40" applyNumberFormat="1" applyFont="1" applyFill="1" applyBorder="1" applyProtection="1">
      <protection hidden="1"/>
    </xf>
    <xf numFmtId="175" fontId="9" fillId="0" borderId="22" xfId="40" applyNumberFormat="1" applyFont="1" applyFill="1" applyBorder="1" applyProtection="1">
      <protection hidden="1"/>
    </xf>
    <xf numFmtId="175" fontId="13" fillId="0" borderId="14" xfId="40" applyNumberFormat="1" applyFont="1" applyFill="1" applyBorder="1" applyProtection="1">
      <protection hidden="1"/>
    </xf>
    <xf numFmtId="176" fontId="9" fillId="0" borderId="20" xfId="40" applyNumberFormat="1" applyFont="1" applyFill="1" applyBorder="1" applyProtection="1">
      <protection hidden="1"/>
    </xf>
    <xf numFmtId="176" fontId="9" fillId="0" borderId="22" xfId="40" applyNumberFormat="1" applyFont="1" applyFill="1" applyBorder="1" applyProtection="1">
      <protection hidden="1"/>
    </xf>
    <xf numFmtId="176" fontId="13" fillId="0" borderId="14" xfId="40" applyNumberFormat="1" applyFont="1" applyFill="1" applyBorder="1" applyProtection="1">
      <protection hidden="1"/>
    </xf>
    <xf numFmtId="174" fontId="34" fillId="0" borderId="0" xfId="0" applyNumberFormat="1" applyFont="1" applyAlignment="1" applyProtection="1">
      <alignment horizontal="center" vertical="center" wrapText="1"/>
      <protection hidden="1"/>
    </xf>
    <xf numFmtId="174" fontId="42" fillId="0" borderId="0" xfId="37" applyNumberFormat="1" applyFont="1" applyAlignment="1" applyProtection="1">
      <alignment horizontal="center" vertical="center"/>
      <protection hidden="1"/>
    </xf>
    <xf numFmtId="174" fontId="41" fillId="0" borderId="10" xfId="0" applyNumberFormat="1" applyFont="1" applyBorder="1" applyAlignment="1" applyProtection="1">
      <alignment horizontal="center" vertical="center" wrapText="1"/>
      <protection hidden="1"/>
    </xf>
    <xf numFmtId="174" fontId="9" fillId="0" borderId="21" xfId="40" applyNumberFormat="1" applyFont="1" applyFill="1" applyBorder="1" applyProtection="1">
      <protection hidden="1"/>
    </xf>
    <xf numFmtId="174" fontId="9" fillId="0" borderId="19" xfId="40" applyNumberFormat="1" applyFont="1" applyFill="1" applyBorder="1" applyProtection="1">
      <protection hidden="1"/>
    </xf>
    <xf numFmtId="174" fontId="13" fillId="0" borderId="15" xfId="40" applyNumberFormat="1" applyFont="1" applyFill="1" applyBorder="1" applyProtection="1">
      <protection hidden="1"/>
    </xf>
    <xf numFmtId="37" fontId="43" fillId="0" borderId="0" xfId="37" applyFont="1" applyProtection="1">
      <protection hidden="1"/>
    </xf>
    <xf numFmtId="0" fontId="41" fillId="0" borderId="10" xfId="0" applyFont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13" fillId="0" borderId="28" xfId="0" applyFont="1" applyBorder="1" applyAlignment="1" applyProtection="1">
      <alignment horizontal="center" vertical="center" wrapText="1"/>
      <protection hidden="1"/>
    </xf>
    <xf numFmtId="174" fontId="13" fillId="0" borderId="28" xfId="0" applyNumberFormat="1" applyFont="1" applyBorder="1" applyAlignment="1" applyProtection="1">
      <alignment horizontal="center" vertical="center" wrapText="1"/>
      <protection hidden="1"/>
    </xf>
    <xf numFmtId="174" fontId="34" fillId="0" borderId="0" xfId="37" applyNumberFormat="1" applyFont="1" applyProtection="1">
      <protection hidden="1"/>
    </xf>
    <xf numFmtId="174" fontId="34" fillId="0" borderId="0" xfId="37" applyNumberFormat="1" applyFont="1" applyAlignment="1" applyProtection="1">
      <alignment horizontal="center" vertical="center" wrapText="1"/>
      <protection hidden="1"/>
    </xf>
    <xf numFmtId="174" fontId="9" fillId="0" borderId="16" xfId="33" applyNumberFormat="1" applyFont="1" applyFill="1" applyBorder="1" applyProtection="1">
      <protection hidden="1"/>
    </xf>
    <xf numFmtId="174" fontId="9" fillId="0" borderId="21" xfId="37" applyNumberFormat="1" applyFont="1" applyBorder="1" applyProtection="1">
      <protection hidden="1"/>
    </xf>
    <xf numFmtId="174" fontId="9" fillId="0" borderId="17" xfId="33" applyNumberFormat="1" applyFont="1" applyFill="1" applyBorder="1" applyProtection="1">
      <protection hidden="1"/>
    </xf>
    <xf numFmtId="174" fontId="9" fillId="0" borderId="19" xfId="37" applyNumberFormat="1" applyFont="1" applyBorder="1" applyProtection="1">
      <protection hidden="1"/>
    </xf>
    <xf numFmtId="174" fontId="13" fillId="0" borderId="18" xfId="40" applyNumberFormat="1" applyFont="1" applyFill="1" applyBorder="1" applyProtection="1">
      <protection hidden="1"/>
    </xf>
    <xf numFmtId="174" fontId="13" fillId="0" borderId="15" xfId="37" applyNumberFormat="1" applyFont="1" applyBorder="1" applyProtection="1">
      <protection hidden="1"/>
    </xf>
    <xf numFmtId="0" fontId="9" fillId="0" borderId="0" xfId="53"/>
    <xf numFmtId="0" fontId="9" fillId="0" borderId="0" xfId="53" applyAlignment="1">
      <alignment vertical="center"/>
    </xf>
    <xf numFmtId="3" fontId="9" fillId="0" borderId="0" xfId="53" applyNumberFormat="1" applyAlignment="1">
      <alignment horizontal="center" vertical="center"/>
    </xf>
    <xf numFmtId="0" fontId="9" fillId="0" borderId="0" xfId="53" applyAlignment="1">
      <alignment horizontal="center" vertical="center"/>
    </xf>
    <xf numFmtId="182" fontId="0" fillId="0" borderId="0" xfId="51" applyNumberFormat="1" applyFont="1"/>
    <xf numFmtId="182" fontId="9" fillId="0" borderId="0" xfId="51" applyNumberFormat="1" applyFont="1"/>
    <xf numFmtId="37" fontId="50" fillId="0" borderId="0" xfId="37" applyFont="1" applyAlignment="1" applyProtection="1">
      <alignment horizontal="center" vertical="center" wrapText="1"/>
      <protection hidden="1"/>
    </xf>
    <xf numFmtId="37" fontId="13" fillId="0" borderId="0" xfId="37" applyFont="1" applyProtection="1">
      <protection hidden="1"/>
    </xf>
    <xf numFmtId="171" fontId="9" fillId="0" borderId="0" xfId="40" applyNumberFormat="1" applyFont="1" applyProtection="1">
      <protection hidden="1"/>
    </xf>
    <xf numFmtId="164" fontId="9" fillId="0" borderId="0" xfId="33" applyFont="1" applyBorder="1" applyProtection="1">
      <protection hidden="1"/>
    </xf>
    <xf numFmtId="179" fontId="9" fillId="0" borderId="0" xfId="40" applyNumberFormat="1" applyFont="1" applyProtection="1">
      <protection hidden="1"/>
    </xf>
    <xf numFmtId="178" fontId="9" fillId="0" borderId="0" xfId="37" applyNumberFormat="1" applyFont="1" applyProtection="1">
      <protection hidden="1"/>
    </xf>
    <xf numFmtId="177" fontId="9" fillId="0" borderId="0" xfId="37" applyNumberFormat="1" applyFont="1" applyProtection="1">
      <protection hidden="1"/>
    </xf>
    <xf numFmtId="37" fontId="9" fillId="0" borderId="23" xfId="37" applyFont="1" applyBorder="1" applyProtection="1">
      <protection hidden="1"/>
    </xf>
    <xf numFmtId="0" fontId="9" fillId="24" borderId="0" xfId="106" applyFill="1"/>
    <xf numFmtId="182" fontId="0" fillId="24" borderId="0" xfId="51" applyNumberFormat="1" applyFont="1" applyFill="1"/>
    <xf numFmtId="183" fontId="13" fillId="24" borderId="36" xfId="106" applyNumberFormat="1" applyFont="1" applyFill="1" applyBorder="1"/>
    <xf numFmtId="182" fontId="13" fillId="24" borderId="37" xfId="51" applyNumberFormat="1" applyFont="1" applyFill="1" applyBorder="1"/>
    <xf numFmtId="182" fontId="13" fillId="24" borderId="38" xfId="106" applyNumberFormat="1" applyFont="1" applyFill="1" applyBorder="1"/>
    <xf numFmtId="182" fontId="13" fillId="24" borderId="39" xfId="106" applyNumberFormat="1" applyFont="1" applyFill="1" applyBorder="1"/>
    <xf numFmtId="182" fontId="13" fillId="24" borderId="40" xfId="106" applyNumberFormat="1" applyFont="1" applyFill="1" applyBorder="1"/>
    <xf numFmtId="0" fontId="13" fillId="24" borderId="41" xfId="106" applyFont="1" applyFill="1" applyBorder="1"/>
    <xf numFmtId="184" fontId="13" fillId="24" borderId="37" xfId="106" applyNumberFormat="1" applyFont="1" applyFill="1" applyBorder="1"/>
    <xf numFmtId="185" fontId="13" fillId="24" borderId="39" xfId="51" applyNumberFormat="1" applyFont="1" applyFill="1" applyBorder="1"/>
    <xf numFmtId="185" fontId="13" fillId="24" borderId="39" xfId="106" applyNumberFormat="1" applyFont="1" applyFill="1" applyBorder="1"/>
    <xf numFmtId="185" fontId="13" fillId="24" borderId="38" xfId="51" applyNumberFormat="1" applyFont="1" applyFill="1" applyBorder="1"/>
    <xf numFmtId="185" fontId="13" fillId="24" borderId="39" xfId="107" applyNumberFormat="1" applyFont="1" applyFill="1" applyBorder="1"/>
    <xf numFmtId="182" fontId="13" fillId="24" borderId="39" xfId="51" applyNumberFormat="1" applyFont="1" applyFill="1" applyBorder="1"/>
    <xf numFmtId="182" fontId="13" fillId="24" borderId="40" xfId="51" applyNumberFormat="1" applyFont="1" applyFill="1" applyBorder="1"/>
    <xf numFmtId="183" fontId="9" fillId="24" borderId="35" xfId="106" applyNumberFormat="1" applyFill="1" applyBorder="1"/>
    <xf numFmtId="41" fontId="9" fillId="24" borderId="42" xfId="106" applyNumberFormat="1" applyFill="1" applyBorder="1"/>
    <xf numFmtId="182" fontId="0" fillId="24" borderId="43" xfId="51" applyNumberFormat="1" applyFont="1" applyFill="1" applyBorder="1"/>
    <xf numFmtId="182" fontId="0" fillId="24" borderId="0" xfId="51" applyNumberFormat="1" applyFont="1" applyFill="1" applyBorder="1"/>
    <xf numFmtId="182" fontId="0" fillId="24" borderId="44" xfId="51" applyNumberFormat="1" applyFont="1" applyFill="1" applyBorder="1"/>
    <xf numFmtId="0" fontId="13" fillId="24" borderId="34" xfId="106" applyFont="1" applyFill="1" applyBorder="1"/>
    <xf numFmtId="184" fontId="9" fillId="24" borderId="42" xfId="106" applyNumberFormat="1" applyFill="1" applyBorder="1"/>
    <xf numFmtId="185" fontId="0" fillId="24" borderId="0" xfId="51" applyNumberFormat="1" applyFont="1" applyFill="1" applyBorder="1"/>
    <xf numFmtId="185" fontId="0" fillId="24" borderId="43" xfId="51" applyNumberFormat="1" applyFont="1" applyFill="1" applyBorder="1"/>
    <xf numFmtId="185" fontId="0" fillId="24" borderId="0" xfId="107" applyNumberFormat="1" applyFont="1" applyFill="1" applyBorder="1"/>
    <xf numFmtId="183" fontId="9" fillId="24" borderId="45" xfId="106" applyNumberFormat="1" applyFill="1" applyBorder="1"/>
    <xf numFmtId="41" fontId="0" fillId="24" borderId="46" xfId="51" applyNumberFormat="1" applyFont="1" applyFill="1" applyBorder="1"/>
    <xf numFmtId="182" fontId="0" fillId="24" borderId="47" xfId="51" applyNumberFormat="1" applyFont="1" applyFill="1" applyBorder="1"/>
    <xf numFmtId="182" fontId="0" fillId="24" borderId="48" xfId="51" applyNumberFormat="1" applyFont="1" applyFill="1" applyBorder="1"/>
    <xf numFmtId="182" fontId="0" fillId="24" borderId="49" xfId="51" applyNumberFormat="1" applyFont="1" applyFill="1" applyBorder="1"/>
    <xf numFmtId="0" fontId="13" fillId="24" borderId="50" xfId="106" applyFont="1" applyFill="1" applyBorder="1"/>
    <xf numFmtId="184" fontId="9" fillId="24" borderId="46" xfId="106" applyNumberFormat="1" applyFill="1" applyBorder="1"/>
    <xf numFmtId="185" fontId="0" fillId="24" borderId="48" xfId="51" applyNumberFormat="1" applyFont="1" applyFill="1" applyBorder="1"/>
    <xf numFmtId="185" fontId="0" fillId="24" borderId="47" xfId="51" applyNumberFormat="1" applyFont="1" applyFill="1" applyBorder="1"/>
    <xf numFmtId="185" fontId="0" fillId="24" borderId="48" xfId="107" applyNumberFormat="1" applyFont="1" applyFill="1" applyBorder="1"/>
    <xf numFmtId="0" fontId="13" fillId="24" borderId="0" xfId="106" applyFont="1" applyFill="1"/>
    <xf numFmtId="0" fontId="13" fillId="0" borderId="0" xfId="106" applyFont="1"/>
    <xf numFmtId="0" fontId="34" fillId="24" borderId="0" xfId="106" applyFont="1" applyFill="1" applyAlignment="1">
      <alignment horizontal="center" vertical="center" wrapText="1"/>
    </xf>
    <xf numFmtId="0" fontId="13" fillId="24" borderId="33" xfId="106" applyFont="1" applyFill="1" applyBorder="1" applyAlignment="1">
      <alignment horizontal="center" vertical="center" wrapText="1"/>
    </xf>
    <xf numFmtId="0" fontId="13" fillId="24" borderId="51" xfId="106" applyFont="1" applyFill="1" applyBorder="1" applyAlignment="1">
      <alignment horizontal="center" vertical="center" wrapText="1"/>
    </xf>
    <xf numFmtId="0" fontId="13" fillId="24" borderId="52" xfId="106" applyFont="1" applyFill="1" applyBorder="1" applyAlignment="1">
      <alignment horizontal="center" vertical="center" wrapText="1"/>
    </xf>
    <xf numFmtId="0" fontId="13" fillId="24" borderId="32" xfId="106" applyFont="1" applyFill="1" applyBorder="1" applyAlignment="1">
      <alignment horizontal="center" vertical="center" wrapText="1"/>
    </xf>
    <xf numFmtId="0" fontId="13" fillId="24" borderId="53" xfId="106" applyFont="1" applyFill="1" applyBorder="1" applyAlignment="1">
      <alignment horizontal="center" vertical="center" wrapText="1"/>
    </xf>
    <xf numFmtId="0" fontId="13" fillId="24" borderId="31" xfId="106" applyFont="1" applyFill="1" applyBorder="1" applyAlignment="1">
      <alignment horizontal="center" vertical="center"/>
    </xf>
    <xf numFmtId="0" fontId="13" fillId="24" borderId="0" xfId="106" applyFont="1" applyFill="1" applyAlignment="1">
      <alignment horizontal="center" vertical="center" wrapText="1"/>
    </xf>
    <xf numFmtId="0" fontId="9" fillId="0" borderId="55" xfId="53" applyBorder="1" applyAlignment="1">
      <alignment vertical="center" wrapText="1"/>
    </xf>
    <xf numFmtId="43" fontId="9" fillId="0" borderId="0" xfId="53" applyNumberFormat="1"/>
    <xf numFmtId="43" fontId="0" fillId="0" borderId="0" xfId="51" applyFont="1"/>
    <xf numFmtId="165" fontId="9" fillId="0" borderId="0" xfId="53" applyNumberFormat="1"/>
    <xf numFmtId="0" fontId="13" fillId="0" borderId="55" xfId="53" applyFont="1" applyBorder="1" applyAlignment="1">
      <alignment horizontal="center" vertical="center" wrapText="1"/>
    </xf>
    <xf numFmtId="0" fontId="13" fillId="0" borderId="55" xfId="53" applyFont="1" applyBorder="1" applyAlignment="1">
      <alignment horizontal="center" vertical="center"/>
    </xf>
    <xf numFmtId="186" fontId="9" fillId="24" borderId="48" xfId="106" applyNumberFormat="1" applyFill="1" applyBorder="1"/>
    <xf numFmtId="186" fontId="9" fillId="24" borderId="0" xfId="106" applyNumberFormat="1" applyFill="1"/>
    <xf numFmtId="174" fontId="41" fillId="0" borderId="0" xfId="0" applyNumberFormat="1" applyFont="1" applyAlignment="1" applyProtection="1">
      <alignment horizontal="center" vertical="center" wrapText="1"/>
      <protection hidden="1"/>
    </xf>
    <xf numFmtId="174" fontId="9" fillId="0" borderId="56" xfId="33" applyNumberFormat="1" applyFont="1" applyFill="1" applyBorder="1" applyProtection="1">
      <protection hidden="1"/>
    </xf>
    <xf numFmtId="174" fontId="13" fillId="0" borderId="56" xfId="40" applyNumberFormat="1" applyFont="1" applyFill="1" applyBorder="1" applyProtection="1">
      <protection hidden="1"/>
    </xf>
    <xf numFmtId="165" fontId="9" fillId="0" borderId="0" xfId="33" applyNumberFormat="1"/>
    <xf numFmtId="188" fontId="9" fillId="0" borderId="0" xfId="53" applyNumberFormat="1"/>
    <xf numFmtId="188" fontId="9" fillId="0" borderId="0" xfId="33" applyNumberFormat="1"/>
    <xf numFmtId="176" fontId="9" fillId="0" borderId="0" xfId="53" applyNumberFormat="1"/>
    <xf numFmtId="176" fontId="9" fillId="0" borderId="0" xfId="33" applyNumberFormat="1"/>
    <xf numFmtId="10" fontId="9" fillId="0" borderId="0" xfId="40" applyNumberFormat="1" applyFont="1" applyAlignment="1" applyProtection="1">
      <alignment horizontal="center"/>
      <protection hidden="1"/>
    </xf>
    <xf numFmtId="187" fontId="0" fillId="0" borderId="0" xfId="51" applyNumberFormat="1" applyFont="1" applyFill="1" applyBorder="1"/>
    <xf numFmtId="0" fontId="13" fillId="0" borderId="50" xfId="106" applyFont="1" applyBorder="1"/>
    <xf numFmtId="0" fontId="13" fillId="0" borderId="34" xfId="106" applyFont="1" applyBorder="1"/>
    <xf numFmtId="189" fontId="9" fillId="0" borderId="0" xfId="53" applyNumberFormat="1"/>
    <xf numFmtId="189" fontId="9" fillId="0" borderId="0" xfId="51" applyNumberFormat="1" applyFont="1"/>
    <xf numFmtId="189" fontId="0" fillId="0" borderId="0" xfId="51" applyNumberFormat="1" applyFont="1"/>
    <xf numFmtId="164" fontId="9" fillId="0" borderId="0" xfId="33" applyFont="1"/>
    <xf numFmtId="164" fontId="0" fillId="0" borderId="0" xfId="33" applyFont="1"/>
    <xf numFmtId="182" fontId="0" fillId="0" borderId="0" xfId="51" applyNumberFormat="1" applyFont="1" applyFill="1" applyBorder="1"/>
    <xf numFmtId="187" fontId="0" fillId="0" borderId="0" xfId="33" applyNumberFormat="1" applyFont="1" applyFill="1" applyBorder="1"/>
    <xf numFmtId="187" fontId="9" fillId="0" borderId="55" xfId="33" applyNumberFormat="1" applyFont="1" applyFill="1" applyBorder="1" applyAlignment="1">
      <alignment vertical="center" wrapText="1"/>
    </xf>
    <xf numFmtId="187" fontId="9" fillId="0" borderId="55" xfId="53" applyNumberFormat="1" applyBorder="1" applyAlignment="1">
      <alignment horizontal="center" vertical="center" wrapText="1"/>
    </xf>
    <xf numFmtId="187" fontId="13" fillId="0" borderId="55" xfId="53" applyNumberFormat="1" applyFont="1" applyBorder="1" applyAlignment="1">
      <alignment horizontal="center" vertical="center"/>
    </xf>
    <xf numFmtId="187" fontId="13" fillId="0" borderId="55" xfId="53" applyNumberFormat="1" applyFont="1" applyBorder="1" applyAlignment="1">
      <alignment vertical="center"/>
    </xf>
    <xf numFmtId="37" fontId="13" fillId="24" borderId="58" xfId="37" applyFont="1" applyFill="1" applyBorder="1" applyAlignment="1" applyProtection="1">
      <alignment horizontal="center" vertical="center" wrapText="1"/>
      <protection hidden="1"/>
    </xf>
    <xf numFmtId="9" fontId="13" fillId="24" borderId="58" xfId="40" applyFont="1" applyFill="1" applyBorder="1" applyAlignment="1" applyProtection="1">
      <alignment horizontal="center" vertical="center" wrapText="1"/>
      <protection hidden="1"/>
    </xf>
    <xf numFmtId="173" fontId="13" fillId="24" borderId="58" xfId="40" applyNumberFormat="1" applyFont="1" applyFill="1" applyBorder="1" applyAlignment="1" applyProtection="1">
      <alignment horizontal="center" vertical="center" wrapText="1"/>
      <protection hidden="1"/>
    </xf>
    <xf numFmtId="173" fontId="41" fillId="0" borderId="10" xfId="0" applyNumberFormat="1" applyFont="1" applyBorder="1" applyAlignment="1" applyProtection="1">
      <alignment horizontal="center" vertical="center" wrapText="1"/>
      <protection hidden="1"/>
    </xf>
    <xf numFmtId="37" fontId="51" fillId="0" borderId="0" xfId="37" applyFont="1" applyAlignment="1" applyProtection="1">
      <alignment horizontal="center" vertical="center"/>
      <protection hidden="1"/>
    </xf>
    <xf numFmtId="37" fontId="9" fillId="0" borderId="0" xfId="37" applyFont="1" applyAlignment="1" applyProtection="1">
      <alignment horizontal="center" vertical="center" wrapText="1"/>
      <protection hidden="1"/>
    </xf>
    <xf numFmtId="173" fontId="9" fillId="0" borderId="0" xfId="37" applyNumberFormat="1" applyFont="1" applyAlignment="1" applyProtection="1">
      <alignment horizontal="center" vertical="center" wrapText="1"/>
      <protection hidden="1"/>
    </xf>
    <xf numFmtId="173" fontId="56" fillId="0" borderId="0" xfId="0" applyNumberFormat="1" applyFont="1" applyAlignment="1" applyProtection="1">
      <alignment horizontal="center" vertical="center" wrapText="1"/>
      <protection hidden="1"/>
    </xf>
    <xf numFmtId="165" fontId="33" fillId="0" borderId="20" xfId="33" applyNumberFormat="1" applyFont="1" applyBorder="1" applyProtection="1">
      <protection hidden="1"/>
    </xf>
    <xf numFmtId="170" fontId="33" fillId="0" borderId="20" xfId="33" applyNumberFormat="1" applyFont="1" applyBorder="1" applyProtection="1">
      <protection hidden="1"/>
    </xf>
    <xf numFmtId="190" fontId="33" fillId="0" borderId="20" xfId="33" applyNumberFormat="1" applyFont="1" applyBorder="1" applyProtection="1">
      <protection hidden="1"/>
    </xf>
    <xf numFmtId="172" fontId="33" fillId="0" borderId="20" xfId="33" applyNumberFormat="1" applyFont="1" applyBorder="1" applyProtection="1">
      <protection hidden="1"/>
    </xf>
    <xf numFmtId="173" fontId="9" fillId="0" borderId="21" xfId="40" applyNumberFormat="1" applyFont="1" applyFill="1" applyBorder="1" applyProtection="1">
      <protection hidden="1"/>
    </xf>
    <xf numFmtId="165" fontId="33" fillId="0" borderId="22" xfId="33" applyNumberFormat="1" applyFont="1" applyBorder="1" applyProtection="1">
      <protection hidden="1"/>
    </xf>
    <xf numFmtId="170" fontId="33" fillId="0" borderId="22" xfId="33" applyNumberFormat="1" applyFont="1" applyBorder="1" applyProtection="1">
      <protection hidden="1"/>
    </xf>
    <xf numFmtId="190" fontId="33" fillId="0" borderId="22" xfId="33" applyNumberFormat="1" applyFont="1" applyBorder="1" applyProtection="1">
      <protection hidden="1"/>
    </xf>
    <xf numFmtId="172" fontId="33" fillId="0" borderId="22" xfId="33" applyNumberFormat="1" applyFont="1" applyBorder="1" applyProtection="1">
      <protection hidden="1"/>
    </xf>
    <xf numFmtId="173" fontId="9" fillId="0" borderId="19" xfId="40" applyNumberFormat="1" applyFont="1" applyFill="1" applyBorder="1" applyProtection="1">
      <protection hidden="1"/>
    </xf>
    <xf numFmtId="165" fontId="13" fillId="0" borderId="13" xfId="33" applyNumberFormat="1" applyFont="1" applyFill="1" applyBorder="1" applyAlignment="1" applyProtection="1">
      <protection hidden="1"/>
    </xf>
    <xf numFmtId="165" fontId="13" fillId="0" borderId="14" xfId="33" applyNumberFormat="1" applyFont="1" applyFill="1" applyBorder="1" applyAlignment="1" applyProtection="1">
      <protection hidden="1"/>
    </xf>
    <xf numFmtId="170" fontId="13" fillId="0" borderId="14" xfId="33" applyNumberFormat="1" applyFont="1" applyFill="1" applyBorder="1" applyAlignment="1" applyProtection="1">
      <protection hidden="1"/>
    </xf>
    <xf numFmtId="172" fontId="13" fillId="0" borderId="14" xfId="33" applyNumberFormat="1" applyFont="1" applyFill="1" applyBorder="1" applyAlignment="1" applyProtection="1">
      <protection hidden="1"/>
    </xf>
    <xf numFmtId="165" fontId="13" fillId="0" borderId="15" xfId="33" applyNumberFormat="1" applyFont="1" applyFill="1" applyBorder="1" applyAlignment="1" applyProtection="1">
      <protection hidden="1"/>
    </xf>
    <xf numFmtId="173" fontId="13" fillId="0" borderId="15" xfId="40" applyNumberFormat="1" applyFont="1" applyFill="1" applyBorder="1" applyProtection="1">
      <protection hidden="1"/>
    </xf>
    <xf numFmtId="173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118" applyFont="1"/>
    <xf numFmtId="182" fontId="33" fillId="0" borderId="0" xfId="119" applyNumberFormat="1" applyFont="1"/>
    <xf numFmtId="0" fontId="13" fillId="0" borderId="55" xfId="53" applyFont="1" applyBorder="1" applyAlignment="1">
      <alignment vertical="center" wrapText="1"/>
    </xf>
    <xf numFmtId="187" fontId="13" fillId="0" borderId="55" xfId="33" applyNumberFormat="1" applyFont="1" applyFill="1" applyBorder="1" applyAlignment="1">
      <alignment vertical="center" wrapText="1"/>
    </xf>
    <xf numFmtId="187" fontId="13" fillId="0" borderId="55" xfId="53" applyNumberFormat="1" applyFont="1" applyBorder="1" applyAlignment="1">
      <alignment horizontal="center" vertical="center" wrapText="1"/>
    </xf>
    <xf numFmtId="187" fontId="13" fillId="0" borderId="55" xfId="33" applyNumberFormat="1" applyFont="1" applyFill="1" applyBorder="1" applyAlignment="1">
      <alignment horizontal="center" vertical="center" wrapText="1"/>
    </xf>
    <xf numFmtId="0" fontId="9" fillId="0" borderId="0" xfId="53" applyAlignment="1">
      <alignment vertical="center" wrapText="1"/>
    </xf>
    <xf numFmtId="0" fontId="55" fillId="26" borderId="57" xfId="0" applyFont="1" applyFill="1" applyBorder="1" applyAlignment="1">
      <alignment horizontal="center" vertical="center" wrapText="1"/>
    </xf>
    <xf numFmtId="182" fontId="55" fillId="26" borderId="57" xfId="33" applyNumberFormat="1" applyFont="1" applyFill="1" applyBorder="1" applyAlignment="1">
      <alignment horizontal="center" vertical="center" wrapText="1"/>
    </xf>
    <xf numFmtId="182" fontId="13" fillId="0" borderId="62" xfId="51" applyNumberFormat="1" applyFont="1" applyFill="1" applyBorder="1"/>
    <xf numFmtId="187" fontId="13" fillId="0" borderId="63" xfId="51" applyNumberFormat="1" applyFont="1" applyFill="1" applyBorder="1"/>
    <xf numFmtId="182" fontId="13" fillId="0" borderId="64" xfId="51" applyNumberFormat="1" applyFont="1" applyFill="1" applyBorder="1"/>
    <xf numFmtId="43" fontId="13" fillId="0" borderId="61" xfId="51" applyFont="1" applyFill="1" applyBorder="1" applyAlignment="1">
      <alignment horizontal="center" vertical="center"/>
    </xf>
    <xf numFmtId="0" fontId="55" fillId="26" borderId="66" xfId="0" applyFont="1" applyFill="1" applyBorder="1" applyAlignment="1">
      <alignment horizontal="center" vertical="center"/>
    </xf>
    <xf numFmtId="182" fontId="34" fillId="24" borderId="0" xfId="51" applyNumberFormat="1" applyFont="1" applyFill="1" applyAlignment="1">
      <alignment horizontal="center" vertical="center"/>
    </xf>
    <xf numFmtId="0" fontId="39" fillId="24" borderId="0" xfId="106" applyFont="1" applyFill="1"/>
    <xf numFmtId="9" fontId="34" fillId="24" borderId="0" xfId="107" applyFont="1" applyFill="1" applyAlignment="1">
      <alignment horizontal="center" vertical="center"/>
    </xf>
    <xf numFmtId="0" fontId="34" fillId="24" borderId="0" xfId="106" applyFont="1" applyFill="1"/>
    <xf numFmtId="187" fontId="13" fillId="0" borderId="65" xfId="51" applyNumberFormat="1" applyFont="1" applyFill="1" applyBorder="1"/>
    <xf numFmtId="164" fontId="9" fillId="0" borderId="0" xfId="33"/>
    <xf numFmtId="187" fontId="9" fillId="0" borderId="0" xfId="53" applyNumberFormat="1"/>
    <xf numFmtId="192" fontId="9" fillId="0" borderId="0" xfId="37" applyNumberFormat="1" applyFont="1" applyProtection="1">
      <protection hidden="1"/>
    </xf>
    <xf numFmtId="193" fontId="9" fillId="0" borderId="0" xfId="37" applyNumberFormat="1" applyFont="1" applyProtection="1">
      <protection hidden="1"/>
    </xf>
    <xf numFmtId="193" fontId="34" fillId="0" borderId="0" xfId="37" applyNumberFormat="1" applyFont="1" applyProtection="1">
      <protection hidden="1"/>
    </xf>
    <xf numFmtId="193" fontId="39" fillId="0" borderId="0" xfId="37" applyNumberFormat="1" applyFont="1" applyProtection="1">
      <protection hidden="1"/>
    </xf>
    <xf numFmtId="0" fontId="35" fillId="0" borderId="68" xfId="118" applyFont="1" applyBorder="1"/>
    <xf numFmtId="182" fontId="35" fillId="0" borderId="69" xfId="119" applyNumberFormat="1" applyFont="1" applyBorder="1" applyAlignment="1">
      <alignment horizontal="center" vertical="center"/>
    </xf>
    <xf numFmtId="0" fontId="35" fillId="0" borderId="69" xfId="118" applyFont="1" applyBorder="1" applyAlignment="1">
      <alignment horizontal="center"/>
    </xf>
    <xf numFmtId="182" fontId="35" fillId="0" borderId="70" xfId="119" applyNumberFormat="1" applyFont="1" applyBorder="1" applyAlignment="1">
      <alignment horizontal="center"/>
    </xf>
    <xf numFmtId="0" fontId="33" fillId="0" borderId="62" xfId="118" applyFont="1" applyBorder="1"/>
    <xf numFmtId="182" fontId="33" fillId="0" borderId="0" xfId="119" applyNumberFormat="1" applyFont="1" applyBorder="1" applyAlignment="1">
      <alignment horizontal="center"/>
    </xf>
    <xf numFmtId="191" fontId="33" fillId="0" borderId="0" xfId="118" applyNumberFormat="1" applyFont="1" applyBorder="1" applyAlignment="1">
      <alignment horizontal="center"/>
    </xf>
    <xf numFmtId="182" fontId="33" fillId="0" borderId="63" xfId="119" applyNumberFormat="1" applyFont="1" applyBorder="1" applyAlignment="1"/>
    <xf numFmtId="191" fontId="33" fillId="0" borderId="0" xfId="118" applyNumberFormat="1" applyFont="1" applyBorder="1"/>
    <xf numFmtId="0" fontId="35" fillId="0" borderId="71" xfId="118" applyFont="1" applyBorder="1"/>
    <xf numFmtId="182" fontId="35" fillId="0" borderId="27" xfId="119" applyNumberFormat="1" applyFont="1" applyBorder="1"/>
    <xf numFmtId="191" fontId="33" fillId="0" borderId="27" xfId="118" applyNumberFormat="1" applyFont="1" applyBorder="1"/>
    <xf numFmtId="182" fontId="33" fillId="0" borderId="72" xfId="119" applyNumberFormat="1" applyFont="1" applyBorder="1"/>
    <xf numFmtId="0" fontId="33" fillId="0" borderId="0" xfId="118" applyNumberFormat="1" applyFont="1"/>
    <xf numFmtId="3" fontId="9" fillId="0" borderId="0" xfId="53" applyNumberFormat="1"/>
    <xf numFmtId="0" fontId="9" fillId="24" borderId="0" xfId="106" applyNumberFormat="1" applyFill="1"/>
    <xf numFmtId="165" fontId="9" fillId="27" borderId="20" xfId="33" applyNumberFormat="1" applyFont="1" applyFill="1" applyBorder="1" applyAlignment="1" applyProtection="1">
      <alignment horizontal="right"/>
      <protection hidden="1"/>
    </xf>
    <xf numFmtId="165" fontId="9" fillId="27" borderId="23" xfId="33" applyNumberFormat="1" applyFont="1" applyFill="1" applyBorder="1" applyProtection="1">
      <protection hidden="1"/>
    </xf>
    <xf numFmtId="37" fontId="13" fillId="27" borderId="14" xfId="37" applyFont="1" applyFill="1" applyBorder="1" applyAlignment="1" applyProtection="1">
      <alignment horizontal="right"/>
      <protection hidden="1"/>
    </xf>
    <xf numFmtId="37" fontId="13" fillId="27" borderId="20" xfId="37" applyFont="1" applyFill="1" applyBorder="1" applyAlignment="1" applyProtection="1">
      <alignment horizontal="right"/>
      <protection hidden="1"/>
    </xf>
    <xf numFmtId="37" fontId="13" fillId="27" borderId="22" xfId="37" applyFont="1" applyFill="1" applyBorder="1" applyAlignment="1" applyProtection="1">
      <alignment horizontal="right"/>
      <protection hidden="1"/>
    </xf>
    <xf numFmtId="37" fontId="13" fillId="0" borderId="15" xfId="37" applyFont="1" applyBorder="1" applyAlignment="1" applyProtection="1">
      <alignment horizontal="right"/>
      <protection hidden="1"/>
    </xf>
    <xf numFmtId="192" fontId="9" fillId="0" borderId="21" xfId="37" applyNumberFormat="1" applyFont="1" applyBorder="1" applyAlignment="1" applyProtection="1">
      <alignment horizontal="right"/>
      <protection hidden="1"/>
    </xf>
    <xf numFmtId="192" fontId="9" fillId="0" borderId="19" xfId="37" applyNumberFormat="1" applyFont="1" applyBorder="1" applyProtection="1">
      <protection hidden="1"/>
    </xf>
    <xf numFmtId="192" fontId="13" fillId="0" borderId="15" xfId="37" applyNumberFormat="1" applyFont="1" applyBorder="1" applyAlignment="1" applyProtection="1">
      <alignment horizontal="right"/>
      <protection hidden="1"/>
    </xf>
    <xf numFmtId="37" fontId="9" fillId="0" borderId="21" xfId="37" applyFont="1" applyBorder="1" applyAlignment="1" applyProtection="1">
      <alignment horizontal="right"/>
      <protection hidden="1"/>
    </xf>
    <xf numFmtId="37" fontId="9" fillId="0" borderId="19" xfId="37" applyFont="1" applyBorder="1" applyAlignment="1" applyProtection="1">
      <alignment horizontal="right"/>
      <protection hidden="1"/>
    </xf>
    <xf numFmtId="187" fontId="13" fillId="0" borderId="67" xfId="33" applyNumberFormat="1" applyFont="1" applyFill="1" applyBorder="1"/>
    <xf numFmtId="0" fontId="13" fillId="0" borderId="78" xfId="53" applyFont="1" applyBorder="1" applyAlignment="1">
      <alignment horizontal="center" vertical="center" wrapText="1"/>
    </xf>
    <xf numFmtId="187" fontId="9" fillId="0" borderId="78" xfId="33" applyNumberFormat="1" applyFont="1" applyFill="1" applyBorder="1" applyAlignment="1">
      <alignment vertical="center" wrapText="1"/>
    </xf>
    <xf numFmtId="194" fontId="55" fillId="26" borderId="57" xfId="33" applyNumberFormat="1" applyFont="1" applyFill="1" applyBorder="1" applyAlignment="1">
      <alignment horizontal="center" vertical="center" wrapText="1"/>
    </xf>
    <xf numFmtId="194" fontId="9" fillId="0" borderId="0" xfId="33" applyNumberFormat="1" applyFont="1"/>
    <xf numFmtId="194" fontId="0" fillId="0" borderId="0" xfId="33" applyNumberFormat="1" applyFont="1"/>
    <xf numFmtId="189" fontId="9" fillId="0" borderId="55" xfId="53" applyNumberFormat="1" applyBorder="1" applyAlignment="1">
      <alignment horizontal="center" vertical="center" wrapText="1"/>
    </xf>
    <xf numFmtId="185" fontId="9" fillId="0" borderId="0" xfId="51" applyNumberFormat="1" applyFont="1" applyFill="1" applyBorder="1"/>
    <xf numFmtId="195" fontId="13" fillId="0" borderId="67" xfId="33" applyNumberFormat="1" applyFont="1" applyFill="1" applyBorder="1"/>
    <xf numFmtId="190" fontId="9" fillId="0" borderId="0" xfId="51" applyNumberFormat="1" applyFont="1" applyFill="1" applyBorder="1"/>
    <xf numFmtId="0" fontId="55" fillId="26" borderId="81" xfId="0" applyFont="1" applyFill="1" applyBorder="1" applyAlignment="1">
      <alignment horizontal="center" vertical="center"/>
    </xf>
    <xf numFmtId="0" fontId="55" fillId="26" borderId="82" xfId="0" applyFont="1" applyFill="1" applyBorder="1" applyAlignment="1">
      <alignment horizontal="center" vertical="center" wrapText="1"/>
    </xf>
    <xf numFmtId="0" fontId="55" fillId="26" borderId="84" xfId="0" applyFont="1" applyFill="1" applyBorder="1" applyAlignment="1">
      <alignment horizontal="center" vertical="center"/>
    </xf>
    <xf numFmtId="0" fontId="55" fillId="26" borderId="85" xfId="0" applyFont="1" applyFill="1" applyBorder="1" applyAlignment="1">
      <alignment horizontal="center" vertical="center" wrapText="1"/>
    </xf>
    <xf numFmtId="0" fontId="13" fillId="0" borderId="0" xfId="53" applyFont="1" applyAlignment="1">
      <alignment horizontal="center" vertical="center"/>
    </xf>
    <xf numFmtId="182" fontId="13" fillId="0" borderId="0" xfId="51" applyNumberFormat="1" applyFont="1" applyAlignment="1">
      <alignment horizontal="center"/>
    </xf>
    <xf numFmtId="0" fontId="55" fillId="26" borderId="57" xfId="0" applyFont="1" applyFill="1" applyBorder="1" applyAlignment="1">
      <alignment horizontal="center" vertical="center" wrapText="1"/>
    </xf>
    <xf numFmtId="0" fontId="55" fillId="26" borderId="79" xfId="0" applyFont="1" applyFill="1" applyBorder="1" applyAlignment="1">
      <alignment horizontal="center" vertical="center" wrapText="1"/>
    </xf>
    <xf numFmtId="182" fontId="55" fillId="26" borderId="57" xfId="33" applyNumberFormat="1" applyFont="1" applyFill="1" applyBorder="1" applyAlignment="1">
      <alignment horizontal="center" vertical="center" wrapText="1"/>
    </xf>
    <xf numFmtId="182" fontId="55" fillId="26" borderId="79" xfId="33" applyNumberFormat="1" applyFont="1" applyFill="1" applyBorder="1" applyAlignment="1">
      <alignment horizontal="center" vertical="center" wrapText="1"/>
    </xf>
    <xf numFmtId="43" fontId="13" fillId="0" borderId="57" xfId="51" applyFont="1" applyFill="1" applyBorder="1" applyAlignment="1">
      <alignment horizontal="center" vertical="center"/>
    </xf>
    <xf numFmtId="43" fontId="13" fillId="0" borderId="80" xfId="51" applyFont="1" applyFill="1" applyBorder="1" applyAlignment="1">
      <alignment horizontal="center" vertical="center"/>
    </xf>
    <xf numFmtId="0" fontId="55" fillId="26" borderId="68" xfId="0" applyFont="1" applyFill="1" applyBorder="1" applyAlignment="1">
      <alignment horizontal="center" vertical="center"/>
    </xf>
    <xf numFmtId="0" fontId="55" fillId="26" borderId="83" xfId="0" applyFont="1" applyFill="1" applyBorder="1" applyAlignment="1">
      <alignment horizontal="center" vertical="center"/>
    </xf>
    <xf numFmtId="37" fontId="9" fillId="0" borderId="0" xfId="37" applyFont="1" applyAlignment="1" applyProtection="1">
      <alignment horizontal="left" vertical="top" wrapText="1"/>
      <protection hidden="1"/>
    </xf>
    <xf numFmtId="0" fontId="42" fillId="0" borderId="27" xfId="0" applyFont="1" applyBorder="1" applyAlignment="1">
      <alignment horizontal="center"/>
    </xf>
    <xf numFmtId="37" fontId="42" fillId="0" borderId="27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9" fillId="0" borderId="0" xfId="37" applyFont="1" applyAlignment="1" applyProtection="1">
      <alignment horizontal="center" vertical="center" wrapText="1"/>
      <protection hidden="1"/>
    </xf>
    <xf numFmtId="37" fontId="13" fillId="0" borderId="29" xfId="37" applyFont="1" applyBorder="1" applyAlignment="1" applyProtection="1">
      <alignment horizontal="center" vertical="center" wrapText="1"/>
      <protection hidden="1"/>
    </xf>
    <xf numFmtId="37" fontId="13" fillId="0" borderId="30" xfId="37" applyFont="1" applyBorder="1" applyAlignment="1" applyProtection="1">
      <alignment horizontal="center" vertical="center" wrapText="1"/>
      <protection hidden="1"/>
    </xf>
    <xf numFmtId="49" fontId="44" fillId="0" borderId="59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58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60" xfId="54" applyNumberFormat="1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2" fillId="0" borderId="27" xfId="37" applyFont="1" applyBorder="1" applyAlignment="1" applyProtection="1">
      <alignment horizontal="center" vertical="center"/>
      <protection hidden="1"/>
    </xf>
    <xf numFmtId="37" fontId="9" fillId="0" borderId="27" xfId="37" applyFont="1" applyBorder="1" applyAlignment="1" applyProtection="1">
      <alignment horizontal="center" vertical="center"/>
      <protection hidden="1"/>
    </xf>
    <xf numFmtId="37" fontId="42" fillId="0" borderId="27" xfId="37" applyFont="1" applyBorder="1" applyAlignment="1" applyProtection="1">
      <alignment horizontal="center" vertical="center" wrapText="1"/>
      <protection hidden="1"/>
    </xf>
    <xf numFmtId="0" fontId="13" fillId="24" borderId="54" xfId="106" applyFont="1" applyFill="1" applyBorder="1" applyAlignment="1">
      <alignment horizontal="center" vertical="center"/>
    </xf>
    <xf numFmtId="0" fontId="13" fillId="24" borderId="54" xfId="106" applyFont="1" applyFill="1" applyBorder="1" applyAlignment="1">
      <alignment horizontal="center"/>
    </xf>
    <xf numFmtId="0" fontId="9" fillId="24" borderId="0" xfId="106" applyFill="1" applyAlignment="1">
      <alignment horizontal="center" vertical="center"/>
    </xf>
    <xf numFmtId="0" fontId="57" fillId="25" borderId="0" xfId="112" applyNumberFormat="1" applyFont="1" applyBorder="1" applyAlignment="1">
      <alignment horizontal="center"/>
    </xf>
    <xf numFmtId="49" fontId="58" fillId="0" borderId="27" xfId="118" applyNumberFormat="1" applyFont="1" applyBorder="1" applyAlignment="1">
      <alignment horizontal="center"/>
    </xf>
  </cellXfs>
  <cellStyles count="146">
    <cellStyle name="=C:\WINNT\SYSTEM32\COMMAND.COM" xfId="57" xr:uid="{00000000-0005-0000-0000-000000000000}"/>
    <cellStyle name="20% - Énfasis1" xfId="1" builtinId="30" customBuiltin="1"/>
    <cellStyle name="20% - Énfasis1 2" xfId="58" xr:uid="{00000000-0005-0000-0000-000002000000}"/>
    <cellStyle name="20% - Énfasis2" xfId="2" builtinId="34" customBuiltin="1"/>
    <cellStyle name="20% - Énfasis2 2" xfId="59" xr:uid="{00000000-0005-0000-0000-000004000000}"/>
    <cellStyle name="20% - Énfasis3" xfId="3" builtinId="38" customBuiltin="1"/>
    <cellStyle name="20% - Énfasis3 2" xfId="60" xr:uid="{00000000-0005-0000-0000-000006000000}"/>
    <cellStyle name="20% - Énfasis4" xfId="4" builtinId="42" customBuiltin="1"/>
    <cellStyle name="20% - Énfasis4 2" xfId="61" xr:uid="{00000000-0005-0000-0000-000008000000}"/>
    <cellStyle name="20% - Énfasis5" xfId="5" builtinId="46" customBuiltin="1"/>
    <cellStyle name="20% - Énfasis5 2" xfId="62" xr:uid="{00000000-0005-0000-0000-00000A000000}"/>
    <cellStyle name="20% - Énfasis6" xfId="6" builtinId="50" customBuiltin="1"/>
    <cellStyle name="20% - Énfasis6 2" xfId="63" xr:uid="{00000000-0005-0000-0000-00000C000000}"/>
    <cellStyle name="40% - Énfasis1" xfId="7" builtinId="31" customBuiltin="1"/>
    <cellStyle name="40% - Énfasis1 2" xfId="64" xr:uid="{00000000-0005-0000-0000-00000E000000}"/>
    <cellStyle name="40% - Énfasis2" xfId="8" builtinId="35" customBuiltin="1"/>
    <cellStyle name="40% - Énfasis2 2" xfId="65" xr:uid="{00000000-0005-0000-0000-000010000000}"/>
    <cellStyle name="40% - Énfasis3" xfId="9" builtinId="39" customBuiltin="1"/>
    <cellStyle name="40% - Énfasis3 2" xfId="66" xr:uid="{00000000-0005-0000-0000-000012000000}"/>
    <cellStyle name="40% - Énfasis4" xfId="10" builtinId="43" customBuiltin="1"/>
    <cellStyle name="40% - Énfasis4 2" xfId="67" xr:uid="{00000000-0005-0000-0000-000014000000}"/>
    <cellStyle name="40% - Énfasis5" xfId="11" builtinId="47" customBuiltin="1"/>
    <cellStyle name="40% - Énfasis5 2" xfId="68" xr:uid="{00000000-0005-0000-0000-000016000000}"/>
    <cellStyle name="40% - Énfasis6" xfId="12" builtinId="51" customBuiltin="1"/>
    <cellStyle name="40% - Énfasis6 2" xfId="69" xr:uid="{00000000-0005-0000-0000-000018000000}"/>
    <cellStyle name="60% - Énfasis1" xfId="13" builtinId="32" customBuiltin="1"/>
    <cellStyle name="60% - Énfasis1 2" xfId="70" xr:uid="{00000000-0005-0000-0000-00001A000000}"/>
    <cellStyle name="60% - Énfasis2" xfId="14" builtinId="36" customBuiltin="1"/>
    <cellStyle name="60% - Énfasis2 2" xfId="71" xr:uid="{00000000-0005-0000-0000-00001C000000}"/>
    <cellStyle name="60% - Énfasis3" xfId="15" builtinId="40" customBuiltin="1"/>
    <cellStyle name="60% - Énfasis3 2" xfId="72" xr:uid="{00000000-0005-0000-0000-00001E000000}"/>
    <cellStyle name="60% - Énfasis4" xfId="16" builtinId="44" customBuiltin="1"/>
    <cellStyle name="60% - Énfasis4 2" xfId="73" xr:uid="{00000000-0005-0000-0000-000020000000}"/>
    <cellStyle name="60% - Énfasis5" xfId="17" builtinId="48" customBuiltin="1"/>
    <cellStyle name="60% - Énfasis5 2" xfId="74" xr:uid="{00000000-0005-0000-0000-000022000000}"/>
    <cellStyle name="60% - Énfasis6" xfId="18" builtinId="52" customBuiltin="1"/>
    <cellStyle name="60% - Énfasis6 2" xfId="75" xr:uid="{00000000-0005-0000-0000-000024000000}"/>
    <cellStyle name="Buena 2" xfId="76" xr:uid="{00000000-0005-0000-0000-000026000000}"/>
    <cellStyle name="Buena 3" xfId="112" xr:uid="{00000000-0005-0000-0000-000027000000}"/>
    <cellStyle name="Bueno" xfId="19" builtinId="26" customBuiltin="1"/>
    <cellStyle name="Cálculo" xfId="20" builtinId="22" customBuiltin="1"/>
    <cellStyle name="Cálculo 2" xfId="77" xr:uid="{00000000-0005-0000-0000-000029000000}"/>
    <cellStyle name="Cálculo 3" xfId="120" xr:uid="{00000000-0005-0000-0000-00007B000000}"/>
    <cellStyle name="Celda de comprobación" xfId="21" builtinId="23" customBuiltin="1"/>
    <cellStyle name="Celda de comprobación 2" xfId="78" xr:uid="{00000000-0005-0000-0000-00002B000000}"/>
    <cellStyle name="Celda de comprobación 3" xfId="121" xr:uid="{00000000-0005-0000-0000-00007C000000}"/>
    <cellStyle name="Celda vinculada" xfId="22" builtinId="24" customBuiltin="1"/>
    <cellStyle name="Celda vinculada 2" xfId="79" xr:uid="{00000000-0005-0000-0000-00002D000000}"/>
    <cellStyle name="Encabezado 1" xfId="46" builtinId="16" customBuiltin="1"/>
    <cellStyle name="Encabezado 4" xfId="23" builtinId="19" customBuiltin="1"/>
    <cellStyle name="Encabezado 4 2" xfId="80" xr:uid="{00000000-0005-0000-0000-000030000000}"/>
    <cellStyle name="Énfasis1" xfId="24" builtinId="29" customBuiltin="1"/>
    <cellStyle name="Énfasis1 2" xfId="81" xr:uid="{00000000-0005-0000-0000-000032000000}"/>
    <cellStyle name="Énfasis2" xfId="25" builtinId="33" customBuiltin="1"/>
    <cellStyle name="Énfasis2 2" xfId="82" xr:uid="{00000000-0005-0000-0000-000034000000}"/>
    <cellStyle name="Énfasis3" xfId="26" builtinId="37" customBuiltin="1"/>
    <cellStyle name="Énfasis3 2" xfId="83" xr:uid="{00000000-0005-0000-0000-000036000000}"/>
    <cellStyle name="Énfasis4" xfId="27" builtinId="41" customBuiltin="1"/>
    <cellStyle name="Énfasis4 2" xfId="84" xr:uid="{00000000-0005-0000-0000-000038000000}"/>
    <cellStyle name="Énfasis5" xfId="28" builtinId="45" customBuiltin="1"/>
    <cellStyle name="Énfasis5 2" xfId="85" xr:uid="{00000000-0005-0000-0000-00003A000000}"/>
    <cellStyle name="Énfasis6" xfId="29" builtinId="49" customBuiltin="1"/>
    <cellStyle name="Énfasis6 2" xfId="86" xr:uid="{00000000-0005-0000-0000-00003C000000}"/>
    <cellStyle name="Entrada" xfId="30" builtinId="20" customBuiltin="1"/>
    <cellStyle name="Entrada 2" xfId="87" xr:uid="{00000000-0005-0000-0000-00003E000000}"/>
    <cellStyle name="Entrada 3" xfId="122" xr:uid="{00000000-0005-0000-0000-00007D000000}"/>
    <cellStyle name="Euro" xfId="31" xr:uid="{00000000-0005-0000-0000-00003F000000}"/>
    <cellStyle name="Euro 2" xfId="88" xr:uid="{00000000-0005-0000-0000-000040000000}"/>
    <cellStyle name="Incorrecto" xfId="32" builtinId="27" customBuiltin="1"/>
    <cellStyle name="Incorrecto 2" xfId="89" xr:uid="{00000000-0005-0000-0000-000042000000}"/>
    <cellStyle name="Millares" xfId="33" builtinId="3"/>
    <cellStyle name="Millares [0] 2" xfId="90" xr:uid="{00000000-0005-0000-0000-000044000000}"/>
    <cellStyle name="Millares [0] 2 2" xfId="130" xr:uid="{00000000-0005-0000-0000-000024000000}"/>
    <cellStyle name="Millares [0] 2 3" xfId="140" xr:uid="{00000000-0005-0000-0000-000024000000}"/>
    <cellStyle name="Millares [0] 3" xfId="124" xr:uid="{00000000-0005-0000-0000-00007F000000}"/>
    <cellStyle name="Millares [0] 4" xfId="137" xr:uid="{00000000-0005-0000-0000-00008C000000}"/>
    <cellStyle name="Millares 12" xfId="105" xr:uid="{00000000-0005-0000-0000-000045000000}"/>
    <cellStyle name="Millares 2" xfId="51" xr:uid="{00000000-0005-0000-0000-000046000000}"/>
    <cellStyle name="Millares 2 2" xfId="54" xr:uid="{00000000-0005-0000-0000-000047000000}"/>
    <cellStyle name="Millares 2 2 2" xfId="102" xr:uid="{00000000-0005-0000-0000-000048000000}"/>
    <cellStyle name="Millares 2 2 3" xfId="133" xr:uid="{00000000-0005-0000-0000-000026000000}"/>
    <cellStyle name="Millares 2 2 4" xfId="143" xr:uid="{00000000-0005-0000-0000-000026000000}"/>
    <cellStyle name="Millares 2 3" xfId="129" xr:uid="{00000000-0005-0000-0000-000025000000}"/>
    <cellStyle name="Millares 2 4" xfId="139" xr:uid="{00000000-0005-0000-0000-000025000000}"/>
    <cellStyle name="Millares 3" xfId="52" xr:uid="{00000000-0005-0000-0000-000049000000}"/>
    <cellStyle name="Millares 3 2" xfId="128" xr:uid="{00000000-0005-0000-0000-000027000000}"/>
    <cellStyle name="Millares 3 3" xfId="138" xr:uid="{00000000-0005-0000-0000-000027000000}"/>
    <cellStyle name="Millares 4" xfId="110" xr:uid="{00000000-0005-0000-0000-00004A000000}"/>
    <cellStyle name="Millares 5" xfId="114" xr:uid="{00000000-0005-0000-0000-00004B000000}"/>
    <cellStyle name="Millares 5 2" xfId="119" xr:uid="{00000000-0005-0000-0000-00004C000000}"/>
    <cellStyle name="Millares 6" xfId="116" xr:uid="{00000000-0005-0000-0000-00004D000000}"/>
    <cellStyle name="Millares 7" xfId="123" xr:uid="{00000000-0005-0000-0000-00007E000000}"/>
    <cellStyle name="Millares 8" xfId="136" xr:uid="{00000000-0005-0000-0000-00008B000000}"/>
    <cellStyle name="Moneda 2" xfId="111" xr:uid="{00000000-0005-0000-0000-00004E000000}"/>
    <cellStyle name="Moneda 2 2" xfId="135" xr:uid="{00000000-0005-0000-0000-000028000000}"/>
    <cellStyle name="Moneda 2 3" xfId="145" xr:uid="{00000000-0005-0000-0000-000028000000}"/>
    <cellStyle name="Neutral" xfId="34" builtinId="28" customBuiltin="1"/>
    <cellStyle name="Neutral 2" xfId="91" xr:uid="{00000000-0005-0000-0000-000050000000}"/>
    <cellStyle name="Normal" xfId="0" builtinId="0"/>
    <cellStyle name="Normal 2" xfId="35" xr:uid="{00000000-0005-0000-0000-000052000000}"/>
    <cellStyle name="Normal 2 2" xfId="103" xr:uid="{00000000-0005-0000-0000-000053000000}"/>
    <cellStyle name="Normal 2 3" xfId="106" xr:uid="{00000000-0005-0000-0000-000054000000}"/>
    <cellStyle name="Normal 2 4" xfId="108" xr:uid="{00000000-0005-0000-0000-000055000000}"/>
    <cellStyle name="Normal 2 5" xfId="117" xr:uid="{00000000-0005-0000-0000-000056000000}"/>
    <cellStyle name="Normal 2 6" xfId="131" xr:uid="{00000000-0005-0000-0000-00002B000000}"/>
    <cellStyle name="Normal 2 7" xfId="141" xr:uid="{00000000-0005-0000-0000-00002B000000}"/>
    <cellStyle name="Normal 3" xfId="36" xr:uid="{00000000-0005-0000-0000-000057000000}"/>
    <cellStyle name="Normal 3 2" xfId="134" xr:uid="{00000000-0005-0000-0000-00002C000000}"/>
    <cellStyle name="Normal 3 3" xfId="144" xr:uid="{00000000-0005-0000-0000-00002C000000}"/>
    <cellStyle name="Normal 4" xfId="53" xr:uid="{00000000-0005-0000-0000-000058000000}"/>
    <cellStyle name="Normal 5" xfId="101" xr:uid="{00000000-0005-0000-0000-000059000000}"/>
    <cellStyle name="Normal 6" xfId="104" xr:uid="{00000000-0005-0000-0000-00005A000000}"/>
    <cellStyle name="Normal 7" xfId="109" xr:uid="{00000000-0005-0000-0000-00005B000000}"/>
    <cellStyle name="Normal 8" xfId="113" xr:uid="{00000000-0005-0000-0000-00005C000000}"/>
    <cellStyle name="Normal 8 2" xfId="118" xr:uid="{00000000-0005-0000-0000-00005D000000}"/>
    <cellStyle name="Normal 9" xfId="115" xr:uid="{00000000-0005-0000-0000-00005E000000}"/>
    <cellStyle name="Normal_FGPAGO95" xfId="37" xr:uid="{00000000-0005-0000-0000-00005F000000}"/>
    <cellStyle name="Notas" xfId="38" builtinId="10" customBuiltin="1"/>
    <cellStyle name="Notas 2" xfId="92" xr:uid="{00000000-0005-0000-0000-000061000000}"/>
    <cellStyle name="Notas 3" xfId="125" xr:uid="{00000000-0005-0000-0000-000087000000}"/>
    <cellStyle name="PESOS" xfId="39" xr:uid="{00000000-0005-0000-0000-000062000000}"/>
    <cellStyle name="Porcentaje" xfId="40" builtinId="5"/>
    <cellStyle name="Porcentaje 2" xfId="107" xr:uid="{00000000-0005-0000-0000-000064000000}"/>
    <cellStyle name="Porcentaje 2 2" xfId="132" xr:uid="{00000000-0005-0000-0000-00002F000000}"/>
    <cellStyle name="Porcentaje 2 3" xfId="142" xr:uid="{00000000-0005-0000-0000-00002F000000}"/>
    <cellStyle name="Porcentual 2" xfId="41" xr:uid="{00000000-0005-0000-0000-000065000000}"/>
    <cellStyle name="Porcentual 3" xfId="55" xr:uid="{00000000-0005-0000-0000-000066000000}"/>
    <cellStyle name="Porcentual 4" xfId="56" xr:uid="{00000000-0005-0000-0000-000067000000}"/>
    <cellStyle name="Salida" xfId="42" builtinId="21" customBuiltin="1"/>
    <cellStyle name="Salida 2" xfId="93" xr:uid="{00000000-0005-0000-0000-000069000000}"/>
    <cellStyle name="Salida 3" xfId="126" xr:uid="{00000000-0005-0000-0000-000089000000}"/>
    <cellStyle name="Texto de advertencia" xfId="43" builtinId="11" customBuiltin="1"/>
    <cellStyle name="Texto de advertencia 2" xfId="94" xr:uid="{00000000-0005-0000-0000-00006B000000}"/>
    <cellStyle name="Texto explicativo" xfId="44" builtinId="53" customBuiltin="1"/>
    <cellStyle name="Texto explicativo 2" xfId="95" xr:uid="{00000000-0005-0000-0000-00006D000000}"/>
    <cellStyle name="Título" xfId="45" builtinId="15" customBuiltin="1"/>
    <cellStyle name="Título 1 2" xfId="96" xr:uid="{00000000-0005-0000-0000-00006F000000}"/>
    <cellStyle name="Título 2" xfId="47" builtinId="17" customBuiltin="1"/>
    <cellStyle name="Título 2 2" xfId="97" xr:uid="{00000000-0005-0000-0000-000071000000}"/>
    <cellStyle name="Título 3" xfId="48" builtinId="18" customBuiltin="1"/>
    <cellStyle name="Título 3 2" xfId="98" xr:uid="{00000000-0005-0000-0000-000073000000}"/>
    <cellStyle name="Título 4" xfId="99" xr:uid="{00000000-0005-0000-0000-000074000000}"/>
    <cellStyle name="Total" xfId="49" builtinId="25" customBuiltin="1"/>
    <cellStyle name="Total 2" xfId="100" xr:uid="{00000000-0005-0000-0000-000076000000}"/>
    <cellStyle name="Total 3" xfId="127" xr:uid="{00000000-0005-0000-0000-00008A000000}"/>
    <cellStyle name="UDI´s" xfId="50" xr:uid="{00000000-0005-0000-0000-000077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6DB57FFF-24BF-4070-93BC-15A9B2C36242}"/>
  </tableStyles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7A32-A128-44DE-A093-AA5BF07E2638}">
  <dimension ref="A1:AE30"/>
  <sheetViews>
    <sheetView showGridLines="0" topLeftCell="Q1" zoomScaleNormal="100" zoomScaleSheetLayoutView="100" workbookViewId="0">
      <selection activeCell="W3" sqref="W3"/>
    </sheetView>
  </sheetViews>
  <sheetFormatPr baseColWidth="10" defaultColWidth="11.42578125" defaultRowHeight="12.75"/>
  <cols>
    <col min="1" max="1" width="51.42578125" style="94" customWidth="1"/>
    <col min="2" max="20" width="13.85546875" style="94" customWidth="1"/>
    <col min="21" max="21" width="17.140625" style="94" customWidth="1"/>
    <col min="22" max="22" width="13.85546875" style="94" customWidth="1"/>
    <col min="23" max="23" width="15.85546875" style="94" bestFit="1" customWidth="1"/>
    <col min="24" max="26" width="13.85546875" style="94" customWidth="1"/>
    <col min="27" max="27" width="17.140625" style="94" customWidth="1"/>
    <col min="28" max="28" width="11.42578125" style="94"/>
    <col min="29" max="29" width="17.5703125" style="94" bestFit="1" customWidth="1"/>
    <col min="30" max="30" width="11.42578125" style="94"/>
    <col min="31" max="31" width="14.85546875" style="94" bestFit="1" customWidth="1"/>
    <col min="32" max="16384" width="11.42578125" style="94"/>
  </cols>
  <sheetData>
    <row r="1" spans="1:31" ht="18.75" customHeight="1">
      <c r="A1" s="276" t="s">
        <v>224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3" spans="1:31" ht="37.5" customHeight="1">
      <c r="A3" s="157" t="s">
        <v>84</v>
      </c>
      <c r="B3" s="157" t="s">
        <v>212</v>
      </c>
      <c r="C3" s="157" t="s">
        <v>213</v>
      </c>
      <c r="D3" s="157" t="s">
        <v>227</v>
      </c>
      <c r="E3" s="157" t="s">
        <v>228</v>
      </c>
      <c r="F3" s="157" t="s">
        <v>205</v>
      </c>
      <c r="G3" s="157" t="s">
        <v>214</v>
      </c>
      <c r="H3" s="157" t="s">
        <v>229</v>
      </c>
      <c r="I3" s="157" t="s">
        <v>206</v>
      </c>
      <c r="J3" s="157" t="s">
        <v>230</v>
      </c>
      <c r="K3" s="157" t="s">
        <v>207</v>
      </c>
      <c r="L3" s="157" t="s">
        <v>231</v>
      </c>
      <c r="M3" s="263" t="s">
        <v>232</v>
      </c>
      <c r="N3" s="263" t="s">
        <v>208</v>
      </c>
      <c r="O3" s="263" t="s">
        <v>209</v>
      </c>
      <c r="P3" s="263" t="s">
        <v>218</v>
      </c>
      <c r="Q3" s="263" t="s">
        <v>234</v>
      </c>
      <c r="R3" s="263" t="s">
        <v>211</v>
      </c>
      <c r="S3" s="263" t="s">
        <v>210</v>
      </c>
      <c r="T3" s="263" t="s">
        <v>233</v>
      </c>
      <c r="U3" s="157" t="s">
        <v>36</v>
      </c>
      <c r="V3" s="157" t="s">
        <v>236</v>
      </c>
      <c r="W3" s="157" t="s">
        <v>239</v>
      </c>
      <c r="X3" s="157" t="s">
        <v>235</v>
      </c>
      <c r="Y3" s="157" t="s">
        <v>215</v>
      </c>
      <c r="Z3" s="157" t="s">
        <v>179</v>
      </c>
    </row>
    <row r="4" spans="1:31" ht="29.25" customHeight="1">
      <c r="A4" s="153" t="s">
        <v>85</v>
      </c>
      <c r="B4" s="180">
        <v>-26874869.829999998</v>
      </c>
      <c r="C4" s="180">
        <v>3250564442</v>
      </c>
      <c r="D4" s="180"/>
      <c r="E4" s="180"/>
      <c r="F4" s="180">
        <v>-15400302</v>
      </c>
      <c r="G4" s="180">
        <v>3687362855</v>
      </c>
      <c r="H4" s="180">
        <v>589354531</v>
      </c>
      <c r="I4" s="180">
        <v>-16208423.23</v>
      </c>
      <c r="J4" s="180">
        <v>2904506864</v>
      </c>
      <c r="K4" s="180">
        <v>-12374868.210000001</v>
      </c>
      <c r="L4" s="180">
        <v>3990488795</v>
      </c>
      <c r="M4" s="264"/>
      <c r="N4" s="264">
        <v>-14304058.189999999</v>
      </c>
      <c r="O4" s="264">
        <v>4032839564</v>
      </c>
      <c r="P4" s="264"/>
      <c r="Q4" s="264">
        <v>355098234</v>
      </c>
      <c r="R4" s="264">
        <v>-13890933</v>
      </c>
      <c r="S4" s="264">
        <v>3268487818</v>
      </c>
      <c r="T4" s="264">
        <v>984745373</v>
      </c>
      <c r="U4" s="180">
        <f>SUM(B4:T4)</f>
        <v>22964395021.540001</v>
      </c>
      <c r="V4" s="181">
        <v>20</v>
      </c>
      <c r="W4" s="268">
        <f>+V4/100*U4</f>
        <v>4592879004.3080006</v>
      </c>
      <c r="X4" s="181">
        <v>6575127028.2700005</v>
      </c>
      <c r="Y4" s="181">
        <f>ROUND(+X4/2,2)</f>
        <v>3287563514.1399999</v>
      </c>
      <c r="Z4" s="181">
        <f>+W4-Y4</f>
        <v>1305315490.1680007</v>
      </c>
    </row>
    <row r="5" spans="1:31" ht="29.25" customHeight="1">
      <c r="A5" s="153" t="s">
        <v>101</v>
      </c>
      <c r="B5" s="180"/>
      <c r="C5" s="180">
        <v>87947285</v>
      </c>
      <c r="D5" s="180"/>
      <c r="E5" s="180"/>
      <c r="F5" s="180"/>
      <c r="G5" s="180">
        <v>101551552</v>
      </c>
      <c r="H5" s="180">
        <v>14490340</v>
      </c>
      <c r="I5" s="264"/>
      <c r="J5" s="264">
        <v>77322977</v>
      </c>
      <c r="K5" s="264"/>
      <c r="L5" s="264">
        <v>110932984</v>
      </c>
      <c r="M5" s="264"/>
      <c r="N5" s="264"/>
      <c r="O5" s="264">
        <v>112243696</v>
      </c>
      <c r="P5" s="264"/>
      <c r="Q5" s="264">
        <v>-2788374</v>
      </c>
      <c r="R5" s="264"/>
      <c r="S5" s="264">
        <v>93424800</v>
      </c>
      <c r="T5" s="264">
        <v>55934436</v>
      </c>
      <c r="U5" s="180">
        <f t="shared" ref="U5:U13" si="0">SUM(B5:T5)</f>
        <v>651059696</v>
      </c>
      <c r="V5" s="181">
        <v>100</v>
      </c>
      <c r="W5" s="268">
        <f t="shared" ref="W5:W9" si="1">+V5/100*U5</f>
        <v>651059696</v>
      </c>
      <c r="X5" s="181">
        <v>897976680.16000021</v>
      </c>
      <c r="Y5" s="181">
        <f t="shared" ref="Y5:Y9" si="2">+X5/2</f>
        <v>448988340.0800001</v>
      </c>
      <c r="Z5" s="181">
        <f t="shared" ref="Z5:Z9" si="3">+W5-Y5</f>
        <v>202071355.9199999</v>
      </c>
      <c r="AC5" s="164"/>
    </row>
    <row r="6" spans="1:31" ht="29.25" customHeight="1">
      <c r="A6" s="153" t="s">
        <v>86</v>
      </c>
      <c r="B6" s="180"/>
      <c r="C6" s="180">
        <v>84661149</v>
      </c>
      <c r="D6" s="180"/>
      <c r="E6" s="180"/>
      <c r="F6" s="180"/>
      <c r="G6" s="180">
        <v>216655095</v>
      </c>
      <c r="H6" s="180">
        <v>-13726411</v>
      </c>
      <c r="I6" s="264"/>
      <c r="J6" s="264">
        <v>81588163</v>
      </c>
      <c r="K6" s="264"/>
      <c r="L6" s="264">
        <v>82580180.222440362</v>
      </c>
      <c r="M6" s="264"/>
      <c r="N6" s="264"/>
      <c r="O6" s="264">
        <v>84287974</v>
      </c>
      <c r="P6" s="264"/>
      <c r="Q6" s="264">
        <v>57466194</v>
      </c>
      <c r="R6" s="264"/>
      <c r="S6" s="264">
        <v>96319241</v>
      </c>
      <c r="T6" s="264">
        <v>17336564</v>
      </c>
      <c r="U6" s="180">
        <f t="shared" si="0"/>
        <v>707168149.22244036</v>
      </c>
      <c r="V6" s="181">
        <v>20</v>
      </c>
      <c r="W6" s="268">
        <f t="shared" si="1"/>
        <v>141433629.84448808</v>
      </c>
      <c r="X6" s="181">
        <v>220792307.32999998</v>
      </c>
      <c r="Y6" s="181">
        <f t="shared" si="2"/>
        <v>110396153.66499999</v>
      </c>
      <c r="Z6" s="181">
        <f t="shared" si="3"/>
        <v>31037476.179488093</v>
      </c>
      <c r="AC6" s="164"/>
      <c r="AE6" s="229"/>
    </row>
    <row r="7" spans="1:31" ht="29.25" customHeight="1">
      <c r="A7" s="153" t="s">
        <v>93</v>
      </c>
      <c r="B7" s="180"/>
      <c r="C7" s="264">
        <v>75298111</v>
      </c>
      <c r="D7" s="180">
        <v>240743836</v>
      </c>
      <c r="E7" s="180">
        <v>-13529</v>
      </c>
      <c r="F7" s="180"/>
      <c r="G7" s="180">
        <v>75298111</v>
      </c>
      <c r="H7" s="180"/>
      <c r="I7" s="264"/>
      <c r="J7" s="180">
        <v>75298111</v>
      </c>
      <c r="K7" s="264"/>
      <c r="L7" s="264">
        <v>75298111</v>
      </c>
      <c r="M7" s="264">
        <v>314787671</v>
      </c>
      <c r="N7" s="264"/>
      <c r="O7" s="264">
        <v>75298111</v>
      </c>
      <c r="P7" s="264"/>
      <c r="Q7" s="264">
        <v>-6098316</v>
      </c>
      <c r="R7" s="264"/>
      <c r="S7" s="264">
        <v>75298111</v>
      </c>
      <c r="T7" s="264"/>
      <c r="U7" s="180">
        <f t="shared" si="0"/>
        <v>1001208328</v>
      </c>
      <c r="V7" s="181">
        <v>20</v>
      </c>
      <c r="W7" s="268">
        <f t="shared" si="1"/>
        <v>200241665.60000002</v>
      </c>
      <c r="X7" s="181">
        <v>372200568.05000001</v>
      </c>
      <c r="Y7" s="181">
        <f t="shared" si="2"/>
        <v>186100284.02500001</v>
      </c>
      <c r="Z7" s="181">
        <f t="shared" si="3"/>
        <v>14141381.575000018</v>
      </c>
      <c r="AC7" s="164"/>
    </row>
    <row r="8" spans="1:31" ht="29.25" customHeight="1">
      <c r="A8" s="153" t="s">
        <v>97</v>
      </c>
      <c r="B8" s="180"/>
      <c r="C8" s="264">
        <v>151146346</v>
      </c>
      <c r="D8" s="180"/>
      <c r="E8" s="180"/>
      <c r="F8" s="180"/>
      <c r="G8" s="180">
        <v>173499428</v>
      </c>
      <c r="H8" s="180"/>
      <c r="I8" s="264"/>
      <c r="J8" s="180">
        <v>154956961</v>
      </c>
      <c r="K8" s="264"/>
      <c r="L8" s="264">
        <v>145611473</v>
      </c>
      <c r="M8" s="264"/>
      <c r="N8" s="264"/>
      <c r="O8" s="264">
        <v>159058599</v>
      </c>
      <c r="P8" s="264"/>
      <c r="Q8" s="264"/>
      <c r="R8" s="264"/>
      <c r="S8" s="264">
        <v>132882573</v>
      </c>
      <c r="T8" s="264"/>
      <c r="U8" s="180">
        <f t="shared" si="0"/>
        <v>917155380</v>
      </c>
      <c r="V8" s="181">
        <v>20</v>
      </c>
      <c r="W8" s="268">
        <f t="shared" si="1"/>
        <v>183431076</v>
      </c>
      <c r="X8" s="181">
        <v>183055003.22</v>
      </c>
      <c r="Y8" s="181">
        <f t="shared" si="2"/>
        <v>91527501.609999999</v>
      </c>
      <c r="Z8" s="181">
        <f t="shared" si="3"/>
        <v>91903574.390000001</v>
      </c>
    </row>
    <row r="9" spans="1:31" ht="29.25" customHeight="1">
      <c r="A9" s="153" t="s">
        <v>96</v>
      </c>
      <c r="B9" s="180"/>
      <c r="C9" s="264">
        <v>18689269</v>
      </c>
      <c r="D9" s="180"/>
      <c r="E9" s="180"/>
      <c r="F9" s="180"/>
      <c r="G9" s="180">
        <v>18689269</v>
      </c>
      <c r="H9" s="180"/>
      <c r="I9" s="264"/>
      <c r="J9" s="180">
        <v>18689269</v>
      </c>
      <c r="K9" s="264"/>
      <c r="L9" s="264">
        <v>18689269</v>
      </c>
      <c r="M9" s="264"/>
      <c r="N9" s="264"/>
      <c r="O9" s="264">
        <v>18689269</v>
      </c>
      <c r="P9" s="264"/>
      <c r="Q9" s="264"/>
      <c r="R9" s="264"/>
      <c r="S9" s="264">
        <v>18689269</v>
      </c>
      <c r="T9" s="264"/>
      <c r="U9" s="180">
        <f t="shared" si="0"/>
        <v>112135614</v>
      </c>
      <c r="V9" s="181">
        <v>20</v>
      </c>
      <c r="W9" s="268">
        <f t="shared" si="1"/>
        <v>22427122.800000001</v>
      </c>
      <c r="X9" s="181">
        <v>39228897.590000004</v>
      </c>
      <c r="Y9" s="181">
        <f t="shared" si="2"/>
        <v>19614448.795000002</v>
      </c>
      <c r="Z9" s="181">
        <f t="shared" si="3"/>
        <v>2812674.004999999</v>
      </c>
    </row>
    <row r="10" spans="1:31" ht="29.25" customHeight="1">
      <c r="A10" s="212" t="s">
        <v>185</v>
      </c>
      <c r="B10" s="213">
        <f t="shared" ref="B10:U10" si="4">SUM(B4:B9)</f>
        <v>-26874869.829999998</v>
      </c>
      <c r="C10" s="213">
        <f t="shared" si="4"/>
        <v>3668306602</v>
      </c>
      <c r="D10" s="213">
        <f t="shared" si="4"/>
        <v>240743836</v>
      </c>
      <c r="E10" s="213">
        <f t="shared" si="4"/>
        <v>-13529</v>
      </c>
      <c r="F10" s="213">
        <f t="shared" si="4"/>
        <v>-15400302</v>
      </c>
      <c r="G10" s="213">
        <f t="shared" si="4"/>
        <v>4273056310</v>
      </c>
      <c r="H10" s="213">
        <f t="shared" si="4"/>
        <v>590118460</v>
      </c>
      <c r="I10" s="213">
        <f t="shared" si="4"/>
        <v>-16208423.23</v>
      </c>
      <c r="J10" s="213">
        <f t="shared" si="4"/>
        <v>3312362345</v>
      </c>
      <c r="K10" s="213">
        <f t="shared" si="4"/>
        <v>-12374868.210000001</v>
      </c>
      <c r="L10" s="213">
        <f t="shared" si="4"/>
        <v>4423600812.2224407</v>
      </c>
      <c r="M10" s="213">
        <f t="shared" si="4"/>
        <v>314787671</v>
      </c>
      <c r="N10" s="213">
        <f t="shared" si="4"/>
        <v>-14304058.189999999</v>
      </c>
      <c r="O10" s="213">
        <f t="shared" si="4"/>
        <v>4482417213</v>
      </c>
      <c r="P10" s="213">
        <f t="shared" si="4"/>
        <v>0</v>
      </c>
      <c r="Q10" s="213">
        <f t="shared" si="4"/>
        <v>403677738</v>
      </c>
      <c r="R10" s="213">
        <f t="shared" si="4"/>
        <v>-13890933</v>
      </c>
      <c r="S10" s="213">
        <f t="shared" si="4"/>
        <v>3685101812</v>
      </c>
      <c r="T10" s="213">
        <f t="shared" si="4"/>
        <v>1058016373</v>
      </c>
      <c r="U10" s="213">
        <f t="shared" si="4"/>
        <v>26353122188.76244</v>
      </c>
      <c r="V10" s="214"/>
      <c r="W10" s="215">
        <f>SUM(W4:W9)</f>
        <v>5791472194.5524893</v>
      </c>
      <c r="X10" s="215">
        <f>SUM(X4:X9)</f>
        <v>8288380484.6200008</v>
      </c>
      <c r="Y10" s="215">
        <f>SUM(Y4:Y9)</f>
        <v>4144190242.3150001</v>
      </c>
      <c r="Z10" s="214">
        <f>SUM(Z4:Z9)</f>
        <v>1647281952.237489</v>
      </c>
    </row>
    <row r="11" spans="1:31" ht="29.25" customHeight="1">
      <c r="A11" s="153" t="s">
        <v>100</v>
      </c>
      <c r="B11" s="180"/>
      <c r="C11" s="180">
        <v>30350122</v>
      </c>
      <c r="D11" s="180"/>
      <c r="E11" s="180"/>
      <c r="F11" s="180"/>
      <c r="G11" s="180">
        <v>39344422</v>
      </c>
      <c r="H11" s="180">
        <v>9227050</v>
      </c>
      <c r="I11" s="264"/>
      <c r="J11" s="264">
        <v>23558150</v>
      </c>
      <c r="K11" s="264"/>
      <c r="L11" s="264">
        <v>45456949</v>
      </c>
      <c r="M11" s="264"/>
      <c r="N11" s="264"/>
      <c r="O11" s="264">
        <v>46310951</v>
      </c>
      <c r="P11" s="264"/>
      <c r="Q11" s="264">
        <v>-3366366</v>
      </c>
      <c r="R11" s="264"/>
      <c r="S11" s="264">
        <v>30099271</v>
      </c>
      <c r="T11" s="264">
        <v>16239790</v>
      </c>
      <c r="U11" s="180">
        <f t="shared" si="0"/>
        <v>237220339</v>
      </c>
      <c r="V11" s="181">
        <v>100</v>
      </c>
      <c r="W11" s="181">
        <f>+V11/100*U11</f>
        <v>237220339</v>
      </c>
      <c r="X11" s="181"/>
      <c r="Y11" s="181"/>
      <c r="Z11" s="181"/>
    </row>
    <row r="12" spans="1:31" ht="29.25" customHeight="1">
      <c r="A12" s="153" t="s">
        <v>92</v>
      </c>
      <c r="B12" s="180"/>
      <c r="C12" s="264">
        <v>99542455</v>
      </c>
      <c r="D12" s="180"/>
      <c r="E12" s="180"/>
      <c r="F12" s="180"/>
      <c r="G12" s="180">
        <v>105180104</v>
      </c>
      <c r="H12" s="180"/>
      <c r="I12" s="264"/>
      <c r="J12" s="180">
        <v>94600136</v>
      </c>
      <c r="K12" s="264"/>
      <c r="L12" s="264">
        <v>80504208</v>
      </c>
      <c r="M12" s="264"/>
      <c r="N12" s="264"/>
      <c r="O12" s="264">
        <v>106022002</v>
      </c>
      <c r="P12" s="264">
        <v>8410523</v>
      </c>
      <c r="Q12" s="264"/>
      <c r="R12" s="264"/>
      <c r="S12" s="264">
        <v>88454086</v>
      </c>
      <c r="T12" s="264"/>
      <c r="U12" s="180">
        <f t="shared" si="0"/>
        <v>582713514</v>
      </c>
      <c r="V12" s="181">
        <v>20</v>
      </c>
      <c r="W12" s="181">
        <f>+V12/100*U12</f>
        <v>116542702.80000001</v>
      </c>
      <c r="X12" s="181"/>
      <c r="Y12" s="181"/>
      <c r="Z12" s="181"/>
    </row>
    <row r="13" spans="1:31" ht="29.25" customHeight="1">
      <c r="A13" s="153" t="s">
        <v>186</v>
      </c>
      <c r="B13" s="180"/>
      <c r="C13" s="264">
        <v>104682996</v>
      </c>
      <c r="D13" s="180"/>
      <c r="E13" s="180"/>
      <c r="F13" s="180"/>
      <c r="G13" s="180">
        <v>112919725</v>
      </c>
      <c r="H13" s="180"/>
      <c r="I13" s="264"/>
      <c r="J13" s="180">
        <v>238903388</v>
      </c>
      <c r="K13" s="264"/>
      <c r="L13" s="264">
        <v>354401829</v>
      </c>
      <c r="M13" s="264"/>
      <c r="N13" s="264"/>
      <c r="O13" s="264">
        <v>54361991</v>
      </c>
      <c r="P13" s="264"/>
      <c r="Q13" s="264"/>
      <c r="R13" s="264"/>
      <c r="S13" s="264">
        <v>98554401</v>
      </c>
      <c r="T13" s="264"/>
      <c r="U13" s="180">
        <f t="shared" si="0"/>
        <v>963824330</v>
      </c>
      <c r="V13" s="181">
        <v>20</v>
      </c>
      <c r="W13" s="181">
        <f t="shared" ref="W13" si="5">+V13/100*U13</f>
        <v>192764866</v>
      </c>
      <c r="X13" s="181"/>
      <c r="Y13" s="181"/>
      <c r="Z13" s="181"/>
    </row>
    <row r="14" spans="1:31" ht="29.25" customHeight="1">
      <c r="A14" s="212" t="s">
        <v>185</v>
      </c>
      <c r="B14" s="213">
        <f>SUM(B11:B13)</f>
        <v>0</v>
      </c>
      <c r="C14" s="213">
        <f t="shared" ref="C14:U14" si="6">SUM(C11:C13)</f>
        <v>234575573</v>
      </c>
      <c r="D14" s="213">
        <f t="shared" si="6"/>
        <v>0</v>
      </c>
      <c r="E14" s="213">
        <f t="shared" si="6"/>
        <v>0</v>
      </c>
      <c r="F14" s="213">
        <f t="shared" si="6"/>
        <v>0</v>
      </c>
      <c r="G14" s="213">
        <f t="shared" si="6"/>
        <v>257444251</v>
      </c>
      <c r="H14" s="213">
        <f t="shared" si="6"/>
        <v>9227050</v>
      </c>
      <c r="I14" s="213">
        <f t="shared" si="6"/>
        <v>0</v>
      </c>
      <c r="J14" s="213">
        <f t="shared" si="6"/>
        <v>357061674</v>
      </c>
      <c r="K14" s="213">
        <f t="shared" si="6"/>
        <v>0</v>
      </c>
      <c r="L14" s="213">
        <f t="shared" si="6"/>
        <v>480362986</v>
      </c>
      <c r="M14" s="213">
        <f t="shared" si="6"/>
        <v>0</v>
      </c>
      <c r="N14" s="213">
        <f t="shared" si="6"/>
        <v>0</v>
      </c>
      <c r="O14" s="213">
        <f t="shared" si="6"/>
        <v>206694944</v>
      </c>
      <c r="P14" s="213">
        <f t="shared" si="6"/>
        <v>8410523</v>
      </c>
      <c r="Q14" s="213">
        <f t="shared" si="6"/>
        <v>-3366366</v>
      </c>
      <c r="R14" s="213">
        <f t="shared" si="6"/>
        <v>0</v>
      </c>
      <c r="S14" s="213">
        <f t="shared" si="6"/>
        <v>217107758</v>
      </c>
      <c r="T14" s="213">
        <f t="shared" si="6"/>
        <v>16239790</v>
      </c>
      <c r="U14" s="213">
        <f t="shared" si="6"/>
        <v>1783758183</v>
      </c>
      <c r="V14" s="214"/>
      <c r="W14" s="215">
        <f>SUM(W11:W13)</f>
        <v>546527907.79999995</v>
      </c>
      <c r="X14" s="215"/>
      <c r="Y14" s="214"/>
      <c r="Z14" s="214"/>
    </row>
    <row r="15" spans="1:31" ht="29.25" customHeight="1">
      <c r="A15" s="158" t="s">
        <v>36</v>
      </c>
      <c r="B15" s="183">
        <f>+B14+B10</f>
        <v>-26874869.829999998</v>
      </c>
      <c r="C15" s="183">
        <f t="shared" ref="C15:U15" si="7">+C14+C10</f>
        <v>3902882175</v>
      </c>
      <c r="D15" s="183">
        <f t="shared" si="7"/>
        <v>240743836</v>
      </c>
      <c r="E15" s="183">
        <f t="shared" si="7"/>
        <v>-13529</v>
      </c>
      <c r="F15" s="183">
        <f t="shared" si="7"/>
        <v>-15400302</v>
      </c>
      <c r="G15" s="183">
        <f t="shared" si="7"/>
        <v>4530500561</v>
      </c>
      <c r="H15" s="183">
        <f t="shared" si="7"/>
        <v>599345510</v>
      </c>
      <c r="I15" s="183">
        <f t="shared" si="7"/>
        <v>-16208423.23</v>
      </c>
      <c r="J15" s="183">
        <f t="shared" si="7"/>
        <v>3669424019</v>
      </c>
      <c r="K15" s="183">
        <f t="shared" si="7"/>
        <v>-12374868.210000001</v>
      </c>
      <c r="L15" s="183">
        <f t="shared" si="7"/>
        <v>4903963798.2224407</v>
      </c>
      <c r="M15" s="183">
        <f t="shared" si="7"/>
        <v>314787671</v>
      </c>
      <c r="N15" s="183">
        <f t="shared" si="7"/>
        <v>-14304058.189999999</v>
      </c>
      <c r="O15" s="183">
        <f t="shared" si="7"/>
        <v>4689112157</v>
      </c>
      <c r="P15" s="183">
        <f t="shared" si="7"/>
        <v>8410523</v>
      </c>
      <c r="Q15" s="183">
        <f t="shared" si="7"/>
        <v>400311372</v>
      </c>
      <c r="R15" s="183">
        <f t="shared" si="7"/>
        <v>-13890933</v>
      </c>
      <c r="S15" s="183">
        <f t="shared" si="7"/>
        <v>3902209570</v>
      </c>
      <c r="T15" s="183">
        <f t="shared" si="7"/>
        <v>1074256163</v>
      </c>
      <c r="U15" s="183">
        <f t="shared" si="7"/>
        <v>28136880371.76244</v>
      </c>
      <c r="V15" s="182"/>
      <c r="W15" s="182">
        <f>SUM(W14,W10)</f>
        <v>6338000102.3524895</v>
      </c>
      <c r="X15" s="182">
        <f>SUM(X14,X10)</f>
        <v>8288380484.6200008</v>
      </c>
      <c r="Y15" s="182">
        <f>SUM(Y14,Y10)</f>
        <v>4144190242.3150001</v>
      </c>
      <c r="Z15" s="182">
        <f>SUM(Z14,Z10)</f>
        <v>1647281952.237489</v>
      </c>
    </row>
    <row r="16" spans="1:31" ht="29.25" customHeight="1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6"/>
      <c r="W16" s="97"/>
      <c r="X16" s="96"/>
      <c r="Y16" s="96"/>
    </row>
    <row r="17" spans="1:23" ht="29.25" customHeight="1"/>
    <row r="18" spans="1:23"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</row>
    <row r="19" spans="1:23"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49"/>
      <c r="V19" s="249"/>
    </row>
    <row r="21" spans="1:23" hidden="1">
      <c r="A21" s="153" t="s">
        <v>145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164" t="e">
        <f>+#REF!+#REF!</f>
        <v>#REF!</v>
      </c>
      <c r="W21" s="156">
        <f>+U5+U11</f>
        <v>888280035</v>
      </c>
    </row>
    <row r="22" spans="1:23" hidden="1">
      <c r="A22" s="94" t="s">
        <v>146</v>
      </c>
      <c r="V22" s="94" t="e">
        <f>+V21*#REF!</f>
        <v>#REF!</v>
      </c>
    </row>
    <row r="23" spans="1:23" hidden="1"/>
    <row r="24" spans="1:23" hidden="1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7"/>
    </row>
    <row r="25" spans="1:23" hidden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8"/>
    </row>
    <row r="26" spans="1:23" hidden="1"/>
    <row r="30" spans="1:23">
      <c r="V30" s="156"/>
    </row>
  </sheetData>
  <mergeCells count="1">
    <mergeCell ref="A1:Z1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>
    <oddHeader>&amp;LANEXO I&amp;C
PARTICIPACIONES 1er SEMESTRE 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5"/>
  <sheetViews>
    <sheetView showGridLines="0" zoomScaleNormal="100" workbookViewId="0">
      <selection activeCell="B3" sqref="B3"/>
    </sheetView>
  </sheetViews>
  <sheetFormatPr baseColWidth="10" defaultRowHeight="12.75"/>
  <cols>
    <col min="1" max="1" width="3" style="210" bestFit="1" customWidth="1"/>
    <col min="2" max="2" width="46.7109375" style="210" customWidth="1"/>
    <col min="3" max="3" width="16.5703125" style="211" customWidth="1"/>
    <col min="4" max="4" width="13.140625" style="210" customWidth="1"/>
    <col min="5" max="5" width="21" style="211" customWidth="1"/>
    <col min="6" max="16384" width="11.42578125" style="210"/>
  </cols>
  <sheetData>
    <row r="1" spans="1:5">
      <c r="B1" s="304" t="s">
        <v>180</v>
      </c>
      <c r="C1" s="304"/>
      <c r="D1" s="304"/>
      <c r="E1" s="304"/>
    </row>
    <row r="2" spans="1:5" ht="13.5" thickBot="1">
      <c r="B2" s="305" t="s">
        <v>222</v>
      </c>
      <c r="C2" s="305"/>
      <c r="D2" s="305"/>
      <c r="E2" s="305"/>
    </row>
    <row r="3" spans="1:5">
      <c r="B3" s="235" t="s">
        <v>181</v>
      </c>
      <c r="C3" s="236" t="s">
        <v>199</v>
      </c>
      <c r="D3" s="237" t="s">
        <v>182</v>
      </c>
      <c r="E3" s="238" t="s">
        <v>183</v>
      </c>
    </row>
    <row r="4" spans="1:5">
      <c r="A4" s="248">
        <v>15</v>
      </c>
      <c r="B4" s="239" t="s">
        <v>1</v>
      </c>
      <c r="C4" s="240">
        <v>297247.96999999997</v>
      </c>
      <c r="D4" s="241">
        <f t="shared" ref="D4:D54" si="0">+C4/C$55</f>
        <v>8.0520435530624296E-5</v>
      </c>
      <c r="E4" s="242">
        <f>+ROUND(D4*'PART 2023'!W$13,2)</f>
        <v>15521.51</v>
      </c>
    </row>
    <row r="5" spans="1:5">
      <c r="A5" s="248">
        <v>11</v>
      </c>
      <c r="B5" s="239" t="s">
        <v>2</v>
      </c>
      <c r="C5" s="240">
        <v>609337</v>
      </c>
      <c r="D5" s="243">
        <f t="shared" si="0"/>
        <v>1.6506111252811591E-4</v>
      </c>
      <c r="E5" s="242">
        <f>+ROUND(D5*'PART 2023'!W$13,2)</f>
        <v>31817.98</v>
      </c>
    </row>
    <row r="6" spans="1:5">
      <c r="A6" s="248">
        <v>12</v>
      </c>
      <c r="B6" s="239" t="s">
        <v>142</v>
      </c>
      <c r="C6" s="240">
        <v>0</v>
      </c>
      <c r="D6" s="243">
        <f t="shared" si="0"/>
        <v>0</v>
      </c>
      <c r="E6" s="242">
        <f>+ROUND(D6*'PART 2023'!W$13,2)</f>
        <v>0</v>
      </c>
    </row>
    <row r="7" spans="1:5">
      <c r="A7" s="248">
        <v>13</v>
      </c>
      <c r="B7" s="239" t="s">
        <v>3</v>
      </c>
      <c r="C7" s="240">
        <v>35039593.700000003</v>
      </c>
      <c r="D7" s="243">
        <f t="shared" si="0"/>
        <v>9.491749752034033E-3</v>
      </c>
      <c r="E7" s="242">
        <f>+ROUND(D7*'PART 2023'!W$13,2)</f>
        <v>1829675.87</v>
      </c>
    </row>
    <row r="8" spans="1:5">
      <c r="A8" s="248">
        <v>14</v>
      </c>
      <c r="B8" s="239" t="s">
        <v>143</v>
      </c>
      <c r="C8" s="240">
        <v>1969916.38</v>
      </c>
      <c r="D8" s="243">
        <f t="shared" si="0"/>
        <v>5.3362357655970135E-4</v>
      </c>
      <c r="E8" s="242">
        <f>+ROUND(D8*'PART 2023'!W$13,2)</f>
        <v>102863.88</v>
      </c>
    </row>
    <row r="9" spans="1:5">
      <c r="A9" s="248">
        <v>17</v>
      </c>
      <c r="B9" s="239" t="s">
        <v>4</v>
      </c>
      <c r="C9" s="240">
        <v>511706704.39999998</v>
      </c>
      <c r="D9" s="243">
        <f t="shared" si="0"/>
        <v>0.13861439222689537</v>
      </c>
      <c r="E9" s="242">
        <f>+ROUND(D9*'PART 2023'!W$13,2)</f>
        <v>26719984.739999998</v>
      </c>
    </row>
    <row r="10" spans="1:5">
      <c r="A10" s="248">
        <v>16</v>
      </c>
      <c r="B10" s="239" t="s">
        <v>5</v>
      </c>
      <c r="C10" s="240">
        <v>72685</v>
      </c>
      <c r="D10" s="243">
        <f t="shared" si="0"/>
        <v>1.9689378724919224E-5</v>
      </c>
      <c r="E10" s="242">
        <f>+ROUND(D10*'PART 2023'!W$13,2)</f>
        <v>3795.42</v>
      </c>
    </row>
    <row r="11" spans="1:5">
      <c r="A11" s="248">
        <v>18</v>
      </c>
      <c r="B11" s="239" t="s">
        <v>6</v>
      </c>
      <c r="C11" s="240">
        <v>1109875.3899999999</v>
      </c>
      <c r="D11" s="243">
        <f t="shared" si="0"/>
        <v>3.0065016015928217E-4</v>
      </c>
      <c r="E11" s="242">
        <f>+ROUND(D11*'PART 2023'!W$13,2)</f>
        <v>57954.79</v>
      </c>
    </row>
    <row r="12" spans="1:5">
      <c r="A12" s="248">
        <v>19</v>
      </c>
      <c r="B12" s="239" t="s">
        <v>127</v>
      </c>
      <c r="C12" s="240">
        <v>37217892</v>
      </c>
      <c r="D12" s="243">
        <f t="shared" si="0"/>
        <v>1.0081821158851777E-2</v>
      </c>
      <c r="E12" s="242">
        <f>+ROUND(D12*'PART 2023'!W$13,2)</f>
        <v>1943420.9</v>
      </c>
    </row>
    <row r="13" spans="1:5">
      <c r="A13" s="248">
        <v>20</v>
      </c>
      <c r="B13" s="239" t="s">
        <v>128</v>
      </c>
      <c r="C13" s="240">
        <v>17583367.030000001</v>
      </c>
      <c r="D13" s="243">
        <f t="shared" si="0"/>
        <v>4.7630951738725754E-3</v>
      </c>
      <c r="E13" s="242">
        <f>+ROUND(D13*'PART 2023'!W$13,2)</f>
        <v>918157.4</v>
      </c>
    </row>
    <row r="14" spans="1:5">
      <c r="A14" s="248">
        <v>23</v>
      </c>
      <c r="B14" s="239" t="s">
        <v>129</v>
      </c>
      <c r="C14" s="240">
        <v>763495.97</v>
      </c>
      <c r="D14" s="243">
        <f t="shared" si="0"/>
        <v>2.0682068251055328E-4</v>
      </c>
      <c r="E14" s="242">
        <f>+ROUND(D14*'PART 2023'!W$13,2)</f>
        <v>39867.760000000002</v>
      </c>
    </row>
    <row r="15" spans="1:5">
      <c r="A15" s="248">
        <v>21</v>
      </c>
      <c r="B15" s="239" t="s">
        <v>7</v>
      </c>
      <c r="C15" s="240">
        <v>1839645.86</v>
      </c>
      <c r="D15" s="243">
        <f t="shared" si="0"/>
        <v>4.9833506304285244E-4</v>
      </c>
      <c r="E15" s="242">
        <f>+ROUND(D15*'PART 2023'!W$13,2)</f>
        <v>96061.49</v>
      </c>
    </row>
    <row r="16" spans="1:5">
      <c r="A16" s="248">
        <v>22</v>
      </c>
      <c r="B16" s="239" t="s">
        <v>130</v>
      </c>
      <c r="C16" s="240">
        <v>44626623.109999999</v>
      </c>
      <c r="D16" s="243">
        <f t="shared" si="0"/>
        <v>1.2088745733329057E-2</v>
      </c>
      <c r="E16" s="242">
        <f>+ROUND(D16*'PART 2023'!W$13,2)</f>
        <v>2330285.4500000002</v>
      </c>
    </row>
    <row r="17" spans="1:5">
      <c r="A17" s="248">
        <v>25</v>
      </c>
      <c r="B17" s="239" t="s">
        <v>8</v>
      </c>
      <c r="C17" s="240">
        <v>394530.73</v>
      </c>
      <c r="D17" s="243">
        <f t="shared" si="0"/>
        <v>1.0687301316074637E-4</v>
      </c>
      <c r="E17" s="242">
        <f>+ROUND(D17*'PART 2023'!W$13,2)</f>
        <v>20601.36</v>
      </c>
    </row>
    <row r="18" spans="1:5">
      <c r="A18" s="248">
        <v>27</v>
      </c>
      <c r="B18" s="239" t="s">
        <v>9</v>
      </c>
      <c r="C18" s="240">
        <v>57841.1</v>
      </c>
      <c r="D18" s="243">
        <f t="shared" si="0"/>
        <v>1.5668367940646975E-5</v>
      </c>
      <c r="E18" s="242">
        <f>+ROUND(D18*'PART 2023'!W$13,2)</f>
        <v>3020.31</v>
      </c>
    </row>
    <row r="19" spans="1:5">
      <c r="A19" s="248">
        <v>26</v>
      </c>
      <c r="B19" s="239" t="s">
        <v>131</v>
      </c>
      <c r="C19" s="240">
        <v>1918609.57</v>
      </c>
      <c r="D19" s="243">
        <f t="shared" si="0"/>
        <v>5.1972525898031805E-4</v>
      </c>
      <c r="E19" s="242">
        <f>+ROUND(D19*'PART 2023'!W$13,2)</f>
        <v>100184.77</v>
      </c>
    </row>
    <row r="20" spans="1:5">
      <c r="A20" s="248">
        <v>29</v>
      </c>
      <c r="B20" s="239" t="s">
        <v>10</v>
      </c>
      <c r="C20" s="240">
        <v>1175132.01</v>
      </c>
      <c r="D20" s="243">
        <f t="shared" si="0"/>
        <v>3.1832729169244773E-4</v>
      </c>
      <c r="E20" s="242">
        <f>+ROUND(D20*'PART 2023'!W$13,2)</f>
        <v>61362.32</v>
      </c>
    </row>
    <row r="21" spans="1:5">
      <c r="A21" s="248">
        <v>30</v>
      </c>
      <c r="B21" s="239" t="s">
        <v>132</v>
      </c>
      <c r="C21" s="240">
        <v>316480074.45999998</v>
      </c>
      <c r="D21" s="243">
        <f t="shared" si="0"/>
        <v>8.5730151268261334E-2</v>
      </c>
      <c r="E21" s="242">
        <f>+ROUND(D21*'PART 2023'!W$13,2)</f>
        <v>16525761.119999999</v>
      </c>
    </row>
    <row r="22" spans="1:5">
      <c r="A22" s="248">
        <v>32</v>
      </c>
      <c r="B22" s="239" t="s">
        <v>11</v>
      </c>
      <c r="C22" s="240">
        <v>475214.99</v>
      </c>
      <c r="D22" s="243">
        <f t="shared" si="0"/>
        <v>1.2872928271127058E-4</v>
      </c>
      <c r="E22" s="242">
        <f>+ROUND(D22*'PART 2023'!W$13,2)</f>
        <v>24814.48</v>
      </c>
    </row>
    <row r="23" spans="1:5">
      <c r="A23" s="248">
        <v>33</v>
      </c>
      <c r="B23" s="239" t="s">
        <v>12</v>
      </c>
      <c r="C23" s="240">
        <v>162966143.88</v>
      </c>
      <c r="D23" s="243">
        <f t="shared" si="0"/>
        <v>4.4145313698741105E-2</v>
      </c>
      <c r="E23" s="242">
        <f>+ROUND(D23*'PART 2023'!W$13,2)</f>
        <v>8509665.4800000004</v>
      </c>
    </row>
    <row r="24" spans="1:5">
      <c r="A24" s="248">
        <v>34</v>
      </c>
      <c r="B24" s="239" t="s">
        <v>133</v>
      </c>
      <c r="C24" s="240">
        <v>6917930.9900000002</v>
      </c>
      <c r="D24" s="243">
        <f t="shared" si="0"/>
        <v>1.8739734918479106E-3</v>
      </c>
      <c r="E24" s="242">
        <f>+ROUND(D24*'PART 2023'!W$13,2)</f>
        <v>361236.25</v>
      </c>
    </row>
    <row r="25" spans="1:5">
      <c r="A25" s="248">
        <v>35</v>
      </c>
      <c r="B25" s="239" t="s">
        <v>13</v>
      </c>
      <c r="C25" s="240">
        <v>133500.34</v>
      </c>
      <c r="D25" s="243">
        <f t="shared" si="0"/>
        <v>3.6163427862220303E-5</v>
      </c>
      <c r="E25" s="242">
        <f>+ROUND(D25*'PART 2023'!W$13,2)</f>
        <v>6971.04</v>
      </c>
    </row>
    <row r="26" spans="1:5">
      <c r="A26" s="248">
        <v>61</v>
      </c>
      <c r="B26" s="239" t="s">
        <v>14</v>
      </c>
      <c r="C26" s="240">
        <v>49480</v>
      </c>
      <c r="D26" s="243">
        <f t="shared" si="0"/>
        <v>1.3403459576377563E-5</v>
      </c>
      <c r="E26" s="242">
        <f>+ROUND(D26*'PART 2023'!W$13,2)</f>
        <v>2583.7199999999998</v>
      </c>
    </row>
    <row r="27" spans="1:5">
      <c r="A27" s="248">
        <v>36</v>
      </c>
      <c r="B27" s="239" t="s">
        <v>15</v>
      </c>
      <c r="C27" s="240">
        <v>22405467.289999999</v>
      </c>
      <c r="D27" s="243">
        <f t="shared" si="0"/>
        <v>6.069336602897428E-3</v>
      </c>
      <c r="E27" s="242">
        <f>+ROUND(D27*'PART 2023'!W$13,2)</f>
        <v>1169954.8600000001</v>
      </c>
    </row>
    <row r="28" spans="1:5">
      <c r="A28" s="248">
        <v>28</v>
      </c>
      <c r="B28" s="239" t="s">
        <v>16</v>
      </c>
      <c r="C28" s="240">
        <v>203616495.72</v>
      </c>
      <c r="D28" s="243">
        <f t="shared" si="0"/>
        <v>5.5156941581784059E-2</v>
      </c>
      <c r="E28" s="242">
        <f>+ROUND(D28*'PART 2023'!W$13,2)</f>
        <v>10632320.449999999</v>
      </c>
    </row>
    <row r="29" spans="1:5">
      <c r="A29" s="248">
        <v>37</v>
      </c>
      <c r="B29" s="239" t="s">
        <v>134</v>
      </c>
      <c r="C29" s="240">
        <v>56896.27</v>
      </c>
      <c r="D29" s="243">
        <f t="shared" si="0"/>
        <v>1.5412426333703788E-5</v>
      </c>
      <c r="E29" s="242">
        <f>+ROUND(D29*'PART 2023'!W$13,2)</f>
        <v>2970.97</v>
      </c>
    </row>
    <row r="30" spans="1:5">
      <c r="A30" s="248">
        <v>39</v>
      </c>
      <c r="B30" s="239" t="s">
        <v>17</v>
      </c>
      <c r="C30" s="240">
        <v>181488.24</v>
      </c>
      <c r="D30" s="243">
        <f t="shared" si="0"/>
        <v>4.9162697825948049E-5</v>
      </c>
      <c r="E30" s="242">
        <f>+ROUND(D30*'PART 2023'!W$13,2)</f>
        <v>9476.84</v>
      </c>
    </row>
    <row r="31" spans="1:5">
      <c r="A31" s="248">
        <v>38</v>
      </c>
      <c r="B31" s="239" t="s">
        <v>18</v>
      </c>
      <c r="C31" s="240">
        <v>283715.78000000003</v>
      </c>
      <c r="D31" s="243">
        <f t="shared" si="0"/>
        <v>7.6854749159467066E-5</v>
      </c>
      <c r="E31" s="242">
        <f>+ROUND(D31*'PART 2023'!W$13,2)</f>
        <v>14814.9</v>
      </c>
    </row>
    <row r="32" spans="1:5">
      <c r="A32" s="248">
        <v>40</v>
      </c>
      <c r="B32" s="239" t="s">
        <v>19</v>
      </c>
      <c r="C32" s="240">
        <v>395602.13</v>
      </c>
      <c r="D32" s="243">
        <f t="shared" si="0"/>
        <v>1.0716324086062777E-4</v>
      </c>
      <c r="E32" s="242">
        <f>+ROUND(D32*'PART 2023'!W$13,2)</f>
        <v>20657.310000000001</v>
      </c>
    </row>
    <row r="33" spans="1:5">
      <c r="A33" s="248">
        <v>41</v>
      </c>
      <c r="B33" s="239" t="s">
        <v>20</v>
      </c>
      <c r="C33" s="240">
        <v>50562</v>
      </c>
      <c r="D33" s="243">
        <f t="shared" si="0"/>
        <v>1.3696558672207001E-5</v>
      </c>
      <c r="E33" s="242">
        <f>+ROUND(D33*'PART 2023'!W$13,2)</f>
        <v>2640.22</v>
      </c>
    </row>
    <row r="34" spans="1:5">
      <c r="A34" s="248">
        <v>42</v>
      </c>
      <c r="B34" s="239" t="s">
        <v>135</v>
      </c>
      <c r="C34" s="240">
        <v>91985471.849999994</v>
      </c>
      <c r="D34" s="243">
        <f t="shared" si="0"/>
        <v>2.4917614259407663E-2</v>
      </c>
      <c r="E34" s="242">
        <f>+ROUND(D34*'PART 2023'!W$13,2)</f>
        <v>4803240.57</v>
      </c>
    </row>
    <row r="35" spans="1:5">
      <c r="A35" s="248">
        <v>43</v>
      </c>
      <c r="B35" s="239" t="s">
        <v>21</v>
      </c>
      <c r="C35" s="240">
        <v>549855.99</v>
      </c>
      <c r="D35" s="243">
        <f t="shared" si="0"/>
        <v>1.489485152545284E-4</v>
      </c>
      <c r="E35" s="242">
        <f>+ROUND(D35*'PART 2023'!W$13,2)</f>
        <v>28712.04</v>
      </c>
    </row>
    <row r="36" spans="1:5">
      <c r="A36" s="248">
        <v>44</v>
      </c>
      <c r="B36" s="239" t="s">
        <v>22</v>
      </c>
      <c r="C36" s="240">
        <v>12436723.25</v>
      </c>
      <c r="D36" s="243">
        <f t="shared" si="0"/>
        <v>3.3689393157633387E-3</v>
      </c>
      <c r="E36" s="242">
        <f>+ROUND(D36*'PART 2023'!W$13,2)</f>
        <v>649413.14</v>
      </c>
    </row>
    <row r="37" spans="1:5">
      <c r="A37" s="248">
        <v>46</v>
      </c>
      <c r="B37" s="239" t="s">
        <v>136</v>
      </c>
      <c r="C37" s="240">
        <v>12650165.189999999</v>
      </c>
      <c r="D37" s="243">
        <f t="shared" si="0"/>
        <v>3.4267578366746886E-3</v>
      </c>
      <c r="E37" s="242">
        <f>+ROUND(D37*'PART 2023'!W$13,2)</f>
        <v>660558.52</v>
      </c>
    </row>
    <row r="38" spans="1:5">
      <c r="A38" s="248">
        <v>49</v>
      </c>
      <c r="B38" s="239" t="s">
        <v>23</v>
      </c>
      <c r="C38" s="240">
        <v>151537.84</v>
      </c>
      <c r="D38" s="243">
        <f t="shared" si="0"/>
        <v>4.1049541486086722E-5</v>
      </c>
      <c r="E38" s="242">
        <f>+ROUND(D38*'PART 2023'!W$13,2)</f>
        <v>7912.91</v>
      </c>
    </row>
    <row r="39" spans="1:5">
      <c r="A39" s="248">
        <v>48</v>
      </c>
      <c r="B39" s="239" t="s">
        <v>24</v>
      </c>
      <c r="C39" s="240">
        <v>4717.08</v>
      </c>
      <c r="D39" s="243">
        <f t="shared" si="0"/>
        <v>1.2777928677958585E-6</v>
      </c>
      <c r="E39" s="242">
        <f>+ROUND(D39*'PART 2023'!W$13,2)</f>
        <v>246.31</v>
      </c>
    </row>
    <row r="40" spans="1:5">
      <c r="A40" s="248">
        <v>47</v>
      </c>
      <c r="B40" s="239" t="s">
        <v>25</v>
      </c>
      <c r="C40" s="240">
        <v>274766</v>
      </c>
      <c r="D40" s="243">
        <f t="shared" si="0"/>
        <v>7.4430375383244905E-5</v>
      </c>
      <c r="E40" s="242">
        <f>+ROUND(D40*'PART 2023'!W$13,2)</f>
        <v>14347.56</v>
      </c>
    </row>
    <row r="41" spans="1:5">
      <c r="A41" s="248">
        <v>45</v>
      </c>
      <c r="B41" s="239" t="s">
        <v>26</v>
      </c>
      <c r="C41" s="240">
        <v>43556496.25</v>
      </c>
      <c r="D41" s="243">
        <f t="shared" si="0"/>
        <v>1.1798862909771947E-2</v>
      </c>
      <c r="E41" s="242">
        <f>+ROUND(D41*'PART 2023'!W$13,2)</f>
        <v>2274406.23</v>
      </c>
    </row>
    <row r="42" spans="1:5">
      <c r="A42" s="248">
        <v>70</v>
      </c>
      <c r="B42" s="239" t="s">
        <v>27</v>
      </c>
      <c r="C42" s="240">
        <v>918119421</v>
      </c>
      <c r="D42" s="243">
        <f t="shared" si="0"/>
        <v>0.24870607408368378</v>
      </c>
      <c r="E42" s="242">
        <f>+ROUND(D42*'PART 2023'!W$13,2)</f>
        <v>47941793.039999999</v>
      </c>
    </row>
    <row r="43" spans="1:5">
      <c r="A43" s="248">
        <v>50</v>
      </c>
      <c r="B43" s="239" t="s">
        <v>137</v>
      </c>
      <c r="C43" s="240">
        <v>381613.55</v>
      </c>
      <c r="D43" s="243">
        <f t="shared" si="0"/>
        <v>1.0337392464072227E-4</v>
      </c>
      <c r="E43" s="242">
        <f>+ROUND(D43*'PART 2023'!W$13,2)</f>
        <v>19926.86</v>
      </c>
    </row>
    <row r="44" spans="1:5">
      <c r="A44" s="248">
        <v>51</v>
      </c>
      <c r="B44" s="239" t="s">
        <v>138</v>
      </c>
      <c r="C44" s="240">
        <v>74273002.030000001</v>
      </c>
      <c r="D44" s="243">
        <f t="shared" si="0"/>
        <v>2.0119546894206017E-2</v>
      </c>
      <c r="E44" s="242">
        <f>+ROUND(D44*'PART 2023'!W$13,2)</f>
        <v>3878341.76</v>
      </c>
    </row>
    <row r="45" spans="1:5">
      <c r="A45" s="248">
        <v>52</v>
      </c>
      <c r="B45" s="239" t="s">
        <v>139</v>
      </c>
      <c r="C45" s="240">
        <v>1222989.4099999999</v>
      </c>
      <c r="D45" s="243">
        <f t="shared" si="0"/>
        <v>3.3129121097964521E-4</v>
      </c>
      <c r="E45" s="242">
        <f>+ROUND(D45*'PART 2023'!W$13,2)</f>
        <v>63861.31</v>
      </c>
    </row>
    <row r="46" spans="1:5">
      <c r="A46" s="248">
        <v>53</v>
      </c>
      <c r="B46" s="239" t="s">
        <v>28</v>
      </c>
      <c r="C46" s="240">
        <v>83663</v>
      </c>
      <c r="D46" s="243">
        <f t="shared" si="0"/>
        <v>2.2663169736024172E-5</v>
      </c>
      <c r="E46" s="242">
        <f>+ROUND(D46*'PART 2023'!W$13,2)</f>
        <v>4368.66</v>
      </c>
    </row>
    <row r="47" spans="1:5">
      <c r="A47" s="248">
        <v>54</v>
      </c>
      <c r="B47" s="239" t="s">
        <v>29</v>
      </c>
      <c r="C47" s="240">
        <v>3661490.91</v>
      </c>
      <c r="D47" s="243">
        <f t="shared" si="0"/>
        <v>9.9184812856626726E-4</v>
      </c>
      <c r="E47" s="242">
        <f>+ROUND(D47*'PART 2023'!W$13,2)</f>
        <v>191193.47</v>
      </c>
    </row>
    <row r="48" spans="1:5">
      <c r="A48" s="248">
        <v>55</v>
      </c>
      <c r="B48" s="239" t="s">
        <v>30</v>
      </c>
      <c r="C48" s="240">
        <v>79016556.980000004</v>
      </c>
      <c r="D48" s="243">
        <f t="shared" si="0"/>
        <v>2.1404511466167429E-2</v>
      </c>
      <c r="E48" s="242">
        <f>+ROUND(D48*'PART 2023'!W$13,2)</f>
        <v>4126037.78</v>
      </c>
    </row>
    <row r="49" spans="1:5">
      <c r="A49" s="248">
        <v>58</v>
      </c>
      <c r="B49" s="239" t="s">
        <v>140</v>
      </c>
      <c r="C49" s="240">
        <v>135594272</v>
      </c>
      <c r="D49" s="243">
        <f t="shared" si="0"/>
        <v>3.6730645584889733E-2</v>
      </c>
      <c r="E49" s="242">
        <f>+ROUND(D49*'PART 2023'!W$13,2)</f>
        <v>7080377.9699999997</v>
      </c>
    </row>
    <row r="50" spans="1:5">
      <c r="A50" s="248">
        <v>31</v>
      </c>
      <c r="B50" s="239" t="s">
        <v>141</v>
      </c>
      <c r="C50" s="240">
        <v>573157470.60000002</v>
      </c>
      <c r="D50" s="243">
        <f t="shared" si="0"/>
        <v>0.15526056968645741</v>
      </c>
      <c r="E50" s="242">
        <f>+ROUND(D50*'PART 2023'!W$13,2)</f>
        <v>29928782.91</v>
      </c>
    </row>
    <row r="51" spans="1:5">
      <c r="A51" s="248">
        <v>57</v>
      </c>
      <c r="B51" s="239" t="s">
        <v>31</v>
      </c>
      <c r="C51" s="240">
        <v>224854678.83000001</v>
      </c>
      <c r="D51" s="243">
        <f t="shared" si="0"/>
        <v>6.0910076763485553E-2</v>
      </c>
      <c r="E51" s="242">
        <f>+ROUND(D51*'PART 2023'!W$13,2)</f>
        <v>11741322.789999999</v>
      </c>
    </row>
    <row r="52" spans="1:5">
      <c r="A52" s="248">
        <v>56</v>
      </c>
      <c r="B52" s="239" t="s">
        <v>32</v>
      </c>
      <c r="C52" s="240">
        <v>146566590</v>
      </c>
      <c r="D52" s="243">
        <f t="shared" si="0"/>
        <v>3.9702897419411964E-2</v>
      </c>
      <c r="E52" s="242">
        <f>+ROUND(D52*'PART 2023'!W$13,2)</f>
        <v>7653323.7000000002</v>
      </c>
    </row>
    <row r="53" spans="1:5">
      <c r="A53" s="248">
        <v>59</v>
      </c>
      <c r="B53" s="239" t="s">
        <v>33</v>
      </c>
      <c r="C53" s="240">
        <v>2389868.13</v>
      </c>
      <c r="D53" s="243">
        <f t="shared" si="0"/>
        <v>6.4738279857170654E-4</v>
      </c>
      <c r="E53" s="242">
        <f>+ROUND(D53*'PART 2023'!W$13,2)</f>
        <v>124792.66</v>
      </c>
    </row>
    <row r="54" spans="1:5">
      <c r="A54" s="248">
        <v>60</v>
      </c>
      <c r="B54" s="239" t="s">
        <v>34</v>
      </c>
      <c r="C54" s="240">
        <v>257810.83</v>
      </c>
      <c r="D54" s="243">
        <f t="shared" si="0"/>
        <v>6.9837450247723276E-5</v>
      </c>
      <c r="E54" s="242">
        <f>+ROUND(D54*'PART 2023'!W$13,2)</f>
        <v>13462.21</v>
      </c>
    </row>
    <row r="55" spans="1:5" ht="13.5" thickBot="1">
      <c r="B55" s="244" t="s">
        <v>184</v>
      </c>
      <c r="C55" s="245">
        <f>+SUM(C4:C54)</f>
        <v>3691584230.0300002</v>
      </c>
      <c r="D55" s="246">
        <f>SUM(D4:D54)</f>
        <v>0.99999999999999989</v>
      </c>
      <c r="E55" s="247">
        <f>SUM(E4:E54)</f>
        <v>192764865.98999998</v>
      </c>
    </row>
  </sheetData>
  <mergeCells count="2">
    <mergeCell ref="B1:E1"/>
    <mergeCell ref="B2:E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portrait" r:id="rId1"/>
  <headerFooter>
    <oddHeader>&amp;L
&amp;C&amp;"-,Negrita"&amp;12COORDINACIÓN DE PLANEACIÓN HACENDARIA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6A53-FC92-4252-A857-82C15AABB815}">
  <dimension ref="A1:L118"/>
  <sheetViews>
    <sheetView showGridLines="0" topLeftCell="A38" zoomScale="110" zoomScaleNormal="110" zoomScaleSheetLayoutView="100" workbookViewId="0">
      <selection activeCell="B63" sqref="B63:L118"/>
    </sheetView>
  </sheetViews>
  <sheetFormatPr baseColWidth="10" defaultColWidth="11.42578125" defaultRowHeight="12.75"/>
  <cols>
    <col min="1" max="1" width="3" style="98" bestFit="1" customWidth="1"/>
    <col min="2" max="2" width="34.42578125" style="98" customWidth="1"/>
    <col min="3" max="3" width="14.28515625" style="175" customWidth="1"/>
    <col min="4" max="4" width="14.28515625" style="267" customWidth="1"/>
    <col min="5" max="5" width="14.28515625" style="177" customWidth="1"/>
    <col min="6" max="7" width="14.28515625" style="155" customWidth="1"/>
    <col min="8" max="12" width="14.28515625" style="98" customWidth="1"/>
    <col min="13" max="16384" width="11.42578125" style="98"/>
  </cols>
  <sheetData>
    <row r="1" spans="1:12">
      <c r="B1" s="277" t="s">
        <v>87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12.75" customHeight="1">
      <c r="B2" s="277" t="s">
        <v>190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2.75" customHeight="1">
      <c r="B3" s="277" t="s">
        <v>219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2" ht="13.5" thickBot="1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2" ht="47.25" customHeight="1">
      <c r="B5" s="223" t="s">
        <v>152</v>
      </c>
      <c r="C5" s="217" t="s">
        <v>153</v>
      </c>
      <c r="D5" s="265" t="s">
        <v>154</v>
      </c>
      <c r="E5" s="218" t="s">
        <v>155</v>
      </c>
      <c r="F5" s="218" t="s">
        <v>156</v>
      </c>
      <c r="G5" s="218" t="s">
        <v>157</v>
      </c>
      <c r="H5" s="218" t="s">
        <v>158</v>
      </c>
      <c r="I5" s="218" t="s">
        <v>159</v>
      </c>
      <c r="J5" s="218" t="s">
        <v>191</v>
      </c>
      <c r="K5" s="218" t="s">
        <v>194</v>
      </c>
      <c r="L5" s="222" t="s">
        <v>151</v>
      </c>
    </row>
    <row r="6" spans="1:12">
      <c r="A6" s="250">
        <v>15</v>
      </c>
      <c r="B6" s="219" t="s">
        <v>1</v>
      </c>
      <c r="C6" s="170">
        <f>+'Distr Var Actuales'!D7-'Distr 1er sem'!D7</f>
        <v>-1510.2059869887307</v>
      </c>
      <c r="D6" s="170">
        <f>+'Distr Var Actuales'!F7-'Distr 1er sem'!F7</f>
        <v>-204.51172234211117</v>
      </c>
      <c r="E6" s="170">
        <f>+'Distr Var Actuales'!H7-'Distr 1er sem'!H7</f>
        <v>-722165.94388080062</v>
      </c>
      <c r="F6" s="170">
        <f>+'Distr Var Actuales'!J7-'Distr 1er sem'!J7</f>
        <v>3050.746520217479</v>
      </c>
      <c r="G6" s="170">
        <f>+'Distr Var Actuales'!L7-'Distr 1er sem'!L7</f>
        <v>37984.047238593688</v>
      </c>
      <c r="H6" s="170">
        <f>+'Distr Var Actuales'!N7-'Distr 1er sem'!N7</f>
        <v>-129.72326772133238</v>
      </c>
      <c r="I6" s="170">
        <f>+'Distr Var Actuales'!P7-'Distr 1er sem'!P7</f>
        <v>-3.5309742319441284</v>
      </c>
      <c r="J6" s="170">
        <f>+'Distr Var Actuales'!R7-'Distr 1er sem'!R7</f>
        <v>-46.292362261767266</v>
      </c>
      <c r="K6" s="170">
        <f>+'Distr Var Actuales'!T7-'Distr 1er sem'!T7</f>
        <v>-3629.4040033661968</v>
      </c>
      <c r="L6" s="220">
        <f t="shared" ref="L6:L37" si="0">SUM(C6:K6)</f>
        <v>-686654.81843890157</v>
      </c>
    </row>
    <row r="7" spans="1:12">
      <c r="A7" s="250">
        <v>11</v>
      </c>
      <c r="B7" s="219" t="s">
        <v>2</v>
      </c>
      <c r="C7" s="170">
        <f>+'Distr Var Actuales'!D8-'Distr 1er sem'!D8</f>
        <v>-20635.069316986948</v>
      </c>
      <c r="D7" s="170">
        <f>+'Distr Var Actuales'!F8-'Distr 1er sem'!F8</f>
        <v>-2794.5130573888309</v>
      </c>
      <c r="E7" s="170">
        <f>+'Distr Var Actuales'!H8-'Distr 1er sem'!H8</f>
        <v>-855403.75277424557</v>
      </c>
      <c r="F7" s="170">
        <f>+'Distr Var Actuales'!J8-'Distr 1er sem'!J8</f>
        <v>5542.3068675207323</v>
      </c>
      <c r="G7" s="170">
        <f>+'Distr Var Actuales'!L8-'Distr 1er sem'!L8</f>
        <v>80252.735629991686</v>
      </c>
      <c r="H7" s="170">
        <f>+'Distr Var Actuales'!N8-'Distr 1er sem'!N8</f>
        <v>-1771.1026399127441</v>
      </c>
      <c r="I7" s="170">
        <f>+'Distr Var Actuales'!P8-'Distr 1er sem'!P8</f>
        <v>-48.242595540868933</v>
      </c>
      <c r="J7" s="170">
        <f>+'Distr Var Actuales'!R8-'Distr 1er sem'!R8</f>
        <v>-632.05114015933941</v>
      </c>
      <c r="K7" s="170">
        <f>+'Distr Var Actuales'!T8-'Distr 1er sem'!T8</f>
        <v>470.49280086528233</v>
      </c>
      <c r="L7" s="220">
        <f t="shared" si="0"/>
        <v>-795019.19622585655</v>
      </c>
    </row>
    <row r="8" spans="1:12">
      <c r="A8" s="250">
        <v>12</v>
      </c>
      <c r="B8" s="219" t="s">
        <v>142</v>
      </c>
      <c r="C8" s="170">
        <f>+'Distr Var Actuales'!D9-'Distr 1er sem'!D9</f>
        <v>-2171.8741496000439</v>
      </c>
      <c r="D8" s="170">
        <f>+'Distr Var Actuales'!F9-'Distr 1er sem'!F9</f>
        <v>-294.11809115693904</v>
      </c>
      <c r="E8" s="170">
        <f>+'Distr Var Actuales'!H9-'Distr 1er sem'!H9</f>
        <v>-148843.04827397573</v>
      </c>
      <c r="F8" s="170">
        <f>+'Distr Var Actuales'!J9-'Distr 1er sem'!J9</f>
        <v>5332.0746591252391</v>
      </c>
      <c r="G8" s="170">
        <f>+'Distr Var Actuales'!L9-'Distr 1er sem'!L9</f>
        <v>66094.800737313519</v>
      </c>
      <c r="H8" s="170">
        <f>+'Distr Var Actuales'!N9-'Distr 1er sem'!N9</f>
        <v>-186.50237216881942</v>
      </c>
      <c r="I8" s="170">
        <f>+'Distr Var Actuales'!P9-'Distr 1er sem'!P9</f>
        <v>-5.0788540861394722</v>
      </c>
      <c r="J8" s="170">
        <f>+'Distr Var Actuales'!R9-'Distr 1er sem'!R9</f>
        <v>-66.555764108561561</v>
      </c>
      <c r="K8" s="170">
        <f>+'Distr Var Actuales'!T9-'Distr 1er sem'!T9</f>
        <v>-383.23749953899068</v>
      </c>
      <c r="L8" s="220">
        <f t="shared" si="0"/>
        <v>-80523.539608196457</v>
      </c>
    </row>
    <row r="9" spans="1:12">
      <c r="A9" s="250">
        <v>13</v>
      </c>
      <c r="B9" s="219" t="s">
        <v>3</v>
      </c>
      <c r="C9" s="170">
        <f>+'Distr Var Actuales'!D10-'Distr 1er sem'!D10</f>
        <v>-356810.84771566093</v>
      </c>
      <c r="D9" s="170">
        <f>+'Distr Var Actuales'!F10-'Distr 1er sem'!F10</f>
        <v>-48320.123842597939</v>
      </c>
      <c r="E9" s="170">
        <f>+'Distr Var Actuales'!H10-'Distr 1er sem'!H10</f>
        <v>-360682.43264107034</v>
      </c>
      <c r="F9" s="170">
        <f>+'Distr Var Actuales'!J10-'Distr 1er sem'!J10</f>
        <v>-9693.9442406342132</v>
      </c>
      <c r="G9" s="170">
        <f>+'Distr Var Actuales'!L10-'Distr 1er sem'!L10</f>
        <v>106497.21437472943</v>
      </c>
      <c r="H9" s="170">
        <f>+'Distr Var Actuales'!N10-'Distr 1er sem'!N10</f>
        <v>-30640.15831525973</v>
      </c>
      <c r="I9" s="170">
        <f>+'Distr Var Actuales'!P10-'Distr 1er sem'!P10</f>
        <v>-834.73525622781017</v>
      </c>
      <c r="J9" s="170">
        <f>+'Distr Var Actuales'!R10-'Distr 1er sem'!R10</f>
        <v>-10934.525620412896</v>
      </c>
      <c r="K9" s="170">
        <f>+'Distr Var Actuales'!T10-'Distr 1er sem'!T10</f>
        <v>-84731.637640159577</v>
      </c>
      <c r="L9" s="220">
        <f t="shared" si="0"/>
        <v>-796151.19089729397</v>
      </c>
    </row>
    <row r="10" spans="1:12">
      <c r="A10" s="250">
        <v>14</v>
      </c>
      <c r="B10" s="219" t="s">
        <v>143</v>
      </c>
      <c r="C10" s="170">
        <f>+'Distr Var Actuales'!D11-'Distr 1er sem'!D11</f>
        <v>16086.664243318141</v>
      </c>
      <c r="D10" s="170">
        <f>+'Distr Var Actuales'!F11-'Distr 1er sem'!F11</f>
        <v>2178.6975318202749</v>
      </c>
      <c r="E10" s="170">
        <f>+'Distr Var Actuales'!H11-'Distr 1er sem'!H11</f>
        <v>1089343.2464863602</v>
      </c>
      <c r="F10" s="170">
        <f>+'Distr Var Actuales'!J11-'Distr 1er sem'!J11</f>
        <v>21896.707167923916</v>
      </c>
      <c r="G10" s="170">
        <f>+'Distr Var Actuales'!L11-'Distr 1er sem'!L11</f>
        <v>255698.53308364609</v>
      </c>
      <c r="H10" s="170">
        <f>+'Distr Var Actuales'!N11-'Distr 1er sem'!N11</f>
        <v>1378.9053731649183</v>
      </c>
      <c r="I10" s="170">
        <f>+'Distr Var Actuales'!P11-'Distr 1er sem'!P11</f>
        <v>37.553157538728556</v>
      </c>
      <c r="J10" s="170">
        <f>+'Distr Var Actuales'!R11-'Distr 1er sem'!R11</f>
        <v>492.08347910182783</v>
      </c>
      <c r="K10" s="170">
        <f>+'Distr Var Actuales'!T11-'Distr 1er sem'!T11</f>
        <v>-49632.588661679096</v>
      </c>
      <c r="L10" s="220">
        <f t="shared" si="0"/>
        <v>1337479.8018611949</v>
      </c>
    </row>
    <row r="11" spans="1:12">
      <c r="A11" s="250">
        <v>17</v>
      </c>
      <c r="B11" s="219" t="s">
        <v>4</v>
      </c>
      <c r="C11" s="170">
        <f>+'Distr Var Actuales'!D12-'Distr 1er sem'!D12</f>
        <v>-2089584.3813402653</v>
      </c>
      <c r="D11" s="170">
        <f>+'Distr Var Actuales'!F12-'Distr 1er sem'!F12</f>
        <v>-282955.18977958709</v>
      </c>
      <c r="E11" s="170">
        <f>+'Distr Var Actuales'!H12-'Distr 1er sem'!H12</f>
        <v>-149092.87613484822</v>
      </c>
      <c r="F11" s="170">
        <f>+'Distr Var Actuales'!J12-'Distr 1er sem'!J12</f>
        <v>-212907.04369311407</v>
      </c>
      <c r="G11" s="170">
        <f>+'Distr Var Actuales'!L12-'Distr 1er sem'!L12</f>
        <v>-1273442.7238387391</v>
      </c>
      <c r="H11" s="170">
        <f>+'Distr Var Actuales'!N12-'Distr 1er sem'!N12</f>
        <v>-179699.52182587609</v>
      </c>
      <c r="I11" s="170">
        <f>+'Distr Var Actuales'!P12-'Distr 1er sem'!P12</f>
        <v>-4897.0119610852562</v>
      </c>
      <c r="J11" s="170">
        <f>+'Distr Var Actuales'!R12-'Distr 1er sem'!R12</f>
        <v>-64129.920153072104</v>
      </c>
      <c r="K11" s="170">
        <f>+'Distr Var Actuales'!T12-'Distr 1er sem'!T12</f>
        <v>173011.9575712122</v>
      </c>
      <c r="L11" s="220">
        <f t="shared" si="0"/>
        <v>-4083696.7111553755</v>
      </c>
    </row>
    <row r="12" spans="1:12">
      <c r="A12" s="250">
        <v>16</v>
      </c>
      <c r="B12" s="219" t="s">
        <v>5</v>
      </c>
      <c r="C12" s="170">
        <f>+'Distr Var Actuales'!D13-'Distr 1er sem'!D13</f>
        <v>-8343.7343375608325</v>
      </c>
      <c r="D12" s="170">
        <f>+'Distr Var Actuales'!F13-'Distr 1er sem'!F13</f>
        <v>-1129.9020325457677</v>
      </c>
      <c r="E12" s="170">
        <f>+'Distr Var Actuales'!H13-'Distr 1er sem'!H13</f>
        <v>6558.8056283248588</v>
      </c>
      <c r="F12" s="170">
        <f>+'Distr Var Actuales'!J13-'Distr 1er sem'!J13</f>
        <v>30071.588540480239</v>
      </c>
      <c r="G12" s="170">
        <f>+'Distr Var Actuales'!L13-'Distr 1er sem'!L13</f>
        <v>370304.05171741336</v>
      </c>
      <c r="H12" s="170">
        <f>+'Distr Var Actuales'!N13-'Distr 1er sem'!N13</f>
        <v>-716.66586896474473</v>
      </c>
      <c r="I12" s="170">
        <f>+'Distr Var Actuales'!P13-'Distr 1er sem'!P13</f>
        <v>-19.519178837595973</v>
      </c>
      <c r="J12" s="170">
        <f>+'Distr Var Actuales'!R13-'Distr 1er sem'!R13</f>
        <v>-255.75727668078616</v>
      </c>
      <c r="K12" s="170">
        <f>+'Distr Var Actuales'!T13-'Distr 1er sem'!T13</f>
        <v>-21124.589606511014</v>
      </c>
      <c r="L12" s="220">
        <f t="shared" si="0"/>
        <v>375344.27758511773</v>
      </c>
    </row>
    <row r="13" spans="1:12">
      <c r="A13" s="250">
        <v>18</v>
      </c>
      <c r="B13" s="219" t="s">
        <v>6</v>
      </c>
      <c r="C13" s="170">
        <f>+'Distr Var Actuales'!D14-'Distr 1er sem'!D14</f>
        <v>131699.23314584605</v>
      </c>
      <c r="D13" s="170">
        <f>+'Distr Var Actuales'!F14-'Distr 1er sem'!F14</f>
        <v>17836.09489038866</v>
      </c>
      <c r="E13" s="170">
        <f>+'Distr Var Actuales'!H14-'Distr 1er sem'!H14</f>
        <v>4249969.9470410794</v>
      </c>
      <c r="F13" s="170">
        <f>+'Distr Var Actuales'!J14-'Distr 1er sem'!J14</f>
        <v>7020.7711901925795</v>
      </c>
      <c r="G13" s="170">
        <f>+'Distr Var Actuales'!L14-'Distr 1er sem'!L14</f>
        <v>2399.6362902641995</v>
      </c>
      <c r="H13" s="170">
        <f>+'Distr Var Actuales'!N14-'Distr 1er sem'!N14</f>
        <v>11295.705862408329</v>
      </c>
      <c r="I13" s="170">
        <f>+'Distr Var Actuales'!P14-'Distr 1er sem'!P14</f>
        <v>307.65910854024696</v>
      </c>
      <c r="J13" s="170">
        <f>+'Distr Var Actuales'!R14-'Distr 1er sem'!R14</f>
        <v>4031.0506537118927</v>
      </c>
      <c r="K13" s="170">
        <f>+'Distr Var Actuales'!T14-'Distr 1er sem'!T14</f>
        <v>9550.4264654329236</v>
      </c>
      <c r="L13" s="220">
        <f t="shared" si="0"/>
        <v>4434110.5246478645</v>
      </c>
    </row>
    <row r="14" spans="1:12">
      <c r="A14" s="250">
        <v>19</v>
      </c>
      <c r="B14" s="219" t="s">
        <v>127</v>
      </c>
      <c r="C14" s="170">
        <f>+'Distr Var Actuales'!D15-'Distr 1er sem'!D15</f>
        <v>-460318.72554340959</v>
      </c>
      <c r="D14" s="170">
        <f>+'Distr Var Actuales'!F15-'Distr 1er sem'!F15</f>
        <v>-62338.220728639513</v>
      </c>
      <c r="E14" s="170">
        <f>+'Distr Var Actuales'!H15-'Distr 1er sem'!H15</f>
        <v>-839755.60932018282</v>
      </c>
      <c r="F14" s="170">
        <f>+'Distr Var Actuales'!J15-'Distr 1er sem'!J15</f>
        <v>-5001.0970861292444</v>
      </c>
      <c r="G14" s="170">
        <f>+'Distr Var Actuales'!L15-'Distr 1er sem'!L15</f>
        <v>228565.50900656916</v>
      </c>
      <c r="H14" s="170">
        <f>+'Distr Var Actuales'!N15-'Distr 1er sem'!N15</f>
        <v>-39518.257297812961</v>
      </c>
      <c r="I14" s="170">
        <f>+'Distr Var Actuales'!P15-'Distr 1er sem'!P15</f>
        <v>-1076.5419641530025</v>
      </c>
      <c r="J14" s="170">
        <f>+'Distr Var Actuales'!R15-'Distr 1er sem'!R15</f>
        <v>-14102.81956622866</v>
      </c>
      <c r="K14" s="170">
        <f>+'Distr Var Actuales'!T15-'Distr 1er sem'!T15</f>
        <v>63763.903473453131</v>
      </c>
      <c r="L14" s="220">
        <f t="shared" si="0"/>
        <v>-1129781.8590265336</v>
      </c>
    </row>
    <row r="15" spans="1:12">
      <c r="A15" s="250">
        <v>20</v>
      </c>
      <c r="B15" s="219" t="s">
        <v>128</v>
      </c>
      <c r="C15" s="170">
        <f>+'Distr Var Actuales'!D16-'Distr 1er sem'!D16</f>
        <v>138131.1548258476</v>
      </c>
      <c r="D15" s="170">
        <f>+'Distr Var Actuales'!F16-'Distr 1er sem'!F16</f>
        <v>18707.277394962497</v>
      </c>
      <c r="E15" s="170">
        <f>+'Distr Var Actuales'!H16-'Distr 1er sem'!H16</f>
        <v>2066726.8405877156</v>
      </c>
      <c r="F15" s="170">
        <f>+'Distr Var Actuales'!J16-'Distr 1er sem'!J16</f>
        <v>-30721.210476248991</v>
      </c>
      <c r="G15" s="170">
        <f>+'Distr Var Actuales'!L16-'Distr 1er sem'!L16</f>
        <v>-459833.8213650313</v>
      </c>
      <c r="H15" s="170">
        <f>+'Distr Var Actuales'!N16-'Distr 1er sem'!N16</f>
        <v>11845.993416104233</v>
      </c>
      <c r="I15" s="170">
        <f>+'Distr Var Actuales'!P16-'Distr 1er sem'!P16</f>
        <v>322.64524272434937</v>
      </c>
      <c r="J15" s="170">
        <f>+'Distr Var Actuales'!R16-'Distr 1er sem'!R16</f>
        <v>4227.4285138230771</v>
      </c>
      <c r="K15" s="170">
        <f>+'Distr Var Actuales'!T16-'Distr 1er sem'!T16</f>
        <v>133549.26244296611</v>
      </c>
      <c r="L15" s="220">
        <f t="shared" si="0"/>
        <v>1882955.5705828629</v>
      </c>
    </row>
    <row r="16" spans="1:12">
      <c r="A16" s="250">
        <v>23</v>
      </c>
      <c r="B16" s="219" t="s">
        <v>129</v>
      </c>
      <c r="C16" s="170">
        <f>+'Distr Var Actuales'!D17-'Distr 1er sem'!D17</f>
        <v>-3872.2095576114953</v>
      </c>
      <c r="D16" s="170">
        <f>+'Distr Var Actuales'!F17-'Distr 1er sem'!F17</f>
        <v>-524.32884613750502</v>
      </c>
      <c r="E16" s="170">
        <f>+'Distr Var Actuales'!H17-'Distr 1er sem'!H17</f>
        <v>422082.22221252508</v>
      </c>
      <c r="F16" s="170">
        <f>+'Distr Var Actuales'!J17-'Distr 1er sem'!J17</f>
        <v>1860.7814913091715</v>
      </c>
      <c r="G16" s="170">
        <f>+'Distr Var Actuales'!L17-'Distr 1er sem'!L17</f>
        <v>25017.645006757928</v>
      </c>
      <c r="H16" s="170">
        <f>+'Distr Var Actuales'!N17-'Distr 1er sem'!N17</f>
        <v>-333.2479322119616</v>
      </c>
      <c r="I16" s="170">
        <f>+'Distr Var Actuales'!P17-'Distr 1er sem'!P17</f>
        <v>-9.0775428517081309</v>
      </c>
      <c r="J16" s="170">
        <f>+'Distr Var Actuales'!R17-'Distr 1er sem'!R17</f>
        <v>-118.9269512090541</v>
      </c>
      <c r="K16" s="170">
        <f>+'Distr Var Actuales'!T17-'Distr 1er sem'!T17</f>
        <v>-5507.7701873181213</v>
      </c>
      <c r="L16" s="220">
        <f t="shared" si="0"/>
        <v>438595.08769325237</v>
      </c>
    </row>
    <row r="17" spans="1:12">
      <c r="A17" s="250">
        <v>21</v>
      </c>
      <c r="B17" s="219" t="s">
        <v>7</v>
      </c>
      <c r="C17" s="170">
        <f>+'Distr Var Actuales'!D18-'Distr 1er sem'!D18</f>
        <v>-32853.070954132825</v>
      </c>
      <c r="D17" s="170">
        <f>+'Distr Var Actuales'!F18-'Distr 1er sem'!F18</f>
        <v>-4418.7254089601338</v>
      </c>
      <c r="E17" s="170">
        <f>+'Distr Var Actuales'!H18-'Distr 1er sem'!H18</f>
        <v>-880090.35278928606</v>
      </c>
      <c r="F17" s="170">
        <f>+'Distr Var Actuales'!J18-'Distr 1er sem'!J18</f>
        <v>18305.219548005378</v>
      </c>
      <c r="G17" s="170">
        <f>+'Distr Var Actuales'!L18-'Distr 1er sem'!L18</f>
        <v>242499.1006832656</v>
      </c>
      <c r="H17" s="170">
        <f>+'Distr Var Actuales'!N18-'Distr 1er sem'!N18</f>
        <v>-3081.1910276685376</v>
      </c>
      <c r="I17" s="170">
        <f>+'Distr Var Actuales'!P18-'Distr 1er sem'!P18</f>
        <v>-84.726473534159595</v>
      </c>
      <c r="J17" s="170">
        <f>+'Distr Var Actuales'!R18-'Distr 1er sem'!R18</f>
        <v>-1100.7701648554066</v>
      </c>
      <c r="K17" s="170">
        <f>+'Distr Var Actuales'!T18-'Distr 1er sem'!T18</f>
        <v>6156.5738438264088</v>
      </c>
      <c r="L17" s="220">
        <f t="shared" si="0"/>
        <v>-654667.94274333969</v>
      </c>
    </row>
    <row r="18" spans="1:12">
      <c r="A18" s="250">
        <v>22</v>
      </c>
      <c r="B18" s="219" t="s">
        <v>130</v>
      </c>
      <c r="C18" s="170">
        <f>+'Distr Var Actuales'!D19-'Distr 1er sem'!D19</f>
        <v>-87469.023390315473</v>
      </c>
      <c r="D18" s="170">
        <f>+'Distr Var Actuales'!F19-'Distr 1er sem'!F19</f>
        <v>-11969.412341654766</v>
      </c>
      <c r="E18" s="170">
        <f>+'Distr Var Actuales'!H19-'Distr 1er sem'!H19</f>
        <v>-16530.894807015546</v>
      </c>
      <c r="F18" s="170">
        <f>+'Distr Var Actuales'!J19-'Distr 1er sem'!J19</f>
        <v>-19328.224114090321</v>
      </c>
      <c r="G18" s="170">
        <f>+'Distr Var Actuales'!L19-'Distr 1er sem'!L19</f>
        <v>-178188.46601243143</v>
      </c>
      <c r="H18" s="170">
        <f>+'Distr Var Actuales'!N19-'Distr 1er sem'!N19</f>
        <v>-6445.4810189448763</v>
      </c>
      <c r="I18" s="170">
        <f>+'Distr Var Actuales'!P19-'Distr 1er sem'!P19</f>
        <v>-172.35735956599819</v>
      </c>
      <c r="J18" s="170">
        <f>+'Distr Var Actuales'!R19-'Distr 1er sem'!R19</f>
        <v>-2295.3345057142433</v>
      </c>
      <c r="K18" s="170">
        <f>+'Distr Var Actuales'!T19-'Distr 1er sem'!T19</f>
        <v>-422053.15529665304</v>
      </c>
      <c r="L18" s="220">
        <f t="shared" si="0"/>
        <v>-744452.34884638572</v>
      </c>
    </row>
    <row r="19" spans="1:12">
      <c r="A19" s="250">
        <v>25</v>
      </c>
      <c r="B19" s="219" t="s">
        <v>8</v>
      </c>
      <c r="C19" s="170">
        <f>+'Distr Var Actuales'!D20-'Distr 1er sem'!D20</f>
        <v>-1454.3220946788788</v>
      </c>
      <c r="D19" s="170">
        <f>+'Distr Var Actuales'!F20-'Distr 1er sem'!F20</f>
        <v>-196.92289613559842</v>
      </c>
      <c r="E19" s="170">
        <f>+'Distr Var Actuales'!H20-'Distr 1er sem'!H20</f>
        <v>-210419.64803978591</v>
      </c>
      <c r="F19" s="170">
        <f>+'Distr Var Actuales'!J20-'Distr 1er sem'!J20</f>
        <v>69340.736273027956</v>
      </c>
      <c r="G19" s="170">
        <f>+'Distr Var Actuales'!L20-'Distr 1er sem'!L20</f>
        <v>842694.71609420609</v>
      </c>
      <c r="H19" s="170">
        <f>+'Distr Var Actuales'!N20-'Distr 1er sem'!N20</f>
        <v>-125.04010597057641</v>
      </c>
      <c r="I19" s="170">
        <f>+'Distr Var Actuales'!P20-'Distr 1er sem'!P20</f>
        <v>-3.4036286370828748</v>
      </c>
      <c r="J19" s="170">
        <f>+'Distr Var Actuales'!R20-'Distr 1er sem'!R20</f>
        <v>-44.625082284677774</v>
      </c>
      <c r="K19" s="170">
        <f>+'Distr Var Actuales'!T20-'Distr 1er sem'!T20</f>
        <v>1397.6675997540515</v>
      </c>
      <c r="L19" s="220">
        <f t="shared" si="0"/>
        <v>701189.15811949538</v>
      </c>
    </row>
    <row r="20" spans="1:12">
      <c r="A20" s="250">
        <v>27</v>
      </c>
      <c r="B20" s="219" t="s">
        <v>9</v>
      </c>
      <c r="C20" s="170">
        <f>+'Distr Var Actuales'!D21-'Distr 1er sem'!D21</f>
        <v>-4902.6313877403736</v>
      </c>
      <c r="D20" s="170">
        <f>+'Distr Var Actuales'!F21-'Distr 1er sem'!F21</f>
        <v>-663.93836674466729</v>
      </c>
      <c r="E20" s="170">
        <f>+'Distr Var Actuales'!H21-'Distr 1er sem'!H21</f>
        <v>-375147.40533641889</v>
      </c>
      <c r="F20" s="170">
        <f>+'Distr Var Actuales'!J21-'Distr 1er sem'!J21</f>
        <v>7588.7132171395351</v>
      </c>
      <c r="G20" s="170">
        <f>+'Distr Var Actuales'!L21-'Distr 1er sem'!L21</f>
        <v>95206.992688561091</v>
      </c>
      <c r="H20" s="170">
        <f>+'Distr Var Actuales'!N21-'Distr 1er sem'!N21</f>
        <v>-420.76987124944571</v>
      </c>
      <c r="I20" s="170">
        <f>+'Distr Var Actuales'!P21-'Distr 1er sem'!P21</f>
        <v>-11.455261998235073</v>
      </c>
      <c r="J20" s="170">
        <f>+'Distr Var Actuales'!R21-'Distr 1er sem'!R21</f>
        <v>-150.16225678715273</v>
      </c>
      <c r="K20" s="170">
        <f>+'Distr Var Actuales'!T21-'Distr 1er sem'!T21</f>
        <v>6.4329394772753403</v>
      </c>
      <c r="L20" s="220">
        <f t="shared" si="0"/>
        <v>-278494.22363576083</v>
      </c>
    </row>
    <row r="21" spans="1:12">
      <c r="A21" s="250">
        <v>26</v>
      </c>
      <c r="B21" s="219" t="s">
        <v>131</v>
      </c>
      <c r="C21" s="170">
        <f>+'Distr Var Actuales'!D22-'Distr 1er sem'!D22</f>
        <v>-33988.112878500484</v>
      </c>
      <c r="D21" s="170">
        <f>+'Distr Var Actuales'!F22-'Distr 1er sem'!F22</f>
        <v>-4603.1196329332888</v>
      </c>
      <c r="E21" s="170">
        <f>+'Distr Var Actuales'!H22-'Distr 1er sem'!H22</f>
        <v>-1807629.3107142393</v>
      </c>
      <c r="F21" s="170">
        <f>+'Distr Var Actuales'!J22-'Distr 1er sem'!J22</f>
        <v>3872.1986318172421</v>
      </c>
      <c r="G21" s="170">
        <f>+'Distr Var Actuales'!L22-'Distr 1er sem'!L22</f>
        <v>68376.211962728587</v>
      </c>
      <c r="H21" s="170">
        <f>+'Distr Var Actuales'!N22-'Distr 1er sem'!N22</f>
        <v>-2914.8673465445754</v>
      </c>
      <c r="I21" s="170">
        <f>+'Distr Var Actuales'!P22-'Distr 1er sem'!P22</f>
        <v>-79.39941547793569</v>
      </c>
      <c r="J21" s="170">
        <f>+'Distr Var Actuales'!R22-'Distr 1er sem'!R22</f>
        <v>-1040.2136481834459</v>
      </c>
      <c r="K21" s="170">
        <f>+'Distr Var Actuales'!T22-'Distr 1er sem'!T22</f>
        <v>10080.012282892814</v>
      </c>
      <c r="L21" s="220">
        <f t="shared" si="0"/>
        <v>-1767926.6007584403</v>
      </c>
    </row>
    <row r="22" spans="1:12">
      <c r="A22" s="250">
        <v>29</v>
      </c>
      <c r="B22" s="219" t="s">
        <v>10</v>
      </c>
      <c r="C22" s="170">
        <f>+'Distr Var Actuales'!D23-'Distr 1er sem'!D23</f>
        <v>141.10468858480453</v>
      </c>
      <c r="D22" s="170">
        <f>+'Distr Var Actuales'!F23-'Distr 1er sem'!F23</f>
        <v>19.155049374327064</v>
      </c>
      <c r="E22" s="170">
        <f>+'Distr Var Actuales'!H23-'Distr 1er sem'!H23</f>
        <v>318433.89192977594</v>
      </c>
      <c r="F22" s="170">
        <f>+'Distr Var Actuales'!J23-'Distr 1er sem'!J23</f>
        <v>44851.179433329962</v>
      </c>
      <c r="G22" s="170">
        <f>+'Distr Var Actuales'!L23-'Distr 1er sem'!L23</f>
        <v>544392.3050921699</v>
      </c>
      <c r="H22" s="170">
        <f>+'Distr Var Actuales'!N23-'Distr 1er sem'!N23</f>
        <v>11.637953518424183</v>
      </c>
      <c r="I22" s="170">
        <f>+'Distr Var Actuales'!P23-'Distr 1er sem'!P23</f>
        <v>0.31503978627733886</v>
      </c>
      <c r="J22" s="170">
        <f>+'Distr Var Actuales'!R23-'Distr 1er sem'!R23</f>
        <v>4.1514759415294975</v>
      </c>
      <c r="K22" s="170">
        <f>+'Distr Var Actuales'!T23-'Distr 1er sem'!T23</f>
        <v>-5266.2365844773958</v>
      </c>
      <c r="L22" s="220">
        <f t="shared" si="0"/>
        <v>902587.50407800381</v>
      </c>
    </row>
    <row r="23" spans="1:12">
      <c r="A23" s="250">
        <v>30</v>
      </c>
      <c r="B23" s="219" t="s">
        <v>132</v>
      </c>
      <c r="C23" s="170">
        <f>+'Distr Var Actuales'!D24-'Distr 1er sem'!D24</f>
        <v>-789864.49843858182</v>
      </c>
      <c r="D23" s="170">
        <f>+'Distr Var Actuales'!F24-'Distr 1er sem'!F24</f>
        <v>-106965.6043350324</v>
      </c>
      <c r="E23" s="170">
        <f>+'Distr Var Actuales'!H24-'Distr 1er sem'!H24</f>
        <v>-550998.54301269632</v>
      </c>
      <c r="F23" s="170">
        <f>+'Distr Var Actuales'!J24-'Distr 1er sem'!J24</f>
        <v>-122834.17095996952</v>
      </c>
      <c r="G23" s="170">
        <f>+'Distr Var Actuales'!L24-'Distr 1er sem'!L24</f>
        <v>-994888.92391980533</v>
      </c>
      <c r="H23" s="170">
        <f>+'Distr Var Actuales'!N24-'Distr 1er sem'!N24</f>
        <v>-67822.695351960137</v>
      </c>
      <c r="I23" s="170">
        <f>+'Distr Var Actuales'!P24-'Distr 1er sem'!P24</f>
        <v>-1847.6775873091538</v>
      </c>
      <c r="J23" s="170">
        <f>+'Distr Var Actuales'!R24-'Distr 1er sem'!R24</f>
        <v>-24203.805939581245</v>
      </c>
      <c r="K23" s="170">
        <f>+'Distr Var Actuales'!T24-'Distr 1er sem'!T24</f>
        <v>-322815.98443882726</v>
      </c>
      <c r="L23" s="220">
        <f t="shared" si="0"/>
        <v>-2982241.9039837634</v>
      </c>
    </row>
    <row r="24" spans="1:12">
      <c r="A24" s="250">
        <v>32</v>
      </c>
      <c r="B24" s="219" t="s">
        <v>11</v>
      </c>
      <c r="C24" s="170">
        <f>+'Distr Var Actuales'!D25-'Distr 1er sem'!D25</f>
        <v>-228085.72985576652</v>
      </c>
      <c r="D24" s="170">
        <f>+'Distr Var Actuales'!F25-'Distr 1er sem'!F25</f>
        <v>-30889.093833212741</v>
      </c>
      <c r="E24" s="170">
        <f>+'Distr Var Actuales'!H25-'Distr 1er sem'!H25</f>
        <v>-8363004.0513119726</v>
      </c>
      <c r="F24" s="170">
        <f>+'Distr Var Actuales'!J25-'Distr 1er sem'!J25</f>
        <v>-8821.1685774370562</v>
      </c>
      <c r="G24" s="170">
        <f>+'Distr Var Actuales'!L25-'Distr 1er sem'!L25</f>
        <v>36312.206187670818</v>
      </c>
      <c r="H24" s="170">
        <f>+'Distr Var Actuales'!N25-'Distr 1er sem'!N25</f>
        <v>-19571.044730590307</v>
      </c>
      <c r="I24" s="170">
        <f>+'Distr Var Actuales'!P25-'Distr 1er sem'!P25</f>
        <v>-533.09240996756125</v>
      </c>
      <c r="J24" s="170">
        <f>+'Distr Var Actuales'!R25-'Distr 1er sem'!R25</f>
        <v>-6984.2575944554992</v>
      </c>
      <c r="K24" s="170">
        <f>+'Distr Var Actuales'!T25-'Distr 1er sem'!T25</f>
        <v>-2018.9906231544519</v>
      </c>
      <c r="L24" s="220">
        <f t="shared" si="0"/>
        <v>-8623595.2227488849</v>
      </c>
    </row>
    <row r="25" spans="1:12">
      <c r="A25" s="250">
        <v>33</v>
      </c>
      <c r="B25" s="219" t="s">
        <v>12</v>
      </c>
      <c r="C25" s="170">
        <f>+'Distr Var Actuales'!D26-'Distr 1er sem'!D26</f>
        <v>-857440.62065935135</v>
      </c>
      <c r="D25" s="170">
        <f>+'Distr Var Actuales'!F26-'Distr 1er sem'!F26</f>
        <v>-116130.61067230254</v>
      </c>
      <c r="E25" s="170">
        <f>+'Distr Var Actuales'!H26-'Distr 1er sem'!H26</f>
        <v>-316505.515879591</v>
      </c>
      <c r="F25" s="170">
        <f>+'Distr Var Actuales'!J26-'Distr 1er sem'!J26</f>
        <v>-81854.763499155641</v>
      </c>
      <c r="G25" s="170">
        <f>+'Distr Var Actuales'!L26-'Distr 1er sem'!L26</f>
        <v>-455164.17535086535</v>
      </c>
      <c r="H25" s="170">
        <f>+'Distr Var Actuales'!N26-'Distr 1er sem'!N26</f>
        <v>-73530.131743177772</v>
      </c>
      <c r="I25" s="170">
        <f>+'Distr Var Actuales'!P26-'Distr 1er sem'!P26</f>
        <v>-2003.0450215553865</v>
      </c>
      <c r="J25" s="170">
        <f>+'Distr Var Actuales'!R26-'Distr 1er sem'!R26</f>
        <v>-26240.052377026528</v>
      </c>
      <c r="K25" s="170">
        <f>+'Distr Var Actuales'!T26-'Distr 1er sem'!T26</f>
        <v>-143356.54258415103</v>
      </c>
      <c r="L25" s="220">
        <f t="shared" si="0"/>
        <v>-2072225.4577871766</v>
      </c>
    </row>
    <row r="26" spans="1:12">
      <c r="A26" s="250">
        <v>34</v>
      </c>
      <c r="B26" s="219" t="s">
        <v>133</v>
      </c>
      <c r="C26" s="170">
        <f>+'Distr Var Actuales'!D27-'Distr 1er sem'!D27</f>
        <v>-54928.011026442051</v>
      </c>
      <c r="D26" s="170">
        <f>+'Distr Var Actuales'!F27-'Distr 1er sem'!F27</f>
        <v>-7438.5044569019228</v>
      </c>
      <c r="E26" s="170">
        <f>+'Distr Var Actuales'!H27-'Distr 1er sem'!H27</f>
        <v>-655449.04863251699</v>
      </c>
      <c r="F26" s="170">
        <f>+'Distr Var Actuales'!J27-'Distr 1er sem'!J27</f>
        <v>11172.673597527551</v>
      </c>
      <c r="G26" s="170">
        <f>+'Distr Var Actuales'!L27-'Distr 1er sem'!L27</f>
        <v>170147.36389311263</v>
      </c>
      <c r="H26" s="170">
        <f>+'Distr Var Actuales'!N27-'Distr 1er sem'!N27</f>
        <v>-4716.3148872095626</v>
      </c>
      <c r="I26" s="170">
        <f>+'Distr Var Actuales'!P27-'Distr 1er sem'!P27</f>
        <v>-128.48684443996171</v>
      </c>
      <c r="J26" s="170">
        <f>+'Distr Var Actuales'!R27-'Distr 1er sem'!R27</f>
        <v>-1683.1072420475539</v>
      </c>
      <c r="K26" s="170">
        <f>+'Distr Var Actuales'!T27-'Distr 1er sem'!T27</f>
        <v>15236.957702400978</v>
      </c>
      <c r="L26" s="220">
        <f t="shared" si="0"/>
        <v>-527786.47789651691</v>
      </c>
    </row>
    <row r="27" spans="1:12">
      <c r="A27" s="250">
        <v>35</v>
      </c>
      <c r="B27" s="219" t="s">
        <v>13</v>
      </c>
      <c r="C27" s="170">
        <f>+'Distr Var Actuales'!D28-'Distr 1er sem'!D28</f>
        <v>190.19403562229127</v>
      </c>
      <c r="D27" s="170">
        <f>+'Distr Var Actuales'!F28-'Distr 1er sem'!F28</f>
        <v>25.778286172659136</v>
      </c>
      <c r="E27" s="170">
        <f>+'Distr Var Actuales'!H28-'Distr 1er sem'!H28</f>
        <v>310434.00189507101</v>
      </c>
      <c r="F27" s="170">
        <f>+'Distr Var Actuales'!J28-'Distr 1er sem'!J28</f>
        <v>1395.728570703679</v>
      </c>
      <c r="G27" s="170">
        <f>+'Distr Var Actuales'!L28-'Distr 1er sem'!L28</f>
        <v>16822.896746908722</v>
      </c>
      <c r="H27" s="170">
        <f>+'Distr Var Actuales'!N28-'Distr 1er sem'!N28</f>
        <v>16.098036860494176</v>
      </c>
      <c r="I27" s="170">
        <f>+'Distr Var Actuales'!P28-'Distr 1er sem'!P28</f>
        <v>0.44140462694122107</v>
      </c>
      <c r="J27" s="170">
        <f>+'Distr Var Actuales'!R28-'Distr 1er sem'!R28</f>
        <v>5.7418685776356142</v>
      </c>
      <c r="K27" s="170">
        <f>+'Distr Var Actuales'!T28-'Distr 1er sem'!T28</f>
        <v>932.76572996323921</v>
      </c>
      <c r="L27" s="220">
        <f t="shared" si="0"/>
        <v>329823.64657450671</v>
      </c>
    </row>
    <row r="28" spans="1:12">
      <c r="A28" s="250">
        <v>61</v>
      </c>
      <c r="B28" s="219" t="s">
        <v>14</v>
      </c>
      <c r="C28" s="170">
        <f>+'Distr Var Actuales'!D29-'Distr 1er sem'!D29</f>
        <v>789.16366293653846</v>
      </c>
      <c r="D28" s="170">
        <f>+'Distr Var Actuales'!F29-'Distr 1er sem'!F29</f>
        <v>106.88587538013235</v>
      </c>
      <c r="E28" s="170">
        <f>+'Distr Var Actuales'!H29-'Distr 1er sem'!H29</f>
        <v>569974.45326302527</v>
      </c>
      <c r="F28" s="170">
        <f>+'Distr Var Actuales'!J29-'Distr 1er sem'!J29</f>
        <v>14489.048011465813</v>
      </c>
      <c r="G28" s="170">
        <f>+'Distr Var Actuales'!L29-'Distr 1er sem'!L29</f>
        <v>175397.43244831671</v>
      </c>
      <c r="H28" s="170">
        <f>+'Distr Var Actuales'!N29-'Distr 1er sem'!N29</f>
        <v>67.644511972437613</v>
      </c>
      <c r="I28" s="170">
        <f>+'Distr Var Actuales'!P29-'Distr 1er sem'!P29</f>
        <v>1.845369146525627</v>
      </c>
      <c r="J28" s="170">
        <f>+'Distr Var Actuales'!R29-'Distr 1er sem'!R29</f>
        <v>24.142405646125553</v>
      </c>
      <c r="K28" s="170">
        <f>+'Distr Var Actuales'!T29-'Distr 1er sem'!T29</f>
        <v>523.08534520507374</v>
      </c>
      <c r="L28" s="220">
        <f t="shared" si="0"/>
        <v>761373.70089309465</v>
      </c>
    </row>
    <row r="29" spans="1:12">
      <c r="A29" s="250">
        <v>36</v>
      </c>
      <c r="B29" s="219" t="s">
        <v>15</v>
      </c>
      <c r="C29" s="170">
        <f>+'Distr Var Actuales'!D30-'Distr 1er sem'!D30</f>
        <v>39989.097723972052</v>
      </c>
      <c r="D29" s="170">
        <f>+'Distr Var Actuales'!F30-'Distr 1er sem'!F30</f>
        <v>5416.2679508584552</v>
      </c>
      <c r="E29" s="170">
        <f>+'Distr Var Actuales'!H30-'Distr 1er sem'!H30</f>
        <v>51644.64244059613</v>
      </c>
      <c r="F29" s="170">
        <f>+'Distr Var Actuales'!J30-'Distr 1er sem'!J30</f>
        <v>-20762.264180377591</v>
      </c>
      <c r="G29" s="170">
        <f>+'Distr Var Actuales'!L30-'Distr 1er sem'!L30</f>
        <v>-277241.21673438395</v>
      </c>
      <c r="H29" s="170">
        <f>+'Distr Var Actuales'!N30-'Distr 1er sem'!N30</f>
        <v>3423.337073097704</v>
      </c>
      <c r="I29" s="170">
        <f>+'Distr Var Actuales'!P30-'Distr 1er sem'!P30</f>
        <v>93.209961509899586</v>
      </c>
      <c r="J29" s="170">
        <f>+'Distr Var Actuales'!R30-'Distr 1er sem'!R30</f>
        <v>1221.6560106324032</v>
      </c>
      <c r="K29" s="170">
        <f>+'Distr Var Actuales'!T30-'Distr 1er sem'!T30</f>
        <v>170488.9107260108</v>
      </c>
      <c r="L29" s="220">
        <f t="shared" si="0"/>
        <v>-25726.359028084087</v>
      </c>
    </row>
    <row r="30" spans="1:12">
      <c r="A30" s="250">
        <v>28</v>
      </c>
      <c r="B30" s="219" t="s">
        <v>16</v>
      </c>
      <c r="C30" s="170">
        <f>+'Distr Var Actuales'!D31-'Distr 1er sem'!D31</f>
        <v>10785185.252168715</v>
      </c>
      <c r="D30" s="170">
        <f>+'Distr Var Actuales'!F31-'Distr 1er sem'!F31</f>
        <v>1460769.9807938561</v>
      </c>
      <c r="E30" s="170">
        <f>+'Distr Var Actuales'!H31-'Distr 1er sem'!H31</f>
        <v>2387090.5476756562</v>
      </c>
      <c r="F30" s="170">
        <f>+'Distr Var Actuales'!J31-'Distr 1er sem'!J31</f>
        <v>532048.5681575723</v>
      </c>
      <c r="G30" s="170">
        <f>+'Distr Var Actuales'!L31-'Distr 1er sem'!L31</f>
        <v>-326586.07274411805</v>
      </c>
      <c r="H30" s="170">
        <f>+'Distr Var Actuales'!N31-'Distr 1er sem'!N31</f>
        <v>923900.59665441327</v>
      </c>
      <c r="I30" s="170">
        <f>+'Distr Var Actuales'!P31-'Distr 1er sem'!P31</f>
        <v>25160.050283171004</v>
      </c>
      <c r="J30" s="170">
        <f>+'Distr Var Actuales'!R31-'Distr 1er sem'!R31</f>
        <v>329703.58504565619</v>
      </c>
      <c r="K30" s="170">
        <f>+'Distr Var Actuales'!T31-'Distr 1er sem'!T31</f>
        <v>-57149.902063494548</v>
      </c>
      <c r="L30" s="220">
        <f t="shared" si="0"/>
        <v>16060122.605971428</v>
      </c>
    </row>
    <row r="31" spans="1:12">
      <c r="A31" s="250">
        <v>37</v>
      </c>
      <c r="B31" s="219" t="s">
        <v>134</v>
      </c>
      <c r="C31" s="170">
        <f>+'Distr Var Actuales'!D32-'Distr 1er sem'!D32</f>
        <v>-3073.9955515954643</v>
      </c>
      <c r="D31" s="170">
        <f>+'Distr Var Actuales'!F32-'Distr 1er sem'!F32</f>
        <v>-416.28393093356863</v>
      </c>
      <c r="E31" s="170">
        <f>+'Distr Var Actuales'!H32-'Distr 1er sem'!H32</f>
        <v>-116451.41975147021</v>
      </c>
      <c r="F31" s="170">
        <f>+'Distr Var Actuales'!J32-'Distr 1er sem'!J32</f>
        <v>6166.7992369380081</v>
      </c>
      <c r="G31" s="170">
        <f>+'Distr Var Actuales'!L32-'Distr 1er sem'!L32</f>
        <v>76795.194495186559</v>
      </c>
      <c r="H31" s="170">
        <f>+'Distr Var Actuales'!N32-'Distr 1er sem'!N32</f>
        <v>-263.91254438145552</v>
      </c>
      <c r="I31" s="170">
        <f>+'Distr Var Actuales'!P32-'Distr 1er sem'!P32</f>
        <v>-7.1883726095038583</v>
      </c>
      <c r="J31" s="170">
        <f>+'Distr Var Actuales'!R32-'Distr 1er sem'!R32</f>
        <v>-94.181692962942179</v>
      </c>
      <c r="K31" s="170">
        <f>+'Distr Var Actuales'!T32-'Distr 1er sem'!T32</f>
        <v>199.06453536987692</v>
      </c>
      <c r="L31" s="220">
        <f t="shared" si="0"/>
        <v>-37145.923576458699</v>
      </c>
    </row>
    <row r="32" spans="1:12">
      <c r="A32" s="250">
        <v>39</v>
      </c>
      <c r="B32" s="219" t="s">
        <v>17</v>
      </c>
      <c r="C32" s="170">
        <f>+'Distr Var Actuales'!D33-'Distr 1er sem'!D33</f>
        <v>-68.449542673304677</v>
      </c>
      <c r="D32" s="170">
        <f>+'Distr Var Actuales'!F33-'Distr 1er sem'!F33</f>
        <v>-9.2356316614896059</v>
      </c>
      <c r="E32" s="170">
        <f>+'Distr Var Actuales'!H33-'Distr 1er sem'!H33</f>
        <v>366884.72650416242</v>
      </c>
      <c r="F32" s="170">
        <f>+'Distr Var Actuales'!J33-'Distr 1er sem'!J33</f>
        <v>9954.142190020415</v>
      </c>
      <c r="G32" s="170">
        <f>+'Distr Var Actuales'!L33-'Distr 1er sem'!L33</f>
        <v>120882.09285097069</v>
      </c>
      <c r="H32" s="170">
        <f>+'Distr Var Actuales'!N33-'Distr 1er sem'!N33</f>
        <v>-6.2207813840359449</v>
      </c>
      <c r="I32" s="170">
        <f>+'Distr Var Actuales'!P33-'Distr 1er sem'!P33</f>
        <v>-0.17662840489356313</v>
      </c>
      <c r="J32" s="170">
        <f>+'Distr Var Actuales'!R33-'Distr 1er sem'!R33</f>
        <v>-2.2171249703969806</v>
      </c>
      <c r="K32" s="170">
        <f>+'Distr Var Actuales'!T33-'Distr 1er sem'!T33</f>
        <v>-604.66802136244951</v>
      </c>
      <c r="L32" s="220">
        <f t="shared" si="0"/>
        <v>497029.99381469697</v>
      </c>
    </row>
    <row r="33" spans="1:12">
      <c r="A33" s="250">
        <v>38</v>
      </c>
      <c r="B33" s="219" t="s">
        <v>18</v>
      </c>
      <c r="C33" s="170">
        <f>+'Distr Var Actuales'!D34-'Distr 1er sem'!D34</f>
        <v>-13373.316691126674</v>
      </c>
      <c r="D33" s="170">
        <f>+'Distr Var Actuales'!F34-'Distr 1er sem'!F34</f>
        <v>-1811.0897392455954</v>
      </c>
      <c r="E33" s="170">
        <f>+'Distr Var Actuales'!H34-'Distr 1er sem'!H34</f>
        <v>-790156.57277162326</v>
      </c>
      <c r="F33" s="170">
        <f>+'Distr Var Actuales'!J34-'Distr 1er sem'!J34</f>
        <v>3449.0790390350739</v>
      </c>
      <c r="G33" s="170">
        <f>+'Distr Var Actuales'!L34-'Distr 1er sem'!L34</f>
        <v>50276.880581398553</v>
      </c>
      <c r="H33" s="170">
        <f>+'Distr Var Actuales'!N34-'Distr 1er sem'!N34</f>
        <v>-1147.8213977161213</v>
      </c>
      <c r="I33" s="170">
        <f>+'Distr Var Actuales'!P34-'Distr 1er sem'!P34</f>
        <v>-31.268136791535653</v>
      </c>
      <c r="J33" s="170">
        <f>+'Distr Var Actuales'!R34-'Distr 1er sem'!R34</f>
        <v>-409.6188008050085</v>
      </c>
      <c r="K33" s="170">
        <f>+'Distr Var Actuales'!T34-'Distr 1er sem'!T34</f>
        <v>-366.02279320997877</v>
      </c>
      <c r="L33" s="220">
        <f t="shared" si="0"/>
        <v>-753569.75071008469</v>
      </c>
    </row>
    <row r="34" spans="1:12">
      <c r="A34" s="250">
        <v>40</v>
      </c>
      <c r="B34" s="219" t="s">
        <v>19</v>
      </c>
      <c r="C34" s="170">
        <f>+'Distr Var Actuales'!D35-'Distr 1er sem'!D35</f>
        <v>-7069.9287460576743</v>
      </c>
      <c r="D34" s="170">
        <f>+'Distr Var Actuales'!F35-'Distr 1er sem'!F35</f>
        <v>-957.4298624410294</v>
      </c>
      <c r="E34" s="170">
        <f>+'Distr Var Actuales'!H35-'Distr 1er sem'!H35</f>
        <v>-154033.38442795584</v>
      </c>
      <c r="F34" s="170">
        <f>+'Distr Var Actuales'!J35-'Distr 1er sem'!J35</f>
        <v>6901.1080146312597</v>
      </c>
      <c r="G34" s="170">
        <f>+'Distr Var Actuales'!L35-'Distr 1er sem'!L35</f>
        <v>88220.398135690601</v>
      </c>
      <c r="H34" s="170">
        <f>+'Distr Var Actuales'!N35-'Distr 1er sem'!N35</f>
        <v>-607.04306692845421</v>
      </c>
      <c r="I34" s="170">
        <f>+'Distr Var Actuales'!P35-'Distr 1er sem'!P35</f>
        <v>-16.534983680365258</v>
      </c>
      <c r="J34" s="170">
        <f>+'Distr Var Actuales'!R35-'Distr 1er sem'!R35</f>
        <v>-216.63414708446362</v>
      </c>
      <c r="K34" s="170">
        <f>+'Distr Var Actuales'!T35-'Distr 1er sem'!T35</f>
        <v>-12109.215889553245</v>
      </c>
      <c r="L34" s="220">
        <f t="shared" si="0"/>
        <v>-79888.664973379215</v>
      </c>
    </row>
    <row r="35" spans="1:12">
      <c r="A35" s="250">
        <v>41</v>
      </c>
      <c r="B35" s="219" t="s">
        <v>20</v>
      </c>
      <c r="C35" s="170">
        <f>+'Distr Var Actuales'!D36-'Distr 1er sem'!D36</f>
        <v>-1158.5361705143005</v>
      </c>
      <c r="D35" s="170">
        <f>+'Distr Var Actuales'!F36-'Distr 1er sem'!F36</f>
        <v>-156.88594489591196</v>
      </c>
      <c r="E35" s="170">
        <f>+'Distr Var Actuales'!H36-'Distr 1er sem'!H36</f>
        <v>-385146.5902252025</v>
      </c>
      <c r="F35" s="170">
        <f>+'Distr Var Actuales'!J36-'Distr 1er sem'!J36</f>
        <v>6060.1299181476352</v>
      </c>
      <c r="G35" s="170">
        <f>+'Distr Var Actuales'!L36-'Distr 1er sem'!L36</f>
        <v>74296.735939267324</v>
      </c>
      <c r="H35" s="170">
        <f>+'Distr Var Actuales'!N36-'Distr 1er sem'!N36</f>
        <v>-99.458506765891798</v>
      </c>
      <c r="I35" s="170">
        <f>+'Distr Var Actuales'!P36-'Distr 1er sem'!P36</f>
        <v>-2.7020160111496807</v>
      </c>
      <c r="J35" s="170">
        <f>+'Distr Var Actuales'!R36-'Distr 1er sem'!R36</f>
        <v>-35.489829262747662</v>
      </c>
      <c r="K35" s="170">
        <f>+'Distr Var Actuales'!T36-'Distr 1er sem'!T36</f>
        <v>270.26284006667811</v>
      </c>
      <c r="L35" s="220">
        <f t="shared" si="0"/>
        <v>-305972.53399517084</v>
      </c>
    </row>
    <row r="36" spans="1:12">
      <c r="A36" s="250">
        <v>42</v>
      </c>
      <c r="B36" s="219" t="s">
        <v>135</v>
      </c>
      <c r="C36" s="170">
        <f>+'Distr Var Actuales'!D37-'Distr 1er sem'!D37</f>
        <v>-673574.17175510526</v>
      </c>
      <c r="D36" s="170">
        <f>+'Distr Var Actuales'!F37-'Distr 1er sem'!F37</f>
        <v>-91216.117682978511</v>
      </c>
      <c r="E36" s="170">
        <f>+'Distr Var Actuales'!H37-'Distr 1er sem'!H37</f>
        <v>-285819.39048466785</v>
      </c>
      <c r="F36" s="170">
        <f>+'Distr Var Actuales'!J37-'Distr 1er sem'!J37</f>
        <v>-149955.99397314992</v>
      </c>
      <c r="G36" s="170">
        <f>+'Distr Var Actuales'!L37-'Distr 1er sem'!L37</f>
        <v>-1397300.3127931291</v>
      </c>
      <c r="H36" s="170">
        <f>+'Distr Var Actuales'!N37-'Distr 1er sem'!N37</f>
        <v>-57851.52022933308</v>
      </c>
      <c r="I36" s="170">
        <f>+'Distr Var Actuales'!P37-'Distr 1er sem'!P37</f>
        <v>-1576.1060636640759</v>
      </c>
      <c r="J36" s="170">
        <f>+'Distr Var Actuales'!R37-'Distr 1er sem'!R37</f>
        <v>-20645.447810552083</v>
      </c>
      <c r="K36" s="170">
        <f>+'Distr Var Actuales'!T37-'Distr 1er sem'!T37</f>
        <v>-211227.19888967834</v>
      </c>
      <c r="L36" s="220">
        <f t="shared" si="0"/>
        <v>-2889166.2596822581</v>
      </c>
    </row>
    <row r="37" spans="1:12">
      <c r="A37" s="250">
        <v>43</v>
      </c>
      <c r="B37" s="219" t="s">
        <v>21</v>
      </c>
      <c r="C37" s="170">
        <f>+'Distr Var Actuales'!D38-'Distr 1er sem'!D38</f>
        <v>82523.910115722567</v>
      </c>
      <c r="D37" s="170">
        <f>+'Distr Var Actuales'!F38-'Distr 1er sem'!F38</f>
        <v>11176.283532264177</v>
      </c>
      <c r="E37" s="170">
        <f>+'Distr Var Actuales'!H38-'Distr 1er sem'!H38</f>
        <v>3150236.278885819</v>
      </c>
      <c r="F37" s="170">
        <f>+'Distr Var Actuales'!J38-'Distr 1er sem'!J38</f>
        <v>9256.8257298828103</v>
      </c>
      <c r="G37" s="170">
        <f>+'Distr Var Actuales'!L38-'Distr 1er sem'!L38</f>
        <v>60471.480205777916</v>
      </c>
      <c r="H37" s="170">
        <f>+'Distr Var Actuales'!N38-'Distr 1er sem'!N38</f>
        <v>7077.6950337977614</v>
      </c>
      <c r="I37" s="170">
        <f>+'Distr Var Actuales'!P38-'Distr 1er sem'!P38</f>
        <v>192.77414933804539</v>
      </c>
      <c r="J37" s="170">
        <f>+'Distr Var Actuales'!R38-'Distr 1er sem'!R38</f>
        <v>2525.7825361004507</v>
      </c>
      <c r="K37" s="170">
        <f>+'Distr Var Actuales'!T38-'Distr 1er sem'!T38</f>
        <v>-28628.486643025586</v>
      </c>
      <c r="L37" s="220">
        <f t="shared" si="0"/>
        <v>3294832.5435456778</v>
      </c>
    </row>
    <row r="38" spans="1:12">
      <c r="A38" s="250">
        <v>44</v>
      </c>
      <c r="B38" s="219" t="s">
        <v>22</v>
      </c>
      <c r="C38" s="170">
        <f>+'Distr Var Actuales'!D39-'Distr 1er sem'!D39</f>
        <v>-144730.87413112819</v>
      </c>
      <c r="D38" s="170">
        <f>+'Distr Var Actuales'!F39-'Distr 1er sem'!F39</f>
        <v>-19599.385164834559</v>
      </c>
      <c r="E38" s="170">
        <f>+'Distr Var Actuales'!H39-'Distr 1er sem'!H39</f>
        <v>-472723.80755210062</v>
      </c>
      <c r="F38" s="170">
        <f>+'Distr Var Actuales'!J39-'Distr 1er sem'!J39</f>
        <v>33130.358253232203</v>
      </c>
      <c r="G38" s="170">
        <f>+'Distr Var Actuales'!L39-'Distr 1er sem'!L39</f>
        <v>493141.88923608046</v>
      </c>
      <c r="H38" s="170">
        <f>+'Distr Var Actuales'!N39-'Distr 1er sem'!N39</f>
        <v>-12430.655927496962</v>
      </c>
      <c r="I38" s="170">
        <f>+'Distr Var Actuales'!P39-'Distr 1er sem'!P39</f>
        <v>-338.64440261741402</v>
      </c>
      <c r="J38" s="170">
        <f>+'Distr Var Actuales'!R39-'Distr 1er sem'!R39</f>
        <v>-4436.1345022108871</v>
      </c>
      <c r="K38" s="170">
        <f>+'Distr Var Actuales'!T39-'Distr 1er sem'!T39</f>
        <v>10247.42666747293</v>
      </c>
      <c r="L38" s="220">
        <f t="shared" ref="L38:L56" si="1">SUM(C38:K38)</f>
        <v>-117739.82752360305</v>
      </c>
    </row>
    <row r="39" spans="1:12">
      <c r="A39" s="250">
        <v>46</v>
      </c>
      <c r="B39" s="219" t="s">
        <v>136</v>
      </c>
      <c r="C39" s="170">
        <f>+'Distr Var Actuales'!D40-'Distr 1er sem'!D40</f>
        <v>43603.990861270577</v>
      </c>
      <c r="D39" s="170">
        <f>+'Distr Var Actuales'!F40-'Distr 1er sem'!F40</f>
        <v>5905.3655201308429</v>
      </c>
      <c r="E39" s="170">
        <f>+'Distr Var Actuales'!H40-'Distr 1er sem'!H40</f>
        <v>1981304.1113214595</v>
      </c>
      <c r="F39" s="170">
        <f>+'Distr Var Actuales'!J40-'Distr 1er sem'!J40</f>
        <v>11992.562093525426</v>
      </c>
      <c r="G39" s="170">
        <f>+'Distr Var Actuales'!L40-'Distr 1er sem'!L40</f>
        <v>118158.0753731525</v>
      </c>
      <c r="H39" s="170">
        <f>+'Distr Var Actuales'!N40-'Distr 1er sem'!N40</f>
        <v>3739.1201601580251</v>
      </c>
      <c r="I39" s="170">
        <f>+'Distr Var Actuales'!P40-'Distr 1er sem'!P40</f>
        <v>101.84629048641364</v>
      </c>
      <c r="J39" s="170">
        <f>+'Distr Var Actuales'!R40-'Distr 1er sem'!R40</f>
        <v>1334.3575357035443</v>
      </c>
      <c r="K39" s="170">
        <f>+'Distr Var Actuales'!T40-'Distr 1er sem'!T40</f>
        <v>108836.39376541716</v>
      </c>
      <c r="L39" s="220">
        <f t="shared" si="1"/>
        <v>2274975.822921304</v>
      </c>
    </row>
    <row r="40" spans="1:12">
      <c r="A40" s="250">
        <v>49</v>
      </c>
      <c r="B40" s="219" t="s">
        <v>23</v>
      </c>
      <c r="C40" s="170">
        <f>+'Distr Var Actuales'!D41-'Distr 1er sem'!D41</f>
        <v>-1549.6564735025167</v>
      </c>
      <c r="D40" s="170">
        <f>+'Distr Var Actuales'!F41-'Distr 1er sem'!F41</f>
        <v>-209.83510401425883</v>
      </c>
      <c r="E40" s="170">
        <f>+'Distr Var Actuales'!H41-'Distr 1er sem'!H41</f>
        <v>330889.75565777952</v>
      </c>
      <c r="F40" s="170">
        <f>+'Distr Var Actuales'!J41-'Distr 1er sem'!J41</f>
        <v>17874.125923615939</v>
      </c>
      <c r="G40" s="170">
        <f>+'Distr Var Actuales'!L41-'Distr 1er sem'!L41</f>
        <v>217960.49183467368</v>
      </c>
      <c r="H40" s="170">
        <f>+'Distr Var Actuales'!N41-'Distr 1er sem'!N41</f>
        <v>-133.24799080303637</v>
      </c>
      <c r="I40" s="170">
        <f>+'Distr Var Actuales'!P41-'Distr 1er sem'!P41</f>
        <v>-3.63376381197304</v>
      </c>
      <c r="J40" s="170">
        <f>+'Distr Var Actuales'!R41-'Distr 1er sem'!R41</f>
        <v>-47.553592733693222</v>
      </c>
      <c r="K40" s="170">
        <f>+'Distr Var Actuales'!T41-'Distr 1er sem'!T41</f>
        <v>366.56558610437514</v>
      </c>
      <c r="L40" s="220">
        <f t="shared" si="1"/>
        <v>565147.01207730803</v>
      </c>
    </row>
    <row r="41" spans="1:12">
      <c r="A41" s="250">
        <v>48</v>
      </c>
      <c r="B41" s="219" t="s">
        <v>24</v>
      </c>
      <c r="C41" s="170">
        <f>+'Distr Var Actuales'!D42-'Distr 1er sem'!D42</f>
        <v>-440.97096610441804</v>
      </c>
      <c r="D41" s="170">
        <f>+'Distr Var Actuales'!F42-'Distr 1er sem'!F42</f>
        <v>-59.719263964798301</v>
      </c>
      <c r="E41" s="170">
        <f>+'Distr Var Actuales'!H42-'Distr 1er sem'!H42</f>
        <v>-1310289.8149959703</v>
      </c>
      <c r="F41" s="170">
        <f>+'Distr Var Actuales'!J42-'Distr 1er sem'!J42</f>
        <v>6382.2723950061481</v>
      </c>
      <c r="G41" s="170">
        <f>+'Distr Var Actuales'!L42-'Distr 1er sem'!L42</f>
        <v>77756.417206953978</v>
      </c>
      <c r="H41" s="170">
        <f>+'Distr Var Actuales'!N42-'Distr 1er sem'!N42</f>
        <v>-37.843411489622667</v>
      </c>
      <c r="I41" s="170">
        <f>+'Distr Var Actuales'!P42-'Distr 1er sem'!P42</f>
        <v>-1.0311303881608183</v>
      </c>
      <c r="J41" s="170">
        <f>+'Distr Var Actuales'!R42-'Distr 1er sem'!R42</f>
        <v>-13.502660099242348</v>
      </c>
      <c r="K41" s="170">
        <f>+'Distr Var Actuales'!T42-'Distr 1er sem'!T42</f>
        <v>30.298684869073639</v>
      </c>
      <c r="L41" s="220">
        <f t="shared" si="1"/>
        <v>-1226673.8941411874</v>
      </c>
    </row>
    <row r="42" spans="1:12">
      <c r="A42" s="250">
        <v>47</v>
      </c>
      <c r="B42" s="219" t="s">
        <v>25</v>
      </c>
      <c r="C42" s="170">
        <f>+'Distr Var Actuales'!D43-'Distr 1er sem'!D43</f>
        <v>-10533.461737975478</v>
      </c>
      <c r="D42" s="170">
        <f>+'Distr Var Actuales'!F43-'Distr 1er sem'!F43</f>
        <v>-1426.50702323718</v>
      </c>
      <c r="E42" s="170">
        <f>+'Distr Var Actuales'!H43-'Distr 1er sem'!H43</f>
        <v>-123102.86819817708</v>
      </c>
      <c r="F42" s="170">
        <f>+'Distr Var Actuales'!J43-'Distr 1er sem'!J43</f>
        <v>9384.3325514119351</v>
      </c>
      <c r="G42" s="170">
        <f>+'Distr Var Actuales'!L43-'Distr 1er sem'!L43</f>
        <v>120544.86666635587</v>
      </c>
      <c r="H42" s="170">
        <f>+'Distr Var Actuales'!N43-'Distr 1er sem'!N43</f>
        <v>-904.05426915327553</v>
      </c>
      <c r="I42" s="170">
        <f>+'Distr Var Actuales'!P43-'Distr 1er sem'!P43</f>
        <v>-24.621190147532616</v>
      </c>
      <c r="J42" s="170">
        <f>+'Distr Var Actuales'!R43-'Distr 1er sem'!R43</f>
        <v>-322.63342042875593</v>
      </c>
      <c r="K42" s="170">
        <f>+'Distr Var Actuales'!T43-'Distr 1er sem'!T43</f>
        <v>-7316.4953845523833</v>
      </c>
      <c r="L42" s="220">
        <f t="shared" si="1"/>
        <v>-13701.44200590388</v>
      </c>
    </row>
    <row r="43" spans="1:12">
      <c r="A43" s="250">
        <v>45</v>
      </c>
      <c r="B43" s="219" t="s">
        <v>26</v>
      </c>
      <c r="C43" s="170">
        <f>+'Distr Var Actuales'!D44-'Distr 1er sem'!D44</f>
        <v>-246709.99470704049</v>
      </c>
      <c r="D43" s="170">
        <f>+'Distr Var Actuales'!F44-'Distr 1er sem'!F44</f>
        <v>-33410.242202861235</v>
      </c>
      <c r="E43" s="170">
        <f>+'Distr Var Actuales'!H44-'Distr 1er sem'!H44</f>
        <v>-627115.37240811903</v>
      </c>
      <c r="F43" s="170">
        <f>+'Distr Var Actuales'!J44-'Distr 1er sem'!J44</f>
        <v>13843.458089227322</v>
      </c>
      <c r="G43" s="170">
        <f>+'Distr Var Actuales'!L44-'Distr 1er sem'!L44</f>
        <v>323079.94245000696</v>
      </c>
      <c r="H43" s="170">
        <f>+'Distr Var Actuales'!N44-'Distr 1er sem'!N44</f>
        <v>-21182.626880400348</v>
      </c>
      <c r="I43" s="170">
        <f>+'Distr Var Actuales'!P44-'Distr 1er sem'!P44</f>
        <v>-577.06352331629023</v>
      </c>
      <c r="J43" s="170">
        <f>+'Distr Var Actuales'!R44-'Distr 1er sem'!R44</f>
        <v>-7559.4193862287793</v>
      </c>
      <c r="K43" s="170">
        <f>+'Distr Var Actuales'!T44-'Distr 1er sem'!T44</f>
        <v>-28458.379353255499</v>
      </c>
      <c r="L43" s="220">
        <f t="shared" si="1"/>
        <v>-628089.69792198739</v>
      </c>
    </row>
    <row r="44" spans="1:12">
      <c r="A44" s="250">
        <v>70</v>
      </c>
      <c r="B44" s="219" t="s">
        <v>27</v>
      </c>
      <c r="C44" s="170">
        <f>+'Distr Var Actuales'!D45-'Distr 1er sem'!D45</f>
        <v>-8493078.6978609562</v>
      </c>
      <c r="D44" s="170">
        <f>+'Distr Var Actuales'!F45-'Distr 1er sem'!F45</f>
        <v>-1150050.4036504626</v>
      </c>
      <c r="E44" s="170">
        <f>+'Distr Var Actuales'!H45-'Distr 1er sem'!H45</f>
        <v>0</v>
      </c>
      <c r="F44" s="170">
        <f>+'Distr Var Actuales'!J45-'Distr 1er sem'!J45</f>
        <v>-457384.76426295936</v>
      </c>
      <c r="G44" s="170">
        <f>+'Distr Var Actuales'!L45-'Distr 1er sem'!L45</f>
        <v>-224445.2353746295</v>
      </c>
      <c r="H44" s="170">
        <f>+'Distr Var Actuales'!N45-'Distr 1er sem'!N45</f>
        <v>-730584.22035006434</v>
      </c>
      <c r="I44" s="170">
        <f>+'Distr Var Actuales'!P45-'Distr 1er sem'!P45</f>
        <v>-19910.299964004196</v>
      </c>
      <c r="J44" s="170">
        <f>+'Distr Var Actuales'!R45-'Distr 1er sem'!R45</f>
        <v>-260726.35326303169</v>
      </c>
      <c r="K44" s="170">
        <f>+'Distr Var Actuales'!T45-'Distr 1er sem'!T45</f>
        <v>-408105.21883212775</v>
      </c>
      <c r="L44" s="220">
        <f t="shared" si="1"/>
        <v>-11744285.193558235</v>
      </c>
    </row>
    <row r="45" spans="1:12">
      <c r="A45" s="250">
        <v>50</v>
      </c>
      <c r="B45" s="219" t="s">
        <v>137</v>
      </c>
      <c r="C45" s="170">
        <f>+'Distr Var Actuales'!D46-'Distr 1er sem'!D46</f>
        <v>-1824.8960218373686</v>
      </c>
      <c r="D45" s="170">
        <f>+'Distr Var Actuales'!F46-'Distr 1er sem'!F46</f>
        <v>-247.12470869591925</v>
      </c>
      <c r="E45" s="170">
        <f>+'Distr Var Actuales'!H46-'Distr 1er sem'!H46</f>
        <v>214096.04887911305</v>
      </c>
      <c r="F45" s="170">
        <f>+'Distr Var Actuales'!J46-'Distr 1er sem'!J46</f>
        <v>-2330.4730260192882</v>
      </c>
      <c r="G45" s="170">
        <f>+'Distr Var Actuales'!L46-'Distr 1er sem'!L46</f>
        <v>-27145.702219254861</v>
      </c>
      <c r="H45" s="170">
        <f>+'Distr Var Actuales'!N46-'Distr 1er sem'!N46</f>
        <v>-156.82335913920542</v>
      </c>
      <c r="I45" s="170">
        <f>+'Distr Var Actuales'!P46-'Distr 1er sem'!P46</f>
        <v>-4.2761729501398804</v>
      </c>
      <c r="J45" s="170">
        <f>+'Distr Var Actuales'!R46-'Distr 1er sem'!R46</f>
        <v>-55.967957991888397</v>
      </c>
      <c r="K45" s="170">
        <f>+'Distr Var Actuales'!T46-'Distr 1er sem'!T46</f>
        <v>2256.9997808014668</v>
      </c>
      <c r="L45" s="220">
        <f t="shared" si="1"/>
        <v>184587.78519402584</v>
      </c>
    </row>
    <row r="46" spans="1:12">
      <c r="A46" s="250">
        <v>51</v>
      </c>
      <c r="B46" s="219" t="s">
        <v>138</v>
      </c>
      <c r="C46" s="170">
        <f>+'Distr Var Actuales'!D47-'Distr 1er sem'!D47</f>
        <v>-31570.100425511599</v>
      </c>
      <c r="D46" s="170">
        <f>+'Distr Var Actuales'!F47-'Distr 1er sem'!F47</f>
        <v>-4274.5653897933662</v>
      </c>
      <c r="E46" s="170">
        <f>+'Distr Var Actuales'!H47-'Distr 1er sem'!H47</f>
        <v>-189791.34364396054</v>
      </c>
      <c r="F46" s="170">
        <f>+'Distr Var Actuales'!J47-'Distr 1er sem'!J47</f>
        <v>-41739.417778025381</v>
      </c>
      <c r="G46" s="170">
        <f>+'Distr Var Actuales'!L47-'Distr 1er sem'!L47</f>
        <v>-486930.99538445193</v>
      </c>
      <c r="H46" s="170">
        <f>+'Distr Var Actuales'!N47-'Distr 1er sem'!N47</f>
        <v>-2720.2368931712117</v>
      </c>
      <c r="I46" s="170">
        <f>+'Distr Var Actuales'!P47-'Distr 1er sem'!P47</f>
        <v>-74.158079170010751</v>
      </c>
      <c r="J46" s="170">
        <f>+'Distr Var Actuales'!R47-'Distr 1er sem'!R47</f>
        <v>-970.79236941877753</v>
      </c>
      <c r="K46" s="170">
        <f>+'Distr Var Actuales'!T47-'Distr 1er sem'!T47</f>
        <v>457830.08022908401</v>
      </c>
      <c r="L46" s="220">
        <f t="shared" si="1"/>
        <v>-300241.52973441884</v>
      </c>
    </row>
    <row r="47" spans="1:12">
      <c r="A47" s="250">
        <v>52</v>
      </c>
      <c r="B47" s="219" t="s">
        <v>139</v>
      </c>
      <c r="C47" s="170">
        <f>+'Distr Var Actuales'!D48-'Distr 1er sem'!D48</f>
        <v>6107.9898244813085</v>
      </c>
      <c r="D47" s="170">
        <f>+'Distr Var Actuales'!F48-'Distr 1er sem'!F48</f>
        <v>827.25366350077093</v>
      </c>
      <c r="E47" s="170">
        <f>+'Distr Var Actuales'!H48-'Distr 1er sem'!H48</f>
        <v>564831.47611777578</v>
      </c>
      <c r="F47" s="170">
        <f>+'Distr Var Actuales'!J48-'Distr 1er sem'!J48</f>
        <v>4865.610819731548</v>
      </c>
      <c r="G47" s="170">
        <f>+'Distr Var Actuales'!L48-'Distr 1er sem'!L48</f>
        <v>55222.670453032712</v>
      </c>
      <c r="H47" s="170">
        <f>+'Distr Var Actuales'!N48-'Distr 1er sem'!N48</f>
        <v>523.38345034356462</v>
      </c>
      <c r="I47" s="170">
        <f>+'Distr Var Actuales'!P48-'Distr 1er sem'!P48</f>
        <v>14.248872932912491</v>
      </c>
      <c r="J47" s="170">
        <f>+'Distr Var Actuales'!R48-'Distr 1er sem'!R48</f>
        <v>186.77703284536256</v>
      </c>
      <c r="K47" s="170">
        <f>+'Distr Var Actuales'!T48-'Distr 1er sem'!T48</f>
        <v>-22001.788160803451</v>
      </c>
      <c r="L47" s="220">
        <f t="shared" si="1"/>
        <v>610577.62207384035</v>
      </c>
    </row>
    <row r="48" spans="1:12">
      <c r="A48" s="250">
        <v>53</v>
      </c>
      <c r="B48" s="219" t="s">
        <v>28</v>
      </c>
      <c r="C48" s="170">
        <f>+'Distr Var Actuales'!D49-'Distr 1er sem'!D49</f>
        <v>-4462.3084174878895</v>
      </c>
      <c r="D48" s="170">
        <f>+'Distr Var Actuales'!F49-'Distr 1er sem'!F49</f>
        <v>-604.30468191066757</v>
      </c>
      <c r="E48" s="170">
        <f>+'Distr Var Actuales'!H49-'Distr 1er sem'!H49</f>
        <v>-806621.44866523892</v>
      </c>
      <c r="F48" s="170">
        <f>+'Distr Var Actuales'!J49-'Distr 1er sem'!J49</f>
        <v>7157.405699779687</v>
      </c>
      <c r="G48" s="170">
        <f>+'Distr Var Actuales'!L49-'Distr 1er sem'!L49</f>
        <v>89694.138911782764</v>
      </c>
      <c r="H48" s="170">
        <f>+'Distr Var Actuales'!N49-'Distr 1er sem'!N49</f>
        <v>-383.02472370560281</v>
      </c>
      <c r="I48" s="170">
        <f>+'Distr Var Actuales'!P49-'Distr 1er sem'!P49</f>
        <v>-10.433089593163459</v>
      </c>
      <c r="J48" s="170">
        <f>+'Distr Var Actuales'!R49-'Distr 1er sem'!R49</f>
        <v>-136.68970890517812</v>
      </c>
      <c r="K48" s="170">
        <f>+'Distr Var Actuales'!T49-'Distr 1er sem'!T49</f>
        <v>-711.47737961545226</v>
      </c>
      <c r="L48" s="220">
        <f t="shared" si="1"/>
        <v>-716078.14205489436</v>
      </c>
    </row>
    <row r="49" spans="1:12">
      <c r="A49" s="250">
        <v>54</v>
      </c>
      <c r="B49" s="219" t="s">
        <v>29</v>
      </c>
      <c r="C49" s="170">
        <f>+'Distr Var Actuales'!D50-'Distr 1er sem'!D50</f>
        <v>-87838.535965405405</v>
      </c>
      <c r="D49" s="170">
        <f>+'Distr Var Actuales'!F50-'Distr 1er sem'!F50</f>
        <v>-11895.230589083396</v>
      </c>
      <c r="E49" s="170">
        <f>+'Distr Var Actuales'!H50-'Distr 1er sem'!H50</f>
        <v>-62397.644940767437</v>
      </c>
      <c r="F49" s="170">
        <f>+'Distr Var Actuales'!J50-'Distr 1er sem'!J50</f>
        <v>19842.542281814152</v>
      </c>
      <c r="G49" s="170">
        <f>+'Distr Var Actuales'!L50-'Distr 1er sem'!L50</f>
        <v>296067.73357188585</v>
      </c>
      <c r="H49" s="170">
        <f>+'Distr Var Actuales'!N50-'Distr 1er sem'!N50</f>
        <v>-7543.5659276819788</v>
      </c>
      <c r="I49" s="170">
        <f>+'Distr Var Actuales'!P50-'Distr 1er sem'!P50</f>
        <v>-205.50582341122208</v>
      </c>
      <c r="J49" s="170">
        <f>+'Distr Var Actuales'!R50-'Distr 1er sem'!R50</f>
        <v>-2692.0713305838872</v>
      </c>
      <c r="K49" s="170">
        <f>+'Distr Var Actuales'!T50-'Distr 1er sem'!T50</f>
        <v>-9054.30864179731</v>
      </c>
      <c r="L49" s="220">
        <f t="shared" si="1"/>
        <v>134283.41263496937</v>
      </c>
    </row>
    <row r="50" spans="1:12">
      <c r="A50" s="250">
        <v>55</v>
      </c>
      <c r="B50" s="219" t="s">
        <v>30</v>
      </c>
      <c r="C50" s="170">
        <f>+'Distr Var Actuales'!D51-'Distr 1er sem'!D51</f>
        <v>375061.2732116133</v>
      </c>
      <c r="D50" s="170">
        <f>+'Distr Var Actuales'!F51-'Distr 1er sem'!F51</f>
        <v>50909.894797947258</v>
      </c>
      <c r="E50" s="170">
        <f>+'Distr Var Actuales'!H51-'Distr 1er sem'!H51</f>
        <v>918440.0443519</v>
      </c>
      <c r="F50" s="170">
        <f>+'Distr Var Actuales'!J51-'Distr 1er sem'!J51</f>
        <v>2819.6678936886601</v>
      </c>
      <c r="G50" s="170">
        <f>+'Distr Var Actuales'!L51-'Distr 1er sem'!L51</f>
        <v>-175090.07254894171</v>
      </c>
      <c r="H50" s="170">
        <f>+'Distr Var Actuales'!N51-'Distr 1er sem'!N51</f>
        <v>32811.662534342147</v>
      </c>
      <c r="I50" s="170">
        <f>+'Distr Var Actuales'!P51-'Distr 1er sem'!P51</f>
        <v>908.34924053016584</v>
      </c>
      <c r="J50" s="170">
        <f>+'Distr Var Actuales'!R51-'Distr 1er sem'!R51</f>
        <v>11702.773007959593</v>
      </c>
      <c r="K50" s="170">
        <f>+'Distr Var Actuales'!T51-'Distr 1er sem'!T51</f>
        <v>329149.41091471119</v>
      </c>
      <c r="L50" s="220">
        <f t="shared" si="1"/>
        <v>1546713.0034037507</v>
      </c>
    </row>
    <row r="51" spans="1:12">
      <c r="A51" s="250">
        <v>58</v>
      </c>
      <c r="B51" s="219" t="s">
        <v>140</v>
      </c>
      <c r="C51" s="170">
        <f>+'Distr Var Actuales'!D52-'Distr 1er sem'!D52</f>
        <v>-2492027.3707990646</v>
      </c>
      <c r="D51" s="170">
        <f>+'Distr Var Actuales'!F52-'Distr 1er sem'!F52</f>
        <v>-337457.83373244852</v>
      </c>
      <c r="E51" s="170">
        <f>+'Distr Var Actuales'!H52-'Distr 1er sem'!H52</f>
        <v>-245533.48710544594</v>
      </c>
      <c r="F51" s="170">
        <f>+'Distr Var Actuales'!J52-'Distr 1er sem'!J52</f>
        <v>-75357.5441190321</v>
      </c>
      <c r="G51" s="170">
        <f>+'Distr Var Actuales'!L52-'Distr 1er sem'!L52</f>
        <v>649459.84043504298</v>
      </c>
      <c r="H51" s="170">
        <f>+'Distr Var Actuales'!N52-'Distr 1er sem'!N52</f>
        <v>-214221.66837426275</v>
      </c>
      <c r="I51" s="170">
        <f>+'Distr Var Actuales'!P52-'Distr 1er sem'!P52</f>
        <v>-5837.3035660025198</v>
      </c>
      <c r="J51" s="170">
        <f>+'Distr Var Actuales'!R52-'Distr 1er sem'!R52</f>
        <v>-76449.705143623054</v>
      </c>
      <c r="K51" s="170">
        <f>+'Distr Var Actuales'!T52-'Distr 1er sem'!T52</f>
        <v>77863.131859894842</v>
      </c>
      <c r="L51" s="220">
        <f t="shared" si="1"/>
        <v>-2719561.9405449415</v>
      </c>
    </row>
    <row r="52" spans="1:12">
      <c r="A52" s="250">
        <v>31</v>
      </c>
      <c r="B52" s="219" t="s">
        <v>141</v>
      </c>
      <c r="C52" s="170">
        <f>+'Distr Var Actuales'!D53-'Distr 1er sem'!D53</f>
        <v>1347460.4432245493</v>
      </c>
      <c r="D52" s="170">
        <f>+'Distr Var Actuales'!F53-'Distr 1er sem'!F53</f>
        <v>182588.21746815741</v>
      </c>
      <c r="E52" s="170">
        <f>+'Distr Var Actuales'!H53-'Distr 1er sem'!H53</f>
        <v>310052.68247297406</v>
      </c>
      <c r="F52" s="170">
        <f>+'Distr Var Actuales'!J53-'Distr 1er sem'!J53</f>
        <v>120992.11825535446</v>
      </c>
      <c r="G52" s="170">
        <f>+'Distr Var Actuales'!L53-'Distr 1er sem'!L53</f>
        <v>613390.63326740637</v>
      </c>
      <c r="H52" s="170">
        <f>+'Distr Var Actuales'!N53-'Distr 1er sem'!N53</f>
        <v>114310.63118285686</v>
      </c>
      <c r="I52" s="170">
        <f>+'Distr Var Actuales'!P53-'Distr 1er sem'!P53</f>
        <v>3106.5342913493514</v>
      </c>
      <c r="J52" s="170">
        <f>+'Distr Var Actuales'!R53-'Distr 1er sem'!R53</f>
        <v>40790.098627751693</v>
      </c>
      <c r="K52" s="170">
        <f>+'Distr Var Actuales'!T53-'Distr 1er sem'!T53</f>
        <v>376376.46694627777</v>
      </c>
      <c r="L52" s="220">
        <f t="shared" si="1"/>
        <v>3109067.8257366773</v>
      </c>
    </row>
    <row r="53" spans="1:12">
      <c r="A53" s="250">
        <v>57</v>
      </c>
      <c r="B53" s="219" t="s">
        <v>31</v>
      </c>
      <c r="C53" s="170">
        <f>+'Distr Var Actuales'!D54-'Distr 1er sem'!D54</f>
        <v>4542690.5444323123</v>
      </c>
      <c r="D53" s="170">
        <f>+'Distr Var Actuales'!F54-'Distr 1er sem'!F54</f>
        <v>615228.03106201813</v>
      </c>
      <c r="E53" s="170">
        <f>+'Distr Var Actuales'!H54-'Distr 1er sem'!H54</f>
        <v>1495674.3636788465</v>
      </c>
      <c r="F53" s="170">
        <f>+'Distr Var Actuales'!J54-'Distr 1er sem'!J54</f>
        <v>199394.59938197955</v>
      </c>
      <c r="G53" s="170">
        <f>+'Distr Var Actuales'!L54-'Distr 1er sem'!L54</f>
        <v>-437189.59012459498</v>
      </c>
      <c r="H53" s="170">
        <f>+'Distr Var Actuales'!N54-'Distr 1er sem'!N54</f>
        <v>389508.16389295645</v>
      </c>
      <c r="I53" s="170">
        <f>+'Distr Var Actuales'!P54-'Distr 1er sem'!P54</f>
        <v>10608.234916732414</v>
      </c>
      <c r="J53" s="170">
        <f>+'Distr Var Actuales'!R54-'Distr 1er sem'!R54</f>
        <v>139001.81826027017</v>
      </c>
      <c r="K53" s="170">
        <f>+'Distr Var Actuales'!T54-'Distr 1er sem'!T54</f>
        <v>358190.9712103866</v>
      </c>
      <c r="L53" s="220">
        <f t="shared" si="1"/>
        <v>7313107.1367109073</v>
      </c>
    </row>
    <row r="54" spans="1:12">
      <c r="A54" s="250">
        <v>56</v>
      </c>
      <c r="B54" s="219" t="s">
        <v>32</v>
      </c>
      <c r="C54" s="170">
        <f>+'Distr Var Actuales'!D55-'Distr 1er sem'!D55</f>
        <v>-261694.88697244972</v>
      </c>
      <c r="D54" s="170">
        <f>+'Distr Var Actuales'!F55-'Distr 1er sem'!F55</f>
        <v>-35968.569914065301</v>
      </c>
      <c r="E54" s="170">
        <f>+'Distr Var Actuales'!H55-'Distr 1er sem'!H55</f>
        <v>6985.7646322278306</v>
      </c>
      <c r="F54" s="170">
        <f>+'Distr Var Actuales'!J55-'Distr 1er sem'!J55</f>
        <v>-31552.404083023546</v>
      </c>
      <c r="G54" s="170">
        <f>+'Distr Var Actuales'!L55-'Distr 1er sem'!L55</f>
        <v>-212707.65470591607</v>
      </c>
      <c r="H54" s="170">
        <f>+'Distr Var Actuales'!N55-'Distr 1er sem'!N55</f>
        <v>-17957.071588238236</v>
      </c>
      <c r="I54" s="170">
        <f>+'Distr Var Actuales'!P55-'Distr 1er sem'!P55</f>
        <v>-475.7192459210637</v>
      </c>
      <c r="J54" s="170">
        <f>+'Distr Var Actuales'!R55-'Distr 1er sem'!R55</f>
        <v>-6387.5878208791837</v>
      </c>
      <c r="K54" s="170">
        <f>+'Distr Var Actuales'!T55-'Distr 1er sem'!T55</f>
        <v>-474298.46937460825</v>
      </c>
      <c r="L54" s="220">
        <f t="shared" si="1"/>
        <v>-1034056.5990728736</v>
      </c>
    </row>
    <row r="55" spans="1:12">
      <c r="A55" s="250">
        <v>59</v>
      </c>
      <c r="B55" s="219" t="s">
        <v>33</v>
      </c>
      <c r="C55" s="170">
        <f>+'Distr Var Actuales'!D56-'Distr 1er sem'!D56</f>
        <v>-3029.9084302708507</v>
      </c>
      <c r="D55" s="170">
        <f>+'Distr Var Actuales'!F56-'Distr 1er sem'!F56</f>
        <v>-410.26594004849903</v>
      </c>
      <c r="E55" s="170">
        <f>+'Distr Var Actuales'!H56-'Distr 1er sem'!H56</f>
        <v>270590.79528386239</v>
      </c>
      <c r="F55" s="170">
        <f>+'Distr Var Actuales'!J56-'Distr 1er sem'!J56</f>
        <v>-2116.1832335468498</v>
      </c>
      <c r="G55" s="170">
        <f>+'Distr Var Actuales'!L56-'Distr 1er sem'!L56</f>
        <v>-23789.879312963225</v>
      </c>
      <c r="H55" s="170">
        <f>+'Distr Var Actuales'!N56-'Distr 1er sem'!N56</f>
        <v>-260.74823801137973</v>
      </c>
      <c r="I55" s="170">
        <f>+'Distr Var Actuales'!P56-'Distr 1er sem'!P56</f>
        <v>-7.0962778601970058</v>
      </c>
      <c r="J55" s="170">
        <f>+'Distr Var Actuales'!R56-'Distr 1er sem'!R56</f>
        <v>-93.053296605066862</v>
      </c>
      <c r="K55" s="170">
        <f>+'Distr Var Actuales'!T56-'Distr 1er sem'!T56</f>
        <v>18429.202618893163</v>
      </c>
      <c r="L55" s="220">
        <f t="shared" si="1"/>
        <v>259312.86317344947</v>
      </c>
    </row>
    <row r="56" spans="1:12" ht="13.5" thickBot="1">
      <c r="A56" s="250">
        <v>60</v>
      </c>
      <c r="B56" s="219" t="s">
        <v>34</v>
      </c>
      <c r="C56" s="170">
        <f>+'Distr Var Actuales'!D57-'Distr 1er sem'!D57</f>
        <v>2383.3458343818784</v>
      </c>
      <c r="D56" s="170">
        <f>+'Distr Var Actuales'!F57-'Distr 1er sem'!F57</f>
        <v>322.80638500931673</v>
      </c>
      <c r="E56" s="170">
        <f>+'Distr Var Actuales'!H57-'Distr 1er sem'!H57</f>
        <v>738656.49505890254</v>
      </c>
      <c r="F56" s="170">
        <f>+'Distr Var Actuales'!J57-'Distr 1er sem'!J57</f>
        <v>5054.7501563453698</v>
      </c>
      <c r="G56" s="170">
        <f>+'Distr Var Actuales'!L57-'Distr 1er sem'!L57</f>
        <v>59862.140598470927</v>
      </c>
      <c r="H56" s="170">
        <f>+'Distr Var Actuales'!N57-'Distr 1er sem'!N57</f>
        <v>204.02892737311777</v>
      </c>
      <c r="I56" s="170">
        <f>+'Distr Var Actuales'!P57-'Distr 1er sem'!P57</f>
        <v>5.5574314431578387</v>
      </c>
      <c r="J56" s="170">
        <f>+'Distr Var Actuales'!R57-'Distr 1er sem'!R57</f>
        <v>72.815049754630309</v>
      </c>
      <c r="K56" s="170">
        <f>+'Distr Var Actuales'!T57-'Distr 1er sem'!T57</f>
        <v>-4662.9660098921304</v>
      </c>
      <c r="L56" s="220">
        <f t="shared" si="1"/>
        <v>801898.97343178873</v>
      </c>
    </row>
    <row r="57" spans="1:12" ht="14.25" thickTop="1" thickBot="1">
      <c r="B57" s="221" t="s">
        <v>35</v>
      </c>
      <c r="C57" s="262">
        <f>TRUNC(SUM(C6:C56),0)</f>
        <v>0</v>
      </c>
      <c r="D57" s="262">
        <f t="shared" ref="D57:K57" si="2">TRUNC(SUM(D6:D56),0)</f>
        <v>0</v>
      </c>
      <c r="E57" s="262">
        <f t="shared" si="2"/>
        <v>0</v>
      </c>
      <c r="F57" s="262">
        <f t="shared" si="2"/>
        <v>0</v>
      </c>
      <c r="G57" s="262">
        <f t="shared" si="2"/>
        <v>0</v>
      </c>
      <c r="H57" s="262">
        <f t="shared" si="2"/>
        <v>0</v>
      </c>
      <c r="I57" s="262">
        <f t="shared" si="2"/>
        <v>0</v>
      </c>
      <c r="J57" s="262">
        <f t="shared" si="2"/>
        <v>0</v>
      </c>
      <c r="K57" s="262">
        <f t="shared" si="2"/>
        <v>0</v>
      </c>
      <c r="L57" s="228">
        <f>TRUNC(SUM(C57:K57),0)</f>
        <v>0</v>
      </c>
    </row>
    <row r="58" spans="1:12" ht="16.5" customHeight="1">
      <c r="B58" s="94" t="s">
        <v>241</v>
      </c>
      <c r="C58" s="173"/>
      <c r="D58" s="266"/>
      <c r="E58" s="176"/>
      <c r="F58" s="154"/>
    </row>
    <row r="59" spans="1:12">
      <c r="B59" s="99"/>
      <c r="C59" s="174"/>
    </row>
    <row r="60" spans="1:12">
      <c r="B60" s="99"/>
      <c r="C60" s="174"/>
    </row>
    <row r="61" spans="1:12" ht="16.5" customHeight="1">
      <c r="B61" s="277" t="s">
        <v>87</v>
      </c>
      <c r="C61" s="277"/>
      <c r="D61" s="277"/>
      <c r="E61" s="277"/>
      <c r="F61" s="277"/>
      <c r="G61" s="277"/>
      <c r="H61" s="277"/>
      <c r="I61" s="277"/>
      <c r="J61" s="277"/>
      <c r="K61" s="277"/>
      <c r="L61" s="277"/>
    </row>
    <row r="62" spans="1:12">
      <c r="B62" s="277" t="s">
        <v>190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</row>
    <row r="63" spans="1:12">
      <c r="B63" s="277" t="s">
        <v>219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</row>
    <row r="64" spans="1:12" ht="13.5" thickBot="1">
      <c r="B64" s="277" t="s">
        <v>225</v>
      </c>
      <c r="C64" s="277"/>
      <c r="D64" s="277"/>
      <c r="E64" s="277"/>
      <c r="F64" s="277"/>
      <c r="G64" s="277"/>
      <c r="H64" s="277"/>
      <c r="I64" s="277"/>
      <c r="J64" s="277"/>
      <c r="K64" s="277"/>
      <c r="L64" s="277"/>
    </row>
    <row r="65" spans="1:12" ht="48">
      <c r="B65" s="223" t="s">
        <v>152</v>
      </c>
      <c r="C65" s="217" t="s">
        <v>153</v>
      </c>
      <c r="D65" s="265" t="s">
        <v>154</v>
      </c>
      <c r="E65" s="218" t="s">
        <v>155</v>
      </c>
      <c r="F65" s="218" t="s">
        <v>156</v>
      </c>
      <c r="G65" s="218" t="s">
        <v>157</v>
      </c>
      <c r="H65" s="218" t="s">
        <v>158</v>
      </c>
      <c r="I65" s="218" t="s">
        <v>159</v>
      </c>
      <c r="J65" s="218" t="s">
        <v>191</v>
      </c>
      <c r="K65" s="218" t="s">
        <v>194</v>
      </c>
      <c r="L65" s="222" t="s">
        <v>151</v>
      </c>
    </row>
    <row r="66" spans="1:12">
      <c r="A66" s="250">
        <v>15</v>
      </c>
      <c r="B66" s="219" t="s">
        <v>1</v>
      </c>
      <c r="C66" s="170">
        <f>+C6/6</f>
        <v>-251.70099783145511</v>
      </c>
      <c r="D66" s="170">
        <f t="shared" ref="D66:K66" si="3">+D6/6</f>
        <v>-34.085287057018526</v>
      </c>
      <c r="E66" s="170">
        <f t="shared" si="3"/>
        <v>-120360.9906468001</v>
      </c>
      <c r="F66" s="170">
        <f t="shared" si="3"/>
        <v>508.45775336957985</v>
      </c>
      <c r="G66" s="170">
        <f t="shared" si="3"/>
        <v>6330.674539765615</v>
      </c>
      <c r="H66" s="170">
        <f t="shared" si="3"/>
        <v>-21.620544620222063</v>
      </c>
      <c r="I66" s="170">
        <f t="shared" si="3"/>
        <v>-0.5884957053240214</v>
      </c>
      <c r="J66" s="170">
        <f t="shared" si="3"/>
        <v>-7.7153937102945447</v>
      </c>
      <c r="K66" s="170">
        <f t="shared" si="3"/>
        <v>-604.9006672276995</v>
      </c>
      <c r="L66" s="220">
        <f t="shared" ref="L66:L97" si="4">SUM(C66:K66)</f>
        <v>-114442.46973981691</v>
      </c>
    </row>
    <row r="67" spans="1:12">
      <c r="A67" s="250">
        <v>11</v>
      </c>
      <c r="B67" s="219" t="s">
        <v>2</v>
      </c>
      <c r="C67" s="170">
        <f t="shared" ref="C67:K116" si="5">+C7/6</f>
        <v>-3439.1782194978246</v>
      </c>
      <c r="D67" s="170">
        <f t="shared" si="5"/>
        <v>-465.75217623147182</v>
      </c>
      <c r="E67" s="170">
        <f t="shared" si="5"/>
        <v>-142567.29212904093</v>
      </c>
      <c r="F67" s="170">
        <f t="shared" si="5"/>
        <v>923.71781125345535</v>
      </c>
      <c r="G67" s="170">
        <f t="shared" si="5"/>
        <v>13375.455938331948</v>
      </c>
      <c r="H67" s="170">
        <f t="shared" si="5"/>
        <v>-295.18377331879066</v>
      </c>
      <c r="I67" s="170">
        <f t="shared" si="5"/>
        <v>-8.0404325901448228</v>
      </c>
      <c r="J67" s="170">
        <f t="shared" si="5"/>
        <v>-105.34185669322324</v>
      </c>
      <c r="K67" s="170">
        <f t="shared" si="5"/>
        <v>78.415466810880389</v>
      </c>
      <c r="L67" s="220">
        <f t="shared" si="4"/>
        <v>-132503.19937097613</v>
      </c>
    </row>
    <row r="68" spans="1:12">
      <c r="A68" s="250">
        <v>12</v>
      </c>
      <c r="B68" s="219" t="s">
        <v>142</v>
      </c>
      <c r="C68" s="170">
        <f t="shared" si="5"/>
        <v>-361.97902493334067</v>
      </c>
      <c r="D68" s="170">
        <f t="shared" si="5"/>
        <v>-49.019681859489843</v>
      </c>
      <c r="E68" s="170">
        <f t="shared" si="5"/>
        <v>-24807.174712329288</v>
      </c>
      <c r="F68" s="170">
        <f t="shared" si="5"/>
        <v>888.67910985420656</v>
      </c>
      <c r="G68" s="170">
        <f t="shared" si="5"/>
        <v>11015.800122885586</v>
      </c>
      <c r="H68" s="170">
        <f t="shared" si="5"/>
        <v>-31.083728694803238</v>
      </c>
      <c r="I68" s="170">
        <f t="shared" si="5"/>
        <v>-0.84647568102324533</v>
      </c>
      <c r="J68" s="170">
        <f t="shared" si="5"/>
        <v>-11.092627351426927</v>
      </c>
      <c r="K68" s="170">
        <f t="shared" si="5"/>
        <v>-63.872916589831782</v>
      </c>
      <c r="L68" s="220">
        <f t="shared" si="4"/>
        <v>-13420.58993469941</v>
      </c>
    </row>
    <row r="69" spans="1:12">
      <c r="A69" s="250">
        <v>13</v>
      </c>
      <c r="B69" s="219" t="s">
        <v>3</v>
      </c>
      <c r="C69" s="170">
        <f t="shared" si="5"/>
        <v>-59468.474619276822</v>
      </c>
      <c r="D69" s="170">
        <f t="shared" si="5"/>
        <v>-8053.3539737663232</v>
      </c>
      <c r="E69" s="170">
        <f t="shared" si="5"/>
        <v>-60113.738773511723</v>
      </c>
      <c r="F69" s="170">
        <f t="shared" si="5"/>
        <v>-1615.6573734390356</v>
      </c>
      <c r="G69" s="170">
        <f t="shared" si="5"/>
        <v>17749.535729121573</v>
      </c>
      <c r="H69" s="170">
        <f t="shared" si="5"/>
        <v>-5106.6930525432881</v>
      </c>
      <c r="I69" s="170">
        <f t="shared" si="5"/>
        <v>-139.12254270463504</v>
      </c>
      <c r="J69" s="170">
        <f t="shared" si="5"/>
        <v>-1822.4209367354827</v>
      </c>
      <c r="K69" s="170">
        <f t="shared" si="5"/>
        <v>-14121.939606693262</v>
      </c>
      <c r="L69" s="220">
        <f t="shared" si="4"/>
        <v>-132691.86514954898</v>
      </c>
    </row>
    <row r="70" spans="1:12">
      <c r="A70" s="250">
        <v>14</v>
      </c>
      <c r="B70" s="219" t="s">
        <v>143</v>
      </c>
      <c r="C70" s="170">
        <f t="shared" si="5"/>
        <v>2681.1107072196901</v>
      </c>
      <c r="D70" s="170">
        <f t="shared" si="5"/>
        <v>363.11625530337915</v>
      </c>
      <c r="E70" s="170">
        <f t="shared" si="5"/>
        <v>181557.2077477267</v>
      </c>
      <c r="F70" s="170">
        <f t="shared" si="5"/>
        <v>3649.451194653986</v>
      </c>
      <c r="G70" s="170">
        <f t="shared" si="5"/>
        <v>42616.422180607682</v>
      </c>
      <c r="H70" s="170">
        <f t="shared" si="5"/>
        <v>229.81756219415306</v>
      </c>
      <c r="I70" s="170">
        <f t="shared" si="5"/>
        <v>6.2588595897880923</v>
      </c>
      <c r="J70" s="170">
        <f t="shared" si="5"/>
        <v>82.013913183637968</v>
      </c>
      <c r="K70" s="170">
        <f t="shared" si="5"/>
        <v>-8272.0981102798487</v>
      </c>
      <c r="L70" s="220">
        <f t="shared" si="4"/>
        <v>222913.30031019918</v>
      </c>
    </row>
    <row r="71" spans="1:12">
      <c r="A71" s="250">
        <v>17</v>
      </c>
      <c r="B71" s="219" t="s">
        <v>4</v>
      </c>
      <c r="C71" s="170">
        <f t="shared" si="5"/>
        <v>-348264.0635567109</v>
      </c>
      <c r="D71" s="170">
        <f t="shared" si="5"/>
        <v>-47159.198296597846</v>
      </c>
      <c r="E71" s="170">
        <f t="shared" si="5"/>
        <v>-24848.81268914137</v>
      </c>
      <c r="F71" s="170">
        <f t="shared" si="5"/>
        <v>-35484.507282185681</v>
      </c>
      <c r="G71" s="170">
        <f t="shared" si="5"/>
        <v>-212240.45397312319</v>
      </c>
      <c r="H71" s="170">
        <f t="shared" si="5"/>
        <v>-29949.92030431268</v>
      </c>
      <c r="I71" s="170">
        <f t="shared" si="5"/>
        <v>-816.16866018087603</v>
      </c>
      <c r="J71" s="170">
        <f t="shared" si="5"/>
        <v>-10688.320025512017</v>
      </c>
      <c r="K71" s="170">
        <f t="shared" si="5"/>
        <v>28835.3262618687</v>
      </c>
      <c r="L71" s="220">
        <f t="shared" si="4"/>
        <v>-680616.11852589587</v>
      </c>
    </row>
    <row r="72" spans="1:12">
      <c r="A72" s="250">
        <v>16</v>
      </c>
      <c r="B72" s="219" t="s">
        <v>5</v>
      </c>
      <c r="C72" s="170">
        <f t="shared" si="5"/>
        <v>-1390.622389593472</v>
      </c>
      <c r="D72" s="170">
        <f t="shared" si="5"/>
        <v>-188.31700542429462</v>
      </c>
      <c r="E72" s="170">
        <f t="shared" si="5"/>
        <v>1093.1342713874765</v>
      </c>
      <c r="F72" s="170">
        <f t="shared" si="5"/>
        <v>5011.9314234133735</v>
      </c>
      <c r="G72" s="170">
        <f t="shared" si="5"/>
        <v>61717.341952902229</v>
      </c>
      <c r="H72" s="170">
        <f t="shared" si="5"/>
        <v>-119.44431149412412</v>
      </c>
      <c r="I72" s="170">
        <f t="shared" si="5"/>
        <v>-3.2531964729326623</v>
      </c>
      <c r="J72" s="170">
        <f t="shared" si="5"/>
        <v>-42.626212780131027</v>
      </c>
      <c r="K72" s="170">
        <f t="shared" si="5"/>
        <v>-3520.7649344185024</v>
      </c>
      <c r="L72" s="220">
        <f t="shared" si="4"/>
        <v>62557.379597519626</v>
      </c>
    </row>
    <row r="73" spans="1:12">
      <c r="A73" s="250">
        <v>18</v>
      </c>
      <c r="B73" s="219" t="s">
        <v>6</v>
      </c>
      <c r="C73" s="170">
        <f t="shared" si="5"/>
        <v>21949.872190974344</v>
      </c>
      <c r="D73" s="170">
        <f t="shared" si="5"/>
        <v>2972.6824817314432</v>
      </c>
      <c r="E73" s="170">
        <f t="shared" si="5"/>
        <v>708328.32450684661</v>
      </c>
      <c r="F73" s="170">
        <f t="shared" si="5"/>
        <v>1170.1285316987633</v>
      </c>
      <c r="G73" s="170">
        <f t="shared" si="5"/>
        <v>399.93938171069993</v>
      </c>
      <c r="H73" s="170">
        <f t="shared" si="5"/>
        <v>1882.6176437347215</v>
      </c>
      <c r="I73" s="170">
        <f t="shared" si="5"/>
        <v>51.276518090041158</v>
      </c>
      <c r="J73" s="170">
        <f t="shared" si="5"/>
        <v>671.84177561864874</v>
      </c>
      <c r="K73" s="170">
        <f t="shared" si="5"/>
        <v>1591.7377442388206</v>
      </c>
      <c r="L73" s="220">
        <f t="shared" si="4"/>
        <v>739018.42077464401</v>
      </c>
    </row>
    <row r="74" spans="1:12">
      <c r="A74" s="250">
        <v>19</v>
      </c>
      <c r="B74" s="219" t="s">
        <v>127</v>
      </c>
      <c r="C74" s="170">
        <f t="shared" si="5"/>
        <v>-76719.787590568259</v>
      </c>
      <c r="D74" s="170">
        <f t="shared" si="5"/>
        <v>-10389.703454773253</v>
      </c>
      <c r="E74" s="170">
        <f t="shared" si="5"/>
        <v>-139959.26822003047</v>
      </c>
      <c r="F74" s="170">
        <f t="shared" si="5"/>
        <v>-833.51618102154077</v>
      </c>
      <c r="G74" s="170">
        <f t="shared" si="5"/>
        <v>38094.251501094863</v>
      </c>
      <c r="H74" s="170">
        <f t="shared" si="5"/>
        <v>-6586.3762163021602</v>
      </c>
      <c r="I74" s="170">
        <f t="shared" si="5"/>
        <v>-179.42366069216709</v>
      </c>
      <c r="J74" s="170">
        <f t="shared" si="5"/>
        <v>-2350.4699277047766</v>
      </c>
      <c r="K74" s="170">
        <f t="shared" si="5"/>
        <v>10627.317245575521</v>
      </c>
      <c r="L74" s="220">
        <f t="shared" si="4"/>
        <v>-188296.97650442226</v>
      </c>
    </row>
    <row r="75" spans="1:12">
      <c r="A75" s="250">
        <v>20</v>
      </c>
      <c r="B75" s="219" t="s">
        <v>128</v>
      </c>
      <c r="C75" s="170">
        <f t="shared" si="5"/>
        <v>23021.859137641266</v>
      </c>
      <c r="D75" s="170">
        <f t="shared" si="5"/>
        <v>3117.8795658270828</v>
      </c>
      <c r="E75" s="170">
        <f t="shared" si="5"/>
        <v>344454.47343128594</v>
      </c>
      <c r="F75" s="170">
        <f t="shared" si="5"/>
        <v>-5120.2017460414982</v>
      </c>
      <c r="G75" s="170">
        <f t="shared" si="5"/>
        <v>-76638.970227505211</v>
      </c>
      <c r="H75" s="170">
        <f t="shared" si="5"/>
        <v>1974.3322360173722</v>
      </c>
      <c r="I75" s="170">
        <f t="shared" si="5"/>
        <v>53.774207120724896</v>
      </c>
      <c r="J75" s="170">
        <f t="shared" si="5"/>
        <v>704.57141897051281</v>
      </c>
      <c r="K75" s="170">
        <f t="shared" si="5"/>
        <v>22258.210407161019</v>
      </c>
      <c r="L75" s="220">
        <f t="shared" si="4"/>
        <v>313825.92843047727</v>
      </c>
    </row>
    <row r="76" spans="1:12">
      <c r="A76" s="250">
        <v>23</v>
      </c>
      <c r="B76" s="219" t="s">
        <v>129</v>
      </c>
      <c r="C76" s="170">
        <f t="shared" si="5"/>
        <v>-645.36825960191584</v>
      </c>
      <c r="D76" s="170">
        <f t="shared" si="5"/>
        <v>-87.388141022917509</v>
      </c>
      <c r="E76" s="170">
        <f t="shared" si="5"/>
        <v>70347.037035420843</v>
      </c>
      <c r="F76" s="170">
        <f t="shared" si="5"/>
        <v>310.13024855152861</v>
      </c>
      <c r="G76" s="170">
        <f t="shared" si="5"/>
        <v>4169.607501126321</v>
      </c>
      <c r="H76" s="170">
        <f t="shared" si="5"/>
        <v>-55.541322035326935</v>
      </c>
      <c r="I76" s="170">
        <f t="shared" si="5"/>
        <v>-1.5129238086180219</v>
      </c>
      <c r="J76" s="170">
        <f t="shared" si="5"/>
        <v>-19.82115853484235</v>
      </c>
      <c r="K76" s="170">
        <f t="shared" si="5"/>
        <v>-917.96169788635359</v>
      </c>
      <c r="L76" s="220">
        <f t="shared" si="4"/>
        <v>73099.181282208723</v>
      </c>
    </row>
    <row r="77" spans="1:12">
      <c r="A77" s="250">
        <v>21</v>
      </c>
      <c r="B77" s="219" t="s">
        <v>7</v>
      </c>
      <c r="C77" s="170">
        <f t="shared" si="5"/>
        <v>-5475.5118256888045</v>
      </c>
      <c r="D77" s="170">
        <f t="shared" si="5"/>
        <v>-736.454234826689</v>
      </c>
      <c r="E77" s="170">
        <f t="shared" si="5"/>
        <v>-146681.72546488102</v>
      </c>
      <c r="F77" s="170">
        <f t="shared" si="5"/>
        <v>3050.8699246675628</v>
      </c>
      <c r="G77" s="170">
        <f t="shared" si="5"/>
        <v>40416.516780544269</v>
      </c>
      <c r="H77" s="170">
        <f t="shared" si="5"/>
        <v>-513.53183794475626</v>
      </c>
      <c r="I77" s="170">
        <f t="shared" si="5"/>
        <v>-14.121078922359933</v>
      </c>
      <c r="J77" s="170">
        <f t="shared" si="5"/>
        <v>-183.46169414256778</v>
      </c>
      <c r="K77" s="170">
        <f t="shared" si="5"/>
        <v>1026.0956406377347</v>
      </c>
      <c r="L77" s="220">
        <f t="shared" si="4"/>
        <v>-109111.32379055662</v>
      </c>
    </row>
    <row r="78" spans="1:12">
      <c r="A78" s="250">
        <v>22</v>
      </c>
      <c r="B78" s="219" t="s">
        <v>130</v>
      </c>
      <c r="C78" s="170">
        <f t="shared" si="5"/>
        <v>-14578.170565052578</v>
      </c>
      <c r="D78" s="170">
        <f t="shared" si="5"/>
        <v>-1994.9020569424611</v>
      </c>
      <c r="E78" s="170">
        <f t="shared" si="5"/>
        <v>-2755.1491345025911</v>
      </c>
      <c r="F78" s="170">
        <f t="shared" si="5"/>
        <v>-3221.3706856817203</v>
      </c>
      <c r="G78" s="170">
        <f t="shared" si="5"/>
        <v>-29698.07766873857</v>
      </c>
      <c r="H78" s="170">
        <f t="shared" si="5"/>
        <v>-1074.2468364908127</v>
      </c>
      <c r="I78" s="170">
        <f t="shared" si="5"/>
        <v>-28.726226594333031</v>
      </c>
      <c r="J78" s="170">
        <f t="shared" si="5"/>
        <v>-382.5557509523739</v>
      </c>
      <c r="K78" s="170">
        <f t="shared" si="5"/>
        <v>-70342.192549442174</v>
      </c>
      <c r="L78" s="220">
        <f t="shared" si="4"/>
        <v>-124075.39147439761</v>
      </c>
    </row>
    <row r="79" spans="1:12">
      <c r="A79" s="250">
        <v>25</v>
      </c>
      <c r="B79" s="219" t="s">
        <v>8</v>
      </c>
      <c r="C79" s="170">
        <f t="shared" si="5"/>
        <v>-242.38701577981314</v>
      </c>
      <c r="D79" s="170">
        <f t="shared" si="5"/>
        <v>-32.820482689266406</v>
      </c>
      <c r="E79" s="170">
        <f t="shared" si="5"/>
        <v>-35069.941339964316</v>
      </c>
      <c r="F79" s="170">
        <f t="shared" si="5"/>
        <v>11556.789378837993</v>
      </c>
      <c r="G79" s="170">
        <f t="shared" si="5"/>
        <v>140449.11934903436</v>
      </c>
      <c r="H79" s="170">
        <f t="shared" si="5"/>
        <v>-20.840017661762733</v>
      </c>
      <c r="I79" s="170">
        <f t="shared" si="5"/>
        <v>-0.56727143951381243</v>
      </c>
      <c r="J79" s="170">
        <f t="shared" si="5"/>
        <v>-7.4375137141129626</v>
      </c>
      <c r="K79" s="170">
        <f t="shared" si="5"/>
        <v>232.94459995900857</v>
      </c>
      <c r="L79" s="220">
        <f t="shared" si="4"/>
        <v>116864.85968658257</v>
      </c>
    </row>
    <row r="80" spans="1:12">
      <c r="A80" s="250">
        <v>27</v>
      </c>
      <c r="B80" s="219" t="s">
        <v>9</v>
      </c>
      <c r="C80" s="170">
        <f t="shared" si="5"/>
        <v>-817.10523129006231</v>
      </c>
      <c r="D80" s="170">
        <f t="shared" si="5"/>
        <v>-110.65639445744455</v>
      </c>
      <c r="E80" s="170">
        <f t="shared" si="5"/>
        <v>-62524.567556069815</v>
      </c>
      <c r="F80" s="170">
        <f t="shared" si="5"/>
        <v>1264.7855361899226</v>
      </c>
      <c r="G80" s="170">
        <f t="shared" si="5"/>
        <v>15867.832114760182</v>
      </c>
      <c r="H80" s="170">
        <f t="shared" si="5"/>
        <v>-70.128311874907624</v>
      </c>
      <c r="I80" s="170">
        <f t="shared" si="5"/>
        <v>-1.909210333039179</v>
      </c>
      <c r="J80" s="170">
        <f t="shared" si="5"/>
        <v>-25.027042797858787</v>
      </c>
      <c r="K80" s="170">
        <f t="shared" si="5"/>
        <v>1.0721565795458901</v>
      </c>
      <c r="L80" s="220">
        <f t="shared" si="4"/>
        <v>-46415.703939293482</v>
      </c>
    </row>
    <row r="81" spans="1:12">
      <c r="A81" s="250">
        <v>26</v>
      </c>
      <c r="B81" s="219" t="s">
        <v>131</v>
      </c>
      <c r="C81" s="170">
        <f t="shared" si="5"/>
        <v>-5664.685479750081</v>
      </c>
      <c r="D81" s="170">
        <f t="shared" si="5"/>
        <v>-767.18660548888147</v>
      </c>
      <c r="E81" s="170">
        <f t="shared" si="5"/>
        <v>-301271.55178570654</v>
      </c>
      <c r="F81" s="170">
        <f t="shared" si="5"/>
        <v>645.36643863620702</v>
      </c>
      <c r="G81" s="170">
        <f t="shared" si="5"/>
        <v>11396.035327121432</v>
      </c>
      <c r="H81" s="170">
        <f t="shared" si="5"/>
        <v>-485.81122442409588</v>
      </c>
      <c r="I81" s="170">
        <f t="shared" si="5"/>
        <v>-13.233235912989281</v>
      </c>
      <c r="J81" s="170">
        <f t="shared" si="5"/>
        <v>-173.36894136390765</v>
      </c>
      <c r="K81" s="170">
        <f t="shared" si="5"/>
        <v>1680.0020471488024</v>
      </c>
      <c r="L81" s="220">
        <f t="shared" si="4"/>
        <v>-294654.43345974007</v>
      </c>
    </row>
    <row r="82" spans="1:12">
      <c r="A82" s="250">
        <v>29</v>
      </c>
      <c r="B82" s="219" t="s">
        <v>10</v>
      </c>
      <c r="C82" s="170">
        <f t="shared" si="5"/>
        <v>23.517448097467422</v>
      </c>
      <c r="D82" s="170">
        <f t="shared" si="5"/>
        <v>3.1925082290545106</v>
      </c>
      <c r="E82" s="170">
        <f t="shared" si="5"/>
        <v>53072.315321629321</v>
      </c>
      <c r="F82" s="170">
        <f t="shared" si="5"/>
        <v>7475.1965722216601</v>
      </c>
      <c r="G82" s="170">
        <f t="shared" si="5"/>
        <v>90732.050848694984</v>
      </c>
      <c r="H82" s="170">
        <f t="shared" si="5"/>
        <v>1.9396589197373639</v>
      </c>
      <c r="I82" s="170">
        <f t="shared" si="5"/>
        <v>5.2506631046223141E-2</v>
      </c>
      <c r="J82" s="170">
        <f t="shared" si="5"/>
        <v>0.69191265692158288</v>
      </c>
      <c r="K82" s="170">
        <f t="shared" si="5"/>
        <v>-877.70609741289934</v>
      </c>
      <c r="L82" s="220">
        <f t="shared" si="4"/>
        <v>150431.25067966725</v>
      </c>
    </row>
    <row r="83" spans="1:12">
      <c r="A83" s="250">
        <v>30</v>
      </c>
      <c r="B83" s="219" t="s">
        <v>132</v>
      </c>
      <c r="C83" s="170">
        <f t="shared" si="5"/>
        <v>-131644.08307309696</v>
      </c>
      <c r="D83" s="170">
        <f t="shared" si="5"/>
        <v>-17827.600722505402</v>
      </c>
      <c r="E83" s="170">
        <f t="shared" si="5"/>
        <v>-91833.090502116058</v>
      </c>
      <c r="F83" s="170">
        <f t="shared" si="5"/>
        <v>-20472.361826661585</v>
      </c>
      <c r="G83" s="170">
        <f t="shared" si="5"/>
        <v>-165814.82065330088</v>
      </c>
      <c r="H83" s="170">
        <f t="shared" si="5"/>
        <v>-11303.782558660023</v>
      </c>
      <c r="I83" s="170">
        <f t="shared" si="5"/>
        <v>-307.94626455152564</v>
      </c>
      <c r="J83" s="170">
        <f t="shared" si="5"/>
        <v>-4033.9676565968743</v>
      </c>
      <c r="K83" s="170">
        <f t="shared" si="5"/>
        <v>-53802.664073137879</v>
      </c>
      <c r="L83" s="220">
        <f t="shared" si="4"/>
        <v>-497040.31733062718</v>
      </c>
    </row>
    <row r="84" spans="1:12">
      <c r="A84" s="250">
        <v>32</v>
      </c>
      <c r="B84" s="219" t="s">
        <v>11</v>
      </c>
      <c r="C84" s="170">
        <f t="shared" si="5"/>
        <v>-38014.288309294418</v>
      </c>
      <c r="D84" s="170">
        <f t="shared" si="5"/>
        <v>-5148.1823055354571</v>
      </c>
      <c r="E84" s="170">
        <f t="shared" si="5"/>
        <v>-1393834.0085519955</v>
      </c>
      <c r="F84" s="170">
        <f t="shared" si="5"/>
        <v>-1470.194762906176</v>
      </c>
      <c r="G84" s="170">
        <f t="shared" si="5"/>
        <v>6052.0343646118026</v>
      </c>
      <c r="H84" s="170">
        <f t="shared" si="5"/>
        <v>-3261.840788431718</v>
      </c>
      <c r="I84" s="170">
        <f t="shared" si="5"/>
        <v>-88.848734994593542</v>
      </c>
      <c r="J84" s="170">
        <f t="shared" si="5"/>
        <v>-1164.0429324092499</v>
      </c>
      <c r="K84" s="170">
        <f t="shared" si="5"/>
        <v>-336.49843719240863</v>
      </c>
      <c r="L84" s="220">
        <f t="shared" si="4"/>
        <v>-1437265.8704581477</v>
      </c>
    </row>
    <row r="85" spans="1:12">
      <c r="A85" s="250">
        <v>33</v>
      </c>
      <c r="B85" s="219" t="s">
        <v>12</v>
      </c>
      <c r="C85" s="170">
        <f t="shared" si="5"/>
        <v>-142906.77010989189</v>
      </c>
      <c r="D85" s="170">
        <f t="shared" si="5"/>
        <v>-19355.101778717089</v>
      </c>
      <c r="E85" s="170">
        <f t="shared" si="5"/>
        <v>-52750.919313265164</v>
      </c>
      <c r="F85" s="170">
        <f t="shared" si="5"/>
        <v>-13642.460583192607</v>
      </c>
      <c r="G85" s="170">
        <f t="shared" si="5"/>
        <v>-75860.695891810887</v>
      </c>
      <c r="H85" s="170">
        <f t="shared" si="5"/>
        <v>-12255.021957196295</v>
      </c>
      <c r="I85" s="170">
        <f t="shared" si="5"/>
        <v>-333.84083692589775</v>
      </c>
      <c r="J85" s="170">
        <f t="shared" si="5"/>
        <v>-4373.3420628377544</v>
      </c>
      <c r="K85" s="170">
        <f t="shared" si="5"/>
        <v>-23892.757097358506</v>
      </c>
      <c r="L85" s="220">
        <f t="shared" si="4"/>
        <v>-345370.90963119612</v>
      </c>
    </row>
    <row r="86" spans="1:12">
      <c r="A86" s="250">
        <v>34</v>
      </c>
      <c r="B86" s="219" t="s">
        <v>133</v>
      </c>
      <c r="C86" s="170">
        <f t="shared" si="5"/>
        <v>-9154.6685044070091</v>
      </c>
      <c r="D86" s="170">
        <f t="shared" si="5"/>
        <v>-1239.7507428169872</v>
      </c>
      <c r="E86" s="170">
        <f t="shared" si="5"/>
        <v>-109241.5081054195</v>
      </c>
      <c r="F86" s="170">
        <f t="shared" si="5"/>
        <v>1862.112266254592</v>
      </c>
      <c r="G86" s="170">
        <f t="shared" si="5"/>
        <v>28357.89398218544</v>
      </c>
      <c r="H86" s="170">
        <f t="shared" si="5"/>
        <v>-786.05248120159376</v>
      </c>
      <c r="I86" s="170">
        <f t="shared" si="5"/>
        <v>-21.414474073326954</v>
      </c>
      <c r="J86" s="170">
        <f t="shared" si="5"/>
        <v>-280.51787367459229</v>
      </c>
      <c r="K86" s="170">
        <f t="shared" si="5"/>
        <v>2539.492950400163</v>
      </c>
      <c r="L86" s="220">
        <f t="shared" si="4"/>
        <v>-87964.412982752809</v>
      </c>
    </row>
    <row r="87" spans="1:12">
      <c r="A87" s="250">
        <v>35</v>
      </c>
      <c r="B87" s="219" t="s">
        <v>13</v>
      </c>
      <c r="C87" s="170">
        <f t="shared" si="5"/>
        <v>31.699005937048543</v>
      </c>
      <c r="D87" s="170">
        <f t="shared" si="5"/>
        <v>4.2963810287765227</v>
      </c>
      <c r="E87" s="170">
        <f t="shared" si="5"/>
        <v>51739.000315845165</v>
      </c>
      <c r="F87" s="170">
        <f t="shared" si="5"/>
        <v>232.62142845061317</v>
      </c>
      <c r="G87" s="170">
        <f t="shared" si="5"/>
        <v>2803.816124484787</v>
      </c>
      <c r="H87" s="170">
        <f t="shared" si="5"/>
        <v>2.683006143415696</v>
      </c>
      <c r="I87" s="170">
        <f t="shared" si="5"/>
        <v>7.3567437823536849E-2</v>
      </c>
      <c r="J87" s="170">
        <f t="shared" si="5"/>
        <v>0.95697809627260233</v>
      </c>
      <c r="K87" s="170">
        <f t="shared" si="5"/>
        <v>155.4609549938732</v>
      </c>
      <c r="L87" s="220">
        <f t="shared" si="4"/>
        <v>54970.607762417778</v>
      </c>
    </row>
    <row r="88" spans="1:12">
      <c r="A88" s="250">
        <v>61</v>
      </c>
      <c r="B88" s="219" t="s">
        <v>14</v>
      </c>
      <c r="C88" s="170">
        <f t="shared" si="5"/>
        <v>131.52727715608975</v>
      </c>
      <c r="D88" s="170">
        <f t="shared" si="5"/>
        <v>17.81431256335539</v>
      </c>
      <c r="E88" s="170">
        <f t="shared" si="5"/>
        <v>94995.742210504206</v>
      </c>
      <c r="F88" s="170">
        <f t="shared" si="5"/>
        <v>2414.8413352443022</v>
      </c>
      <c r="G88" s="170">
        <f t="shared" si="5"/>
        <v>29232.905408052786</v>
      </c>
      <c r="H88" s="170">
        <f t="shared" si="5"/>
        <v>11.274085328739602</v>
      </c>
      <c r="I88" s="170">
        <f t="shared" si="5"/>
        <v>0.30756152442093782</v>
      </c>
      <c r="J88" s="170">
        <f t="shared" si="5"/>
        <v>4.0237342743542586</v>
      </c>
      <c r="K88" s="170">
        <f t="shared" si="5"/>
        <v>87.180890867512289</v>
      </c>
      <c r="L88" s="220">
        <f t="shared" si="4"/>
        <v>126895.61681551576</v>
      </c>
    </row>
    <row r="89" spans="1:12">
      <c r="A89" s="250">
        <v>36</v>
      </c>
      <c r="B89" s="219" t="s">
        <v>15</v>
      </c>
      <c r="C89" s="170">
        <f t="shared" si="5"/>
        <v>6664.8496206620084</v>
      </c>
      <c r="D89" s="170">
        <f t="shared" si="5"/>
        <v>902.7113251430759</v>
      </c>
      <c r="E89" s="170">
        <f t="shared" si="5"/>
        <v>8607.4404067660216</v>
      </c>
      <c r="F89" s="170">
        <f t="shared" si="5"/>
        <v>-3460.3773633962651</v>
      </c>
      <c r="G89" s="170">
        <f t="shared" si="5"/>
        <v>-46206.869455730659</v>
      </c>
      <c r="H89" s="170">
        <f t="shared" si="5"/>
        <v>570.55617884961737</v>
      </c>
      <c r="I89" s="170">
        <f t="shared" si="5"/>
        <v>15.534993584983264</v>
      </c>
      <c r="J89" s="170">
        <f t="shared" si="5"/>
        <v>203.60933510540053</v>
      </c>
      <c r="K89" s="170">
        <f t="shared" si="5"/>
        <v>28414.818454335134</v>
      </c>
      <c r="L89" s="220">
        <f t="shared" si="4"/>
        <v>-4287.7265046806824</v>
      </c>
    </row>
    <row r="90" spans="1:12">
      <c r="A90" s="250">
        <v>28</v>
      </c>
      <c r="B90" s="219" t="s">
        <v>16</v>
      </c>
      <c r="C90" s="170">
        <f t="shared" si="5"/>
        <v>1797530.8753614526</v>
      </c>
      <c r="D90" s="170">
        <f t="shared" si="5"/>
        <v>243461.66346564269</v>
      </c>
      <c r="E90" s="170">
        <f t="shared" si="5"/>
        <v>397848.42461260938</v>
      </c>
      <c r="F90" s="170">
        <f t="shared" si="5"/>
        <v>88674.761359595388</v>
      </c>
      <c r="G90" s="170">
        <f t="shared" si="5"/>
        <v>-54431.012124019675</v>
      </c>
      <c r="H90" s="170">
        <f t="shared" si="5"/>
        <v>153983.43277573553</v>
      </c>
      <c r="I90" s="170">
        <f t="shared" si="5"/>
        <v>4193.3417138618343</v>
      </c>
      <c r="J90" s="170">
        <f t="shared" si="5"/>
        <v>54950.597507609367</v>
      </c>
      <c r="K90" s="170">
        <f t="shared" si="5"/>
        <v>-9524.9836772490908</v>
      </c>
      <c r="L90" s="220">
        <f t="shared" si="4"/>
        <v>2676687.1009952379</v>
      </c>
    </row>
    <row r="91" spans="1:12">
      <c r="A91" s="250">
        <v>37</v>
      </c>
      <c r="B91" s="219" t="s">
        <v>134</v>
      </c>
      <c r="C91" s="170">
        <f t="shared" si="5"/>
        <v>-512.33259193257743</v>
      </c>
      <c r="D91" s="170">
        <f t="shared" si="5"/>
        <v>-69.380655155594766</v>
      </c>
      <c r="E91" s="170">
        <f t="shared" si="5"/>
        <v>-19408.56995857837</v>
      </c>
      <c r="F91" s="170">
        <f t="shared" si="5"/>
        <v>1027.7998728230014</v>
      </c>
      <c r="G91" s="170">
        <f t="shared" si="5"/>
        <v>12799.199082531093</v>
      </c>
      <c r="H91" s="170">
        <f t="shared" si="5"/>
        <v>-43.98542406357592</v>
      </c>
      <c r="I91" s="170">
        <f t="shared" si="5"/>
        <v>-1.1980621015839763</v>
      </c>
      <c r="J91" s="170">
        <f t="shared" si="5"/>
        <v>-15.69694882715703</v>
      </c>
      <c r="K91" s="170">
        <f t="shared" si="5"/>
        <v>33.177422561646154</v>
      </c>
      <c r="L91" s="220">
        <f t="shared" si="4"/>
        <v>-6190.9872627431187</v>
      </c>
    </row>
    <row r="92" spans="1:12">
      <c r="A92" s="250">
        <v>39</v>
      </c>
      <c r="B92" s="219" t="s">
        <v>17</v>
      </c>
      <c r="C92" s="170">
        <f t="shared" si="5"/>
        <v>-11.408257112217447</v>
      </c>
      <c r="D92" s="170">
        <f t="shared" si="5"/>
        <v>-1.5392719435816009</v>
      </c>
      <c r="E92" s="170">
        <f t="shared" si="5"/>
        <v>61147.454417360401</v>
      </c>
      <c r="F92" s="170">
        <f t="shared" si="5"/>
        <v>1659.0236983367358</v>
      </c>
      <c r="G92" s="170">
        <f t="shared" si="5"/>
        <v>20147.015475161781</v>
      </c>
      <c r="H92" s="170">
        <f t="shared" ref="D92:K107" si="6">+H32/6</f>
        <v>-1.0367968973393242</v>
      </c>
      <c r="I92" s="170">
        <f t="shared" si="6"/>
        <v>-2.9438067482260522E-2</v>
      </c>
      <c r="J92" s="170">
        <f t="shared" si="6"/>
        <v>-0.36952082839949679</v>
      </c>
      <c r="K92" s="170">
        <f t="shared" si="6"/>
        <v>-100.77800356040825</v>
      </c>
      <c r="L92" s="220">
        <f t="shared" si="4"/>
        <v>82838.332302449489</v>
      </c>
    </row>
    <row r="93" spans="1:12">
      <c r="A93" s="250">
        <v>38</v>
      </c>
      <c r="B93" s="219" t="s">
        <v>18</v>
      </c>
      <c r="C93" s="170">
        <f t="shared" si="5"/>
        <v>-2228.8861151877791</v>
      </c>
      <c r="D93" s="170">
        <f t="shared" si="6"/>
        <v>-301.8482898742659</v>
      </c>
      <c r="E93" s="170">
        <f t="shared" si="6"/>
        <v>-131692.76212860388</v>
      </c>
      <c r="F93" s="170">
        <f t="shared" si="6"/>
        <v>574.8465065058457</v>
      </c>
      <c r="G93" s="170">
        <f t="shared" si="6"/>
        <v>8379.4800968997588</v>
      </c>
      <c r="H93" s="170">
        <f t="shared" si="6"/>
        <v>-191.30356628602021</v>
      </c>
      <c r="I93" s="170">
        <f t="shared" si="6"/>
        <v>-5.2113561319226092</v>
      </c>
      <c r="J93" s="170">
        <f t="shared" si="6"/>
        <v>-68.269800134168079</v>
      </c>
      <c r="K93" s="170">
        <f t="shared" si="6"/>
        <v>-61.003798868329795</v>
      </c>
      <c r="L93" s="220">
        <f t="shared" si="4"/>
        <v>-125594.95845168075</v>
      </c>
    </row>
    <row r="94" spans="1:12">
      <c r="A94" s="250">
        <v>40</v>
      </c>
      <c r="B94" s="219" t="s">
        <v>19</v>
      </c>
      <c r="C94" s="170">
        <f t="shared" si="5"/>
        <v>-1178.3214576762791</v>
      </c>
      <c r="D94" s="170">
        <f t="shared" si="6"/>
        <v>-159.57164374017157</v>
      </c>
      <c r="E94" s="170">
        <f t="shared" si="6"/>
        <v>-25672.230737992639</v>
      </c>
      <c r="F94" s="170">
        <f t="shared" si="6"/>
        <v>1150.1846691052099</v>
      </c>
      <c r="G94" s="170">
        <f t="shared" si="6"/>
        <v>14703.399689281767</v>
      </c>
      <c r="H94" s="170">
        <f t="shared" si="6"/>
        <v>-101.1738444880757</v>
      </c>
      <c r="I94" s="170">
        <f t="shared" si="6"/>
        <v>-2.7558306133942096</v>
      </c>
      <c r="J94" s="170">
        <f t="shared" si="6"/>
        <v>-36.105691180743939</v>
      </c>
      <c r="K94" s="170">
        <f t="shared" si="6"/>
        <v>-2018.2026482588742</v>
      </c>
      <c r="L94" s="220">
        <f t="shared" si="4"/>
        <v>-13314.777495563203</v>
      </c>
    </row>
    <row r="95" spans="1:12">
      <c r="A95" s="250">
        <v>41</v>
      </c>
      <c r="B95" s="219" t="s">
        <v>20</v>
      </c>
      <c r="C95" s="170">
        <f t="shared" si="5"/>
        <v>-193.08936175238341</v>
      </c>
      <c r="D95" s="170">
        <f t="shared" si="6"/>
        <v>-26.147657482651994</v>
      </c>
      <c r="E95" s="170">
        <f t="shared" si="6"/>
        <v>-64191.098370867083</v>
      </c>
      <c r="F95" s="170">
        <f t="shared" si="6"/>
        <v>1010.0216530246058</v>
      </c>
      <c r="G95" s="170">
        <f t="shared" si="6"/>
        <v>12382.78932321122</v>
      </c>
      <c r="H95" s="170">
        <f t="shared" si="6"/>
        <v>-16.576417794315301</v>
      </c>
      <c r="I95" s="170">
        <f t="shared" si="6"/>
        <v>-0.4503360018582801</v>
      </c>
      <c r="J95" s="170">
        <f t="shared" si="6"/>
        <v>-5.9149715437912773</v>
      </c>
      <c r="K95" s="170">
        <f t="shared" si="6"/>
        <v>45.043806677779685</v>
      </c>
      <c r="L95" s="220">
        <f t="shared" si="4"/>
        <v>-50995.422332528477</v>
      </c>
    </row>
    <row r="96" spans="1:12">
      <c r="A96" s="250">
        <v>42</v>
      </c>
      <c r="B96" s="219" t="s">
        <v>135</v>
      </c>
      <c r="C96" s="170">
        <f t="shared" si="5"/>
        <v>-112262.36195918421</v>
      </c>
      <c r="D96" s="170">
        <f t="shared" si="6"/>
        <v>-15202.686280496418</v>
      </c>
      <c r="E96" s="170">
        <f t="shared" si="6"/>
        <v>-47636.565080777975</v>
      </c>
      <c r="F96" s="170">
        <f t="shared" si="6"/>
        <v>-24992.665662191652</v>
      </c>
      <c r="G96" s="170">
        <f t="shared" si="6"/>
        <v>-232883.38546552151</v>
      </c>
      <c r="H96" s="170">
        <f t="shared" si="6"/>
        <v>-9641.9200382221807</v>
      </c>
      <c r="I96" s="170">
        <f t="shared" si="6"/>
        <v>-262.68434394401265</v>
      </c>
      <c r="J96" s="170">
        <f t="shared" si="6"/>
        <v>-3440.907968425347</v>
      </c>
      <c r="K96" s="170">
        <f t="shared" si="6"/>
        <v>-35204.533148279726</v>
      </c>
      <c r="L96" s="220">
        <f t="shared" si="4"/>
        <v>-481527.70994704304</v>
      </c>
    </row>
    <row r="97" spans="1:12">
      <c r="A97" s="250">
        <v>43</v>
      </c>
      <c r="B97" s="219" t="s">
        <v>21</v>
      </c>
      <c r="C97" s="170">
        <f t="shared" si="5"/>
        <v>13753.985019287094</v>
      </c>
      <c r="D97" s="170">
        <f t="shared" si="6"/>
        <v>1862.7139220440295</v>
      </c>
      <c r="E97" s="170">
        <f t="shared" si="6"/>
        <v>525039.37981430313</v>
      </c>
      <c r="F97" s="170">
        <f t="shared" si="6"/>
        <v>1542.8042883138016</v>
      </c>
      <c r="G97" s="170">
        <f t="shared" si="6"/>
        <v>10078.580034296319</v>
      </c>
      <c r="H97" s="170">
        <f t="shared" si="6"/>
        <v>1179.6158389662935</v>
      </c>
      <c r="I97" s="170">
        <f t="shared" si="6"/>
        <v>32.129024889674234</v>
      </c>
      <c r="J97" s="170">
        <f t="shared" si="6"/>
        <v>420.9637560167418</v>
      </c>
      <c r="K97" s="170">
        <f t="shared" si="6"/>
        <v>-4771.4144405042643</v>
      </c>
      <c r="L97" s="220">
        <f t="shared" si="4"/>
        <v>549138.75725761277</v>
      </c>
    </row>
    <row r="98" spans="1:12">
      <c r="A98" s="250">
        <v>44</v>
      </c>
      <c r="B98" s="219" t="s">
        <v>22</v>
      </c>
      <c r="C98" s="170">
        <f t="shared" si="5"/>
        <v>-24121.812355188031</v>
      </c>
      <c r="D98" s="170">
        <f t="shared" si="6"/>
        <v>-3266.5641941390932</v>
      </c>
      <c r="E98" s="170">
        <f t="shared" si="6"/>
        <v>-78787.301258683437</v>
      </c>
      <c r="F98" s="170">
        <f t="shared" si="6"/>
        <v>5521.7263755387003</v>
      </c>
      <c r="G98" s="170">
        <f t="shared" si="6"/>
        <v>82190.314872680072</v>
      </c>
      <c r="H98" s="170">
        <f t="shared" si="6"/>
        <v>-2071.7759879161604</v>
      </c>
      <c r="I98" s="170">
        <f t="shared" si="6"/>
        <v>-56.440733769569</v>
      </c>
      <c r="J98" s="170">
        <f t="shared" si="6"/>
        <v>-739.35575036848115</v>
      </c>
      <c r="K98" s="170">
        <f t="shared" si="6"/>
        <v>1707.9044445788215</v>
      </c>
      <c r="L98" s="220">
        <f t="shared" ref="L98:L117" si="7">SUM(C98:K98)</f>
        <v>-19623.304587267183</v>
      </c>
    </row>
    <row r="99" spans="1:12">
      <c r="A99" s="250">
        <v>46</v>
      </c>
      <c r="B99" s="219" t="s">
        <v>136</v>
      </c>
      <c r="C99" s="170">
        <f t="shared" si="5"/>
        <v>7267.3318102117628</v>
      </c>
      <c r="D99" s="170">
        <f t="shared" si="6"/>
        <v>984.22758668847382</v>
      </c>
      <c r="E99" s="170">
        <f t="shared" si="6"/>
        <v>330217.35188690992</v>
      </c>
      <c r="F99" s="170">
        <f t="shared" si="6"/>
        <v>1998.7603489209043</v>
      </c>
      <c r="G99" s="170">
        <f t="shared" si="6"/>
        <v>19693.012562192085</v>
      </c>
      <c r="H99" s="170">
        <f t="shared" si="6"/>
        <v>623.18669335967081</v>
      </c>
      <c r="I99" s="170">
        <f t="shared" si="6"/>
        <v>16.974381747735606</v>
      </c>
      <c r="J99" s="170">
        <f t="shared" si="6"/>
        <v>222.39292261725737</v>
      </c>
      <c r="K99" s="170">
        <f t="shared" si="6"/>
        <v>18139.398960902861</v>
      </c>
      <c r="L99" s="220">
        <f t="shared" si="7"/>
        <v>379162.63715355069</v>
      </c>
    </row>
    <row r="100" spans="1:12">
      <c r="A100" s="250">
        <v>49</v>
      </c>
      <c r="B100" s="219" t="s">
        <v>23</v>
      </c>
      <c r="C100" s="170">
        <f t="shared" si="5"/>
        <v>-258.27607891708612</v>
      </c>
      <c r="D100" s="170">
        <f t="shared" si="6"/>
        <v>-34.972517335709803</v>
      </c>
      <c r="E100" s="170">
        <f t="shared" si="6"/>
        <v>55148.29260962992</v>
      </c>
      <c r="F100" s="170">
        <f t="shared" si="6"/>
        <v>2979.0209872693231</v>
      </c>
      <c r="G100" s="170">
        <f t="shared" si="6"/>
        <v>36326.74863911228</v>
      </c>
      <c r="H100" s="170">
        <f t="shared" si="6"/>
        <v>-22.207998467172729</v>
      </c>
      <c r="I100" s="170">
        <f t="shared" si="6"/>
        <v>-0.60562730199550663</v>
      </c>
      <c r="J100" s="170">
        <f t="shared" si="6"/>
        <v>-7.9255987889488706</v>
      </c>
      <c r="K100" s="170">
        <f t="shared" si="6"/>
        <v>61.09426435072919</v>
      </c>
      <c r="L100" s="220">
        <f t="shared" si="7"/>
        <v>94191.168679551352</v>
      </c>
    </row>
    <row r="101" spans="1:12">
      <c r="A101" s="250">
        <v>48</v>
      </c>
      <c r="B101" s="219" t="s">
        <v>24</v>
      </c>
      <c r="C101" s="170">
        <f t="shared" si="5"/>
        <v>-73.495161017403007</v>
      </c>
      <c r="D101" s="170">
        <f t="shared" si="6"/>
        <v>-9.9532106607997175</v>
      </c>
      <c r="E101" s="170">
        <f t="shared" si="6"/>
        <v>-218381.63583266173</v>
      </c>
      <c r="F101" s="170">
        <f t="shared" si="6"/>
        <v>1063.7120658343581</v>
      </c>
      <c r="G101" s="170">
        <f t="shared" si="6"/>
        <v>12959.402867825664</v>
      </c>
      <c r="H101" s="170">
        <f t="shared" si="6"/>
        <v>-6.3072352482704446</v>
      </c>
      <c r="I101" s="170">
        <f t="shared" si="6"/>
        <v>-0.1718550646934697</v>
      </c>
      <c r="J101" s="170">
        <f t="shared" si="6"/>
        <v>-2.2504433498737249</v>
      </c>
      <c r="K101" s="170">
        <f t="shared" si="6"/>
        <v>5.0497808115122735</v>
      </c>
      <c r="L101" s="220">
        <f t="shared" si="7"/>
        <v>-204445.64902353127</v>
      </c>
    </row>
    <row r="102" spans="1:12">
      <c r="A102" s="250">
        <v>47</v>
      </c>
      <c r="B102" s="219" t="s">
        <v>25</v>
      </c>
      <c r="C102" s="170">
        <f t="shared" si="5"/>
        <v>-1755.5769563292463</v>
      </c>
      <c r="D102" s="170">
        <f t="shared" si="6"/>
        <v>-237.75117053952999</v>
      </c>
      <c r="E102" s="170">
        <f t="shared" si="6"/>
        <v>-20517.144699696179</v>
      </c>
      <c r="F102" s="170">
        <f t="shared" si="6"/>
        <v>1564.0554252353224</v>
      </c>
      <c r="G102" s="170">
        <f t="shared" si="6"/>
        <v>20090.811111059313</v>
      </c>
      <c r="H102" s="170">
        <f t="shared" si="6"/>
        <v>-150.67571152554592</v>
      </c>
      <c r="I102" s="170">
        <f t="shared" si="6"/>
        <v>-4.1035316912554363</v>
      </c>
      <c r="J102" s="170">
        <f t="shared" si="6"/>
        <v>-53.77223673812599</v>
      </c>
      <c r="K102" s="170">
        <f t="shared" si="6"/>
        <v>-1219.4158974253971</v>
      </c>
      <c r="L102" s="220">
        <f t="shared" si="7"/>
        <v>-2283.573667650644</v>
      </c>
    </row>
    <row r="103" spans="1:12">
      <c r="A103" s="250">
        <v>45</v>
      </c>
      <c r="B103" s="219" t="s">
        <v>26</v>
      </c>
      <c r="C103" s="170">
        <f t="shared" si="5"/>
        <v>-41118.332451173417</v>
      </c>
      <c r="D103" s="170">
        <f t="shared" si="6"/>
        <v>-5568.3737004768727</v>
      </c>
      <c r="E103" s="170">
        <f t="shared" si="6"/>
        <v>-104519.22873468651</v>
      </c>
      <c r="F103" s="170">
        <f t="shared" si="6"/>
        <v>2307.2430148712206</v>
      </c>
      <c r="G103" s="170">
        <f t="shared" si="6"/>
        <v>53846.65707500116</v>
      </c>
      <c r="H103" s="170">
        <f t="shared" si="6"/>
        <v>-3530.4378134000581</v>
      </c>
      <c r="I103" s="170">
        <f t="shared" si="6"/>
        <v>-96.177253886048376</v>
      </c>
      <c r="J103" s="170">
        <f t="shared" si="6"/>
        <v>-1259.9032310381299</v>
      </c>
      <c r="K103" s="170">
        <f t="shared" si="6"/>
        <v>-4743.0632255425835</v>
      </c>
      <c r="L103" s="220">
        <f t="shared" si="7"/>
        <v>-104681.61632033123</v>
      </c>
    </row>
    <row r="104" spans="1:12">
      <c r="A104" s="250">
        <v>70</v>
      </c>
      <c r="B104" s="219" t="s">
        <v>27</v>
      </c>
      <c r="C104" s="170">
        <f t="shared" si="5"/>
        <v>-1415513.1163101594</v>
      </c>
      <c r="D104" s="170">
        <f t="shared" si="6"/>
        <v>-191675.0672750771</v>
      </c>
      <c r="E104" s="170">
        <f t="shared" si="6"/>
        <v>0</v>
      </c>
      <c r="F104" s="170">
        <f t="shared" si="6"/>
        <v>-76230.794043826565</v>
      </c>
      <c r="G104" s="170">
        <f t="shared" si="6"/>
        <v>-37407.539229104914</v>
      </c>
      <c r="H104" s="170">
        <f t="shared" si="6"/>
        <v>-121764.03672501072</v>
      </c>
      <c r="I104" s="170">
        <f t="shared" si="6"/>
        <v>-3318.3833273340329</v>
      </c>
      <c r="J104" s="170">
        <f t="shared" si="6"/>
        <v>-43454.392210505284</v>
      </c>
      <c r="K104" s="170">
        <f t="shared" si="6"/>
        <v>-68017.536472021297</v>
      </c>
      <c r="L104" s="220">
        <f t="shared" si="7"/>
        <v>-1957380.8655930394</v>
      </c>
    </row>
    <row r="105" spans="1:12">
      <c r="A105" s="250">
        <v>50</v>
      </c>
      <c r="B105" s="219" t="s">
        <v>137</v>
      </c>
      <c r="C105" s="170">
        <f t="shared" si="5"/>
        <v>-304.14933697289479</v>
      </c>
      <c r="D105" s="170">
        <f t="shared" si="6"/>
        <v>-41.187451449319873</v>
      </c>
      <c r="E105" s="170">
        <f t="shared" si="6"/>
        <v>35682.674813185506</v>
      </c>
      <c r="F105" s="170">
        <f t="shared" si="6"/>
        <v>-388.41217100321472</v>
      </c>
      <c r="G105" s="170">
        <f t="shared" si="6"/>
        <v>-4524.2837032091438</v>
      </c>
      <c r="H105" s="170">
        <f t="shared" si="6"/>
        <v>-26.137226523200905</v>
      </c>
      <c r="I105" s="170">
        <f t="shared" si="6"/>
        <v>-0.71269549168998003</v>
      </c>
      <c r="J105" s="170">
        <f t="shared" si="6"/>
        <v>-9.3279929986480656</v>
      </c>
      <c r="K105" s="170">
        <f t="shared" si="6"/>
        <v>376.16663013357783</v>
      </c>
      <c r="L105" s="220">
        <f t="shared" si="7"/>
        <v>30764.63086567097</v>
      </c>
    </row>
    <row r="106" spans="1:12">
      <c r="A106" s="250">
        <v>51</v>
      </c>
      <c r="B106" s="219" t="s">
        <v>138</v>
      </c>
      <c r="C106" s="170">
        <f t="shared" si="5"/>
        <v>-5261.6834042519331</v>
      </c>
      <c r="D106" s="170">
        <f t="shared" si="6"/>
        <v>-712.42756496556103</v>
      </c>
      <c r="E106" s="170">
        <f t="shared" si="6"/>
        <v>-31631.890607326757</v>
      </c>
      <c r="F106" s="170">
        <f t="shared" si="6"/>
        <v>-6956.5696296708966</v>
      </c>
      <c r="G106" s="170">
        <f t="shared" si="6"/>
        <v>-81155.16589740866</v>
      </c>
      <c r="H106" s="170">
        <f t="shared" si="6"/>
        <v>-453.37281552853528</v>
      </c>
      <c r="I106" s="170">
        <f t="shared" si="6"/>
        <v>-12.359679861668459</v>
      </c>
      <c r="J106" s="170">
        <f t="shared" si="6"/>
        <v>-161.79872823646292</v>
      </c>
      <c r="K106" s="170">
        <f t="shared" si="6"/>
        <v>76305.013371513996</v>
      </c>
      <c r="L106" s="220">
        <f t="shared" si="7"/>
        <v>-50040.254955736469</v>
      </c>
    </row>
    <row r="107" spans="1:12">
      <c r="A107" s="250">
        <v>52</v>
      </c>
      <c r="B107" s="219" t="s">
        <v>139</v>
      </c>
      <c r="C107" s="170">
        <f t="shared" si="5"/>
        <v>1017.9983040802181</v>
      </c>
      <c r="D107" s="170">
        <f t="shared" si="6"/>
        <v>137.87561058346182</v>
      </c>
      <c r="E107" s="170">
        <f t="shared" si="6"/>
        <v>94138.579352962624</v>
      </c>
      <c r="F107" s="170">
        <f t="shared" si="6"/>
        <v>810.9351366219247</v>
      </c>
      <c r="G107" s="170">
        <f t="shared" si="6"/>
        <v>9203.7784088387853</v>
      </c>
      <c r="H107" s="170">
        <f t="shared" si="6"/>
        <v>87.230575057260765</v>
      </c>
      <c r="I107" s="170">
        <f t="shared" si="6"/>
        <v>2.3748121554854151</v>
      </c>
      <c r="J107" s="170">
        <f t="shared" si="6"/>
        <v>31.129505474227091</v>
      </c>
      <c r="K107" s="170">
        <f t="shared" si="6"/>
        <v>-3666.9646934672419</v>
      </c>
      <c r="L107" s="220">
        <f t="shared" si="7"/>
        <v>101762.93701230673</v>
      </c>
    </row>
    <row r="108" spans="1:12">
      <c r="A108" s="250">
        <v>53</v>
      </c>
      <c r="B108" s="219" t="s">
        <v>28</v>
      </c>
      <c r="C108" s="170">
        <f t="shared" si="5"/>
        <v>-743.71806958131492</v>
      </c>
      <c r="D108" s="170">
        <f t="shared" ref="D108:K116" si="8">+D48/6</f>
        <v>-100.71744698511127</v>
      </c>
      <c r="E108" s="170">
        <f t="shared" si="8"/>
        <v>-134436.90811087316</v>
      </c>
      <c r="F108" s="170">
        <f t="shared" si="8"/>
        <v>1192.9009499632812</v>
      </c>
      <c r="G108" s="170">
        <f t="shared" si="8"/>
        <v>14949.023151963795</v>
      </c>
      <c r="H108" s="170">
        <f t="shared" si="8"/>
        <v>-63.837453950933799</v>
      </c>
      <c r="I108" s="170">
        <f t="shared" si="8"/>
        <v>-1.738848265527243</v>
      </c>
      <c r="J108" s="170">
        <f t="shared" si="8"/>
        <v>-22.781618150863022</v>
      </c>
      <c r="K108" s="170">
        <f t="shared" si="8"/>
        <v>-118.57956326924204</v>
      </c>
      <c r="L108" s="220">
        <f t="shared" si="7"/>
        <v>-119346.35700914908</v>
      </c>
    </row>
    <row r="109" spans="1:12">
      <c r="A109" s="250">
        <v>54</v>
      </c>
      <c r="B109" s="219" t="s">
        <v>29</v>
      </c>
      <c r="C109" s="170">
        <f t="shared" si="5"/>
        <v>-14639.755994234234</v>
      </c>
      <c r="D109" s="170">
        <f t="shared" si="8"/>
        <v>-1982.5384315138992</v>
      </c>
      <c r="E109" s="170">
        <f t="shared" si="8"/>
        <v>-10399.607490127906</v>
      </c>
      <c r="F109" s="170">
        <f t="shared" si="8"/>
        <v>3307.0903803023589</v>
      </c>
      <c r="G109" s="170">
        <f t="shared" si="8"/>
        <v>49344.622261980978</v>
      </c>
      <c r="H109" s="170">
        <f t="shared" si="8"/>
        <v>-1257.2609879469965</v>
      </c>
      <c r="I109" s="170">
        <f t="shared" si="8"/>
        <v>-34.250970568537014</v>
      </c>
      <c r="J109" s="170">
        <f t="shared" si="8"/>
        <v>-448.67855509731453</v>
      </c>
      <c r="K109" s="170">
        <f t="shared" si="8"/>
        <v>-1509.0514402995516</v>
      </c>
      <c r="L109" s="220">
        <f t="shared" si="7"/>
        <v>22380.568772494898</v>
      </c>
    </row>
    <row r="110" spans="1:12">
      <c r="A110" s="250">
        <v>55</v>
      </c>
      <c r="B110" s="219" t="s">
        <v>30</v>
      </c>
      <c r="C110" s="170">
        <f t="shared" si="5"/>
        <v>62510.212201935552</v>
      </c>
      <c r="D110" s="170">
        <f t="shared" si="8"/>
        <v>8484.9824663245436</v>
      </c>
      <c r="E110" s="170">
        <f t="shared" si="8"/>
        <v>153073.34072531667</v>
      </c>
      <c r="F110" s="170">
        <f t="shared" si="8"/>
        <v>469.94464894811</v>
      </c>
      <c r="G110" s="170">
        <f t="shared" si="8"/>
        <v>-29181.678758156952</v>
      </c>
      <c r="H110" s="170">
        <f t="shared" si="8"/>
        <v>5468.6104223903576</v>
      </c>
      <c r="I110" s="170">
        <f t="shared" si="8"/>
        <v>151.39154008836098</v>
      </c>
      <c r="J110" s="170">
        <f t="shared" si="8"/>
        <v>1950.4621679932654</v>
      </c>
      <c r="K110" s="170">
        <f t="shared" si="8"/>
        <v>54858.235152451867</v>
      </c>
      <c r="L110" s="220">
        <f t="shared" si="7"/>
        <v>257785.50056729183</v>
      </c>
    </row>
    <row r="111" spans="1:12">
      <c r="A111" s="250">
        <v>58</v>
      </c>
      <c r="B111" s="219" t="s">
        <v>140</v>
      </c>
      <c r="C111" s="170">
        <f t="shared" si="5"/>
        <v>-415337.89513317746</v>
      </c>
      <c r="D111" s="170">
        <f t="shared" si="8"/>
        <v>-56242.972288741417</v>
      </c>
      <c r="E111" s="170">
        <f t="shared" si="8"/>
        <v>-40922.247850907654</v>
      </c>
      <c r="F111" s="170">
        <f t="shared" si="8"/>
        <v>-12559.590686505349</v>
      </c>
      <c r="G111" s="170">
        <f t="shared" si="8"/>
        <v>108243.30673917383</v>
      </c>
      <c r="H111" s="170">
        <f t="shared" si="8"/>
        <v>-35703.611395710461</v>
      </c>
      <c r="I111" s="170">
        <f t="shared" si="8"/>
        <v>-972.8839276670866</v>
      </c>
      <c r="J111" s="170">
        <f t="shared" si="8"/>
        <v>-12741.617523937175</v>
      </c>
      <c r="K111" s="170">
        <f t="shared" si="8"/>
        <v>12977.188643315807</v>
      </c>
      <c r="L111" s="220">
        <f t="shared" si="7"/>
        <v>-453260.32342415705</v>
      </c>
    </row>
    <row r="112" spans="1:12">
      <c r="A112" s="250">
        <v>31</v>
      </c>
      <c r="B112" s="219" t="s">
        <v>141</v>
      </c>
      <c r="C112" s="170">
        <f t="shared" si="5"/>
        <v>224576.74053742489</v>
      </c>
      <c r="D112" s="170">
        <f t="shared" si="8"/>
        <v>30431.369578026235</v>
      </c>
      <c r="E112" s="170">
        <f t="shared" si="8"/>
        <v>51675.447078829013</v>
      </c>
      <c r="F112" s="170">
        <f t="shared" si="8"/>
        <v>20165.353042559076</v>
      </c>
      <c r="G112" s="170">
        <f t="shared" si="8"/>
        <v>102231.77221123439</v>
      </c>
      <c r="H112" s="170">
        <f t="shared" si="8"/>
        <v>19051.771863809478</v>
      </c>
      <c r="I112" s="170">
        <f t="shared" si="8"/>
        <v>517.7557152248919</v>
      </c>
      <c r="J112" s="170">
        <f t="shared" si="8"/>
        <v>6798.3497712919489</v>
      </c>
      <c r="K112" s="170">
        <f t="shared" si="8"/>
        <v>62729.411157712959</v>
      </c>
      <c r="L112" s="220">
        <f t="shared" si="7"/>
        <v>518177.9709561129</v>
      </c>
    </row>
    <row r="113" spans="1:12">
      <c r="A113" s="250">
        <v>57</v>
      </c>
      <c r="B113" s="219" t="s">
        <v>31</v>
      </c>
      <c r="C113" s="170">
        <f t="shared" si="5"/>
        <v>757115.09073871875</v>
      </c>
      <c r="D113" s="170">
        <f t="shared" si="8"/>
        <v>102538.00517700303</v>
      </c>
      <c r="E113" s="170">
        <f t="shared" si="8"/>
        <v>249279.06061314108</v>
      </c>
      <c r="F113" s="170">
        <f t="shared" si="8"/>
        <v>33232.433230329923</v>
      </c>
      <c r="G113" s="170">
        <f t="shared" si="8"/>
        <v>-72864.931687432501</v>
      </c>
      <c r="H113" s="170">
        <f t="shared" si="8"/>
        <v>64918.027315492742</v>
      </c>
      <c r="I113" s="170">
        <f t="shared" si="8"/>
        <v>1768.0391527887357</v>
      </c>
      <c r="J113" s="170">
        <f t="shared" si="8"/>
        <v>23166.969710045028</v>
      </c>
      <c r="K113" s="170">
        <f t="shared" si="8"/>
        <v>59698.495201731101</v>
      </c>
      <c r="L113" s="220">
        <f t="shared" si="7"/>
        <v>1218851.1894518179</v>
      </c>
    </row>
    <row r="114" spans="1:12">
      <c r="A114" s="250">
        <v>56</v>
      </c>
      <c r="B114" s="219" t="s">
        <v>32</v>
      </c>
      <c r="C114" s="170">
        <f t="shared" si="5"/>
        <v>-43615.814495408289</v>
      </c>
      <c r="D114" s="170">
        <f t="shared" si="8"/>
        <v>-5994.7616523442166</v>
      </c>
      <c r="E114" s="170">
        <f t="shared" si="8"/>
        <v>1164.294105371305</v>
      </c>
      <c r="F114" s="170">
        <f t="shared" si="8"/>
        <v>-5258.7340138372574</v>
      </c>
      <c r="G114" s="170">
        <f t="shared" si="8"/>
        <v>-35451.275784319347</v>
      </c>
      <c r="H114" s="170">
        <f t="shared" si="8"/>
        <v>-2992.8452647063727</v>
      </c>
      <c r="I114" s="170">
        <f t="shared" si="8"/>
        <v>-79.286540986843946</v>
      </c>
      <c r="J114" s="170">
        <f t="shared" si="8"/>
        <v>-1064.5979701465305</v>
      </c>
      <c r="K114" s="170">
        <f t="shared" si="8"/>
        <v>-79049.744895768046</v>
      </c>
      <c r="L114" s="220">
        <f t="shared" si="7"/>
        <v>-172342.76651214558</v>
      </c>
    </row>
    <row r="115" spans="1:12">
      <c r="A115" s="250">
        <v>59</v>
      </c>
      <c r="B115" s="219" t="s">
        <v>33</v>
      </c>
      <c r="C115" s="170">
        <f t="shared" si="5"/>
        <v>-504.98473837847513</v>
      </c>
      <c r="D115" s="170">
        <f t="shared" si="8"/>
        <v>-68.377656674749844</v>
      </c>
      <c r="E115" s="170">
        <f t="shared" si="8"/>
        <v>45098.465880643729</v>
      </c>
      <c r="F115" s="170">
        <f t="shared" si="8"/>
        <v>-352.69720559114165</v>
      </c>
      <c r="G115" s="170">
        <f t="shared" si="8"/>
        <v>-3964.9798854938708</v>
      </c>
      <c r="H115" s="170">
        <f t="shared" si="8"/>
        <v>-43.458039668563288</v>
      </c>
      <c r="I115" s="170">
        <f t="shared" si="8"/>
        <v>-1.182712976699501</v>
      </c>
      <c r="J115" s="170">
        <f t="shared" si="8"/>
        <v>-15.508882767511144</v>
      </c>
      <c r="K115" s="170">
        <f t="shared" si="8"/>
        <v>3071.5337698155272</v>
      </c>
      <c r="L115" s="220">
        <f t="shared" si="7"/>
        <v>43218.810528908245</v>
      </c>
    </row>
    <row r="116" spans="1:12" ht="13.5" thickBot="1">
      <c r="A116" s="250">
        <v>60</v>
      </c>
      <c r="B116" s="219" t="s">
        <v>34</v>
      </c>
      <c r="C116" s="170">
        <f t="shared" si="5"/>
        <v>397.22430573031306</v>
      </c>
      <c r="D116" s="170">
        <f t="shared" si="8"/>
        <v>53.801064168219455</v>
      </c>
      <c r="E116" s="170">
        <f t="shared" si="8"/>
        <v>123109.41584315042</v>
      </c>
      <c r="F116" s="170">
        <f t="shared" si="8"/>
        <v>842.458359390895</v>
      </c>
      <c r="G116" s="170">
        <f t="shared" si="8"/>
        <v>9977.0234330784879</v>
      </c>
      <c r="H116" s="170">
        <f t="shared" si="8"/>
        <v>34.004821228852961</v>
      </c>
      <c r="I116" s="170">
        <f t="shared" si="8"/>
        <v>0.92623857385963981</v>
      </c>
      <c r="J116" s="170">
        <f t="shared" si="8"/>
        <v>12.135841625771718</v>
      </c>
      <c r="K116" s="170">
        <f t="shared" si="8"/>
        <v>-777.1610016486884</v>
      </c>
      <c r="L116" s="220">
        <f t="shared" si="7"/>
        <v>133649.82890529811</v>
      </c>
    </row>
    <row r="117" spans="1:12" ht="14.25" thickTop="1" thickBot="1">
      <c r="B117" s="221" t="s">
        <v>35</v>
      </c>
      <c r="C117" s="262">
        <f t="shared" ref="C117" si="9">SUM(C66:C116)</f>
        <v>3.8666628880775988E-2</v>
      </c>
      <c r="D117" s="262">
        <f t="shared" ref="D117:K117" si="10">SUM(D66:D116)</f>
        <v>1.999999843276612E-2</v>
      </c>
      <c r="E117" s="262">
        <f t="shared" si="10"/>
        <v>-7.2785732234478928E-2</v>
      </c>
      <c r="F117" s="262">
        <f t="shared" si="10"/>
        <v>4.3749635567678524E-2</v>
      </c>
      <c r="G117" s="262">
        <f t="shared" si="10"/>
        <v>2.9777683295833413E-2</v>
      </c>
      <c r="H117" s="262">
        <f t="shared" si="10"/>
        <v>2.0666666091074148E-2</v>
      </c>
      <c r="I117" s="262">
        <f t="shared" si="10"/>
        <v>2.0000000204698609E-2</v>
      </c>
      <c r="J117" s="262">
        <f t="shared" si="10"/>
        <v>5.0000049135778823E-3</v>
      </c>
      <c r="K117" s="262">
        <f t="shared" si="10"/>
        <v>-1.6666671726852655E-3</v>
      </c>
      <c r="L117" s="228">
        <f t="shared" si="7"/>
        <v>0.10340821797924049</v>
      </c>
    </row>
    <row r="118" spans="1:12">
      <c r="B118" s="94" t="s">
        <v>241</v>
      </c>
      <c r="C118" s="173"/>
      <c r="D118" s="266"/>
      <c r="E118" s="176"/>
      <c r="F118" s="154"/>
    </row>
  </sheetData>
  <mergeCells count="8">
    <mergeCell ref="B62:L62"/>
    <mergeCell ref="B63:L63"/>
    <mergeCell ref="B64:L64"/>
    <mergeCell ref="B1:L1"/>
    <mergeCell ref="B2:L2"/>
    <mergeCell ref="B3:L3"/>
    <mergeCell ref="B4:L4"/>
    <mergeCell ref="B61:L61"/>
  </mergeCells>
  <printOptions horizontalCentered="1"/>
  <pageMargins left="0.19685039370078741" right="0.19685039370078741" top="0.55118110236220474" bottom="0.15748031496062992" header="0.35433070866141736" footer="0.15748031496062992"/>
  <pageSetup scale="70" orientation="landscape" r:id="rId1"/>
  <headerFooter alignWithMargins="0">
    <oddHeader>&amp;LAnexo V</oddHeader>
  </headerFooter>
  <rowBreaks count="1" manualBreakCount="1">
    <brk id="60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BF24-781A-4BBE-8298-222A544D4156}">
  <dimension ref="A1:V62"/>
  <sheetViews>
    <sheetView showGridLines="0" topLeftCell="A28" zoomScale="110" zoomScaleNormal="110" zoomScaleSheetLayoutView="100" workbookViewId="0">
      <selection activeCell="B59" sqref="B59"/>
    </sheetView>
  </sheetViews>
  <sheetFormatPr baseColWidth="10" defaultColWidth="11.42578125" defaultRowHeight="12.75"/>
  <cols>
    <col min="1" max="1" width="3" style="98" bestFit="1" customWidth="1"/>
    <col min="2" max="2" width="41.28515625" style="98" customWidth="1"/>
    <col min="3" max="3" width="13.85546875" style="98" customWidth="1"/>
    <col min="4" max="5" width="13.85546875" style="175" customWidth="1"/>
    <col min="6" max="9" width="13.85546875" style="177" customWidth="1"/>
    <col min="10" max="13" width="13.85546875" style="155" customWidth="1"/>
    <col min="14" max="22" width="13.85546875" style="98" customWidth="1"/>
    <col min="23" max="16384" width="11.42578125" style="98"/>
  </cols>
  <sheetData>
    <row r="1" spans="1:22">
      <c r="B1" s="277" t="s">
        <v>87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2" ht="12.75" customHeight="1">
      <c r="B2" s="277" t="s">
        <v>190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3" spans="1:22" ht="12.75" customHeight="1">
      <c r="B3" s="277" t="s">
        <v>220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</row>
    <row r="4" spans="1:22" ht="13.5" thickBot="1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</row>
    <row r="5" spans="1:22" ht="47.25" customHeight="1">
      <c r="B5" s="284" t="s">
        <v>152</v>
      </c>
      <c r="C5" s="278" t="s">
        <v>153</v>
      </c>
      <c r="D5" s="279"/>
      <c r="E5" s="280" t="s">
        <v>154</v>
      </c>
      <c r="F5" s="281"/>
      <c r="G5" s="280" t="s">
        <v>155</v>
      </c>
      <c r="H5" s="281"/>
      <c r="I5" s="280" t="s">
        <v>156</v>
      </c>
      <c r="J5" s="281"/>
      <c r="K5" s="280" t="s">
        <v>157</v>
      </c>
      <c r="L5" s="281"/>
      <c r="M5" s="280" t="s">
        <v>158</v>
      </c>
      <c r="N5" s="281"/>
      <c r="O5" s="280" t="s">
        <v>159</v>
      </c>
      <c r="P5" s="281"/>
      <c r="Q5" s="280" t="s">
        <v>191</v>
      </c>
      <c r="R5" s="281"/>
      <c r="S5" s="280" t="s">
        <v>194</v>
      </c>
      <c r="T5" s="281"/>
      <c r="U5" s="282" t="s">
        <v>151</v>
      </c>
      <c r="V5" s="283"/>
    </row>
    <row r="6" spans="1:22">
      <c r="B6" s="285"/>
      <c r="C6" s="274" t="s">
        <v>237</v>
      </c>
      <c r="D6" s="275" t="s">
        <v>238</v>
      </c>
      <c r="E6" s="274" t="s">
        <v>237</v>
      </c>
      <c r="F6" s="275" t="s">
        <v>238</v>
      </c>
      <c r="G6" s="274" t="s">
        <v>237</v>
      </c>
      <c r="H6" s="275" t="s">
        <v>238</v>
      </c>
      <c r="I6" s="274" t="s">
        <v>237</v>
      </c>
      <c r="J6" s="275" t="s">
        <v>238</v>
      </c>
      <c r="K6" s="274" t="s">
        <v>237</v>
      </c>
      <c r="L6" s="275" t="s">
        <v>238</v>
      </c>
      <c r="M6" s="274" t="s">
        <v>237</v>
      </c>
      <c r="N6" s="275" t="s">
        <v>238</v>
      </c>
      <c r="O6" s="274" t="s">
        <v>237</v>
      </c>
      <c r="P6" s="275" t="s">
        <v>238</v>
      </c>
      <c r="Q6" s="274" t="s">
        <v>237</v>
      </c>
      <c r="R6" s="275" t="s">
        <v>238</v>
      </c>
      <c r="S6" s="274" t="s">
        <v>237</v>
      </c>
      <c r="T6" s="275" t="s">
        <v>238</v>
      </c>
      <c r="U6" s="272" t="s">
        <v>237</v>
      </c>
      <c r="V6" s="273" t="s">
        <v>238</v>
      </c>
    </row>
    <row r="7" spans="1:22">
      <c r="A7" s="250">
        <v>15</v>
      </c>
      <c r="B7" s="219" t="s">
        <v>1</v>
      </c>
      <c r="C7" s="271">
        <f>+D7/D$58*100</f>
        <v>0.11225138483429349</v>
      </c>
      <c r="D7" s="170">
        <v>5155570.2859869888</v>
      </c>
      <c r="E7" s="271">
        <f>+F7/F$58*100</f>
        <v>0.11074004982215055</v>
      </c>
      <c r="F7" s="170">
        <v>720983.83172234206</v>
      </c>
      <c r="G7" s="271">
        <f>+H7/H$58*100</f>
        <v>1.416307236554962</v>
      </c>
      <c r="H7" s="170">
        <v>3359768.8338808008</v>
      </c>
      <c r="I7" s="271">
        <f>+J7/J$58*100</f>
        <v>0.11379767585166148</v>
      </c>
      <c r="J7" s="170">
        <v>160948.18347978251</v>
      </c>
      <c r="K7" s="271">
        <f>+L7/L$58*100</f>
        <v>0.10557251021266506</v>
      </c>
      <c r="L7" s="170">
        <v>211400.15276140632</v>
      </c>
      <c r="M7" s="271">
        <f>+N7/N$58*100</f>
        <v>9.977927802246897E-2</v>
      </c>
      <c r="N7" s="170">
        <v>183026.20326772134</v>
      </c>
      <c r="O7" s="271">
        <f>+P7/P$58*100</f>
        <v>0.12139600436945901</v>
      </c>
      <c r="P7" s="170">
        <v>27225.630974231943</v>
      </c>
      <c r="Q7" s="271">
        <f>+R7/R$58*100</f>
        <v>5.7119073749730978E-2</v>
      </c>
      <c r="R7" s="170">
        <v>66568.112362261774</v>
      </c>
      <c r="S7" s="271">
        <f>+T7/T$58*100</f>
        <v>9.9348571141414307E-3</v>
      </c>
      <c r="T7" s="170">
        <v>19150.914003366197</v>
      </c>
      <c r="U7" s="271">
        <f>+V7/V$58*100</f>
        <v>0.1562739348122352</v>
      </c>
      <c r="V7" s="220">
        <f>+D7+F7+H7+J7+L7+N7+P7+R7+T7</f>
        <v>9904642.1484389026</v>
      </c>
    </row>
    <row r="8" spans="1:22">
      <c r="A8" s="250">
        <v>11</v>
      </c>
      <c r="B8" s="219" t="s">
        <v>2</v>
      </c>
      <c r="C8" s="271">
        <f t="shared" ref="C8:E57" si="0">+D8/D$58*100</f>
        <v>0.21293438517227878</v>
      </c>
      <c r="D8" s="170">
        <v>9779818.6693169866</v>
      </c>
      <c r="E8" s="271">
        <f t="shared" si="0"/>
        <v>0.20969471331817607</v>
      </c>
      <c r="F8" s="170">
        <v>1365237.7630573888</v>
      </c>
      <c r="G8" s="271">
        <f t="shared" ref="G8" si="1">+H8/H$58*100</f>
        <v>1.3133273100878962</v>
      </c>
      <c r="H8" s="170">
        <v>3115479.5027742456</v>
      </c>
      <c r="I8" s="271">
        <f t="shared" ref="I8" si="2">+J8/J$58*100</f>
        <v>0.21653343251236279</v>
      </c>
      <c r="J8" s="170">
        <v>306251.09313247929</v>
      </c>
      <c r="K8" s="271">
        <f t="shared" ref="K8" si="3">+L8/L$58*100</f>
        <v>0.19868476591719023</v>
      </c>
      <c r="L8" s="170">
        <v>397849.6843700083</v>
      </c>
      <c r="M8" s="271">
        <f t="shared" ref="M8" si="4">+N8/N$58*100</f>
        <v>0.18677462411190138</v>
      </c>
      <c r="N8" s="170">
        <v>342602.70263991272</v>
      </c>
      <c r="O8" s="271">
        <f t="shared" ref="O8" si="5">+P8/P$58*100</f>
        <v>0.23223657827182742</v>
      </c>
      <c r="P8" s="170">
        <v>52083.982595540867</v>
      </c>
      <c r="Q8" s="271">
        <f t="shared" ref="Q8" si="6">+R8/R$58*100</f>
        <v>7.4135238899023861E-2</v>
      </c>
      <c r="R8" s="170">
        <v>86399.211140159343</v>
      </c>
      <c r="S8" s="271">
        <f t="shared" ref="S8" si="7">+T8/T$58*100</f>
        <v>1.626203355913142E-2</v>
      </c>
      <c r="T8" s="170">
        <v>31347.487199134717</v>
      </c>
      <c r="U8" s="271">
        <f t="shared" ref="U8" si="8">+V8/V$58*100</f>
        <v>0.24419485399411489</v>
      </c>
      <c r="V8" s="220">
        <f t="shared" ref="V8:V57" si="9">+D8+F8+H8+J8+L8+N8+P8+R8+T8</f>
        <v>15477070.096225856</v>
      </c>
    </row>
    <row r="9" spans="1:22">
      <c r="A9" s="250">
        <v>12</v>
      </c>
      <c r="B9" s="219" t="s">
        <v>142</v>
      </c>
      <c r="C9" s="271">
        <f t="shared" si="0"/>
        <v>0.23119036065224252</v>
      </c>
      <c r="D9" s="170">
        <v>10618293.5341496</v>
      </c>
      <c r="E9" s="271">
        <f t="shared" si="0"/>
        <v>0.22856175666127498</v>
      </c>
      <c r="F9" s="170">
        <v>1488073.478091157</v>
      </c>
      <c r="G9" s="271">
        <f t="shared" ref="G9" si="10">+H9/H$58*100</f>
        <v>0.8221998851310679</v>
      </c>
      <c r="H9" s="170">
        <v>1950425.3582739758</v>
      </c>
      <c r="I9" s="271">
        <f t="shared" ref="I9" si="11">+J9/J$58*100</f>
        <v>0.23387235131060854</v>
      </c>
      <c r="J9" s="170">
        <v>330774.15534087474</v>
      </c>
      <c r="K9" s="271">
        <f t="shared" ref="K9" si="12">+L9/L$58*100</f>
        <v>0.21957225943057174</v>
      </c>
      <c r="L9" s="170">
        <v>439675.14926268649</v>
      </c>
      <c r="M9" s="271">
        <f t="shared" ref="M9" si="13">+N9/N$58*100</f>
        <v>0.20948302807938229</v>
      </c>
      <c r="N9" s="170">
        <v>384256.97237216879</v>
      </c>
      <c r="O9" s="271">
        <f t="shared" ref="O9" si="14">+P9/P$58*100</f>
        <v>0.24710306956577652</v>
      </c>
      <c r="P9" s="170">
        <v>55418.108854086138</v>
      </c>
      <c r="Q9" s="271">
        <f t="shared" ref="Q9" si="15">+R9/R$58*100</f>
        <v>6.5912136855048611E-2</v>
      </c>
      <c r="R9" s="170">
        <v>76815.785764108557</v>
      </c>
      <c r="S9" s="271">
        <f t="shared" ref="S9" si="16">+T9/T$58*100</f>
        <v>1.9881086605221448E-4</v>
      </c>
      <c r="T9" s="170">
        <v>383.23749953899068</v>
      </c>
      <c r="U9" s="271">
        <f t="shared" ref="U9" si="17">+V9/V$58*100</f>
        <v>0.24209712104256267</v>
      </c>
      <c r="V9" s="220">
        <f t="shared" si="9"/>
        <v>15344115.779608198</v>
      </c>
    </row>
    <row r="10" spans="1:22">
      <c r="A10" s="250">
        <v>13</v>
      </c>
      <c r="B10" s="219" t="s">
        <v>3</v>
      </c>
      <c r="C10" s="271">
        <f t="shared" si="0"/>
        <v>0.67163188752530578</v>
      </c>
      <c r="D10" s="170">
        <v>30847239.947715662</v>
      </c>
      <c r="E10" s="271">
        <f t="shared" si="0"/>
        <v>0.66645321166411087</v>
      </c>
      <c r="F10" s="170">
        <v>4339008.2538425978</v>
      </c>
      <c r="G10" s="271">
        <f t="shared" ref="G10" si="18">+H10/H$58*100</f>
        <v>1.7021944334113612</v>
      </c>
      <c r="H10" s="170">
        <v>4037951.4126410703</v>
      </c>
      <c r="I10" s="271">
        <f t="shared" ref="I10" si="19">+J10/J$58*100</f>
        <v>0.68267318475629768</v>
      </c>
      <c r="J10" s="170">
        <v>965529.46424063423</v>
      </c>
      <c r="K10" s="271">
        <f t="shared" ref="K10" si="20">+L10/L$58*100</f>
        <v>0.650113417887347</v>
      </c>
      <c r="L10" s="170">
        <v>1301797.9356252705</v>
      </c>
      <c r="M10" s="271">
        <f t="shared" ref="M10" si="21">+N10/N$58*100</f>
        <v>0.64053445803972808</v>
      </c>
      <c r="N10" s="170">
        <v>1174939.2483152598</v>
      </c>
      <c r="O10" s="271">
        <f t="shared" ref="O10" si="22">+P10/P$58*100</f>
        <v>0.69690319462747929</v>
      </c>
      <c r="P10" s="170">
        <v>156295.33525622782</v>
      </c>
      <c r="Q10" s="271">
        <f t="shared" ref="Q10" si="23">+R10/R$58*100</f>
        <v>0.62125270671207833</v>
      </c>
      <c r="R10" s="170">
        <v>724024.69562041294</v>
      </c>
      <c r="S10" s="271">
        <f t="shared" ref="S10" si="24">+T10/T$58*100</f>
        <v>0.99313093063346913</v>
      </c>
      <c r="T10" s="170">
        <v>1914407.5076401597</v>
      </c>
      <c r="U10" s="271">
        <f t="shared" ref="U10" si="25">+V10/V$58*100</f>
        <v>0.71727978962345018</v>
      </c>
      <c r="V10" s="220">
        <f t="shared" si="9"/>
        <v>45461193.800897293</v>
      </c>
    </row>
    <row r="11" spans="1:22">
      <c r="A11" s="250">
        <v>14</v>
      </c>
      <c r="B11" s="219" t="s">
        <v>143</v>
      </c>
      <c r="C11" s="271">
        <f t="shared" si="0"/>
        <v>0.78900369163993678</v>
      </c>
      <c r="D11" s="170">
        <v>36237984.895756684</v>
      </c>
      <c r="E11" s="271">
        <f t="shared" si="0"/>
        <v>0.77889975583255566</v>
      </c>
      <c r="F11" s="170">
        <v>5071102.3824681798</v>
      </c>
      <c r="G11" s="271">
        <f t="shared" ref="G11" si="26">+H11/H$58*100</f>
        <v>1.5120432262182768</v>
      </c>
      <c r="H11" s="170">
        <v>3586874.0735136401</v>
      </c>
      <c r="I11" s="271">
        <f t="shared" ref="I11" si="27">+J11/J$58*100</f>
        <v>0.79891296374764542</v>
      </c>
      <c r="J11" s="170">
        <v>1129931.6028320761</v>
      </c>
      <c r="K11" s="271">
        <f t="shared" ref="K11" si="28">+L11/L$58*100</f>
        <v>0.74425195335105043</v>
      </c>
      <c r="L11" s="170">
        <v>1490302.5069163539</v>
      </c>
      <c r="M11" s="271">
        <f t="shared" ref="M11" si="29">+N11/N$58*100</f>
        <v>0.70475698178124013</v>
      </c>
      <c r="N11" s="170">
        <v>1292743.3146268351</v>
      </c>
      <c r="O11" s="271">
        <f t="shared" ref="O11" si="30">+P11/P$58*100</f>
        <v>0.85059112817833793</v>
      </c>
      <c r="P11" s="170">
        <v>190763.11684246128</v>
      </c>
      <c r="Q11" s="271">
        <f t="shared" ref="Q11" si="31">+R11/R$58*100</f>
        <v>0.38589065271008827</v>
      </c>
      <c r="R11" s="170">
        <v>449727.39652089815</v>
      </c>
      <c r="S11" s="271">
        <f t="shared" ref="S11" si="32">+T11/T$58*100</f>
        <v>7.911009502202497E-2</v>
      </c>
      <c r="T11" s="170">
        <v>152496.4686616791</v>
      </c>
      <c r="U11" s="271">
        <f t="shared" ref="U11" si="33">+V11/V$58*100</f>
        <v>0.7826116275902455</v>
      </c>
      <c r="V11" s="220">
        <f t="shared" si="9"/>
        <v>49601925.758138813</v>
      </c>
    </row>
    <row r="12" spans="1:22">
      <c r="A12" s="250">
        <v>17</v>
      </c>
      <c r="B12" s="219" t="s">
        <v>4</v>
      </c>
      <c r="C12" s="271">
        <f t="shared" si="0"/>
        <v>6.73029832961263</v>
      </c>
      <c r="D12" s="170">
        <v>309114458.90134025</v>
      </c>
      <c r="E12" s="271">
        <f t="shared" si="0"/>
        <v>6.7752392769494323</v>
      </c>
      <c r="F12" s="170">
        <v>44110852.239779584</v>
      </c>
      <c r="G12" s="271">
        <f t="shared" ref="G12" si="34">+H12/H$58*100</f>
        <v>4.5666058367147349</v>
      </c>
      <c r="H12" s="170">
        <v>10832917.866134848</v>
      </c>
      <c r="I12" s="271">
        <f t="shared" ref="I12" si="35">+J12/J$58*100</f>
        <v>6.7190932194459805</v>
      </c>
      <c r="J12" s="170">
        <v>9503057.4236931149</v>
      </c>
      <c r="K12" s="271">
        <f t="shared" ref="K12" si="36">+L12/L$58*100</f>
        <v>6.9373465552533586</v>
      </c>
      <c r="L12" s="170">
        <v>13891458.28383874</v>
      </c>
      <c r="M12" s="271">
        <f t="shared" ref="M12" si="37">+N12/N$58*100</f>
        <v>7.1719895184305384</v>
      </c>
      <c r="N12" s="170">
        <v>13155657.541825876</v>
      </c>
      <c r="O12" s="271">
        <f t="shared" ref="O12" si="38">+P12/P$58*100</f>
        <v>6.4215882474281765</v>
      </c>
      <c r="P12" s="170">
        <v>1440177.4819610852</v>
      </c>
      <c r="Q12" s="271">
        <f t="shared" ref="Q12" si="39">+R12/R$58*100</f>
        <v>10.581170123808967</v>
      </c>
      <c r="R12" s="170">
        <v>12331581.650153073</v>
      </c>
      <c r="S12" s="271">
        <f t="shared" ref="S12" si="40">+T12/T$58*100</f>
        <v>13.771686372779563</v>
      </c>
      <c r="T12" s="170">
        <v>26546972.782428786</v>
      </c>
      <c r="U12" s="271">
        <f t="shared" ref="U12" si="41">+V12/V$58*100</f>
        <v>6.9568811462077091</v>
      </c>
      <c r="V12" s="220">
        <f t="shared" si="9"/>
        <v>440927134.17115539</v>
      </c>
    </row>
    <row r="13" spans="1:22">
      <c r="A13" s="250">
        <v>16</v>
      </c>
      <c r="B13" s="219" t="s">
        <v>5</v>
      </c>
      <c r="C13" s="271">
        <f t="shared" si="0"/>
        <v>0.86694557396039573</v>
      </c>
      <c r="D13" s="170">
        <v>39817761.244337559</v>
      </c>
      <c r="E13" s="271">
        <f t="shared" si="0"/>
        <v>0.85222870592692079</v>
      </c>
      <c r="F13" s="170">
        <v>5548517.6220325455</v>
      </c>
      <c r="G13" s="271">
        <f t="shared" ref="G13" si="42">+H13/H$58*100</f>
        <v>1.3880942512473504</v>
      </c>
      <c r="H13" s="170">
        <v>3292841.8943716753</v>
      </c>
      <c r="I13" s="271">
        <f t="shared" ref="I13" si="43">+J13/J$58*100</f>
        <v>0.88189896846956073</v>
      </c>
      <c r="J13" s="170">
        <v>1247301.7214595198</v>
      </c>
      <c r="K13" s="271">
        <f t="shared" ref="K13" si="44">+L13/L$58*100</f>
        <v>0.8018841105133987</v>
      </c>
      <c r="L13" s="170">
        <v>1605706.0982825866</v>
      </c>
      <c r="M13" s="271">
        <f t="shared" ref="M13" si="45">+N13/N$58*100</f>
        <v>0.74528568219398228</v>
      </c>
      <c r="N13" s="170">
        <v>1367085.5458689646</v>
      </c>
      <c r="O13" s="271">
        <f t="shared" ref="O13" si="46">+P13/P$58*100</f>
        <v>0.95610248845133872</v>
      </c>
      <c r="P13" s="170">
        <v>214426.27917883761</v>
      </c>
      <c r="Q13" s="271">
        <f t="shared" ref="Q13" si="47">+R13/R$58*100</f>
        <v>0.34139256917652411</v>
      </c>
      <c r="R13" s="170">
        <v>397868.12727668078</v>
      </c>
      <c r="S13" s="271">
        <f t="shared" ref="S13" si="48">+T13/T$58*100</f>
        <v>1.2927671999373065E-2</v>
      </c>
      <c r="T13" s="170">
        <v>24920.009606511012</v>
      </c>
      <c r="U13" s="271">
        <f t="shared" ref="U13" si="49">+V13/V$58*100</f>
        <v>0.84437405613277361</v>
      </c>
      <c r="V13" s="220">
        <f t="shared" si="9"/>
        <v>53516428.542414874</v>
      </c>
    </row>
    <row r="14" spans="1:22">
      <c r="A14" s="250">
        <v>18</v>
      </c>
      <c r="B14" s="219" t="s">
        <v>6</v>
      </c>
      <c r="C14" s="271">
        <f t="shared" si="0"/>
        <v>0.16174005716345091</v>
      </c>
      <c r="D14" s="170">
        <v>7428525.1268541543</v>
      </c>
      <c r="E14" s="271">
        <f t="shared" si="0"/>
        <v>0.16199572813206534</v>
      </c>
      <c r="F14" s="170">
        <v>1054688.8951096113</v>
      </c>
      <c r="G14" s="271">
        <f t="shared" ref="G14" si="50">+H14/H$58*100</f>
        <v>5.5181297289235651</v>
      </c>
      <c r="H14" s="170">
        <v>13090126.07295892</v>
      </c>
      <c r="I14" s="271">
        <f t="shared" ref="I14" si="51">+J14/J$58*100</f>
        <v>0.15932739566667178</v>
      </c>
      <c r="J14" s="170">
        <v>225342.51880980743</v>
      </c>
      <c r="K14" s="271">
        <f t="shared" ref="K14" si="52">+L14/L$58*100</f>
        <v>0.16236646498906093</v>
      </c>
      <c r="L14" s="170">
        <v>325125.31370973581</v>
      </c>
      <c r="M14" s="271">
        <f t="shared" ref="M14" si="53">+N14/N$58*100</f>
        <v>0.15950801280357993</v>
      </c>
      <c r="N14" s="170">
        <v>292587.26413759164</v>
      </c>
      <c r="O14" s="271">
        <f t="shared" ref="O14" si="54">+P14/P$58*100</f>
        <v>0.16246052253951962</v>
      </c>
      <c r="P14" s="170">
        <v>36435.22089145975</v>
      </c>
      <c r="Q14" s="271">
        <f t="shared" ref="Q14" si="55">+R14/R$58*100</f>
        <v>9.6495822256053021E-2</v>
      </c>
      <c r="R14" s="170">
        <v>112458.83934628811</v>
      </c>
      <c r="S14" s="271">
        <f t="shared" ref="S14" si="56">+T14/T$58*100</f>
        <v>2.5110573591023103E-2</v>
      </c>
      <c r="T14" s="170">
        <v>48404.363534567077</v>
      </c>
      <c r="U14" s="271">
        <f t="shared" ref="U14" si="57">+V14/V$58*100</f>
        <v>0.35679541259008446</v>
      </c>
      <c r="V14" s="220">
        <f t="shared" si="9"/>
        <v>22613693.615352135</v>
      </c>
    </row>
    <row r="15" spans="1:22">
      <c r="A15" s="250">
        <v>19</v>
      </c>
      <c r="B15" s="219" t="s">
        <v>127</v>
      </c>
      <c r="C15" s="271">
        <f t="shared" si="0"/>
        <v>1.5254770469971304</v>
      </c>
      <c r="D15" s="170">
        <v>70063315.005543411</v>
      </c>
      <c r="E15" s="271">
        <f t="shared" si="0"/>
        <v>1.5151785974981682</v>
      </c>
      <c r="F15" s="170">
        <v>9864717.1707286388</v>
      </c>
      <c r="G15" s="271">
        <f t="shared" ref="G15" si="58">+H15/H$58*100</f>
        <v>1.4974051330946538</v>
      </c>
      <c r="H15" s="170">
        <v>3552149.539320183</v>
      </c>
      <c r="I15" s="271">
        <f t="shared" ref="I15" si="59">+J15/J$58*100</f>
        <v>1.543366794446585</v>
      </c>
      <c r="J15" s="170">
        <v>2182839.6770861293</v>
      </c>
      <c r="K15" s="271">
        <f t="shared" ref="K15" si="60">+L15/L$58*100</f>
        <v>1.4817100345051146</v>
      </c>
      <c r="L15" s="170">
        <v>2967000.8509934307</v>
      </c>
      <c r="M15" s="271">
        <f t="shared" ref="M15" si="61">+N15/N$58*100</f>
        <v>1.4553792661569747</v>
      </c>
      <c r="N15" s="170">
        <v>2669617.8472978128</v>
      </c>
      <c r="O15" s="271">
        <f t="shared" ref="O15" si="62">+P15/P$58*100</f>
        <v>1.5800292133958127</v>
      </c>
      <c r="P15" s="170">
        <v>354355.09196415299</v>
      </c>
      <c r="Q15" s="271">
        <f t="shared" ref="Q15" si="63">+R15/R$58*100</f>
        <v>1.7816020305702309</v>
      </c>
      <c r="R15" s="170">
        <v>2076327.1595662287</v>
      </c>
      <c r="S15" s="271">
        <f t="shared" ref="S15" si="64">+T15/T$58*100</f>
        <v>0.97510352147187795</v>
      </c>
      <c r="T15" s="170">
        <v>1879656.9965265468</v>
      </c>
      <c r="U15" s="271">
        <f t="shared" ref="U15" si="65">+V15/V$58*100</f>
        <v>1.5085196875064422</v>
      </c>
      <c r="V15" s="220">
        <f t="shared" si="9"/>
        <v>95609979.339026541</v>
      </c>
    </row>
    <row r="16" spans="1:22">
      <c r="A16" s="250">
        <v>20</v>
      </c>
      <c r="B16" s="219" t="s">
        <v>128</v>
      </c>
      <c r="C16" s="271">
        <f t="shared" si="0"/>
        <v>0.47861235915499067</v>
      </c>
      <c r="D16" s="170">
        <v>21982086.555174153</v>
      </c>
      <c r="E16" s="271">
        <f t="shared" si="0"/>
        <v>0.49722766629452625</v>
      </c>
      <c r="F16" s="170">
        <v>3237248.9326050375</v>
      </c>
      <c r="G16" s="271">
        <f t="shared" ref="G16" si="66">+H16/H$58*100</f>
        <v>2.6401874411562254</v>
      </c>
      <c r="H16" s="170">
        <v>6263061.6094122846</v>
      </c>
      <c r="I16" s="271">
        <f t="shared" ref="I16" si="67">+J16/J$58*100</f>
        <v>0.45760922760360884</v>
      </c>
      <c r="J16" s="170">
        <v>647213.340476249</v>
      </c>
      <c r="K16" s="271">
        <f t="shared" ref="K16" si="68">+L16/L$58*100</f>
        <v>0.56042116836945499</v>
      </c>
      <c r="L16" s="170">
        <v>1122196.6813650313</v>
      </c>
      <c r="M16" s="271">
        <f t="shared" ref="M16" si="69">+N16/N$58*100</f>
        <v>0.62828695765678966</v>
      </c>
      <c r="N16" s="170">
        <v>1152473.5265838958</v>
      </c>
      <c r="O16" s="271">
        <f t="shared" ref="O16" si="70">+P16/P$58*100</f>
        <v>0.36803907257009194</v>
      </c>
      <c r="P16" s="170">
        <v>82540.574757275652</v>
      </c>
      <c r="Q16" s="271">
        <f t="shared" ref="Q16" si="71">+R16/R$58*100</f>
        <v>1.2276842368599823</v>
      </c>
      <c r="R16" s="170">
        <v>1430776.391486177</v>
      </c>
      <c r="S16" s="271">
        <f t="shared" ref="S16" si="72">+T16/T$58*100</f>
        <v>0.40702860113369099</v>
      </c>
      <c r="T16" s="170">
        <v>784608.13755703392</v>
      </c>
      <c r="U16" s="271">
        <f t="shared" ref="U16" si="73">+V16/V$58*100</f>
        <v>0.57908181060874175</v>
      </c>
      <c r="V16" s="220">
        <f t="shared" si="9"/>
        <v>36702205.749417141</v>
      </c>
    </row>
    <row r="17" spans="1:22">
      <c r="A17" s="250">
        <v>23</v>
      </c>
      <c r="B17" s="219" t="s">
        <v>129</v>
      </c>
      <c r="C17" s="271">
        <f t="shared" si="0"/>
        <v>0.3808707425893556</v>
      </c>
      <c r="D17" s="170">
        <v>17492932.369557612</v>
      </c>
      <c r="E17" s="271">
        <f t="shared" si="0"/>
        <v>0.37986760415993209</v>
      </c>
      <c r="F17" s="170">
        <v>2473164.8688461375</v>
      </c>
      <c r="G17" s="271">
        <f t="shared" ref="G17" si="74">+H17/H$58*100</f>
        <v>1.3965381576443345</v>
      </c>
      <c r="H17" s="170">
        <v>3312872.5577874747</v>
      </c>
      <c r="I17" s="271">
        <f t="shared" ref="I17" si="75">+J17/J$58*100</f>
        <v>0.3819437213241772</v>
      </c>
      <c r="J17" s="170">
        <v>540196.86850869085</v>
      </c>
      <c r="K17" s="271">
        <f t="shared" ref="K17" si="76">+L17/L$58*100</f>
        <v>0.37644923852684431</v>
      </c>
      <c r="L17" s="170">
        <v>753808.22499324207</v>
      </c>
      <c r="M17" s="271">
        <f t="shared" ref="M17" si="77">+N17/N$58*100</f>
        <v>0.37268791252084565</v>
      </c>
      <c r="N17" s="170">
        <v>683625.44793221192</v>
      </c>
      <c r="O17" s="271">
        <f t="shared" ref="O17" si="78">+P17/P$58*100</f>
        <v>0.38689099050570896</v>
      </c>
      <c r="P17" s="170">
        <v>86768.51754285171</v>
      </c>
      <c r="Q17" s="271">
        <f t="shared" ref="Q17" si="79">+R17/R$58*100</f>
        <v>0.20160017856665763</v>
      </c>
      <c r="R17" s="170">
        <v>234950.29695120905</v>
      </c>
      <c r="S17" s="271">
        <f t="shared" ref="S17" si="80">+T17/T$58*100</f>
        <v>2.3539315607086886E-2</v>
      </c>
      <c r="T17" s="170">
        <v>45375.530187318123</v>
      </c>
      <c r="U17" s="271">
        <f t="shared" ref="U17" si="81">+V17/V$58*100</f>
        <v>0.40428675084062005</v>
      </c>
      <c r="V17" s="220">
        <f t="shared" si="9"/>
        <v>25623694.682306748</v>
      </c>
    </row>
    <row r="18" spans="1:22">
      <c r="A18" s="250">
        <v>21</v>
      </c>
      <c r="B18" s="219" t="s">
        <v>7</v>
      </c>
      <c r="C18" s="271">
        <f t="shared" si="0"/>
        <v>0.7192877019117313</v>
      </c>
      <c r="D18" s="170">
        <v>33036013.840954132</v>
      </c>
      <c r="E18" s="271">
        <f t="shared" si="0"/>
        <v>0.70957340990263962</v>
      </c>
      <c r="F18" s="170">
        <v>4619746.4854089599</v>
      </c>
      <c r="G18" s="271">
        <f t="shared" ref="G18" si="82">+H18/H$58*100</f>
        <v>1.3688309234514189</v>
      </c>
      <c r="H18" s="170">
        <v>3247145.3627892858</v>
      </c>
      <c r="I18" s="271">
        <f t="shared" ref="I18" si="83">+J18/J$58*100</f>
        <v>0.72957736613703006</v>
      </c>
      <c r="J18" s="170">
        <v>1031867.7504519946</v>
      </c>
      <c r="K18" s="271">
        <f t="shared" ref="K18" si="84">+L18/L$58*100</f>
        <v>0.67645577953291203</v>
      </c>
      <c r="L18" s="170">
        <v>1354546.3193167343</v>
      </c>
      <c r="M18" s="271">
        <f t="shared" ref="M18" si="85">+N18/N$58*100</f>
        <v>0.64006797912764346</v>
      </c>
      <c r="N18" s="170">
        <v>1174083.5810276684</v>
      </c>
      <c r="O18" s="271">
        <f t="shared" ref="O18" si="86">+P18/P$58*100</f>
        <v>0.77767361435027293</v>
      </c>
      <c r="P18" s="170">
        <v>174409.81647353416</v>
      </c>
      <c r="Q18" s="271">
        <f t="shared" ref="Q18" si="87">+R18/R$58*100</f>
        <v>0.27151959115612301</v>
      </c>
      <c r="R18" s="170">
        <v>316436.27016485541</v>
      </c>
      <c r="S18" s="271">
        <f t="shared" ref="S18" si="88">+T18/T$58*100</f>
        <v>4.663967974131427E-2</v>
      </c>
      <c r="T18" s="170">
        <v>89904.916156173596</v>
      </c>
      <c r="U18" s="271">
        <f t="shared" ref="U18" si="89">+V18/V$58*100</f>
        <v>0.71069980459007365</v>
      </c>
      <c r="V18" s="220">
        <f t="shared" si="9"/>
        <v>45044154.342743352</v>
      </c>
    </row>
    <row r="19" spans="1:22">
      <c r="A19" s="250">
        <v>22</v>
      </c>
      <c r="B19" s="219" t="s">
        <v>130</v>
      </c>
      <c r="C19" s="271">
        <f t="shared" si="0"/>
        <v>0.49928568164718412</v>
      </c>
      <c r="D19" s="170">
        <v>22931587.243390314</v>
      </c>
      <c r="E19" s="271">
        <f t="shared" si="0"/>
        <v>0.50613799204392074</v>
      </c>
      <c r="F19" s="170">
        <v>3295260.4723416548</v>
      </c>
      <c r="G19" s="271">
        <f t="shared" ref="G19" si="90">+H19/H$58*100</f>
        <v>1.1548921148278621</v>
      </c>
      <c r="H19" s="170">
        <v>2739638.9948070156</v>
      </c>
      <c r="I19" s="271">
        <f t="shared" ref="I19" si="91">+J19/J$58*100</f>
        <v>0.49392770698087723</v>
      </c>
      <c r="J19" s="170">
        <v>698579.88411409035</v>
      </c>
      <c r="K19" s="271">
        <f t="shared" ref="K19" si="92">+L19/L$58*100</f>
        <v>0.5299026220920855</v>
      </c>
      <c r="L19" s="170">
        <v>1061085.8360124314</v>
      </c>
      <c r="M19" s="271">
        <f t="shared" ref="M19" si="93">+N19/N$58*100</f>
        <v>0.55821651027590258</v>
      </c>
      <c r="N19" s="170">
        <v>1023942.5510189448</v>
      </c>
      <c r="O19" s="271">
        <f t="shared" ref="O19" si="94">+P19/P$58*100</f>
        <v>0.45617005030875379</v>
      </c>
      <c r="P19" s="170">
        <v>102305.817359566</v>
      </c>
      <c r="Q19" s="271">
        <f t="shared" ref="Q19" si="95">+R19/R$58*100</f>
        <v>0.94592145884719836</v>
      </c>
      <c r="R19" s="170">
        <v>1102402.4345057143</v>
      </c>
      <c r="S19" s="271">
        <f t="shared" ref="S19" si="96">+T19/T$58*100</f>
        <v>1.4278217096349153</v>
      </c>
      <c r="T19" s="170">
        <v>2752338.6052966532</v>
      </c>
      <c r="U19" s="271">
        <f t="shared" ref="U19" si="97">+V19/V$58*100</f>
        <v>0.56338184382911916</v>
      </c>
      <c r="V19" s="220">
        <f t="shared" si="9"/>
        <v>35707141.838846393</v>
      </c>
    </row>
    <row r="20" spans="1:22">
      <c r="A20" s="250">
        <v>25</v>
      </c>
      <c r="B20" s="219" t="s">
        <v>8</v>
      </c>
      <c r="C20" s="271">
        <f t="shared" si="0"/>
        <v>1.9472678010928144</v>
      </c>
      <c r="D20" s="170">
        <v>89435653.992094681</v>
      </c>
      <c r="E20" s="271">
        <f t="shared" si="0"/>
        <v>1.9138236922741616</v>
      </c>
      <c r="F20" s="170">
        <v>12460134.712896135</v>
      </c>
      <c r="G20" s="271">
        <f t="shared" ref="G20" si="98">+H20/H$58*100</f>
        <v>0.82038507437555108</v>
      </c>
      <c r="H20" s="170">
        <v>1946120.258039786</v>
      </c>
      <c r="I20" s="271">
        <f t="shared" ref="I20" si="99">+J20/J$58*100</f>
        <v>1.9809635653990125</v>
      </c>
      <c r="J20" s="170">
        <v>2801748.6737269722</v>
      </c>
      <c r="K20" s="271">
        <f t="shared" ref="K20" si="100">+L20/L$58*100</f>
        <v>1.7993473260847364</v>
      </c>
      <c r="L20" s="170">
        <v>3603043.0539057935</v>
      </c>
      <c r="M20" s="271">
        <f t="shared" ref="M20" si="101">+N20/N$58*100</f>
        <v>1.6702158693513005</v>
      </c>
      <c r="N20" s="170">
        <v>3063694.9401059705</v>
      </c>
      <c r="O20" s="271">
        <f t="shared" ref="O20" si="102">+P20/P$58*100</f>
        <v>2.1501789058230734</v>
      </c>
      <c r="P20" s="170">
        <v>482223.26362863707</v>
      </c>
      <c r="Q20" s="271">
        <f t="shared" ref="Q20" si="103">+R20/R$58*100</f>
        <v>0.76345152781396197</v>
      </c>
      <c r="R20" s="170">
        <v>889747.04508228472</v>
      </c>
      <c r="S20" s="271">
        <f t="shared" ref="S20" si="104">+T20/T$58*100</f>
        <v>9.9622367907261419E-3</v>
      </c>
      <c r="T20" s="170">
        <v>19203.692400245949</v>
      </c>
      <c r="U20" s="271">
        <f t="shared" ref="U20" si="105">+V20/V$58*100</f>
        <v>1.8097438904785408</v>
      </c>
      <c r="V20" s="220">
        <f t="shared" si="9"/>
        <v>114701569.63188052</v>
      </c>
    </row>
    <row r="21" spans="1:22">
      <c r="A21" s="250">
        <v>27</v>
      </c>
      <c r="B21" s="219" t="s">
        <v>9</v>
      </c>
      <c r="C21" s="271">
        <f t="shared" si="0"/>
        <v>0.25203521039378785</v>
      </c>
      <c r="D21" s="170">
        <v>11575672.261387741</v>
      </c>
      <c r="E21" s="271">
        <f t="shared" si="0"/>
        <v>0.24824408395981318</v>
      </c>
      <c r="F21" s="170">
        <v>1616217.1783667447</v>
      </c>
      <c r="G21" s="271">
        <f t="shared" ref="G21" si="106">+H21/H$58*100</f>
        <v>0.69234516285809788</v>
      </c>
      <c r="H21" s="170">
        <v>1642383.5453364188</v>
      </c>
      <c r="I21" s="271">
        <f t="shared" ref="I21" si="107">+J21/J$58*100</f>
        <v>0.25593231788751863</v>
      </c>
      <c r="J21" s="170">
        <v>361974.36678286048</v>
      </c>
      <c r="K21" s="271">
        <f t="shared" ref="K21" si="108">+L21/L$58*100</f>
        <v>0.23528566151898117</v>
      </c>
      <c r="L21" s="170">
        <v>471139.92731143895</v>
      </c>
      <c r="M21" s="271">
        <f t="shared" ref="M21" si="109">+N21/N$58*100</f>
        <v>0.22078607331852362</v>
      </c>
      <c r="N21" s="170">
        <v>404990.26987124945</v>
      </c>
      <c r="O21" s="271">
        <f t="shared" ref="O21" si="110">+P21/P$58*100</f>
        <v>0.27495490978449638</v>
      </c>
      <c r="P21" s="170">
        <v>61664.475261998232</v>
      </c>
      <c r="Q21" s="271">
        <f t="shared" ref="Q21" si="111">+R21/R$58*100</f>
        <v>6.4471022596523458E-2</v>
      </c>
      <c r="R21" s="170">
        <v>75136.272256787153</v>
      </c>
      <c r="S21" s="271">
        <f t="shared" ref="S21" si="112">+T21/T$58*100</f>
        <v>1.5634991599157517E-3</v>
      </c>
      <c r="T21" s="170">
        <v>3013.8770605227246</v>
      </c>
      <c r="U21" s="271">
        <f t="shared" ref="U21" si="113">+V21/V$58*100</f>
        <v>0.25579349813314595</v>
      </c>
      <c r="V21" s="220">
        <f t="shared" si="9"/>
        <v>16212192.173635762</v>
      </c>
    </row>
    <row r="22" spans="1:22">
      <c r="A22" s="250">
        <v>26</v>
      </c>
      <c r="B22" s="219" t="s">
        <v>131</v>
      </c>
      <c r="C22" s="271">
        <f t="shared" si="0"/>
        <v>0.17605368648880498</v>
      </c>
      <c r="D22" s="170">
        <v>8085932.8028785009</v>
      </c>
      <c r="E22" s="271">
        <f t="shared" si="0"/>
        <v>0.17324973217708337</v>
      </c>
      <c r="F22" s="170">
        <v>1127959.1796329333</v>
      </c>
      <c r="G22" s="271">
        <f t="shared" ref="G22" si="114">+H22/H$58*100</f>
        <v>1.8056918901077412</v>
      </c>
      <c r="H22" s="170">
        <v>4283468.4307142394</v>
      </c>
      <c r="I22" s="271">
        <f t="shared" ref="I22" si="115">+J22/J$58*100</f>
        <v>0.17943262991483658</v>
      </c>
      <c r="J22" s="170">
        <v>253778.08136818276</v>
      </c>
      <c r="K22" s="271">
        <f t="shared" ref="K22" si="116">+L22/L$58*100</f>
        <v>0.16378260599070313</v>
      </c>
      <c r="L22" s="170">
        <v>327961.01803727139</v>
      </c>
      <c r="M22" s="271">
        <f t="shared" ref="M22" si="117">+N22/N$58*100</f>
        <v>0.15394407728322193</v>
      </c>
      <c r="N22" s="170">
        <v>282381.27734654455</v>
      </c>
      <c r="O22" s="271">
        <f t="shared" ref="O22" si="118">+P22/P$58*100</f>
        <v>0.19248162058254717</v>
      </c>
      <c r="P22" s="170">
        <v>43168.089415477938</v>
      </c>
      <c r="Q22" s="271">
        <f t="shared" ref="Q22" si="119">+R22/R$58*100</f>
        <v>7.0749537866547113E-2</v>
      </c>
      <c r="R22" s="170">
        <v>82453.423648183452</v>
      </c>
      <c r="S22" s="271">
        <f t="shared" ref="S22" si="120">+T22/T$58*100</f>
        <v>4.6743350895233772E-2</v>
      </c>
      <c r="T22" s="170">
        <v>90104.75771710719</v>
      </c>
      <c r="U22" s="271">
        <f t="shared" ref="U22" si="121">+V22/V$58*100</f>
        <v>0.2299969521176963</v>
      </c>
      <c r="V22" s="220">
        <f t="shared" si="9"/>
        <v>14577207.060758438</v>
      </c>
    </row>
    <row r="23" spans="1:22">
      <c r="A23" s="250">
        <v>29</v>
      </c>
      <c r="B23" s="219" t="s">
        <v>10</v>
      </c>
      <c r="C23" s="271">
        <f t="shared" si="0"/>
        <v>1.5551233232983455</v>
      </c>
      <c r="D23" s="170">
        <v>71424932.605311409</v>
      </c>
      <c r="E23" s="271">
        <f t="shared" si="0"/>
        <v>1.5335208378419762</v>
      </c>
      <c r="F23" s="170">
        <v>9984136.1049506254</v>
      </c>
      <c r="G23" s="271">
        <f t="shared" ref="G23" si="122">+H23/H$58*100</f>
        <v>0.88598069337115992</v>
      </c>
      <c r="H23" s="170">
        <v>2101726.4080702239</v>
      </c>
      <c r="I23" s="271">
        <f t="shared" ref="I23" si="123">+J23/J$58*100</f>
        <v>1.5768705966034968</v>
      </c>
      <c r="J23" s="170">
        <v>2230225.32056667</v>
      </c>
      <c r="K23" s="271">
        <f t="shared" ref="K23" si="124">+L23/L$58*100</f>
        <v>1.4595733548212826</v>
      </c>
      <c r="L23" s="170">
        <v>2922673.9949078299</v>
      </c>
      <c r="M23" s="271">
        <f t="shared" ref="M23" si="125">+N23/N$58*100</f>
        <v>1.3761322059269645</v>
      </c>
      <c r="N23" s="170">
        <v>2524254.1120464816</v>
      </c>
      <c r="O23" s="271">
        <f t="shared" ref="O23" si="126">+P23/P$58*100</f>
        <v>1.6862079381855153</v>
      </c>
      <c r="P23" s="170">
        <v>378167.92496021371</v>
      </c>
      <c r="Q23" s="271">
        <f t="shared" ref="Q23" si="127">+R23/R$58*100</f>
        <v>0.81653977954942258</v>
      </c>
      <c r="R23" s="170">
        <v>951617.52852405852</v>
      </c>
      <c r="S23" s="271">
        <f t="shared" ref="S23" si="128">+T23/T$58*100</f>
        <v>3.4564678702641488E-2</v>
      </c>
      <c r="T23" s="170">
        <v>66628.556584477396</v>
      </c>
      <c r="U23" s="271">
        <f t="shared" ref="U23" si="129">+V23/V$58*100</f>
        <v>1.4607819668655997</v>
      </c>
      <c r="V23" s="220">
        <f t="shared" si="9"/>
        <v>92584362.555921972</v>
      </c>
    </row>
    <row r="24" spans="1:22">
      <c r="A24" s="250">
        <v>30</v>
      </c>
      <c r="B24" s="219" t="s">
        <v>132</v>
      </c>
      <c r="C24" s="271">
        <f t="shared" si="0"/>
        <v>2.6471153445812083</v>
      </c>
      <c r="D24" s="170">
        <v>121578804.87843858</v>
      </c>
      <c r="E24" s="271">
        <f t="shared" si="0"/>
        <v>2.6844865012708494</v>
      </c>
      <c r="F24" s="170">
        <v>17477609.654335033</v>
      </c>
      <c r="G24" s="271">
        <f t="shared" ref="G24" si="130">+H24/H$58*100</f>
        <v>1.6199311670742602</v>
      </c>
      <c r="H24" s="170">
        <v>3842806.2130126962</v>
      </c>
      <c r="I24" s="271">
        <f t="shared" ref="I24" si="131">+J24/J$58*100</f>
        <v>2.6223908264465847</v>
      </c>
      <c r="J24" s="170">
        <v>3708942.5309599694</v>
      </c>
      <c r="K24" s="271">
        <f t="shared" ref="K24" si="132">+L24/L$58*100</f>
        <v>2.8154795355925812</v>
      </c>
      <c r="L24" s="170">
        <v>5637763.1139198057</v>
      </c>
      <c r="M24" s="271">
        <f t="shared" ref="M24" si="133">+N24/N$58*100</f>
        <v>2.9828941560404658</v>
      </c>
      <c r="N24" s="170">
        <v>5471554.8453519605</v>
      </c>
      <c r="O24" s="271">
        <f t="shared" ref="O24" si="134">+P24/P$58*100</f>
        <v>2.4067302007518729</v>
      </c>
      <c r="P24" s="170">
        <v>539760.33758730919</v>
      </c>
      <c r="Q24" s="271">
        <f t="shared" ref="Q24" si="135">+R24/R$58*100</f>
        <v>5.4515844950350534</v>
      </c>
      <c r="R24" s="170">
        <v>6353423.9159395816</v>
      </c>
      <c r="S24" s="271">
        <f t="shared" ref="S24" si="136">+T24/T$58*100</f>
        <v>8.740481320096384</v>
      </c>
      <c r="T24" s="170">
        <v>16848577.104438826</v>
      </c>
      <c r="U24" s="271">
        <f t="shared" ref="U24" si="137">+V24/V$58*100</f>
        <v>2.8630362837166472</v>
      </c>
      <c r="V24" s="220">
        <f t="shared" si="9"/>
        <v>181459242.59398371</v>
      </c>
    </row>
    <row r="25" spans="1:22">
      <c r="A25" s="250">
        <v>32</v>
      </c>
      <c r="B25" s="219" t="s">
        <v>11</v>
      </c>
      <c r="C25" s="271">
        <f t="shared" si="0"/>
        <v>0.32910769968046</v>
      </c>
      <c r="D25" s="170">
        <v>15115518.439855767</v>
      </c>
      <c r="E25" s="271">
        <f t="shared" si="0"/>
        <v>0.32705859952866939</v>
      </c>
      <c r="F25" s="170">
        <v>2129346.7238332126</v>
      </c>
      <c r="G25" s="271">
        <f t="shared" ref="G25" si="138">+H25/H$58*100</f>
        <v>4.253140150500843</v>
      </c>
      <c r="H25" s="170">
        <v>10089313.501311973</v>
      </c>
      <c r="I25" s="271">
        <f t="shared" ref="I25" si="139">+J25/J$58*100</f>
        <v>0.33490067359298792</v>
      </c>
      <c r="J25" s="170">
        <v>473662.17857743707</v>
      </c>
      <c r="K25" s="271">
        <f t="shared" ref="K25" si="140">+L25/L$58*100</f>
        <v>0.32092266721984913</v>
      </c>
      <c r="L25" s="170">
        <v>642620.89381232916</v>
      </c>
      <c r="M25" s="271">
        <f t="shared" ref="M25" si="141">+N25/N$58*100</f>
        <v>0.31966968608921975</v>
      </c>
      <c r="N25" s="170">
        <v>586373.54473059031</v>
      </c>
      <c r="O25" s="271">
        <f t="shared" ref="O25" si="142">+P25/P$58*100</f>
        <v>0.3376075169569569</v>
      </c>
      <c r="P25" s="170">
        <v>75715.652409967559</v>
      </c>
      <c r="Q25" s="271">
        <f t="shared" ref="Q25" si="143">+R25/R$58*100</f>
        <v>0.15978488838895843</v>
      </c>
      <c r="R25" s="170">
        <v>186217.62759445549</v>
      </c>
      <c r="S25" s="271">
        <f t="shared" ref="S25" si="144">+T25/T$58*100</f>
        <v>1.3920311921963234E-2</v>
      </c>
      <c r="T25" s="170">
        <v>26833.470623154451</v>
      </c>
      <c r="U25" s="271">
        <f t="shared" ref="U25" si="145">+V25/V$58*100</f>
        <v>0.46269488101775219</v>
      </c>
      <c r="V25" s="220">
        <f t="shared" si="9"/>
        <v>29325602.032748885</v>
      </c>
    </row>
    <row r="26" spans="1:22">
      <c r="A26" s="250">
        <v>33</v>
      </c>
      <c r="B26" s="219" t="s">
        <v>12</v>
      </c>
      <c r="C26" s="271">
        <f t="shared" si="0"/>
        <v>4.9011104867866235</v>
      </c>
      <c r="D26" s="170">
        <v>225102074.52065936</v>
      </c>
      <c r="E26" s="271">
        <f t="shared" si="0"/>
        <v>4.9168822286723604</v>
      </c>
      <c r="F26" s="170">
        <v>32011838.490672302</v>
      </c>
      <c r="G26" s="271">
        <f t="shared" ref="G26" si="146">+H26/H$58*100</f>
        <v>2.6159372467286666</v>
      </c>
      <c r="H26" s="170">
        <v>6205535.2158795912</v>
      </c>
      <c r="I26" s="271">
        <f t="shared" ref="I26" si="147">+J26/J$58*100</f>
        <v>4.899231015868927</v>
      </c>
      <c r="J26" s="170">
        <v>6929160.2534991559</v>
      </c>
      <c r="K26" s="271">
        <f t="shared" ref="K26" si="148">+L26/L$58*100</f>
        <v>4.9742359066048198</v>
      </c>
      <c r="L26" s="170">
        <v>9960492.8253508657</v>
      </c>
      <c r="M26" s="271">
        <f t="shared" ref="M26" si="149">+N26/N$58*100</f>
        <v>5.0600952607744683</v>
      </c>
      <c r="N26" s="170">
        <v>9281787.1817431785</v>
      </c>
      <c r="O26" s="271">
        <f t="shared" ref="O26" si="150">+P26/P$58*100</f>
        <v>4.7906243016672434</v>
      </c>
      <c r="P26" s="170">
        <v>1074399.1950215553</v>
      </c>
      <c r="Q26" s="271">
        <f t="shared" ref="Q26" si="151">+R26/R$58*100</f>
        <v>7.4438358764209385</v>
      </c>
      <c r="R26" s="170">
        <v>8675247.5223770272</v>
      </c>
      <c r="S26" s="271">
        <f t="shared" ref="S26" si="152">+T26/T$58*100</f>
        <v>4.4888999754675991</v>
      </c>
      <c r="T26" s="170">
        <v>8653022.0225841515</v>
      </c>
      <c r="U26" s="271">
        <f t="shared" ref="U26" si="153">+V26/V$58*100</f>
        <v>4.8578976373120222</v>
      </c>
      <c r="V26" s="220">
        <f t="shared" si="9"/>
        <v>307893557.2277872</v>
      </c>
    </row>
    <row r="27" spans="1:22">
      <c r="A27" s="250">
        <v>34</v>
      </c>
      <c r="B27" s="219" t="s">
        <v>133</v>
      </c>
      <c r="C27" s="271">
        <f t="shared" si="0"/>
        <v>0.62110592734731973</v>
      </c>
      <c r="D27" s="170">
        <v>28526643.731026441</v>
      </c>
      <c r="E27" s="271">
        <f t="shared" si="0"/>
        <v>0.61420743735562167</v>
      </c>
      <c r="F27" s="170">
        <v>3998857.0744569018</v>
      </c>
      <c r="G27" s="271">
        <f t="shared" ref="G27" si="154">+H27/H$58*100</f>
        <v>1.3701946327568895</v>
      </c>
      <c r="H27" s="170">
        <v>3250380.358632517</v>
      </c>
      <c r="I27" s="271">
        <f t="shared" ref="I27" si="155">+J27/J$58*100</f>
        <v>0.62894865828030688</v>
      </c>
      <c r="J27" s="170">
        <v>889544.91640247242</v>
      </c>
      <c r="K27" s="271">
        <f t="shared" ref="K27" si="156">+L27/L$58*100</f>
        <v>0.59080659519334988</v>
      </c>
      <c r="L27" s="170">
        <v>1183040.9661068874</v>
      </c>
      <c r="M27" s="271">
        <f t="shared" ref="M27" si="157">+N27/N$58*100</f>
        <v>0.56576648717885203</v>
      </c>
      <c r="N27" s="170">
        <v>1037791.5548872096</v>
      </c>
      <c r="O27" s="271">
        <f t="shared" ref="O27" si="158">+P27/P$58*100</f>
        <v>0.66201825427397187</v>
      </c>
      <c r="P27" s="170">
        <v>148471.64684443997</v>
      </c>
      <c r="Q27" s="271">
        <f t="shared" ref="Q27" si="159">+R27/R$58*100</f>
        <v>0.31811644859333715</v>
      </c>
      <c r="R27" s="170">
        <v>370741.50724204758</v>
      </c>
      <c r="S27" s="271">
        <f t="shared" ref="S27" si="160">+T27/T$58*100</f>
        <v>0.17949292289477639</v>
      </c>
      <c r="T27" s="170">
        <v>345999.29229759902</v>
      </c>
      <c r="U27" s="271">
        <f t="shared" ref="U27" si="161">+V27/V$58*100</f>
        <v>0.62719265392223622</v>
      </c>
      <c r="V27" s="220">
        <f t="shared" si="9"/>
        <v>39751471.047896519</v>
      </c>
    </row>
    <row r="28" spans="1:22">
      <c r="A28" s="250">
        <v>35</v>
      </c>
      <c r="B28" s="219" t="s">
        <v>13</v>
      </c>
      <c r="C28" s="271">
        <f t="shared" si="0"/>
        <v>0.10579038532285998</v>
      </c>
      <c r="D28" s="170">
        <v>4858824.3959643776</v>
      </c>
      <c r="E28" s="271">
        <f t="shared" si="0"/>
        <v>0.1051233068056216</v>
      </c>
      <c r="F28" s="170">
        <v>684415.48171382735</v>
      </c>
      <c r="G28" s="271">
        <f t="shared" ref="G28" si="162">+H28/H$58*100</f>
        <v>1.5637480441473401</v>
      </c>
      <c r="H28" s="170">
        <v>3709528.4181049289</v>
      </c>
      <c r="I28" s="271">
        <f t="shared" ref="I28" si="163">+J28/J$58*100</f>
        <v>0.10645883283960547</v>
      </c>
      <c r="J28" s="170">
        <v>150568.59142929633</v>
      </c>
      <c r="K28" s="271">
        <f t="shared" ref="K28" si="164">+L28/L$58*100</f>
        <v>0.1028392281583972</v>
      </c>
      <c r="L28" s="170">
        <v>205926.98325309128</v>
      </c>
      <c r="M28" s="271">
        <f t="shared" ref="M28" si="165">+N28/N$58*100</f>
        <v>0.10025718433730769</v>
      </c>
      <c r="N28" s="170">
        <v>183902.8319631395</v>
      </c>
      <c r="O28" s="271">
        <f t="shared" ref="O28" si="166">+P28/P$58*100</f>
        <v>0.10984145766291989</v>
      </c>
      <c r="P28" s="170">
        <v>24634.27859537306</v>
      </c>
      <c r="Q28" s="271">
        <f t="shared" ref="Q28" si="167">+R28/R$58*100</f>
        <v>4.4543542310417718E-2</v>
      </c>
      <c r="R28" s="170">
        <v>51912.248131422362</v>
      </c>
      <c r="S28" s="271">
        <f t="shared" ref="S28" si="168">+T28/T$58*100</f>
        <v>3.1324558231668426E-3</v>
      </c>
      <c r="T28" s="170">
        <v>6038.2742700367608</v>
      </c>
      <c r="U28" s="271">
        <f t="shared" ref="U28" si="169">+V28/V$58*100</f>
        <v>0.15581810261680143</v>
      </c>
      <c r="V28" s="220">
        <f t="shared" si="9"/>
        <v>9875751.5034254938</v>
      </c>
    </row>
    <row r="29" spans="1:22">
      <c r="A29" s="250">
        <v>61</v>
      </c>
      <c r="B29" s="219" t="s">
        <v>14</v>
      </c>
      <c r="C29" s="271">
        <f t="shared" si="0"/>
        <v>0.44080119937381645</v>
      </c>
      <c r="D29" s="170">
        <v>20245465.736337062</v>
      </c>
      <c r="E29" s="271">
        <f t="shared" si="0"/>
        <v>0.43384309480042199</v>
      </c>
      <c r="F29" s="170">
        <v>2824577.5341246198</v>
      </c>
      <c r="G29" s="271">
        <f t="shared" ref="G29" si="170">+H29/H$58*100</f>
        <v>1.3271259093318877</v>
      </c>
      <c r="H29" s="170">
        <v>3148212.5867369748</v>
      </c>
      <c r="I29" s="271">
        <f t="shared" ref="I29" si="171">+J29/J$58*100</f>
        <v>0.44779380497999044</v>
      </c>
      <c r="J29" s="170">
        <v>633331.03198853415</v>
      </c>
      <c r="K29" s="271">
        <f t="shared" ref="K29" si="172">+L29/L$58*100</f>
        <v>0.41002189304413966</v>
      </c>
      <c r="L29" s="170">
        <v>821034.66755168326</v>
      </c>
      <c r="M29" s="271">
        <f t="shared" ref="M29" si="173">+N29/N$58*100</f>
        <v>0.38312398909892992</v>
      </c>
      <c r="N29" s="170">
        <v>702768.45548802754</v>
      </c>
      <c r="O29" s="271">
        <f t="shared" ref="O29" si="174">+P29/P$58*100</f>
        <v>0.48303603452357891</v>
      </c>
      <c r="P29" s="170">
        <v>108331.08463085347</v>
      </c>
      <c r="Q29" s="271">
        <f t="shared" ref="Q29" si="175">+R29/R$58*100</f>
        <v>0.15414463821269289</v>
      </c>
      <c r="R29" s="170">
        <v>179644.32759435388</v>
      </c>
      <c r="S29" s="271">
        <f t="shared" ref="S29" si="176">+T29/T$58*100</f>
        <v>1.0689887102118111E-3</v>
      </c>
      <c r="T29" s="170">
        <v>2060.6346547949261</v>
      </c>
      <c r="U29" s="271">
        <f t="shared" ref="U29" si="177">+V29/V$58*100</f>
        <v>0.45227872508567829</v>
      </c>
      <c r="V29" s="220">
        <f t="shared" si="9"/>
        <v>28665426.059106905</v>
      </c>
    </row>
    <row r="30" spans="1:22">
      <c r="A30" s="250">
        <v>36</v>
      </c>
      <c r="B30" s="219" t="s">
        <v>15</v>
      </c>
      <c r="C30" s="271">
        <f t="shared" si="0"/>
        <v>0.63290920130147588</v>
      </c>
      <c r="D30" s="170">
        <v>29068753.82227603</v>
      </c>
      <c r="E30" s="271">
        <f t="shared" si="0"/>
        <v>0.6440170275951379</v>
      </c>
      <c r="F30" s="170">
        <v>4192935.3020491418</v>
      </c>
      <c r="G30" s="271">
        <f t="shared" ref="G30" si="178">+H30/H$58*100</f>
        <v>1.7623519541632529</v>
      </c>
      <c r="H30" s="170">
        <v>4180657.2875594036</v>
      </c>
      <c r="I30" s="271">
        <f t="shared" ref="I30" si="179">+J30/J$58*100</f>
        <v>0.62106916579670013</v>
      </c>
      <c r="J30" s="170">
        <v>878400.66418037761</v>
      </c>
      <c r="K30" s="271">
        <f t="shared" ref="K30" si="180">+L30/L$58*100</f>
        <v>0.68189053128170685</v>
      </c>
      <c r="L30" s="170">
        <v>1365428.9567343839</v>
      </c>
      <c r="M30" s="271">
        <f t="shared" ref="M30" si="181">+N30/N$58*100</f>
        <v>0.72362600826314483</v>
      </c>
      <c r="N30" s="170">
        <v>1327354.9729269024</v>
      </c>
      <c r="O30" s="271">
        <f t="shared" ref="O30" si="182">+P30/P$58*100</f>
        <v>0.56619808600009125</v>
      </c>
      <c r="P30" s="170">
        <v>126981.94003849009</v>
      </c>
      <c r="Q30" s="271">
        <f t="shared" ref="Q30" si="183">+R30/R$58*100</f>
        <v>1.4857485817545053</v>
      </c>
      <c r="R30" s="170">
        <v>1731531.5539893676</v>
      </c>
      <c r="S30" s="271">
        <f t="shared" ref="S30" si="184">+T30/T$58*100</f>
        <v>0.51848968643175319</v>
      </c>
      <c r="T30" s="170">
        <v>999465.9492739893</v>
      </c>
      <c r="U30" s="271">
        <f t="shared" ref="U30" si="185">+V30/V$58*100</f>
        <v>0.69219800789130947</v>
      </c>
      <c r="V30" s="220">
        <f t="shared" si="9"/>
        <v>43871510.449028075</v>
      </c>
    </row>
    <row r="31" spans="1:22">
      <c r="A31" s="250">
        <v>28</v>
      </c>
      <c r="B31" s="219" t="s">
        <v>16</v>
      </c>
      <c r="C31" s="271">
        <f t="shared" si="0"/>
        <v>8.1463219916099252</v>
      </c>
      <c r="D31" s="170">
        <v>374150712.36783129</v>
      </c>
      <c r="E31" s="271">
        <f t="shared" si="0"/>
        <v>8.1879959697591431</v>
      </c>
      <c r="F31" s="170">
        <v>53308741.669206142</v>
      </c>
      <c r="G31" s="271">
        <f t="shared" ref="G31" si="186">+H31/H$58*100</f>
        <v>5.0418907001097688</v>
      </c>
      <c r="H31" s="170">
        <v>11960390.232324343</v>
      </c>
      <c r="I31" s="271">
        <f t="shared" ref="I31" si="187">+J31/J$58*100</f>
        <v>7.9277141971331844</v>
      </c>
      <c r="J31" s="170">
        <v>11212453.941842427</v>
      </c>
      <c r="K31" s="271">
        <f t="shared" ref="K31" si="188">+L31/L$58*100</f>
        <v>8.2894495714397394</v>
      </c>
      <c r="L31" s="170">
        <v>16598931.882744119</v>
      </c>
      <c r="M31" s="271">
        <f t="shared" ref="M31" si="189">+N31/N$58*100</f>
        <v>8.1361243642881274</v>
      </c>
      <c r="N31" s="170">
        <v>14924180.463345587</v>
      </c>
      <c r="O31" s="271">
        <f t="shared" ref="O31" si="190">+P31/P$58*100</f>
        <v>8.079532117766032</v>
      </c>
      <c r="P31" s="170">
        <v>1812006.5897168289</v>
      </c>
      <c r="Q31" s="271">
        <f t="shared" ref="Q31" si="191">+R31/R$58*100</f>
        <v>10.762617910517816</v>
      </c>
      <c r="R31" s="170">
        <v>12543045.804954344</v>
      </c>
      <c r="S31" s="271">
        <f t="shared" ref="S31" si="192">+T31/T$58*100</f>
        <v>5.5453416246835632</v>
      </c>
      <c r="T31" s="170">
        <v>10689470.352063494</v>
      </c>
      <c r="U31" s="271">
        <f t="shared" ref="U31" si="193">+V31/V$58*100</f>
        <v>8.0025232740403975</v>
      </c>
      <c r="V31" s="220">
        <f t="shared" si="9"/>
        <v>507199933.30402863</v>
      </c>
    </row>
    <row r="32" spans="1:22">
      <c r="A32" s="250">
        <v>37</v>
      </c>
      <c r="B32" s="219" t="s">
        <v>134</v>
      </c>
      <c r="C32" s="271">
        <f t="shared" si="0"/>
        <v>0.17399491731068659</v>
      </c>
      <c r="D32" s="170">
        <v>7991376.0255515957</v>
      </c>
      <c r="E32" s="271">
        <f t="shared" si="0"/>
        <v>0.17093928878849435</v>
      </c>
      <c r="F32" s="170">
        <v>1112916.8139309336</v>
      </c>
      <c r="G32" s="271">
        <f t="shared" ref="G32" si="194">+H32/H$58*100</f>
        <v>0.88725291213981183</v>
      </c>
      <c r="H32" s="170">
        <v>2104744.3697514702</v>
      </c>
      <c r="I32" s="271">
        <f t="shared" ref="I32" si="195">+J32/J$58*100</f>
        <v>0.1771215879003733</v>
      </c>
      <c r="J32" s="170">
        <v>250509.490763062</v>
      </c>
      <c r="K32" s="271">
        <f t="shared" ref="K32" si="196">+L32/L$58*100</f>
        <v>0.16049153142040393</v>
      </c>
      <c r="L32" s="170">
        <v>321370.91550481343</v>
      </c>
      <c r="M32" s="271">
        <f t="shared" ref="M32" si="197">+N32/N$58*100</f>
        <v>0.14877931185169874</v>
      </c>
      <c r="N32" s="170">
        <v>272907.49254438147</v>
      </c>
      <c r="O32" s="271">
        <f t="shared" ref="O32" si="198">+P32/P$58*100</f>
        <v>0.19248322113173386</v>
      </c>
      <c r="P32" s="170">
        <v>43168.448372609506</v>
      </c>
      <c r="Q32" s="271">
        <f t="shared" ref="Q32" si="199">+R32/R$58*100</f>
        <v>5.1512638930288276E-2</v>
      </c>
      <c r="R32" s="170">
        <v>60034.221692962943</v>
      </c>
      <c r="S32" s="271">
        <f t="shared" ref="S32" si="200">+T32/T$58*100</f>
        <v>1.437972345349553E-3</v>
      </c>
      <c r="T32" s="170">
        <v>2771.9054646301229</v>
      </c>
      <c r="U32" s="271">
        <f t="shared" ref="U32" si="201">+V32/V$58*100</f>
        <v>0.19185546682073423</v>
      </c>
      <c r="V32" s="220">
        <f t="shared" si="9"/>
        <v>12159799.683576459</v>
      </c>
    </row>
    <row r="33" spans="1:22">
      <c r="A33" s="250">
        <v>39</v>
      </c>
      <c r="B33" s="219" t="s">
        <v>17</v>
      </c>
      <c r="C33" s="271">
        <f t="shared" si="0"/>
        <v>0.30436152393161547</v>
      </c>
      <c r="D33" s="170">
        <v>13978956.529542673</v>
      </c>
      <c r="E33" s="271">
        <f t="shared" si="0"/>
        <v>0.29956442206670725</v>
      </c>
      <c r="F33" s="170">
        <v>1950343.2156316615</v>
      </c>
      <c r="G33" s="271">
        <f t="shared" ref="G33" si="202">+H33/H$58*100</f>
        <v>1.153069783183946</v>
      </c>
      <c r="H33" s="170">
        <v>2735316.0534958374</v>
      </c>
      <c r="I33" s="271">
        <f t="shared" ref="I33" si="203">+J33/J$58*100</f>
        <v>0.30919233191876672</v>
      </c>
      <c r="J33" s="170">
        <v>437301.9378099796</v>
      </c>
      <c r="K33" s="271">
        <f t="shared" ref="K33" si="204">+L33/L$58*100</f>
        <v>0.28314397791764895</v>
      </c>
      <c r="L33" s="170">
        <v>566972.21714902937</v>
      </c>
      <c r="M33" s="271">
        <f t="shared" ref="M33" si="205">+N33/N$58*100</f>
        <v>0.26461776349791144</v>
      </c>
      <c r="N33" s="170">
        <v>485391.21078138403</v>
      </c>
      <c r="O33" s="271">
        <f t="shared" ref="O33" si="206">+P33/P$58*100</f>
        <v>0.33346879711384503</v>
      </c>
      <c r="P33" s="170">
        <v>74787.456628404892</v>
      </c>
      <c r="Q33" s="271">
        <f t="shared" ref="Q33" si="207">+R33/R$58*100</f>
        <v>0.24671262997769641</v>
      </c>
      <c r="R33" s="170">
        <v>287525.56712497037</v>
      </c>
      <c r="S33" s="271">
        <f t="shared" ref="S33" si="208">+T33/T$58*100</f>
        <v>5.2299509918796354E-3</v>
      </c>
      <c r="T33" s="170">
        <v>10081.50802136245</v>
      </c>
      <c r="U33" s="271">
        <f t="shared" ref="U33" si="209">+V33/V$58*100</f>
        <v>0.3238667618257306</v>
      </c>
      <c r="V33" s="220">
        <f t="shared" si="9"/>
        <v>20526675.696185306</v>
      </c>
    </row>
    <row r="34" spans="1:22">
      <c r="A34" s="250">
        <v>38</v>
      </c>
      <c r="B34" s="219" t="s">
        <v>18</v>
      </c>
      <c r="C34" s="271">
        <f t="shared" si="0"/>
        <v>0.18295681203428837</v>
      </c>
      <c r="D34" s="170">
        <v>8402985.0066911262</v>
      </c>
      <c r="E34" s="271">
        <f t="shared" si="0"/>
        <v>0.18092602674935748</v>
      </c>
      <c r="F34" s="170">
        <v>1177936.4397392457</v>
      </c>
      <c r="G34" s="271">
        <f t="shared" ref="G34" si="210">+H34/H$58*100</f>
        <v>1.9307321766085623</v>
      </c>
      <c r="H34" s="170">
        <v>4580089.4227716234</v>
      </c>
      <c r="I34" s="271">
        <f t="shared" ref="I34" si="211">+J34/J$58*100</f>
        <v>0.18522002970773604</v>
      </c>
      <c r="J34" s="170">
        <v>261963.41096096492</v>
      </c>
      <c r="K34" s="271">
        <f t="shared" ref="K34" si="212">+L34/L$58*100</f>
        <v>0.1740261491264315</v>
      </c>
      <c r="L34" s="170">
        <v>348472.85941860144</v>
      </c>
      <c r="M34" s="271">
        <f t="shared" ref="M34" si="213">+N34/N$58*100</f>
        <v>0.16657308462517606</v>
      </c>
      <c r="N34" s="170">
        <v>305546.8013977161</v>
      </c>
      <c r="O34" s="271">
        <f t="shared" ref="O34" si="214">+P34/P$58*100</f>
        <v>0.19504881890953721</v>
      </c>
      <c r="P34" s="170">
        <v>43743.838136791535</v>
      </c>
      <c r="Q34" s="271">
        <f t="shared" ref="Q34" si="215">+R34/R$58*100</f>
        <v>5.7600568021840166E-2</v>
      </c>
      <c r="R34" s="170">
        <v>67129.258800805008</v>
      </c>
      <c r="S34" s="271">
        <f t="shared" ref="S34" si="216">+T34/T$58*100</f>
        <v>7.8753577393143731E-3</v>
      </c>
      <c r="T34" s="170">
        <v>15180.922793209978</v>
      </c>
      <c r="U34" s="271">
        <f t="shared" ref="U34" si="217">+V34/V$58*100</f>
        <v>0.23987137448814899</v>
      </c>
      <c r="V34" s="220">
        <f t="shared" si="9"/>
        <v>15203047.960710084</v>
      </c>
    </row>
    <row r="35" spans="1:22">
      <c r="A35" s="250">
        <v>40</v>
      </c>
      <c r="B35" s="219" t="s">
        <v>19</v>
      </c>
      <c r="C35" s="271">
        <f t="shared" si="0"/>
        <v>0.24736944927869317</v>
      </c>
      <c r="D35" s="170">
        <v>11361379.498746058</v>
      </c>
      <c r="E35" s="271">
        <f t="shared" si="0"/>
        <v>0.24384977285745557</v>
      </c>
      <c r="F35" s="170">
        <v>1587607.5898624409</v>
      </c>
      <c r="G35" s="271">
        <f t="shared" ref="G35" si="218">+H35/H$58*100</f>
        <v>1.0055661163763281</v>
      </c>
      <c r="H35" s="170">
        <v>2385407.354427956</v>
      </c>
      <c r="I35" s="271">
        <f t="shared" ref="I35" si="219">+J35/J$58*100</f>
        <v>0.25102860099088309</v>
      </c>
      <c r="J35" s="170">
        <v>355038.86198536871</v>
      </c>
      <c r="K35" s="271">
        <f t="shared" ref="K35" si="220">+L35/L$58*100</f>
        <v>0.23182906549547105</v>
      </c>
      <c r="L35" s="170">
        <v>464218.38186430943</v>
      </c>
      <c r="M35" s="271">
        <f t="shared" ref="M35" si="221">+N35/N$58*100</f>
        <v>0.2184412488215457</v>
      </c>
      <c r="N35" s="170">
        <v>400689.13306692848</v>
      </c>
      <c r="O35" s="271">
        <f t="shared" ref="O35" si="222">+P35/P$58*100</f>
        <v>0.2686046512559353</v>
      </c>
      <c r="P35" s="170">
        <v>60240.294983680367</v>
      </c>
      <c r="Q35" s="271">
        <f t="shared" ref="Q35" si="223">+R35/R$58*100</f>
        <v>0.13623814304320778</v>
      </c>
      <c r="R35" s="170">
        <v>158775.61414708447</v>
      </c>
      <c r="S35" s="271">
        <f t="shared" ref="S35" si="224">+T35/T$58*100</f>
        <v>1.6998183626238842E-2</v>
      </c>
      <c r="T35" s="170">
        <v>32766.525889553246</v>
      </c>
      <c r="U35" s="271">
        <f t="shared" ref="U35" si="225">+V35/V$58*100</f>
        <v>0.26516445224707569</v>
      </c>
      <c r="V35" s="220">
        <f t="shared" si="9"/>
        <v>16806123.254973382</v>
      </c>
    </row>
    <row r="36" spans="1:22">
      <c r="A36" s="250">
        <v>41</v>
      </c>
      <c r="B36" s="219" t="s">
        <v>20</v>
      </c>
      <c r="C36" s="271">
        <f t="shared" si="0"/>
        <v>0.23994179764095161</v>
      </c>
      <c r="D36" s="170">
        <v>11020236.446170514</v>
      </c>
      <c r="E36" s="271">
        <f t="shared" si="0"/>
        <v>0.23699042736395953</v>
      </c>
      <c r="F36" s="170">
        <v>1542949.1559448959</v>
      </c>
      <c r="G36" s="271">
        <f t="shared" ref="G36" si="226">+H36/H$58*100</f>
        <v>0.75000277569995055</v>
      </c>
      <c r="H36" s="170">
        <v>1779159.1302252025</v>
      </c>
      <c r="I36" s="271">
        <f t="shared" ref="I36" si="227">+J36/J$58*100</f>
        <v>0.24293221547974395</v>
      </c>
      <c r="J36" s="170">
        <v>343587.85008185235</v>
      </c>
      <c r="K36" s="271">
        <f t="shared" ref="K36" si="228">+L36/L$58*100</f>
        <v>0.22689211704429529</v>
      </c>
      <c r="L36" s="170">
        <v>454332.55406073271</v>
      </c>
      <c r="M36" s="271">
        <f t="shared" ref="M36" si="229">+N36/N$58*100</f>
        <v>0.21552663659893975</v>
      </c>
      <c r="N36" s="170">
        <v>395342.82850676589</v>
      </c>
      <c r="O36" s="271">
        <f t="shared" ref="O36" si="230">+P36/P$58*100</f>
        <v>0.25783049627753024</v>
      </c>
      <c r="P36" s="170">
        <v>57823.962016011152</v>
      </c>
      <c r="Q36" s="271">
        <f t="shared" ref="Q36" si="231">+R36/R$58*100</f>
        <v>9.2504933590113012E-2</v>
      </c>
      <c r="R36" s="170">
        <v>107807.74982926274</v>
      </c>
      <c r="S36" s="271">
        <f t="shared" ref="S36" si="232">+T36/T$58*100</f>
        <v>1.2294549360116909E-3</v>
      </c>
      <c r="T36" s="170">
        <v>2369.9571599333217</v>
      </c>
      <c r="U36" s="271">
        <f t="shared" ref="U36" si="233">+V36/V$58*100</f>
        <v>0.24776916030697199</v>
      </c>
      <c r="V36" s="220">
        <f t="shared" si="9"/>
        <v>15703609.63399517</v>
      </c>
    </row>
    <row r="37" spans="1:22">
      <c r="A37" s="250">
        <v>42</v>
      </c>
      <c r="B37" s="219" t="s">
        <v>135</v>
      </c>
      <c r="C37" s="271">
        <f t="shared" si="0"/>
        <v>3.1265616507682741</v>
      </c>
      <c r="D37" s="170">
        <v>143599193.6117551</v>
      </c>
      <c r="E37" s="271">
        <f t="shared" si="0"/>
        <v>3.1802111764699035</v>
      </c>
      <c r="F37" s="170">
        <v>20705073.21768298</v>
      </c>
      <c r="G37" s="271">
        <f t="shared" ref="G37" si="234">+H37/H$58*100</f>
        <v>1.8721670499323673</v>
      </c>
      <c r="H37" s="170">
        <v>4441161.030484668</v>
      </c>
      <c r="I37" s="271">
        <f t="shared" ref="I37" si="235">+J37/J$58*100</f>
        <v>3.083543788696117</v>
      </c>
      <c r="J37" s="170">
        <v>4361167.9039731501</v>
      </c>
      <c r="K37" s="271">
        <f t="shared" ref="K37" si="236">+L37/L$58*100</f>
        <v>3.366482697752144</v>
      </c>
      <c r="L37" s="170">
        <v>6741101.0227931291</v>
      </c>
      <c r="M37" s="271">
        <f t="shared" ref="M37" si="237">+N37/N$58*100</f>
        <v>3.5933749041798579</v>
      </c>
      <c r="N37" s="170">
        <v>6591366.2502293335</v>
      </c>
      <c r="O37" s="271">
        <f t="shared" ref="O37" si="238">+P37/P$58*100</f>
        <v>2.7894069232262999</v>
      </c>
      <c r="P37" s="170">
        <v>625583.71606366406</v>
      </c>
      <c r="Q37" s="271">
        <f t="shared" ref="Q37" si="239">+R37/R$58*100</f>
        <v>6.7710973130190313</v>
      </c>
      <c r="R37" s="170">
        <v>7891219.8178105522</v>
      </c>
      <c r="S37" s="271">
        <f t="shared" ref="S37" si="240">+T37/T$58*100</f>
        <v>2.6013390681316784</v>
      </c>
      <c r="T37" s="170">
        <v>5014467.7688896786</v>
      </c>
      <c r="U37" s="271">
        <f t="shared" ref="U37" si="241">+V37/V$58*100</f>
        <v>3.1551014690526507</v>
      </c>
      <c r="V37" s="220">
        <f t="shared" si="9"/>
        <v>199970334.33968228</v>
      </c>
    </row>
    <row r="38" spans="1:22">
      <c r="A38" s="250">
        <v>43</v>
      </c>
      <c r="B38" s="219" t="s">
        <v>21</v>
      </c>
      <c r="C38" s="271">
        <f t="shared" si="0"/>
        <v>0.45989927691392946</v>
      </c>
      <c r="D38" s="170">
        <v>21122617.329884276</v>
      </c>
      <c r="E38" s="271">
        <f t="shared" si="0"/>
        <v>0.45771947715033107</v>
      </c>
      <c r="F38" s="170">
        <v>2980027.0364677357</v>
      </c>
      <c r="G38" s="271">
        <f t="shared" ref="G38" si="242">+H38/H$58*100</f>
        <v>3.6495093641785901</v>
      </c>
      <c r="H38" s="170">
        <v>8657378.5011141803</v>
      </c>
      <c r="I38" s="271">
        <f t="shared" ref="I38" si="243">+J38/J$58*100</f>
        <v>0.46074335051556087</v>
      </c>
      <c r="J38" s="170">
        <v>651646.04427011719</v>
      </c>
      <c r="K38" s="271">
        <f t="shared" ref="K38" si="244">+L38/L$58*100</f>
        <v>0.44994189772568605</v>
      </c>
      <c r="L38" s="170">
        <v>900971.14979422209</v>
      </c>
      <c r="M38" s="271">
        <f t="shared" ref="M38" si="245">+N38/N$58*100</f>
        <v>0.43911280066606645</v>
      </c>
      <c r="N38" s="170">
        <v>805469.33496620227</v>
      </c>
      <c r="O38" s="271">
        <f t="shared" ref="O38" si="246">+P38/P$58*100</f>
        <v>0.47454970840335314</v>
      </c>
      <c r="P38" s="170">
        <v>106427.84585066195</v>
      </c>
      <c r="Q38" s="271">
        <f t="shared" ref="Q38" si="247">+R38/R$58*100</f>
        <v>0.18624119078170168</v>
      </c>
      <c r="R38" s="170">
        <v>217050.51746389954</v>
      </c>
      <c r="S38" s="271">
        <f t="shared" ref="S38" si="248">+T38/T$58*100</f>
        <v>2.9746357742922707E-2</v>
      </c>
      <c r="T38" s="170">
        <v>57340.526643025587</v>
      </c>
      <c r="U38" s="271">
        <f t="shared" ref="U38" si="249">+V38/V$58*100</f>
        <v>0.5600966821215182</v>
      </c>
      <c r="V38" s="220">
        <f t="shared" si="9"/>
        <v>35498928.28645432</v>
      </c>
    </row>
    <row r="39" spans="1:22">
      <c r="A39" s="250">
        <v>44</v>
      </c>
      <c r="B39" s="219" t="s">
        <v>22</v>
      </c>
      <c r="C39" s="271">
        <f t="shared" si="0"/>
        <v>1.5707108188139862</v>
      </c>
      <c r="D39" s="170">
        <v>72140847.414131135</v>
      </c>
      <c r="E39" s="271">
        <f t="shared" si="0"/>
        <v>1.5507554279884086</v>
      </c>
      <c r="F39" s="170">
        <v>10096343.575164834</v>
      </c>
      <c r="G39" s="271">
        <f t="shared" ref="G39" si="250">+H39/H$58*100</f>
        <v>1.1363127479146256</v>
      </c>
      <c r="H39" s="170">
        <v>2695564.9575521005</v>
      </c>
      <c r="I39" s="271">
        <f t="shared" ref="I39" si="251">+J39/J$58*100</f>
        <v>1.5931664247087096</v>
      </c>
      <c r="J39" s="170">
        <v>2253273.1017467678</v>
      </c>
      <c r="K39" s="271">
        <f t="shared" ref="K39" si="252">+L39/L$58*100</f>
        <v>1.4830073268363511</v>
      </c>
      <c r="L39" s="170">
        <v>2969598.5707639195</v>
      </c>
      <c r="M39" s="271">
        <f t="shared" ref="M39" si="253">+N39/N$58*100</f>
        <v>1.4101633173688373</v>
      </c>
      <c r="N39" s="170">
        <v>2586677.7459274968</v>
      </c>
      <c r="O39" s="271">
        <f t="shared" ref="O39" si="254">+P39/P$58*100</f>
        <v>1.6893028489709674</v>
      </c>
      <c r="P39" s="170">
        <v>378862.02440261742</v>
      </c>
      <c r="Q39" s="271">
        <f t="shared" ref="Q39" si="255">+R39/R$58*100</f>
        <v>1.3756638090447746</v>
      </c>
      <c r="R39" s="170">
        <v>1603235.7845022108</v>
      </c>
      <c r="S39" s="271">
        <f t="shared" ref="S39" si="256">+T39/T$58*100</f>
        <v>0.33157790970711803</v>
      </c>
      <c r="T39" s="170">
        <v>639165.71333252708</v>
      </c>
      <c r="U39" s="271">
        <f t="shared" ref="U39" si="257">+V39/V$58*100</f>
        <v>1.5046318609440972</v>
      </c>
      <c r="V39" s="220">
        <f t="shared" si="9"/>
        <v>95363568.887523621</v>
      </c>
    </row>
    <row r="40" spans="1:22">
      <c r="A40" s="250">
        <v>46</v>
      </c>
      <c r="B40" s="219" t="s">
        <v>136</v>
      </c>
      <c r="C40" s="271">
        <f t="shared" si="0"/>
        <v>0.32930924253134897</v>
      </c>
      <c r="D40" s="170">
        <v>15124775.05913873</v>
      </c>
      <c r="E40" s="271">
        <f t="shared" si="0"/>
        <v>0.32473657445996607</v>
      </c>
      <c r="F40" s="170">
        <v>2114228.954479869</v>
      </c>
      <c r="G40" s="271">
        <f t="shared" ref="G40" si="258">+H40/H$58*100</f>
        <v>3.0943286593459396</v>
      </c>
      <c r="H40" s="170">
        <v>7340376.948678541</v>
      </c>
      <c r="I40" s="271">
        <f t="shared" ref="I40" si="259">+J40/J$58*100</f>
        <v>0.33319926023328056</v>
      </c>
      <c r="J40" s="170">
        <v>471255.80790647457</v>
      </c>
      <c r="K40" s="271">
        <f t="shared" ref="K40" si="260">+L40/L$58*100</f>
        <v>0.30891733400146282</v>
      </c>
      <c r="L40" s="170">
        <v>618581.21462684753</v>
      </c>
      <c r="M40" s="271">
        <f t="shared" ref="M40" si="261">+N40/N$58*100</f>
        <v>0.28998265808484719</v>
      </c>
      <c r="N40" s="170">
        <v>531918.30983984203</v>
      </c>
      <c r="O40" s="271">
        <f t="shared" ref="O40" si="262">+P40/P$58*100</f>
        <v>0.35780806314358599</v>
      </c>
      <c r="P40" s="170">
        <v>80246.053709513581</v>
      </c>
      <c r="Q40" s="271">
        <f t="shared" ref="Q40" si="263">+R40/R$58*100</f>
        <v>0.12932692381688657</v>
      </c>
      <c r="R40" s="170">
        <v>150721.09246429647</v>
      </c>
      <c r="S40" s="271">
        <f t="shared" ref="S40" si="264">+T40/T$58*100</f>
        <v>0.28621508560309056</v>
      </c>
      <c r="T40" s="170">
        <v>551722.12623458286</v>
      </c>
      <c r="U40" s="271">
        <f t="shared" ref="U40" si="265">+V40/V$58*100</f>
        <v>0.42574668871999727</v>
      </c>
      <c r="V40" s="220">
        <f t="shared" si="9"/>
        <v>26983825.567078702</v>
      </c>
    </row>
    <row r="41" spans="1:22">
      <c r="A41" s="250">
        <v>49</v>
      </c>
      <c r="B41" s="219" t="s">
        <v>23</v>
      </c>
      <c r="C41" s="271">
        <f t="shared" si="0"/>
        <v>0.27169313594023825</v>
      </c>
      <c r="D41" s="170">
        <v>12478536.996473502</v>
      </c>
      <c r="E41" s="271">
        <f t="shared" si="0"/>
        <v>0.26303977586473332</v>
      </c>
      <c r="F41" s="170">
        <v>1712545.9651040141</v>
      </c>
      <c r="G41" s="271">
        <f t="shared" ref="G41" si="266">+H41/H$58*100</f>
        <v>1.5098888708270946</v>
      </c>
      <c r="H41" s="170">
        <v>3581763.5043422203</v>
      </c>
      <c r="I41" s="271">
        <f t="shared" ref="I41" si="267">+J41/J$58*100</f>
        <v>0.28043072563197152</v>
      </c>
      <c r="J41" s="170">
        <v>396623.35407638404</v>
      </c>
      <c r="K41" s="271">
        <f t="shared" ref="K41" si="268">+L41/L$58*100</f>
        <v>0.23342469560223103</v>
      </c>
      <c r="L41" s="170">
        <v>467413.49816532631</v>
      </c>
      <c r="M41" s="271">
        <f t="shared" ref="M41" si="269">+N41/N$58*100</f>
        <v>0.20004738894887106</v>
      </c>
      <c r="N41" s="170">
        <v>366949.07799080305</v>
      </c>
      <c r="O41" s="271">
        <f t="shared" ref="O41" si="270">+P41/P$58*100</f>
        <v>0.32417432415277075</v>
      </c>
      <c r="P41" s="170">
        <v>72702.97376381197</v>
      </c>
      <c r="Q41" s="271">
        <f t="shared" ref="Q41" si="271">+R41/R$58*100</f>
        <v>2.6241723297954697E-2</v>
      </c>
      <c r="R41" s="170">
        <v>30582.813592733692</v>
      </c>
      <c r="S41" s="271">
        <f t="shared" ref="S41" si="272">+T41/T$58*100</f>
        <v>3.9147924466150516E-3</v>
      </c>
      <c r="T41" s="170">
        <v>7546.3444138956247</v>
      </c>
      <c r="U41" s="271">
        <f t="shared" ref="U41" si="273">+V41/V$58*100</f>
        <v>0.301588264737575</v>
      </c>
      <c r="V41" s="220">
        <f t="shared" si="9"/>
        <v>19114664.527922694</v>
      </c>
    </row>
    <row r="42" spans="1:22">
      <c r="A42" s="250">
        <v>48</v>
      </c>
      <c r="B42" s="219" t="s">
        <v>24</v>
      </c>
      <c r="C42" s="271">
        <f t="shared" si="0"/>
        <v>0.35993872331101867</v>
      </c>
      <c r="D42" s="170">
        <v>16531550.050966104</v>
      </c>
      <c r="E42" s="271">
        <f t="shared" si="0"/>
        <v>0.35685197894110837</v>
      </c>
      <c r="F42" s="170">
        <v>2323319.4092639647</v>
      </c>
      <c r="G42" s="271">
        <f t="shared" ref="G42" si="274">+H42/H$58*100</f>
        <v>0.88528034319112547</v>
      </c>
      <c r="H42" s="170">
        <v>2100065.0349959703</v>
      </c>
      <c r="I42" s="271">
        <f t="shared" ref="I42" si="275">+J42/J$58*100</f>
        <v>0.36305370841921969</v>
      </c>
      <c r="J42" s="170">
        <v>513480.03760499385</v>
      </c>
      <c r="K42" s="271">
        <f t="shared" ref="K42" si="276">+L42/L$58*100</f>
        <v>0.34628749269388542</v>
      </c>
      <c r="L42" s="170">
        <v>693411.84279304603</v>
      </c>
      <c r="M42" s="271">
        <f t="shared" ref="M42" si="277">+N42/N$58*100</f>
        <v>0.33437818002287595</v>
      </c>
      <c r="N42" s="170">
        <v>613353.49341148965</v>
      </c>
      <c r="O42" s="271">
        <f t="shared" ref="O42" si="278">+P42/P$58*100</f>
        <v>0.37866123928472956</v>
      </c>
      <c r="P42" s="170">
        <v>84922.821130388154</v>
      </c>
      <c r="Q42" s="271">
        <f t="shared" ref="Q42" si="279">+R42/R$58*100</f>
        <v>0.1759440940819671</v>
      </c>
      <c r="R42" s="170">
        <v>205050.00266009924</v>
      </c>
      <c r="S42" s="271">
        <f t="shared" ref="S42" si="280">+T42/T$58*100</f>
        <v>1.1205948449699665E-4</v>
      </c>
      <c r="T42" s="170">
        <v>216.01131513092636</v>
      </c>
      <c r="U42" s="271">
        <f t="shared" ref="U42" si="281">+V42/V$58*100</f>
        <v>0.36392187332676595</v>
      </c>
      <c r="V42" s="220">
        <f t="shared" si="9"/>
        <v>23065368.704141185</v>
      </c>
    </row>
    <row r="43" spans="1:22">
      <c r="A43" s="250">
        <v>47</v>
      </c>
      <c r="B43" s="219" t="s">
        <v>25</v>
      </c>
      <c r="C43" s="271">
        <f t="shared" si="0"/>
        <v>0.48882243950185333</v>
      </c>
      <c r="D43" s="170">
        <v>22451023.191737976</v>
      </c>
      <c r="E43" s="271">
        <f t="shared" si="0"/>
        <v>0.48401082364392539</v>
      </c>
      <c r="F43" s="170">
        <v>3151199.3970232373</v>
      </c>
      <c r="G43" s="271">
        <f t="shared" ref="G43" si="282">+H43/H$58*100</f>
        <v>0.5261875188336439</v>
      </c>
      <c r="H43" s="170">
        <v>1248223.818198177</v>
      </c>
      <c r="I43" s="271">
        <f t="shared" ref="I43" si="283">+J43/J$58*100</f>
        <v>0.49383903877250163</v>
      </c>
      <c r="J43" s="170">
        <v>698454.47744858812</v>
      </c>
      <c r="K43" s="271">
        <f t="shared" ref="K43" si="284">+L43/L$58*100</f>
        <v>0.46758092577261701</v>
      </c>
      <c r="L43" s="170">
        <v>936291.83333364408</v>
      </c>
      <c r="M43" s="271">
        <f t="shared" ref="M43" si="285">+N43/N$58*100</f>
        <v>0.44930428496309804</v>
      </c>
      <c r="N43" s="170">
        <v>824163.68426915328</v>
      </c>
      <c r="O43" s="271">
        <f t="shared" ref="O43" si="286">+P43/P$58*100</f>
        <v>0.51783727331330931</v>
      </c>
      <c r="P43" s="170">
        <v>116136.00119014754</v>
      </c>
      <c r="Q43" s="271">
        <f t="shared" ref="Q43" si="287">+R43/R$58*100</f>
        <v>0.18036615624159766</v>
      </c>
      <c r="R43" s="170">
        <v>210203.59342042875</v>
      </c>
      <c r="S43" s="271">
        <f t="shared" ref="S43" si="288">+T43/T$58*100</f>
        <v>1.1238591260998973E-2</v>
      </c>
      <c r="T43" s="170">
        <v>21664.055384552383</v>
      </c>
      <c r="U43" s="271">
        <f t="shared" ref="U43" si="289">+V43/V$58*100</f>
        <v>0.46792930850112968</v>
      </c>
      <c r="V43" s="220">
        <f t="shared" si="9"/>
        <v>29657360.052005906</v>
      </c>
    </row>
    <row r="44" spans="1:22">
      <c r="A44" s="250">
        <v>45</v>
      </c>
      <c r="B44" s="219" t="s">
        <v>26</v>
      </c>
      <c r="C44" s="271">
        <f t="shared" si="0"/>
        <v>1.1302095874319316</v>
      </c>
      <c r="D44" s="170">
        <v>51909158.844707042</v>
      </c>
      <c r="E44" s="271">
        <f t="shared" si="0"/>
        <v>1.1167304683229631</v>
      </c>
      <c r="F44" s="170">
        <v>7270581.9922028612</v>
      </c>
      <c r="G44" s="271">
        <f t="shared" ref="G44" si="290">+H44/H$58*100</f>
        <v>1.3760949589301965</v>
      </c>
      <c r="H44" s="170">
        <v>3264377.1324081188</v>
      </c>
      <c r="I44" s="271">
        <f t="shared" ref="I44" si="291">+J44/J$58*100</f>
        <v>1.1478107118286462</v>
      </c>
      <c r="J44" s="170">
        <v>1623390.3519107727</v>
      </c>
      <c r="K44" s="271">
        <f t="shared" ref="K44" si="292">+L44/L$58*100</f>
        <v>1.0715478330536057</v>
      </c>
      <c r="L44" s="170">
        <v>2145685.227549993</v>
      </c>
      <c r="M44" s="271">
        <f t="shared" ref="M44" si="293">+N44/N$58*100</f>
        <v>1.0266928855770745</v>
      </c>
      <c r="N44" s="170">
        <v>1883273.8068804003</v>
      </c>
      <c r="O44" s="271">
        <f t="shared" ref="O44" si="294">+P44/P$58*100</f>
        <v>1.2077455763666496</v>
      </c>
      <c r="P44" s="170">
        <v>270862.58352331631</v>
      </c>
      <c r="Q44" s="271">
        <f t="shared" ref="Q44" si="295">+R44/R$58*100</f>
        <v>1.0650397318451663</v>
      </c>
      <c r="R44" s="170">
        <v>1241226.0893862287</v>
      </c>
      <c r="S44" s="271">
        <f t="shared" ref="S44" si="296">+T44/T$58*100</f>
        <v>1.1946495526592775</v>
      </c>
      <c r="T44" s="170">
        <v>2302864.6093532555</v>
      </c>
      <c r="U44" s="271">
        <f t="shared" ref="U44" si="297">+V44/V$58*100</f>
        <v>1.1346074388762322</v>
      </c>
      <c r="V44" s="220">
        <f t="shared" si="9"/>
        <v>71911420.637921989</v>
      </c>
    </row>
    <row r="45" spans="1:22">
      <c r="A45" s="250">
        <v>70</v>
      </c>
      <c r="B45" s="219" t="s">
        <v>27</v>
      </c>
      <c r="C45" s="271">
        <f t="shared" si="0"/>
        <v>26.378937165290779</v>
      </c>
      <c r="D45" s="170">
        <v>1211552666.5978611</v>
      </c>
      <c r="E45" s="271">
        <f t="shared" si="0"/>
        <v>26.365103017166408</v>
      </c>
      <c r="F45" s="170">
        <v>171652559.55365047</v>
      </c>
      <c r="G45" s="271">
        <f t="shared" ref="G45" si="298">+H45/H$58*100</f>
        <v>0</v>
      </c>
      <c r="H45" s="170">
        <v>0</v>
      </c>
      <c r="I45" s="271">
        <f t="shared" ref="I45" si="299">+J45/J$58*100</f>
        <v>26.531165403777045</v>
      </c>
      <c r="J45" s="170">
        <v>37523990.234262958</v>
      </c>
      <c r="K45" s="271">
        <f t="shared" ref="K45" si="300">+L45/L$58*100</f>
        <v>26.351473647238077</v>
      </c>
      <c r="L45" s="170">
        <v>52766629.715374626</v>
      </c>
      <c r="M45" s="271">
        <f t="shared" ref="M45" si="301">+N45/N$58*100</f>
        <v>26.546251350221482</v>
      </c>
      <c r="N45" s="170">
        <v>48694074.480350062</v>
      </c>
      <c r="O45" s="271">
        <f t="shared" ref="O45" si="302">+P45/P$58*100</f>
        <v>26.31652563102746</v>
      </c>
      <c r="P45" s="170">
        <v>5902039.5199640039</v>
      </c>
      <c r="Q45" s="271">
        <f t="shared" ref="Q45" si="303">+R45/R$58*100</f>
        <v>21.937251684592852</v>
      </c>
      <c r="R45" s="170">
        <v>25566266.033263031</v>
      </c>
      <c r="S45" s="271">
        <f t="shared" ref="S45" si="304">+T45/T$58*100</f>
        <v>25.082318817803724</v>
      </c>
      <c r="T45" s="170">
        <v>48349898.258832127</v>
      </c>
      <c r="U45" s="271">
        <f t="shared" ref="U45" si="305">+V45/V$58*100</f>
        <v>25.276240115308834</v>
      </c>
      <c r="V45" s="220">
        <f t="shared" si="9"/>
        <v>1602008124.3935583</v>
      </c>
    </row>
    <row r="46" spans="1:22">
      <c r="A46" s="250">
        <v>50</v>
      </c>
      <c r="B46" s="219" t="s">
        <v>137</v>
      </c>
      <c r="C46" s="271">
        <f t="shared" si="0"/>
        <v>0.15116237897103155</v>
      </c>
      <c r="D46" s="170">
        <v>6942705.1660218369</v>
      </c>
      <c r="E46" s="271">
        <f t="shared" si="0"/>
        <v>0.15223470916692955</v>
      </c>
      <c r="F46" s="170">
        <v>991138.83470869588</v>
      </c>
      <c r="G46" s="271">
        <f t="shared" ref="G46" si="306">+H46/H$58*100</f>
        <v>1.0463285303104015</v>
      </c>
      <c r="H46" s="170">
        <v>2482104.0911208871</v>
      </c>
      <c r="I46" s="271">
        <f t="shared" ref="I46" si="307">+J46/J$58*100</f>
        <v>0.15011250398161674</v>
      </c>
      <c r="J46" s="170">
        <v>212309.56302601928</v>
      </c>
      <c r="K46" s="271">
        <f t="shared" ref="K46" si="308">+L46/L$58*100</f>
        <v>0.15591255268358481</v>
      </c>
      <c r="L46" s="170">
        <v>312201.89221925486</v>
      </c>
      <c r="M46" s="271">
        <f t="shared" ref="M46" si="309">+N46/N$58*100</f>
        <v>0.1601076217933628</v>
      </c>
      <c r="N46" s="170">
        <v>293687.1333591392</v>
      </c>
      <c r="O46" s="271">
        <f t="shared" ref="O46" si="310">+P46/P$58*100</f>
        <v>0.14462410743544032</v>
      </c>
      <c r="P46" s="170">
        <v>32435.02617295014</v>
      </c>
      <c r="Q46" s="271">
        <f t="shared" ref="Q46" si="311">+R46/R$58*100</f>
        <v>6.6382618644735866E-2</v>
      </c>
      <c r="R46" s="170">
        <v>77364.097957991893</v>
      </c>
      <c r="S46" s="271">
        <f t="shared" ref="S46" si="312">+T46/T$58*100</f>
        <v>9.1665356793797347E-3</v>
      </c>
      <c r="T46" s="170">
        <v>17669.860219198534</v>
      </c>
      <c r="U46" s="271">
        <f t="shared" ref="U46" si="313">+V46/V$58*100</f>
        <v>0.17926184097861672</v>
      </c>
      <c r="V46" s="220">
        <f t="shared" si="9"/>
        <v>11361615.664805975</v>
      </c>
    </row>
    <row r="47" spans="1:22">
      <c r="A47" s="250">
        <v>51</v>
      </c>
      <c r="B47" s="219" t="s">
        <v>138</v>
      </c>
      <c r="C47" s="271">
        <f t="shared" si="0"/>
        <v>0.79184910046845336</v>
      </c>
      <c r="D47" s="170">
        <v>36368671.080425508</v>
      </c>
      <c r="E47" s="271">
        <f t="shared" si="0"/>
        <v>0.81108696296718574</v>
      </c>
      <c r="F47" s="170">
        <v>5280660.3153897934</v>
      </c>
      <c r="G47" s="271">
        <f t="shared" ref="G47" si="314">+H47/H$58*100</f>
        <v>1.3551069783529495</v>
      </c>
      <c r="H47" s="170">
        <v>3214589.3736439603</v>
      </c>
      <c r="I47" s="271">
        <f t="shared" ref="I47" si="315">+J47/J$58*100</f>
        <v>0.77299273874184815</v>
      </c>
      <c r="J47" s="170">
        <v>1093271.6877780254</v>
      </c>
      <c r="K47" s="271">
        <f t="shared" ref="K47" si="316">+L47/L$58*100</f>
        <v>0.87706774261361342</v>
      </c>
      <c r="L47" s="170">
        <v>1756255.055384452</v>
      </c>
      <c r="M47" s="271">
        <f t="shared" ref="M47" si="317">+N47/N$58*100</f>
        <v>0.95229477758553405</v>
      </c>
      <c r="N47" s="170">
        <v>1746804.5568931713</v>
      </c>
      <c r="O47" s="271">
        <f t="shared" ref="O47" si="318">+P47/P$58*100</f>
        <v>0.67457158650404314</v>
      </c>
      <c r="P47" s="170">
        <v>151286.99807917001</v>
      </c>
      <c r="Q47" s="271">
        <f t="shared" ref="Q47" si="319">+R47/R$58*100</f>
        <v>2.0118147735024206</v>
      </c>
      <c r="R47" s="170">
        <v>2344623.3123694188</v>
      </c>
      <c r="S47" s="271">
        <f t="shared" ref="S47" si="320">+T47/T$58*100</f>
        <v>1.7744476733487915</v>
      </c>
      <c r="T47" s="170">
        <v>3420511.6797709158</v>
      </c>
      <c r="U47" s="271">
        <f t="shared" ref="U47" si="321">+V47/V$58*100</f>
        <v>0.87372472649032562</v>
      </c>
      <c r="V47" s="220">
        <f t="shared" si="9"/>
        <v>55376674.059734412</v>
      </c>
    </row>
    <row r="48" spans="1:22">
      <c r="A48" s="250">
        <v>52</v>
      </c>
      <c r="B48" s="219" t="s">
        <v>139</v>
      </c>
      <c r="C48" s="271">
        <f t="shared" si="0"/>
        <v>0.26376951252310582</v>
      </c>
      <c r="D48" s="170">
        <v>12114614.560175519</v>
      </c>
      <c r="E48" s="271">
        <f t="shared" si="0"/>
        <v>0.26159438785725403</v>
      </c>
      <c r="F48" s="170">
        <v>1703135.6263364991</v>
      </c>
      <c r="G48" s="271">
        <f t="shared" ref="G48" si="322">+H48/H$58*100</f>
        <v>1.4361737328745083</v>
      </c>
      <c r="H48" s="170">
        <v>3406896.2038822244</v>
      </c>
      <c r="I48" s="271">
        <f t="shared" ref="I48" si="323">+J48/J$58*100</f>
        <v>0.26585934332442801</v>
      </c>
      <c r="J48" s="170">
        <v>376014.51918026846</v>
      </c>
      <c r="K48" s="271">
        <f t="shared" ref="K48" si="324">+L48/L$58*100</f>
        <v>0.25412562778727865</v>
      </c>
      <c r="L48" s="170">
        <v>508865.38954696734</v>
      </c>
      <c r="M48" s="271">
        <f t="shared" ref="M48" si="325">+N48/N$58*100</f>
        <v>0.24554613452365195</v>
      </c>
      <c r="N48" s="170">
        <v>450407.91654965642</v>
      </c>
      <c r="O48" s="271">
        <f t="shared" ref="O48" si="326">+P48/P$58*100</f>
        <v>0.27707339760527405</v>
      </c>
      <c r="P48" s="170">
        <v>62139.591127067084</v>
      </c>
      <c r="Q48" s="271">
        <f t="shared" ref="Q48" si="327">+R48/R$58*100</f>
        <v>0.12576516542497304</v>
      </c>
      <c r="R48" s="170">
        <v>146570.12296715463</v>
      </c>
      <c r="S48" s="271">
        <f t="shared" ref="S48" si="328">+T48/T$58*100</f>
        <v>4.4542919019694933E-2</v>
      </c>
      <c r="T48" s="170">
        <v>85863.098160803449</v>
      </c>
      <c r="U48" s="271">
        <f t="shared" ref="U48" si="329">+V48/V$58*100</f>
        <v>0.29748353933850746</v>
      </c>
      <c r="V48" s="220">
        <f t="shared" si="9"/>
        <v>18854507.027926162</v>
      </c>
    </row>
    <row r="49" spans="1:22">
      <c r="A49" s="250">
        <v>53</v>
      </c>
      <c r="B49" s="219" t="s">
        <v>28</v>
      </c>
      <c r="C49" s="271">
        <f t="shared" si="0"/>
        <v>0.2836252034177808</v>
      </c>
      <c r="D49" s="170">
        <v>13026562.418417487</v>
      </c>
      <c r="E49" s="271">
        <f t="shared" si="0"/>
        <v>0.28005401284768061</v>
      </c>
      <c r="F49" s="170">
        <v>1823318.8046819107</v>
      </c>
      <c r="G49" s="271">
        <f t="shared" ref="G49" si="330">+H49/H$58*100</f>
        <v>1.0286904548583704</v>
      </c>
      <c r="H49" s="170">
        <v>2440262.988665239</v>
      </c>
      <c r="I49" s="271">
        <f t="shared" ref="I49" si="331">+J49/J$58*100</f>
        <v>0.28729366922177424</v>
      </c>
      <c r="J49" s="170">
        <v>406329.86430022033</v>
      </c>
      <c r="K49" s="271">
        <f t="shared" ref="K49" si="332">+L49/L$58*100</f>
        <v>0.26784676892564324</v>
      </c>
      <c r="L49" s="170">
        <v>536340.83108821721</v>
      </c>
      <c r="M49" s="271">
        <f t="shared" ref="M49" si="333">+N49/N$58*100</f>
        <v>0.25418380297247356</v>
      </c>
      <c r="N49" s="170">
        <v>466252.0847237056</v>
      </c>
      <c r="O49" s="271">
        <f t="shared" ref="O49" si="334">+P49/P$58*100</f>
        <v>0.30521794391562856</v>
      </c>
      <c r="P49" s="170">
        <v>68451.603089593162</v>
      </c>
      <c r="Q49" s="271">
        <f t="shared" ref="Q49" si="335">+R49/R$58*100</f>
        <v>8.8997034749485143E-2</v>
      </c>
      <c r="R49" s="170">
        <v>103719.54970890518</v>
      </c>
      <c r="S49" s="271">
        <f t="shared" ref="S49" si="336">+T49/T$58*100</f>
        <v>2.6354062776229423E-3</v>
      </c>
      <c r="T49" s="170">
        <v>5080.1373796154521</v>
      </c>
      <c r="U49" s="271">
        <f t="shared" ref="U49" si="337">+V49/V$58*100</f>
        <v>0.29782767398313215</v>
      </c>
      <c r="V49" s="220">
        <f t="shared" si="9"/>
        <v>18876318.282054901</v>
      </c>
    </row>
    <row r="50" spans="1:22">
      <c r="A50" s="250">
        <v>54</v>
      </c>
      <c r="B50" s="219" t="s">
        <v>29</v>
      </c>
      <c r="C50" s="271">
        <f t="shared" si="0"/>
        <v>0.7999058460348154</v>
      </c>
      <c r="D50" s="170">
        <v>36738707.655965403</v>
      </c>
      <c r="E50" s="271">
        <f t="shared" si="0"/>
        <v>0.78792259943381326</v>
      </c>
      <c r="F50" s="170">
        <v>5129846.4805890834</v>
      </c>
      <c r="G50" s="271">
        <f t="shared" ref="G50" si="338">+H50/H$58*100</f>
        <v>1.3764455243727123</v>
      </c>
      <c r="H50" s="170">
        <v>3265208.7449407675</v>
      </c>
      <c r="I50" s="271">
        <f t="shared" ref="I50" si="339">+J50/J$58*100</f>
        <v>0.81340510039753477</v>
      </c>
      <c r="J50" s="170">
        <v>1150428.3577181858</v>
      </c>
      <c r="K50" s="271">
        <f t="shared" ref="K50" si="340">+L50/L$58*100</f>
        <v>0.74724479177793623</v>
      </c>
      <c r="L50" s="170">
        <v>1496295.4164281141</v>
      </c>
      <c r="M50" s="271">
        <f t="shared" ref="M50" si="341">+N50/N$58*100</f>
        <v>0.70352688012737907</v>
      </c>
      <c r="N50" s="170">
        <v>1290486.9259276821</v>
      </c>
      <c r="O50" s="271">
        <f t="shared" ref="O50" si="342">+P50/P$58*100</f>
        <v>0.8711046778742888</v>
      </c>
      <c r="P50" s="170">
        <v>195363.71582341121</v>
      </c>
      <c r="Q50" s="271">
        <f t="shared" ref="Q50" si="343">+R50/R$58*100</f>
        <v>0.59700879987707312</v>
      </c>
      <c r="R50" s="170">
        <v>695770.19133058388</v>
      </c>
      <c r="S50" s="271">
        <f t="shared" ref="S50" si="344">+T50/T$58*100</f>
        <v>0.10388188615336018</v>
      </c>
      <c r="T50" s="170">
        <v>200247.77864179731</v>
      </c>
      <c r="U50" s="271">
        <f t="shared" ref="U50" si="345">+V50/V$58*100</f>
        <v>0.79145399900347957</v>
      </c>
      <c r="V50" s="220">
        <f t="shared" si="9"/>
        <v>50162355.267365023</v>
      </c>
    </row>
    <row r="51" spans="1:22">
      <c r="A51" s="250">
        <v>55</v>
      </c>
      <c r="B51" s="219" t="s">
        <v>30</v>
      </c>
      <c r="C51" s="271">
        <f t="shared" si="0"/>
        <v>0.87948180498070572</v>
      </c>
      <c r="D51" s="170">
        <v>40393535.166788384</v>
      </c>
      <c r="E51" s="271">
        <f t="shared" si="0"/>
        <v>0.88763855307087713</v>
      </c>
      <c r="F51" s="170">
        <v>5779056.8652020525</v>
      </c>
      <c r="G51" s="271">
        <f t="shared" ref="G51" si="346">+H51/H$58*100</f>
        <v>2.1783603160404899</v>
      </c>
      <c r="H51" s="170">
        <v>5167513.7356481003</v>
      </c>
      <c r="I51" s="271">
        <f t="shared" ref="I51" si="347">+J51/J$58*100</f>
        <v>0.86632799754931111</v>
      </c>
      <c r="J51" s="170">
        <v>1225279.1321063114</v>
      </c>
      <c r="K51" s="271">
        <f t="shared" ref="K51" si="348">+L51/L$58*100</f>
        <v>0.91134309534435298</v>
      </c>
      <c r="L51" s="170">
        <v>1824888.5925489417</v>
      </c>
      <c r="M51" s="271">
        <f t="shared" ref="M51" si="349">+N51/N$58*100</f>
        <v>0.93447093325853803</v>
      </c>
      <c r="N51" s="170">
        <v>1714110.0874656579</v>
      </c>
      <c r="O51" s="271">
        <f t="shared" ref="O51" si="350">+P51/P$58*100</f>
        <v>0.83620642037715953</v>
      </c>
      <c r="P51" s="170">
        <v>187537.04075946985</v>
      </c>
      <c r="Q51" s="271">
        <f t="shared" ref="Q51" si="351">+R51/R$58*100</f>
        <v>1.236596914579229</v>
      </c>
      <c r="R51" s="170">
        <v>1441163.4669920404</v>
      </c>
      <c r="S51" s="271">
        <f t="shared" ref="S51" si="352">+T51/T$58*100</f>
        <v>1.9696993792869333</v>
      </c>
      <c r="T51" s="170">
        <v>3796888.3690852886</v>
      </c>
      <c r="U51" s="271">
        <f t="shared" ref="U51" si="353">+V51/V$58*100</f>
        <v>0.97081053112012539</v>
      </c>
      <c r="V51" s="220">
        <f t="shared" si="9"/>
        <v>61529972.456596255</v>
      </c>
    </row>
    <row r="52" spans="1:22">
      <c r="A52" s="250">
        <v>58</v>
      </c>
      <c r="B52" s="219" t="s">
        <v>140</v>
      </c>
      <c r="C52" s="271">
        <f t="shared" si="0"/>
        <v>6.9482724954960879</v>
      </c>
      <c r="D52" s="170">
        <v>319125748.60079908</v>
      </c>
      <c r="E52" s="271">
        <f t="shared" si="0"/>
        <v>6.9158353789008684</v>
      </c>
      <c r="F52" s="170">
        <v>45026216.793732449</v>
      </c>
      <c r="G52" s="271">
        <f t="shared" ref="G52" si="354">+H52/H$58*100</f>
        <v>4.3922711232458829</v>
      </c>
      <c r="H52" s="170">
        <v>10419360.467105446</v>
      </c>
      <c r="I52" s="271">
        <f t="shared" ref="I52" si="355">+J52/J$58*100</f>
        <v>7.0215571746669685</v>
      </c>
      <c r="J52" s="170">
        <v>9930843.1741190329</v>
      </c>
      <c r="K52" s="271">
        <f t="shared" ref="K52" si="356">+L52/L$58*100</f>
        <v>6.8146150729424786</v>
      </c>
      <c r="L52" s="170">
        <v>13645698.719564958</v>
      </c>
      <c r="M52" s="271">
        <f t="shared" ref="M52" si="357">+N52/N$58*100</f>
        <v>6.7621471187757711</v>
      </c>
      <c r="N52" s="170">
        <v>12403879.218374263</v>
      </c>
      <c r="O52" s="271">
        <f t="shared" ref="O52" si="358">+P52/P$58*100</f>
        <v>7.1021443890520022</v>
      </c>
      <c r="P52" s="170">
        <v>1592806.6435660026</v>
      </c>
      <c r="Q52" s="271">
        <f t="shared" ref="Q52" si="359">+R52/R$58*100</f>
        <v>7.292348427621695</v>
      </c>
      <c r="R52" s="170">
        <v>8498699.9551436231</v>
      </c>
      <c r="S52" s="271">
        <f t="shared" ref="S52" si="360">+T52/T$58*100</f>
        <v>3.6326717536483568</v>
      </c>
      <c r="T52" s="170">
        <v>7002514.8381401049</v>
      </c>
      <c r="U52" s="271">
        <f t="shared" ref="U52" si="361">+V52/V$58*100</f>
        <v>6.7473297806979318</v>
      </c>
      <c r="V52" s="220">
        <f t="shared" si="9"/>
        <v>427645768.41054505</v>
      </c>
    </row>
    <row r="53" spans="1:22">
      <c r="A53" s="250">
        <v>31</v>
      </c>
      <c r="B53" s="219" t="s">
        <v>141</v>
      </c>
      <c r="C53" s="271">
        <f t="shared" si="0"/>
        <v>13.681308614510984</v>
      </c>
      <c r="D53" s="170">
        <v>628365950.8567754</v>
      </c>
      <c r="E53" s="271">
        <f t="shared" si="0"/>
        <v>13.660491974691643</v>
      </c>
      <c r="F53" s="170">
        <v>88937957.522531837</v>
      </c>
      <c r="G53" s="271">
        <f t="shared" ref="G53" si="362">+H53/H$58*100</f>
        <v>8.4305304156709493</v>
      </c>
      <c r="H53" s="170">
        <v>19998932.867527027</v>
      </c>
      <c r="I53" s="271">
        <f t="shared" ref="I53" si="363">+J53/J$58*100</f>
        <v>13.679811040526779</v>
      </c>
      <c r="J53" s="170">
        <v>19347853.291744646</v>
      </c>
      <c r="K53" s="271">
        <f t="shared" ref="K53" si="364">+L53/L$58*100</f>
        <v>13.584776399370982</v>
      </c>
      <c r="L53" s="170">
        <v>27202382.516732592</v>
      </c>
      <c r="M53" s="271">
        <f t="shared" ref="M53" si="365">+N53/N$58*100</f>
        <v>13.465137692042592</v>
      </c>
      <c r="N53" s="170">
        <v>24699246.948817141</v>
      </c>
      <c r="O53" s="271">
        <f t="shared" ref="O53" si="366">+P53/P$58*100</f>
        <v>13.830956085497736</v>
      </c>
      <c r="P53" s="170">
        <v>3101885.5057086507</v>
      </c>
      <c r="Q53" s="271">
        <f t="shared" ref="Q53" si="367">+R53/R$58*100</f>
        <v>5.5499761683682616</v>
      </c>
      <c r="R53" s="170">
        <v>6468092.2313722484</v>
      </c>
      <c r="S53" s="271">
        <f t="shared" ref="S53" si="368">+T53/T$58*100</f>
        <v>15.330805377704939</v>
      </c>
      <c r="T53" s="170">
        <v>29552406.443053722</v>
      </c>
      <c r="U53" s="271">
        <f t="shared" ref="U53" si="369">+V53/V$58*100</f>
        <v>13.37448239961369</v>
      </c>
      <c r="V53" s="220">
        <f t="shared" si="9"/>
        <v>847674708.18426323</v>
      </c>
    </row>
    <row r="54" spans="1:22">
      <c r="A54" s="250">
        <v>57</v>
      </c>
      <c r="B54" s="219" t="s">
        <v>31</v>
      </c>
      <c r="C54" s="271">
        <f t="shared" si="0"/>
        <v>3.9322287079650806</v>
      </c>
      <c r="D54" s="170">
        <v>180602506.7255677</v>
      </c>
      <c r="E54" s="271">
        <f t="shared" si="0"/>
        <v>3.9616749059118503</v>
      </c>
      <c r="F54" s="170">
        <v>25792868.598937981</v>
      </c>
      <c r="G54" s="271">
        <f t="shared" ref="G54" si="370">+H54/H$58*100</f>
        <v>4.0143634602896698</v>
      </c>
      <c r="H54" s="170">
        <v>9522886.6263211537</v>
      </c>
      <c r="I54" s="271">
        <f t="shared" ref="I54" si="371">+J54/J$58*100</f>
        <v>3.828204544997845</v>
      </c>
      <c r="J54" s="170">
        <v>5414368.6406180207</v>
      </c>
      <c r="K54" s="271">
        <f t="shared" ref="K54" si="372">+L54/L$58*100</f>
        <v>4.0451352868270254</v>
      </c>
      <c r="L54" s="170">
        <v>8100046.2701245947</v>
      </c>
      <c r="M54" s="271">
        <f t="shared" ref="M54" si="373">+N54/N$58*100</f>
        <v>4.0262198579023547</v>
      </c>
      <c r="N54" s="170">
        <v>7385338.4061070438</v>
      </c>
      <c r="O54" s="271">
        <f t="shared" ref="O54" si="374">+P54/P$58*100</f>
        <v>3.8319225464055839</v>
      </c>
      <c r="P54" s="170">
        <v>859389.97508326755</v>
      </c>
      <c r="Q54" s="271">
        <f t="shared" ref="Q54" si="375">+R54/R$58*100</f>
        <v>5.1470520055072306</v>
      </c>
      <c r="R54" s="170">
        <v>5998513.5217397297</v>
      </c>
      <c r="S54" s="271">
        <f t="shared" ref="S54" si="376">+T54/T$58*100</f>
        <v>5.9051901184055042</v>
      </c>
      <c r="T54" s="170">
        <v>11383131.818789613</v>
      </c>
      <c r="U54" s="271">
        <f t="shared" ref="U54" si="377">+V54/V$58*100</f>
        <v>4.0242828409914653</v>
      </c>
      <c r="V54" s="220">
        <f t="shared" si="9"/>
        <v>255059050.58328909</v>
      </c>
    </row>
    <row r="55" spans="1:22">
      <c r="A55" s="250">
        <v>56</v>
      </c>
      <c r="B55" s="219" t="s">
        <v>32</v>
      </c>
      <c r="C55" s="271">
        <f t="shared" si="0"/>
        <v>1.3083589359074494</v>
      </c>
      <c r="D55" s="170">
        <v>60091342.866972446</v>
      </c>
      <c r="E55" s="271">
        <f t="shared" si="0"/>
        <v>1.3161607042427126</v>
      </c>
      <c r="F55" s="170">
        <v>8568991.8799140658</v>
      </c>
      <c r="G55" s="271">
        <f t="shared" ref="G55" si="378">+H55/H$58*100</f>
        <v>2.5244179693191127</v>
      </c>
      <c r="H55" s="170">
        <v>5988432.8753677718</v>
      </c>
      <c r="I55" s="271">
        <f t="shared" ref="I55" si="379">+J55/J$58*100</f>
        <v>1.305235846595191</v>
      </c>
      <c r="J55" s="170">
        <v>1846042.4340830236</v>
      </c>
      <c r="K55" s="271">
        <f t="shared" ref="K55" si="380">+L55/L$58*100</f>
        <v>1.3437969155764893</v>
      </c>
      <c r="L55" s="170">
        <v>2690841.324705916</v>
      </c>
      <c r="M55" s="271">
        <f t="shared" ref="M55" si="381">+N55/N$58*100</f>
        <v>1.3785271706397981</v>
      </c>
      <c r="N55" s="170">
        <v>2528647.2215882381</v>
      </c>
      <c r="O55" s="271">
        <f t="shared" ref="O55" si="382">+P55/P$58*100</f>
        <v>1.2563907183221961</v>
      </c>
      <c r="P55" s="170">
        <v>281772.28924592107</v>
      </c>
      <c r="Q55" s="271">
        <f t="shared" ref="Q55" si="383">+R55/R$58*100</f>
        <v>1.0369506273548337</v>
      </c>
      <c r="R55" s="170">
        <v>1208490.2878208791</v>
      </c>
      <c r="S55" s="271">
        <f t="shared" ref="S55" si="384">+T55/T$58*100</f>
        <v>4.2163400094779764</v>
      </c>
      <c r="T55" s="170">
        <v>8127622.1693746084</v>
      </c>
      <c r="U55" s="271">
        <f t="shared" ref="U55" si="385">+V55/V$58*100</f>
        <v>1.4410252741136851</v>
      </c>
      <c r="V55" s="220">
        <f t="shared" si="9"/>
        <v>91332183.349072874</v>
      </c>
    </row>
    <row r="56" spans="1:22">
      <c r="A56" s="250">
        <v>59</v>
      </c>
      <c r="B56" s="219" t="s">
        <v>33</v>
      </c>
      <c r="C56" s="271">
        <f t="shared" si="0"/>
        <v>0.25517024632464091</v>
      </c>
      <c r="D56" s="170">
        <v>11719660.668430271</v>
      </c>
      <c r="E56" s="271">
        <f t="shared" si="0"/>
        <v>0.25610616909390876</v>
      </c>
      <c r="F56" s="170">
        <v>1667404.0459400485</v>
      </c>
      <c r="G56" s="271">
        <f t="shared" ref="G56" si="386">+H56/H$58*100</f>
        <v>1.0666125429340811</v>
      </c>
      <c r="H56" s="170">
        <v>2530221.8947161376</v>
      </c>
      <c r="I56" s="271">
        <f t="shared" ref="I56" si="387">+J56/J$58*100</f>
        <v>0.25427724931991225</v>
      </c>
      <c r="J56" s="170">
        <v>359633.54323354684</v>
      </c>
      <c r="K56" s="271">
        <f t="shared" ref="K56" si="388">+L56/L$58*100</f>
        <v>0.25932200874023603</v>
      </c>
      <c r="L56" s="170">
        <v>519270.70931296324</v>
      </c>
      <c r="M56" s="271">
        <f t="shared" ref="M56" si="389">+N56/N$58*100</f>
        <v>0.26302546375917252</v>
      </c>
      <c r="N56" s="170">
        <v>482470.43823801138</v>
      </c>
      <c r="O56" s="271">
        <f t="shared" ref="O56" si="390">+P56/P$58*100</f>
        <v>0.24943893506419906</v>
      </c>
      <c r="P56" s="170">
        <v>55941.976277860194</v>
      </c>
      <c r="Q56" s="271">
        <f t="shared" ref="Q56" si="391">+R56/R$58*100</f>
        <v>0.10578527898754474</v>
      </c>
      <c r="R56" s="170">
        <v>123285.02329660507</v>
      </c>
      <c r="S56" s="271">
        <f t="shared" ref="S56" si="392">+T56/T$58*100</f>
        <v>5.517782342198544E-2</v>
      </c>
      <c r="T56" s="170">
        <v>106363.45738110684</v>
      </c>
      <c r="U56" s="271">
        <f t="shared" ref="U56" si="393">+V56/V$58*100</f>
        <v>0.27712608824586571</v>
      </c>
      <c r="V56" s="220">
        <f t="shared" si="9"/>
        <v>17564251.756826553</v>
      </c>
    </row>
    <row r="57" spans="1:22" ht="13.5" thickBot="1">
      <c r="A57" s="250">
        <v>60</v>
      </c>
      <c r="B57" s="219" t="s">
        <v>34</v>
      </c>
      <c r="C57" s="271">
        <f t="shared" si="0"/>
        <v>0.3058891525619073</v>
      </c>
      <c r="D57" s="170">
        <v>14049118.664165618</v>
      </c>
      <c r="E57" s="271">
        <f t="shared" si="0"/>
        <v>0.30352000373480198</v>
      </c>
      <c r="F57" s="170">
        <v>1976096.4136149907</v>
      </c>
      <c r="G57" s="271">
        <f t="shared" ref="G57" si="394">+H57/H$58*100</f>
        <v>1.3188273705794975</v>
      </c>
      <c r="H57" s="170">
        <v>3128526.7649410972</v>
      </c>
      <c r="I57" s="271">
        <f t="shared" ref="I57" si="395">+J57/J$58*100</f>
        <v>0.30823531910001617</v>
      </c>
      <c r="J57" s="170">
        <v>435948.39984365465</v>
      </c>
      <c r="K57" s="271">
        <f t="shared" ref="K57" si="396">+L57/L$58*100</f>
        <v>0.29540128819872841</v>
      </c>
      <c r="L57" s="170">
        <v>591516.45940152905</v>
      </c>
      <c r="M57" s="271">
        <f t="shared" ref="M57" si="397">+N57/N$58*100</f>
        <v>0.28618116003960453</v>
      </c>
      <c r="N57" s="170">
        <v>524945.18107262684</v>
      </c>
      <c r="O57" s="271">
        <f t="shared" ref="O57" si="398">+P57/P$58*100</f>
        <v>0.32030610082786376</v>
      </c>
      <c r="P57" s="170">
        <v>71835.442568556842</v>
      </c>
      <c r="Q57" s="271">
        <f t="shared" ref="Q57" si="399">+R57/R$58*100</f>
        <v>0.12229657586956651</v>
      </c>
      <c r="R57" s="170">
        <v>142527.73495024536</v>
      </c>
      <c r="S57" s="271">
        <f t="shared" ref="S57" si="400">+T57/T$58*100</f>
        <v>9.402738365139697E-3</v>
      </c>
      <c r="T57" s="170">
        <v>18125.17600989213</v>
      </c>
      <c r="U57" s="271">
        <f t="shared" ref="U57" si="401">+V57/V$58*100</f>
        <v>0.33036667557969668</v>
      </c>
      <c r="V57" s="220">
        <f t="shared" si="9"/>
        <v>20938640.236568209</v>
      </c>
    </row>
    <row r="58" spans="1:22" ht="14.25" thickTop="1" thickBot="1">
      <c r="B58" s="221" t="s">
        <v>35</v>
      </c>
      <c r="C58" s="270">
        <f t="shared" ref="C58:T58" si="402">SUM(C7:C57)</f>
        <v>100.00000000000001</v>
      </c>
      <c r="D58" s="262">
        <f t="shared" si="402"/>
        <v>4592879004.2080002</v>
      </c>
      <c r="E58" s="270">
        <f t="shared" ref="E58" si="403">SUM(E7:E57)</f>
        <v>99.999999999999986</v>
      </c>
      <c r="F58" s="262">
        <f t="shared" si="402"/>
        <v>651059696.00000012</v>
      </c>
      <c r="G58" s="270">
        <f t="shared" ref="G58" si="404">SUM(G7:G57)</f>
        <v>99.999999999999972</v>
      </c>
      <c r="H58" s="262">
        <f t="shared" si="402"/>
        <v>237220339.42671445</v>
      </c>
      <c r="I58" s="270">
        <f t="shared" ref="I58" si="405">SUM(I7:I57)</f>
        <v>99.999999999999986</v>
      </c>
      <c r="J58" s="262">
        <f t="shared" si="402"/>
        <v>141433629.70750219</v>
      </c>
      <c r="K58" s="270">
        <f t="shared" ref="K58" si="406">SUM(K7:K57)</f>
        <v>99.999999999999986</v>
      </c>
      <c r="L58" s="262">
        <f t="shared" si="402"/>
        <v>200241665.50133389</v>
      </c>
      <c r="M58" s="270">
        <f t="shared" ref="M58" si="407">SUM(M7:M57)</f>
        <v>100.00000000000003</v>
      </c>
      <c r="N58" s="262">
        <f t="shared" si="402"/>
        <v>183431075.96599996</v>
      </c>
      <c r="O58" s="270">
        <f t="shared" ref="O58" si="408">SUM(O7:O57)</f>
        <v>99.999999999999957</v>
      </c>
      <c r="P58" s="262">
        <f t="shared" si="402"/>
        <v>22427122.800000004</v>
      </c>
      <c r="Q58" s="270">
        <f t="shared" ref="Q58" si="409">SUM(Q7:Q57)</f>
        <v>100</v>
      </c>
      <c r="R58" s="262">
        <f t="shared" si="402"/>
        <v>116542702.79999997</v>
      </c>
      <c r="S58" s="270">
        <f t="shared" ref="S58" si="410">SUM(S7:S57)</f>
        <v>99.999999999999986</v>
      </c>
      <c r="T58" s="262">
        <f t="shared" si="402"/>
        <v>192764866</v>
      </c>
      <c r="U58" s="270">
        <f t="shared" ref="U58" si="411">SUM(U7:U57)</f>
        <v>99.999999999999972</v>
      </c>
      <c r="V58" s="228">
        <f>SUM(V7:V57)</f>
        <v>6338000102.4095516</v>
      </c>
    </row>
    <row r="59" spans="1:22" ht="16.5" customHeight="1">
      <c r="B59" s="94"/>
      <c r="C59" s="269"/>
      <c r="D59" s="173"/>
      <c r="E59" s="173"/>
      <c r="F59" s="176"/>
      <c r="G59" s="176"/>
      <c r="H59" s="176"/>
      <c r="I59" s="176"/>
      <c r="J59" s="154"/>
      <c r="K59" s="154"/>
    </row>
    <row r="60" spans="1:22">
      <c r="B60" s="99"/>
      <c r="C60" s="99"/>
      <c r="D60" s="174"/>
      <c r="E60" s="174"/>
    </row>
    <row r="61" spans="1:22">
      <c r="B61" s="99"/>
      <c r="C61" s="99"/>
      <c r="D61" s="174"/>
      <c r="E61" s="174"/>
    </row>
    <row r="62" spans="1:22" ht="16.5" customHeight="1"/>
  </sheetData>
  <mergeCells count="15">
    <mergeCell ref="B1:V1"/>
    <mergeCell ref="B2:V2"/>
    <mergeCell ref="B3:V3"/>
    <mergeCell ref="B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B5:B6"/>
  </mergeCells>
  <printOptions horizontalCentered="1"/>
  <pageMargins left="0.19685039370078741" right="0.19685039370078741" top="0.74803149606299213" bottom="0.39370078740157483" header="0.35433070866141736" footer="0.39370078740157483"/>
  <pageSetup scale="70" orientation="landscape" r:id="rId1"/>
  <headerFooter alignWithMargins="0">
    <oddHeader>&amp;LAnexo II&amp;C
DISTRIBUCIÓN DE PARTICIPACIONES 1er SEMESTRE 2023</oddHeader>
    <oddFooter>&amp;LLas sumas pueden no coincidir por cuestiones de redondeo</oddFooter>
  </headerFooter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062B-490A-4C5C-8F71-E5CA51AC0A4C}">
  <dimension ref="A1:V62"/>
  <sheetViews>
    <sheetView showGridLines="0" tabSelected="1" zoomScale="110" zoomScaleNormal="110" zoomScaleSheetLayoutView="100" workbookViewId="0">
      <selection activeCell="B59" sqref="B59"/>
    </sheetView>
  </sheetViews>
  <sheetFormatPr baseColWidth="10" defaultColWidth="11.42578125" defaultRowHeight="12.75"/>
  <cols>
    <col min="1" max="1" width="3" style="98" bestFit="1" customWidth="1"/>
    <col min="2" max="2" width="29.140625" style="98" customWidth="1"/>
    <col min="3" max="3" width="18.140625" style="98" customWidth="1"/>
    <col min="4" max="5" width="13.5703125" style="175" customWidth="1"/>
    <col min="6" max="9" width="13.5703125" style="177" customWidth="1"/>
    <col min="10" max="21" width="13.5703125" style="155" customWidth="1"/>
    <col min="22" max="22" width="16.5703125" style="155" customWidth="1"/>
    <col min="23" max="23" width="12.5703125" style="98" bestFit="1" customWidth="1"/>
    <col min="24" max="16384" width="11.42578125" style="98"/>
  </cols>
  <sheetData>
    <row r="1" spans="1:22">
      <c r="B1" s="277" t="s">
        <v>87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2" ht="12.75" customHeight="1">
      <c r="B2" s="277" t="s">
        <v>190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</row>
    <row r="3" spans="1:22" ht="12.75" customHeight="1">
      <c r="B3" s="277" t="s">
        <v>221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</row>
    <row r="4" spans="1:22" ht="13.5" thickBot="1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</row>
    <row r="5" spans="1:22" ht="30" customHeight="1">
      <c r="B5" s="284" t="s">
        <v>152</v>
      </c>
      <c r="C5" s="278" t="s">
        <v>153</v>
      </c>
      <c r="D5" s="279"/>
      <c r="E5" s="280" t="s">
        <v>154</v>
      </c>
      <c r="F5" s="281"/>
      <c r="G5" s="280" t="s">
        <v>155</v>
      </c>
      <c r="H5" s="281"/>
      <c r="I5" s="280" t="s">
        <v>156</v>
      </c>
      <c r="J5" s="281"/>
      <c r="K5" s="280" t="s">
        <v>157</v>
      </c>
      <c r="L5" s="281"/>
      <c r="M5" s="280" t="s">
        <v>158</v>
      </c>
      <c r="N5" s="281"/>
      <c r="O5" s="280" t="s">
        <v>159</v>
      </c>
      <c r="P5" s="281"/>
      <c r="Q5" s="280" t="s">
        <v>191</v>
      </c>
      <c r="R5" s="281"/>
      <c r="S5" s="280" t="s">
        <v>194</v>
      </c>
      <c r="T5" s="281"/>
      <c r="U5" s="282" t="s">
        <v>151</v>
      </c>
      <c r="V5" s="283"/>
    </row>
    <row r="6" spans="1:22">
      <c r="B6" s="285"/>
      <c r="C6" s="274" t="s">
        <v>237</v>
      </c>
      <c r="D6" s="275" t="s">
        <v>238</v>
      </c>
      <c r="E6" s="274" t="s">
        <v>237</v>
      </c>
      <c r="F6" s="275" t="s">
        <v>238</v>
      </c>
      <c r="G6" s="274" t="s">
        <v>237</v>
      </c>
      <c r="H6" s="275" t="s">
        <v>238</v>
      </c>
      <c r="I6" s="274" t="s">
        <v>237</v>
      </c>
      <c r="J6" s="275" t="s">
        <v>238</v>
      </c>
      <c r="K6" s="274" t="s">
        <v>237</v>
      </c>
      <c r="L6" s="275" t="s">
        <v>238</v>
      </c>
      <c r="M6" s="274" t="s">
        <v>237</v>
      </c>
      <c r="N6" s="275" t="s">
        <v>238</v>
      </c>
      <c r="O6" s="274" t="s">
        <v>237</v>
      </c>
      <c r="P6" s="275" t="s">
        <v>238</v>
      </c>
      <c r="Q6" s="274" t="s">
        <v>237</v>
      </c>
      <c r="R6" s="275" t="s">
        <v>238</v>
      </c>
      <c r="S6" s="274" t="s">
        <v>237</v>
      </c>
      <c r="T6" s="275" t="s">
        <v>238</v>
      </c>
      <c r="U6" s="274" t="s">
        <v>237</v>
      </c>
      <c r="V6" s="273" t="s">
        <v>238</v>
      </c>
    </row>
    <row r="7" spans="1:22">
      <c r="A7" s="250">
        <v>15</v>
      </c>
      <c r="B7" s="219" t="s">
        <v>1</v>
      </c>
      <c r="C7" s="271">
        <f>+D7/D$58*100</f>
        <v>0.11221850336178023</v>
      </c>
      <c r="D7" s="170">
        <f>ROUND(+IF('PART 2023'!Z$4&lt;1,'PISO 2021'!$Q6*'PART 2023'!Z$4,'PISO 2021'!J6+Copete!C6),2)</f>
        <v>5154060.08</v>
      </c>
      <c r="E7" s="271">
        <f>+F7/F$58*100</f>
        <v>0.11070863767109149</v>
      </c>
      <c r="F7" s="170">
        <f>ROUND(+IF('PART 2023'!Z$5&lt;1,'PISO 2021'!$Q6*'PART 2023'!Z$5,'PISO 2021'!K6+Copete!D6),2)</f>
        <v>720779.32</v>
      </c>
      <c r="G7" s="271">
        <f>+H7/H$58*100</f>
        <v>1.1118788975810328</v>
      </c>
      <c r="H7" s="179">
        <f>ROUND(+'Art.14 Frac.III'!Q5,2)</f>
        <v>2637602.89</v>
      </c>
      <c r="I7" s="271">
        <f>+J7/J$58*100</f>
        <v>0.11595469198859309</v>
      </c>
      <c r="J7" s="170">
        <f>ROUND(+IF('PART 2023'!Z$6&lt;1,'PISO 2021'!$Q6*'PART 2023'!Z$6,'PISO 2021'!L6+Copete!E6),2)</f>
        <v>163998.93</v>
      </c>
      <c r="K7" s="271">
        <f>+L7/L$58*100</f>
        <v>0.12454161283223299</v>
      </c>
      <c r="L7" s="170">
        <f>ROUND(+IF('PART 2023'!Z$7&lt;1,'PISO 2021'!$Q6*'PART 2023'!Z$7,'PISO 2021'!M6+Copete!F6),2)</f>
        <v>249384.2</v>
      </c>
      <c r="M7" s="271">
        <f>+N7/N$58*100</f>
        <v>9.9708557513047733E-2</v>
      </c>
      <c r="N7" s="170">
        <f>ROUND(+IF('PART 2023'!Z$8&lt;1,'PISO 2021'!$Q6*'PART 2023'!Z$8,'PISO 2021'!N6+Copete!G6),2)</f>
        <v>182896.48</v>
      </c>
      <c r="O7" s="271">
        <f>+P7/P$58*100</f>
        <v>0.12138025950588582</v>
      </c>
      <c r="P7" s="170">
        <f>ROUND(+IF('PART 2023'!Z$9&lt;1,'PISO 2021'!$Q6*'PART 2023'!Z$9,'PISO 2021'!O6+Copete!H6),2)</f>
        <v>27222.1</v>
      </c>
      <c r="Q7" s="271">
        <f>+R7/R$58*100</f>
        <v>5.7079352361541602E-2</v>
      </c>
      <c r="R7" s="170">
        <f>+ROUND('COEF Art 14 F II'!M7,2)</f>
        <v>66521.820000000007</v>
      </c>
      <c r="S7" s="271">
        <f>+T7/T$58*100</f>
        <v>8.0520430527029792E-3</v>
      </c>
      <c r="T7" s="170">
        <f>ROUND(+'ISR BI'!E4,2)</f>
        <v>15521.51</v>
      </c>
      <c r="U7" s="271">
        <f>+V7/V$58*100</f>
        <v>0.14543999968685969</v>
      </c>
      <c r="V7" s="220">
        <f>+D7+F7+H7+J7+L7+N7+P7+R7+T7</f>
        <v>9217987.3300000001</v>
      </c>
    </row>
    <row r="8" spans="1:22">
      <c r="A8" s="250">
        <v>11</v>
      </c>
      <c r="B8" s="219" t="s">
        <v>2</v>
      </c>
      <c r="C8" s="271">
        <f t="shared" ref="C8:C57" si="0">+D8/D$58*100</f>
        <v>0.21248510118741776</v>
      </c>
      <c r="D8" s="170">
        <f>ROUND(+IF('PART 2023'!Z$4&lt;1,'PISO 2021'!$Q7*'PART 2023'!Z$4,'PISO 2021'!J7+Copete!C7),2)</f>
        <v>9759183.5999999996</v>
      </c>
      <c r="E8" s="271">
        <f t="shared" ref="E8:E57" si="1">+F8/F$58*100</f>
        <v>0.20926548796055128</v>
      </c>
      <c r="F8" s="170">
        <f>ROUND(+IF('PART 2023'!Z$5&lt;1,'PISO 2021'!$Q7*'PART 2023'!Z$5,'PISO 2021'!K7+Copete!D7),2)</f>
        <v>1362443.25</v>
      </c>
      <c r="G8" s="271">
        <f t="shared" ref="G8:G57" si="2">+H8/H$58*100</f>
        <v>0.95273270395894416</v>
      </c>
      <c r="H8" s="179">
        <f>ROUND(+'Art.14 Frac.III'!Q6,2)</f>
        <v>2260075.75</v>
      </c>
      <c r="I8" s="271">
        <f t="shared" ref="I8:I57" si="3">+J8/J$58*100</f>
        <v>0.22045209478547331</v>
      </c>
      <c r="J8" s="170">
        <f>ROUND(+IF('PART 2023'!Z$6&lt;1,'PISO 2021'!$Q7*'PART 2023'!Z$6,'PISO 2021'!L7+Copete!E7),2)</f>
        <v>311793.40000000002</v>
      </c>
      <c r="K8" s="271">
        <f t="shared" ref="K8:K57" si="4">+L8/L$58*100</f>
        <v>0.23876270624118784</v>
      </c>
      <c r="L8" s="170">
        <f>ROUND(+IF('PART 2023'!Z$7&lt;1,'PISO 2021'!$Q7*'PART 2023'!Z$7,'PISO 2021'!M7+Copete!F7),2)</f>
        <v>478102.42</v>
      </c>
      <c r="M8" s="271">
        <f t="shared" ref="M8:M57" si="5">+N8/N$58*100</f>
        <v>0.18580908277110675</v>
      </c>
      <c r="N8" s="170">
        <f>ROUND(+IF('PART 2023'!Z$8&lt;1,'PISO 2021'!$Q7*'PART 2023'!Z$8,'PISO 2021'!N7+Copete!G7),2)</f>
        <v>340831.6</v>
      </c>
      <c r="O8" s="271">
        <f t="shared" ref="O8:O57" si="6">+P8/P$58*100</f>
        <v>0.2320214687618076</v>
      </c>
      <c r="P8" s="170">
        <f>ROUND(+IF('PART 2023'!Z$9&lt;1,'PISO 2021'!$Q7*'PART 2023'!Z$9,'PISO 2021'!O7+Copete!H7),2)</f>
        <v>52035.74</v>
      </c>
      <c r="Q8" s="271">
        <f t="shared" ref="Q8:Q57" si="7">+R8/R$58*100</f>
        <v>7.3592904503946469E-2</v>
      </c>
      <c r="R8" s="170">
        <f>+ROUND('COEF Art 14 F II'!M8,2)</f>
        <v>85767.16</v>
      </c>
      <c r="S8" s="271">
        <f t="shared" ref="S8:S57" si="8">+T8/T$58*100</f>
        <v>1.6506109573749095E-2</v>
      </c>
      <c r="T8" s="170">
        <f>ROUND(+'ISR BI'!E5,2)</f>
        <v>31817.98</v>
      </c>
      <c r="U8" s="271">
        <f t="shared" ref="U8:U57" si="9">+V8/V$58*100</f>
        <v>0.2316511622172579</v>
      </c>
      <c r="V8" s="220">
        <f t="shared" ref="V8:V57" si="10">+D8+F8+H8+J8+L8+N8+P8+R8+T8</f>
        <v>14682050.9</v>
      </c>
    </row>
    <row r="9" spans="1:22">
      <c r="A9" s="250">
        <v>12</v>
      </c>
      <c r="B9" s="219" t="s">
        <v>142</v>
      </c>
      <c r="C9" s="271">
        <f t="shared" si="0"/>
        <v>0.23114307278152216</v>
      </c>
      <c r="D9" s="170">
        <f>ROUND(+IF('PART 2023'!Z$4&lt;1,'PISO 2021'!$Q8*'PART 2023'!Z$4,'PISO 2021'!J8+Copete!C8),2)</f>
        <v>10616121.66</v>
      </c>
      <c r="E9" s="271">
        <f t="shared" si="1"/>
        <v>0.22851658133139613</v>
      </c>
      <c r="F9" s="170">
        <f>ROUND(+IF('PART 2023'!Z$5&lt;1,'PISO 2021'!$Q8*'PART 2023'!Z$5,'PISO 2021'!K8+Copete!D8),2)</f>
        <v>1487779.36</v>
      </c>
      <c r="G9" s="271">
        <f t="shared" si="2"/>
        <v>0.75945524640530337</v>
      </c>
      <c r="H9" s="179">
        <f>ROUND(+'Art.14 Frac.III'!Q7,2)</f>
        <v>1801582.31</v>
      </c>
      <c r="I9" s="271">
        <f t="shared" si="3"/>
        <v>0.23764236983190823</v>
      </c>
      <c r="J9" s="170">
        <f>ROUND(+IF('PART 2023'!Z$6&lt;1,'PISO 2021'!$Q8*'PART 2023'!Z$6,'PISO 2021'!L8+Copete!E8),2)</f>
        <v>336106.23</v>
      </c>
      <c r="K9" s="271">
        <f t="shared" si="4"/>
        <v>0.25257977568377565</v>
      </c>
      <c r="L9" s="170">
        <f>ROUND(+IF('PART 2023'!Z$7&lt;1,'PISO 2021'!$Q8*'PART 2023'!Z$7,'PISO 2021'!M8+Copete!F8),2)</f>
        <v>505769.95</v>
      </c>
      <c r="M9" s="271">
        <f t="shared" si="5"/>
        <v>0.20938135357803639</v>
      </c>
      <c r="N9" s="170">
        <f>ROUND(+IF('PART 2023'!Z$8&lt;1,'PISO 2021'!$Q8*'PART 2023'!Z$8,'PISO 2021'!N8+Copete!G8),2)</f>
        <v>384070.47</v>
      </c>
      <c r="O9" s="271">
        <f t="shared" si="6"/>
        <v>0.24708042220869941</v>
      </c>
      <c r="P9" s="170">
        <f>ROUND(+IF('PART 2023'!Z$9&lt;1,'PISO 2021'!$Q8*'PART 2023'!Z$9,'PISO 2021'!O8+Copete!H8),2)</f>
        <v>55413.03</v>
      </c>
      <c r="Q9" s="271">
        <f t="shared" si="7"/>
        <v>6.5855028359822376E-2</v>
      </c>
      <c r="R9" s="170">
        <f>+ROUND('COEF Art 14 F II'!M9,2)</f>
        <v>76749.23</v>
      </c>
      <c r="S9" s="271">
        <f t="shared" si="8"/>
        <v>0</v>
      </c>
      <c r="T9" s="170">
        <f>ROUND(+'ISR BI'!E6,2)</f>
        <v>0</v>
      </c>
      <c r="U9" s="271">
        <f t="shared" si="9"/>
        <v>0.24082663287908362</v>
      </c>
      <c r="V9" s="220">
        <f t="shared" si="10"/>
        <v>15263592.24</v>
      </c>
    </row>
    <row r="10" spans="1:22">
      <c r="A10" s="250">
        <v>13</v>
      </c>
      <c r="B10" s="219" t="s">
        <v>3</v>
      </c>
      <c r="C10" s="271">
        <f t="shared" si="0"/>
        <v>0.66386310352448819</v>
      </c>
      <c r="D10" s="170">
        <f>ROUND(+IF('PART 2023'!Z$4&lt;1,'PISO 2021'!$Q9*'PART 2023'!Z$4,'PISO 2021'!J9+Copete!C9),2)</f>
        <v>30490429.100000001</v>
      </c>
      <c r="E10" s="271">
        <f t="shared" si="1"/>
        <v>0.65903144605178621</v>
      </c>
      <c r="F10" s="170">
        <f>ROUND(+IF('PART 2023'!Z$5&lt;1,'PISO 2021'!$Q9*'PART 2023'!Z$5,'PISO 2021'!K9+Copete!D9),2)</f>
        <v>4290688.13</v>
      </c>
      <c r="G10" s="271">
        <f t="shared" si="2"/>
        <v>1.5501491127010891</v>
      </c>
      <c r="H10" s="179">
        <f>ROUND(+'Art.14 Frac.III'!Q8,2)</f>
        <v>3677268.98</v>
      </c>
      <c r="I10" s="271">
        <f t="shared" si="3"/>
        <v>0.67581912463304927</v>
      </c>
      <c r="J10" s="170">
        <f>ROUND(+IF('PART 2023'!Z$6&lt;1,'PISO 2021'!$Q9*'PART 2023'!Z$6,'PISO 2021'!L9+Copete!E9),2)</f>
        <v>955835.52</v>
      </c>
      <c r="K10" s="271">
        <f t="shared" si="4"/>
        <v>0.70329776034252156</v>
      </c>
      <c r="L10" s="170">
        <f>ROUND(+IF('PART 2023'!Z$7&lt;1,'PISO 2021'!$Q9*'PART 2023'!Z$7,'PISO 2021'!M9+Copete!F9),2)</f>
        <v>1408295.15</v>
      </c>
      <c r="M10" s="271">
        <f t="shared" si="5"/>
        <v>0.62383054954033657</v>
      </c>
      <c r="N10" s="170">
        <f>ROUND(+IF('PART 2023'!Z$8&lt;1,'PISO 2021'!$Q9*'PART 2023'!Z$8,'PISO 2021'!N9+Copete!G9),2)</f>
        <v>1144299.0900000001</v>
      </c>
      <c r="O10" s="271">
        <f t="shared" si="6"/>
        <v>0.69318120097056124</v>
      </c>
      <c r="P10" s="170">
        <f>ROUND(+IF('PART 2023'!Z$9&lt;1,'PISO 2021'!$Q9*'PART 2023'!Z$9,'PISO 2021'!O9+Copete!H9),2)</f>
        <v>155460.6</v>
      </c>
      <c r="Q10" s="271">
        <f t="shared" si="7"/>
        <v>0.61187028675676036</v>
      </c>
      <c r="R10" s="170">
        <f>+ROUND('COEF Art 14 F II'!M10,2)</f>
        <v>713090.17</v>
      </c>
      <c r="S10" s="271">
        <f t="shared" si="8"/>
        <v>0.94917497574216558</v>
      </c>
      <c r="T10" s="170">
        <f>ROUND(+'ISR BI'!E7,2)</f>
        <v>1829675.87</v>
      </c>
      <c r="U10" s="271">
        <f t="shared" si="9"/>
        <v>0.70471823736082051</v>
      </c>
      <c r="V10" s="220">
        <f t="shared" si="10"/>
        <v>44665042.610000007</v>
      </c>
    </row>
    <row r="11" spans="1:22">
      <c r="A11" s="250">
        <v>14</v>
      </c>
      <c r="B11" s="219" t="s">
        <v>143</v>
      </c>
      <c r="C11" s="271">
        <f t="shared" si="0"/>
        <v>0.7893539438977748</v>
      </c>
      <c r="D11" s="170">
        <f>ROUND(+IF('PART 2023'!Z$4&lt;1,'PISO 2021'!$Q10*'PART 2023'!Z$4,'PISO 2021'!J10+Copete!C10),2)</f>
        <v>36254071.560000002</v>
      </c>
      <c r="E11" s="271">
        <f t="shared" si="1"/>
        <v>0.77923439436265152</v>
      </c>
      <c r="F11" s="170">
        <f>ROUND(+IF('PART 2023'!Z$5&lt;1,'PISO 2021'!$Q10*'PART 2023'!Z$5,'PISO 2021'!K10+Copete!D10),2)</f>
        <v>5073281.08</v>
      </c>
      <c r="G11" s="271">
        <f t="shared" si="2"/>
        <v>1.9712548004566872</v>
      </c>
      <c r="H11" s="179">
        <f>ROUND(+'Art.14 Frac.III'!Q9,2)</f>
        <v>4676217.32</v>
      </c>
      <c r="I11" s="271">
        <f t="shared" si="3"/>
        <v>0.81439492873393582</v>
      </c>
      <c r="J11" s="170">
        <f>ROUND(+IF('PART 2023'!Z$6&lt;1,'PISO 2021'!$Q10*'PART 2023'!Z$6,'PISO 2021'!L10+Copete!E10),2)</f>
        <v>1151828.31</v>
      </c>
      <c r="K11" s="271">
        <f t="shared" si="4"/>
        <v>0.87194692177113131</v>
      </c>
      <c r="L11" s="170">
        <f>ROUND(+IF('PART 2023'!Z$7&lt;1,'PISO 2021'!$Q10*'PART 2023'!Z$7,'PISO 2021'!M10+Copete!F10),2)</f>
        <v>1746001.04</v>
      </c>
      <c r="M11" s="271">
        <f t="shared" si="5"/>
        <v>0.70550871072960508</v>
      </c>
      <c r="N11" s="170">
        <f>ROUND(+IF('PART 2023'!Z$8&lt;1,'PISO 2021'!$Q10*'PART 2023'!Z$8,'PISO 2021'!N10+Copete!G10),2)</f>
        <v>1294122.22</v>
      </c>
      <c r="O11" s="271">
        <f t="shared" si="6"/>
        <v>0.85075856890162349</v>
      </c>
      <c r="P11" s="170">
        <f>ROUND(+IF('PART 2023'!Z$9&lt;1,'PISO 2021'!$Q10*'PART 2023'!Z$9,'PISO 2021'!O10+Copete!H10),2)</f>
        <v>190800.67</v>
      </c>
      <c r="Q11" s="271">
        <f t="shared" si="7"/>
        <v>0.38631288709403966</v>
      </c>
      <c r="R11" s="170">
        <f>+ROUND('COEF Art 14 F II'!M11,2)</f>
        <v>450219.48</v>
      </c>
      <c r="S11" s="271">
        <f t="shared" si="8"/>
        <v>5.3362359095737007E-2</v>
      </c>
      <c r="T11" s="170">
        <f>ROUND(+'ISR BI'!E8,2)</f>
        <v>102863.88</v>
      </c>
      <c r="U11" s="271">
        <f t="shared" si="9"/>
        <v>0.80371418005574757</v>
      </c>
      <c r="V11" s="220">
        <f t="shared" si="10"/>
        <v>50939405.560000002</v>
      </c>
    </row>
    <row r="12" spans="1:22">
      <c r="A12" s="250">
        <v>17</v>
      </c>
      <c r="B12" s="219" t="s">
        <v>4</v>
      </c>
      <c r="C12" s="271">
        <f t="shared" si="0"/>
        <v>6.6848021518353669</v>
      </c>
      <c r="D12" s="170">
        <f>ROUND(+IF('PART 2023'!Z$4&lt;1,'PISO 2021'!$Q11*'PART 2023'!Z$4,'PISO 2021'!J11+Copete!C11),2)</f>
        <v>307024874.51999998</v>
      </c>
      <c r="E12" s="271">
        <f t="shared" si="1"/>
        <v>6.7317785621184987</v>
      </c>
      <c r="F12" s="170">
        <f>ROUND(+IF('PART 2023'!Z$5&lt;1,'PISO 2021'!$Q11*'PART 2023'!Z$5,'PISO 2021'!K11+Copete!D11),2)</f>
        <v>43827897.049999997</v>
      </c>
      <c r="G12" s="271">
        <f t="shared" si="2"/>
        <v>4.503755890193875</v>
      </c>
      <c r="H12" s="179">
        <f>ROUND(+'Art.14 Frac.III'!Q10,2)</f>
        <v>10683824.99</v>
      </c>
      <c r="I12" s="271">
        <f t="shared" si="3"/>
        <v>6.5685582573045522</v>
      </c>
      <c r="J12" s="170">
        <f>ROUND(+IF('PART 2023'!Z$6&lt;1,'PISO 2021'!$Q11*'PART 2023'!Z$6,'PISO 2021'!L11+Copete!E11),2)</f>
        <v>9290150.3800000008</v>
      </c>
      <c r="K12" s="271">
        <f t="shared" si="4"/>
        <v>6.3013936271207704</v>
      </c>
      <c r="L12" s="170">
        <f>ROUND(+IF('PART 2023'!Z$7&lt;1,'PISO 2021'!$Q11*'PART 2023'!Z$7,'PISO 2021'!M11+Copete!F11),2)</f>
        <v>12618015.560000001</v>
      </c>
      <c r="M12" s="271">
        <f t="shared" si="5"/>
        <v>7.0740238222412088</v>
      </c>
      <c r="N12" s="170">
        <f>ROUND(+IF('PART 2023'!Z$8&lt;1,'PISO 2021'!$Q11*'PART 2023'!Z$8,'PISO 2021'!N11+Copete!G11),2)</f>
        <v>12975958.02</v>
      </c>
      <c r="O12" s="271">
        <f t="shared" si="6"/>
        <v>6.3997529915888114</v>
      </c>
      <c r="P12" s="170">
        <f>ROUND(+IF('PART 2023'!Z$9&lt;1,'PISO 2021'!$Q11*'PART 2023'!Z$9,'PISO 2021'!O11+Copete!H11),2)</f>
        <v>1435280.47</v>
      </c>
      <c r="Q12" s="271">
        <f t="shared" si="7"/>
        <v>10.526143149343675</v>
      </c>
      <c r="R12" s="170">
        <f>+ROUND('COEF Art 14 F II'!M12,2)</f>
        <v>12267451.73</v>
      </c>
      <c r="S12" s="271">
        <f t="shared" si="8"/>
        <v>13.861439221702437</v>
      </c>
      <c r="T12" s="170">
        <f>ROUND(+'ISR BI'!E9,2)</f>
        <v>26719984.739999998</v>
      </c>
      <c r="U12" s="271">
        <f t="shared" si="9"/>
        <v>6.8924492009894225</v>
      </c>
      <c r="V12" s="220">
        <f t="shared" si="10"/>
        <v>436843437.46000004</v>
      </c>
    </row>
    <row r="13" spans="1:22">
      <c r="A13" s="250">
        <v>16</v>
      </c>
      <c r="B13" s="219" t="s">
        <v>5</v>
      </c>
      <c r="C13" s="271">
        <f t="shared" si="0"/>
        <v>0.86676390715966345</v>
      </c>
      <c r="D13" s="170">
        <f>ROUND(+IF('PART 2023'!Z$4&lt;1,'PISO 2021'!$Q12*'PART 2023'!Z$4,'PISO 2021'!J12+Copete!C12),2)</f>
        <v>39809417.509999998</v>
      </c>
      <c r="E13" s="271">
        <f t="shared" si="1"/>
        <v>0.85205515762375417</v>
      </c>
      <c r="F13" s="170">
        <f>ROUND(+IF('PART 2023'!Z$5&lt;1,'PISO 2021'!$Q12*'PART 2023'!Z$5,'PISO 2021'!K12+Copete!D12),2)</f>
        <v>5547387.7199999997</v>
      </c>
      <c r="G13" s="271">
        <f t="shared" si="2"/>
        <v>1.3908591118483675</v>
      </c>
      <c r="H13" s="179">
        <f>ROUND(+'Art.14 Frac.III'!Q11,2)</f>
        <v>3299400.7</v>
      </c>
      <c r="I13" s="271">
        <f t="shared" si="3"/>
        <v>0.90316094571775352</v>
      </c>
      <c r="J13" s="170">
        <f>ROUND(+IF('PART 2023'!Z$6&lt;1,'PISO 2021'!$Q12*'PART 2023'!Z$6,'PISO 2021'!L12+Copete!E12),2)</f>
        <v>1277373.31</v>
      </c>
      <c r="K13" s="271">
        <f t="shared" si="4"/>
        <v>0.98681268121181143</v>
      </c>
      <c r="L13" s="170">
        <f>ROUND(+IF('PART 2023'!Z$7&lt;1,'PISO 2021'!$Q12*'PART 2023'!Z$7,'PISO 2021'!M12+Copete!F12),2)</f>
        <v>1976010.15</v>
      </c>
      <c r="M13" s="271">
        <f t="shared" si="5"/>
        <v>0.74489498133325793</v>
      </c>
      <c r="N13" s="170">
        <f>ROUND(+IF('PART 2023'!Z$8&lt;1,'PISO 2021'!$Q12*'PART 2023'!Z$8,'PISO 2021'!N12+Copete!G12),2)</f>
        <v>1366368.88</v>
      </c>
      <c r="O13" s="271">
        <f t="shared" si="6"/>
        <v>0.95601544952873518</v>
      </c>
      <c r="P13" s="170">
        <f>ROUND(+IF('PART 2023'!Z$9&lt;1,'PISO 2021'!$Q12*'PART 2023'!Z$9,'PISO 2021'!O12+Copete!H12),2)</f>
        <v>214406.76</v>
      </c>
      <c r="Q13" s="271">
        <f t="shared" si="7"/>
        <v>0.34117311538586365</v>
      </c>
      <c r="R13" s="170">
        <f>+ROUND('COEF Art 14 F II'!M13,2)</f>
        <v>397612.37</v>
      </c>
      <c r="S13" s="271">
        <f t="shared" si="8"/>
        <v>1.9689376383541252E-3</v>
      </c>
      <c r="T13" s="170">
        <f>ROUND(+'ISR BI'!E10,2)</f>
        <v>3795.42</v>
      </c>
      <c r="U13" s="271">
        <f t="shared" si="9"/>
        <v>0.85029618087629921</v>
      </c>
      <c r="V13" s="220">
        <f t="shared" si="10"/>
        <v>53891772.82</v>
      </c>
    </row>
    <row r="14" spans="1:22">
      <c r="A14" s="250">
        <v>18</v>
      </c>
      <c r="B14" s="219" t="s">
        <v>6</v>
      </c>
      <c r="C14" s="271">
        <f t="shared" si="0"/>
        <v>0.16460752292171044</v>
      </c>
      <c r="D14" s="170">
        <f>ROUND(+IF('PART 2023'!Z$4&lt;1,'PISO 2021'!$Q13*'PART 2023'!Z$4,'PISO 2021'!J13+Copete!C13),2)</f>
        <v>7560224.3600000003</v>
      </c>
      <c r="E14" s="271">
        <f t="shared" si="1"/>
        <v>0.16473527641040123</v>
      </c>
      <c r="F14" s="170">
        <f>ROUND(+IF('PART 2023'!Z$5&lt;1,'PISO 2021'!$Q13*'PART 2023'!Z$5,'PISO 2021'!K13+Copete!D13),2)</f>
        <v>1072524.99</v>
      </c>
      <c r="G14" s="271">
        <f t="shared" si="2"/>
        <v>7.3097003797515754</v>
      </c>
      <c r="H14" s="179">
        <f>ROUND(+'Art.14 Frac.III'!Q12,2)</f>
        <v>17340096.02</v>
      </c>
      <c r="I14" s="271">
        <f t="shared" si="3"/>
        <v>0.1642913994707535</v>
      </c>
      <c r="J14" s="170">
        <f>ROUND(+IF('PART 2023'!Z$6&lt;1,'PISO 2021'!$Q13*'PART 2023'!Z$6,'PISO 2021'!L13+Copete!E13),2)</f>
        <v>232363.29</v>
      </c>
      <c r="K14" s="271">
        <f t="shared" si="4"/>
        <v>0.16356483496467084</v>
      </c>
      <c r="L14" s="170">
        <f>ROUND(+IF('PART 2023'!Z$7&lt;1,'PISO 2021'!$Q13*'PART 2023'!Z$7,'PISO 2021'!M13+Copete!F13),2)</f>
        <v>327524.95</v>
      </c>
      <c r="M14" s="271">
        <f t="shared" si="5"/>
        <v>0.16566602370631053</v>
      </c>
      <c r="N14" s="170">
        <f>ROUND(+IF('PART 2023'!Z$8&lt;1,'PISO 2021'!$Q13*'PART 2023'!Z$8,'PISO 2021'!N13+Copete!G13),2)</f>
        <v>303882.96999999997</v>
      </c>
      <c r="O14" s="271">
        <f t="shared" si="6"/>
        <v>0.16383233877598061</v>
      </c>
      <c r="P14" s="170">
        <f>ROUND(+IF('PART 2023'!Z$9&lt;1,'PISO 2021'!$Q13*'PART 2023'!Z$9,'PISO 2021'!O13+Copete!H13),2)</f>
        <v>36742.879999999997</v>
      </c>
      <c r="Q14" s="271">
        <f t="shared" si="7"/>
        <v>9.9954683709303507E-2</v>
      </c>
      <c r="R14" s="170">
        <f>+ROUND('COEF Art 14 F II'!M14,2)</f>
        <v>116489.89</v>
      </c>
      <c r="S14" s="271">
        <f t="shared" si="8"/>
        <v>3.006501714010815E-2</v>
      </c>
      <c r="T14" s="170">
        <f>ROUND(+'ISR BI'!E11,2)</f>
        <v>57954.79</v>
      </c>
      <c r="U14" s="271">
        <f t="shared" si="9"/>
        <v>0.4267561328544201</v>
      </c>
      <c r="V14" s="220">
        <f t="shared" si="10"/>
        <v>27047804.139999993</v>
      </c>
    </row>
    <row r="15" spans="1:22">
      <c r="A15" s="250">
        <v>19</v>
      </c>
      <c r="B15" s="219" t="s">
        <v>127</v>
      </c>
      <c r="C15" s="271">
        <f t="shared" si="0"/>
        <v>1.5154546029345386</v>
      </c>
      <c r="D15" s="170">
        <f>ROUND(+IF('PART 2023'!Z$4&lt;1,'PISO 2021'!$Q14*'PART 2023'!Z$4,'PISO 2021'!J14+Copete!C14),2)</f>
        <v>69602996.280000001</v>
      </c>
      <c r="E15" s="271">
        <f t="shared" si="1"/>
        <v>1.5056037116745862</v>
      </c>
      <c r="F15" s="170">
        <f>ROUND(+IF('PART 2023'!Z$5&lt;1,'PISO 2021'!$Q14*'PART 2023'!Z$5,'PISO 2021'!K14+Copete!D14),2)</f>
        <v>9802378.9499999993</v>
      </c>
      <c r="G15" s="271">
        <f t="shared" si="2"/>
        <v>1.1434069867484429</v>
      </c>
      <c r="H15" s="179">
        <f>ROUND(+'Art.14 Frac.III'!Q13,2)</f>
        <v>2712393.93</v>
      </c>
      <c r="I15" s="271">
        <f t="shared" si="3"/>
        <v>1.5398307888031646</v>
      </c>
      <c r="J15" s="170">
        <f>ROUND(+IF('PART 2023'!Z$6&lt;1,'PISO 2021'!$Q14*'PART 2023'!Z$6,'PISO 2021'!L14+Copete!E14),2)</f>
        <v>2177838.58</v>
      </c>
      <c r="K15" s="271">
        <f t="shared" si="4"/>
        <v>1.5958548632464609</v>
      </c>
      <c r="L15" s="170">
        <f>ROUND(+IF('PART 2023'!Z$7&lt;1,'PISO 2021'!$Q14*'PART 2023'!Z$7,'PISO 2021'!M14+Copete!F14),2)</f>
        <v>3195566.36</v>
      </c>
      <c r="M15" s="271">
        <f t="shared" si="5"/>
        <v>1.4338353380806355</v>
      </c>
      <c r="N15" s="170">
        <f>ROUND(+IF('PART 2023'!Z$8&lt;1,'PISO 2021'!$Q14*'PART 2023'!Z$8,'PISO 2021'!N14+Copete!G14),2)</f>
        <v>2630099.59</v>
      </c>
      <c r="O15" s="271">
        <f t="shared" si="6"/>
        <v>1.5752290263008017</v>
      </c>
      <c r="P15" s="170">
        <f>ROUND(+IF('PART 2023'!Z$9&lt;1,'PISO 2021'!$Q14*'PART 2023'!Z$9,'PISO 2021'!O14+Copete!H14),2)</f>
        <v>353278.55</v>
      </c>
      <c r="Q15" s="271">
        <f t="shared" si="7"/>
        <v>1.7695010411832923</v>
      </c>
      <c r="R15" s="170">
        <f>+ROUND('COEF Art 14 F II'!M15,2)</f>
        <v>2062224.34</v>
      </c>
      <c r="S15" s="271">
        <f t="shared" si="8"/>
        <v>1.0081821134878481</v>
      </c>
      <c r="T15" s="170">
        <f>ROUND(+'ISR BI'!E12,2)</f>
        <v>1943420.9</v>
      </c>
      <c r="U15" s="271">
        <f t="shared" si="9"/>
        <v>1.4906941613148914</v>
      </c>
      <c r="V15" s="220">
        <f t="shared" si="10"/>
        <v>94480197.480000019</v>
      </c>
    </row>
    <row r="16" spans="1:22">
      <c r="A16" s="250">
        <v>20</v>
      </c>
      <c r="B16" s="219" t="s">
        <v>128</v>
      </c>
      <c r="C16" s="271">
        <f t="shared" si="0"/>
        <v>0.48161986607128288</v>
      </c>
      <c r="D16" s="170">
        <f>ROUND(+IF('PART 2023'!Z$4&lt;1,'PISO 2021'!$Q15*'PART 2023'!Z$4,'PISO 2021'!J15+Copete!C15),2)</f>
        <v>22120217.710000001</v>
      </c>
      <c r="E16" s="271">
        <f t="shared" si="1"/>
        <v>0.50010102443814608</v>
      </c>
      <c r="F16" s="170">
        <f>ROUND(+IF('PART 2023'!Z$5&lt;1,'PISO 2021'!$Q15*'PART 2023'!Z$5,'PISO 2021'!K15+Copete!D15),2)</f>
        <v>3255956.21</v>
      </c>
      <c r="G16" s="271">
        <f t="shared" si="2"/>
        <v>3.5114141078565546</v>
      </c>
      <c r="H16" s="179">
        <f>ROUND(+'Art.14 Frac.III'!Q14,2)</f>
        <v>8329788.4500000002</v>
      </c>
      <c r="I16" s="271">
        <f t="shared" si="3"/>
        <v>0.43588793565629785</v>
      </c>
      <c r="J16" s="170">
        <f>ROUND(+IF('PART 2023'!Z$6&lt;1,'PISO 2021'!$Q15*'PART 2023'!Z$6,'PISO 2021'!L15+Copete!E15),2)</f>
        <v>616492.13</v>
      </c>
      <c r="K16" s="271">
        <f t="shared" si="4"/>
        <v>0.33078173703294173</v>
      </c>
      <c r="L16" s="170">
        <f>ROUND(+IF('PART 2023'!Z$7&lt;1,'PISO 2021'!$Q15*'PART 2023'!Z$7,'PISO 2021'!M15+Copete!F15),2)</f>
        <v>662362.86</v>
      </c>
      <c r="M16" s="271">
        <f t="shared" si="5"/>
        <v>0.6347449651490511</v>
      </c>
      <c r="N16" s="170">
        <f>ROUND(+IF('PART 2023'!Z$8&lt;1,'PISO 2021'!$Q15*'PART 2023'!Z$8,'PISO 2021'!N15+Copete!G15),2)</f>
        <v>1164319.52</v>
      </c>
      <c r="O16" s="271">
        <f t="shared" si="6"/>
        <v>0.36947770918089745</v>
      </c>
      <c r="P16" s="170">
        <f>ROUND(+IF('PART 2023'!Z$9&lt;1,'PISO 2021'!$Q15*'PART 2023'!Z$9,'PISO 2021'!O15+Copete!H15),2)</f>
        <v>82863.22</v>
      </c>
      <c r="Q16" s="271">
        <f t="shared" si="7"/>
        <v>1.2313116009444454</v>
      </c>
      <c r="R16" s="170">
        <f>+ROUND('COEF Art 14 F II'!M16,2)</f>
        <v>1435003.82</v>
      </c>
      <c r="S16" s="271">
        <f t="shared" si="8"/>
        <v>0.4763095158884561</v>
      </c>
      <c r="T16" s="170">
        <f>ROUND(+'ISR BI'!E13,2)</f>
        <v>918157.4</v>
      </c>
      <c r="U16" s="271">
        <f t="shared" si="9"/>
        <v>0.60879079666713232</v>
      </c>
      <c r="V16" s="220">
        <f t="shared" si="10"/>
        <v>38585161.320000008</v>
      </c>
    </row>
    <row r="17" spans="1:22">
      <c r="A17" s="250">
        <v>23</v>
      </c>
      <c r="B17" s="219" t="s">
        <v>129</v>
      </c>
      <c r="C17" s="271">
        <f t="shared" si="0"/>
        <v>0.38078643358758374</v>
      </c>
      <c r="D17" s="170">
        <f>ROUND(+IF('PART 2023'!Z$4&lt;1,'PISO 2021'!$Q16*'PART 2023'!Z$4,'PISO 2021'!J16+Copete!C16),2)</f>
        <v>17489060.16</v>
      </c>
      <c r="E17" s="271">
        <f t="shared" si="1"/>
        <v>0.37978706940941648</v>
      </c>
      <c r="F17" s="170">
        <f>ROUND(+IF('PART 2023'!Z$5&lt;1,'PISO 2021'!$Q16*'PART 2023'!Z$5,'PISO 2021'!K16+Copete!D16),2)</f>
        <v>2472640.54</v>
      </c>
      <c r="G17" s="271">
        <f t="shared" si="2"/>
        <v>1.5744665048124087</v>
      </c>
      <c r="H17" s="179">
        <f>ROUND(+'Art.14 Frac.III'!Q15,2)</f>
        <v>3734954.78</v>
      </c>
      <c r="I17" s="271">
        <f t="shared" si="3"/>
        <v>0.38325937764234563</v>
      </c>
      <c r="J17" s="170">
        <f>ROUND(+IF('PART 2023'!Z$6&lt;1,'PISO 2021'!$Q16*'PART 2023'!Z$6,'PISO 2021'!L16+Copete!E16),2)</f>
        <v>542057.65</v>
      </c>
      <c r="K17" s="271">
        <f t="shared" si="4"/>
        <v>0.38894296417041263</v>
      </c>
      <c r="L17" s="170">
        <f>ROUND(+IF('PART 2023'!Z$7&lt;1,'PISO 2021'!$Q16*'PART 2023'!Z$7,'PISO 2021'!M16+Copete!F16),2)</f>
        <v>778825.87</v>
      </c>
      <c r="M17" s="271">
        <f t="shared" si="5"/>
        <v>0.37250623752800982</v>
      </c>
      <c r="N17" s="170">
        <f>ROUND(+IF('PART 2023'!Z$8&lt;1,'PISO 2021'!$Q16*'PART 2023'!Z$8,'PISO 2021'!N16+Copete!G16),2)</f>
        <v>683292.2</v>
      </c>
      <c r="O17" s="271">
        <f t="shared" si="6"/>
        <v>0.38685051270053855</v>
      </c>
      <c r="P17" s="170">
        <f>ROUND(+IF('PART 2023'!Z$9&lt;1,'PISO 2021'!$Q16*'PART 2023'!Z$9,'PISO 2021'!O16+Copete!H16),2)</f>
        <v>86759.44</v>
      </c>
      <c r="Q17" s="271">
        <f t="shared" si="7"/>
        <v>0.20149813269951947</v>
      </c>
      <c r="R17" s="170">
        <f>+ROUND('COEF Art 14 F II'!M17,2)</f>
        <v>234831.37</v>
      </c>
      <c r="S17" s="271">
        <f t="shared" si="8"/>
        <v>2.0682067655455542E-2</v>
      </c>
      <c r="T17" s="170">
        <f>ROUND(+'ISR BI'!E14,2)</f>
        <v>39867.760000000002</v>
      </c>
      <c r="U17" s="271">
        <f t="shared" si="9"/>
        <v>0.41120683727254015</v>
      </c>
      <c r="V17" s="220">
        <f t="shared" si="10"/>
        <v>26062289.770000003</v>
      </c>
    </row>
    <row r="18" spans="1:22">
      <c r="A18" s="250">
        <v>21</v>
      </c>
      <c r="B18" s="219" t="s">
        <v>7</v>
      </c>
      <c r="C18" s="271">
        <f t="shared" si="0"/>
        <v>0.71857239735894152</v>
      </c>
      <c r="D18" s="170">
        <f>ROUND(+IF('PART 2023'!Z$4&lt;1,'PISO 2021'!$Q17*'PART 2023'!Z$4,'PISO 2021'!J17+Copete!C17),2)</f>
        <v>33003160.77</v>
      </c>
      <c r="E18" s="271">
        <f t="shared" si="1"/>
        <v>0.70889471234436952</v>
      </c>
      <c r="F18" s="170">
        <f>ROUND(+IF('PART 2023'!Z$5&lt;1,'PISO 2021'!$Q17*'PART 2023'!Z$5,'PISO 2021'!K17+Copete!D17),2)</f>
        <v>4615327.76</v>
      </c>
      <c r="G18" s="271">
        <f t="shared" si="2"/>
        <v>0.99782970552950068</v>
      </c>
      <c r="H18" s="179">
        <f>ROUND(+'Art.14 Frac.III'!Q16,2)</f>
        <v>2367055.0099999998</v>
      </c>
      <c r="I18" s="271">
        <f t="shared" si="3"/>
        <v>0.74251998638708205</v>
      </c>
      <c r="J18" s="170">
        <f>ROUND(+IF('PART 2023'!Z$6&lt;1,'PISO 2021'!$Q17*'PART 2023'!Z$6,'PISO 2021'!L17+Copete!E17),2)</f>
        <v>1050172.97</v>
      </c>
      <c r="K18" s="271">
        <f t="shared" si="4"/>
        <v>0.79755899681347464</v>
      </c>
      <c r="L18" s="170">
        <f>ROUND(+IF('PART 2023'!Z$7&lt;1,'PISO 2021'!$Q17*'PART 2023'!Z$7,'PISO 2021'!M17+Copete!F17),2)</f>
        <v>1597045.42</v>
      </c>
      <c r="M18" s="271">
        <f t="shared" si="5"/>
        <v>0.63838822459148103</v>
      </c>
      <c r="N18" s="170">
        <f>ROUND(+IF('PART 2023'!Z$8&lt;1,'PISO 2021'!$Q17*'PART 2023'!Z$8,'PISO 2021'!N17+Copete!G17),2)</f>
        <v>1171002.3899999999</v>
      </c>
      <c r="O18" s="271">
        <f t="shared" si="6"/>
        <v>0.77729582444362855</v>
      </c>
      <c r="P18" s="170">
        <f>ROUND(+IF('PART 2023'!Z$9&lt;1,'PISO 2021'!$Q17*'PART 2023'!Z$9,'PISO 2021'!O17+Copete!H17),2)</f>
        <v>174325.09</v>
      </c>
      <c r="Q18" s="271">
        <f t="shared" si="7"/>
        <v>0.2705750702040759</v>
      </c>
      <c r="R18" s="170">
        <f>+ROUND('COEF Art 14 F II'!M18,2)</f>
        <v>315335.5</v>
      </c>
      <c r="S18" s="271">
        <f t="shared" si="8"/>
        <v>4.9833505450616385E-2</v>
      </c>
      <c r="T18" s="170">
        <f>ROUND(+'ISR BI'!E15,2)</f>
        <v>96061.49</v>
      </c>
      <c r="U18" s="271">
        <f t="shared" si="9"/>
        <v>0.70037055346178945</v>
      </c>
      <c r="V18" s="220">
        <f t="shared" si="10"/>
        <v>44389486.400000006</v>
      </c>
    </row>
    <row r="19" spans="1:22">
      <c r="A19" s="250">
        <v>22</v>
      </c>
      <c r="B19" s="219" t="s">
        <v>130</v>
      </c>
      <c r="C19" s="271">
        <f t="shared" si="0"/>
        <v>0.4973812329459642</v>
      </c>
      <c r="D19" s="170">
        <f>ROUND(+IF('PART 2023'!Z$4&lt;1,'PISO 2021'!$Q18*'PART 2023'!Z$4,'PISO 2021'!J18+Copete!C18),2)</f>
        <v>22844118.219999999</v>
      </c>
      <c r="E19" s="271">
        <f t="shared" si="1"/>
        <v>0.50429954112761444</v>
      </c>
      <c r="F19" s="170">
        <f>ROUND(+IF('PART 2023'!Z$5&lt;1,'PISO 2021'!$Q18*'PART 2023'!Z$5,'PISO 2021'!K18+Copete!D18),2)</f>
        <v>3283291.06</v>
      </c>
      <c r="G19" s="271">
        <f t="shared" si="2"/>
        <v>1.1479235345476817</v>
      </c>
      <c r="H19" s="179">
        <f>ROUND(+'Art.14 Frac.III'!Q17,2)</f>
        <v>2723108.1</v>
      </c>
      <c r="I19" s="271">
        <f t="shared" si="3"/>
        <v>0.4802617737691372</v>
      </c>
      <c r="J19" s="170">
        <f>ROUND(+IF('PART 2023'!Z$6&lt;1,'PISO 2021'!$Q18*'PART 2023'!Z$6,'PISO 2021'!L18+Copete!E18),2)</f>
        <v>679251.66</v>
      </c>
      <c r="K19" s="271">
        <f t="shared" si="4"/>
        <v>0.4409159137793684</v>
      </c>
      <c r="L19" s="170">
        <f>ROUND(+IF('PART 2023'!Z$7&lt;1,'PISO 2021'!$Q18*'PART 2023'!Z$7,'PISO 2021'!M18+Copete!F18),2)</f>
        <v>882897.37</v>
      </c>
      <c r="M19" s="271">
        <f t="shared" si="5"/>
        <v>0.55470266635778087</v>
      </c>
      <c r="N19" s="170">
        <f>ROUND(+IF('PART 2023'!Z$8&lt;1,'PISO 2021'!$Q18*'PART 2023'!Z$8,'PISO 2021'!N18+Copete!G18),2)</f>
        <v>1017497.07</v>
      </c>
      <c r="O19" s="271">
        <f t="shared" si="6"/>
        <v>0.45540152593054944</v>
      </c>
      <c r="P19" s="170">
        <f>ROUND(+IF('PART 2023'!Z$9&lt;1,'PISO 2021'!$Q18*'PART 2023'!Z$9,'PISO 2021'!O18+Copete!H18),2)</f>
        <v>102133.46</v>
      </c>
      <c r="Q19" s="271">
        <f t="shared" si="7"/>
        <v>0.94395193631704122</v>
      </c>
      <c r="R19" s="170">
        <f>+ROUND('COEF Art 14 F II'!M19,2)</f>
        <v>1100107.1000000001</v>
      </c>
      <c r="S19" s="271">
        <f t="shared" si="8"/>
        <v>1.2088745726728478</v>
      </c>
      <c r="T19" s="170">
        <f>ROUND(+'ISR BI'!E16,2)</f>
        <v>2330285.4500000002</v>
      </c>
      <c r="U19" s="271">
        <f t="shared" si="9"/>
        <v>0.55163598803486025</v>
      </c>
      <c r="V19" s="220">
        <f t="shared" si="10"/>
        <v>34962689.490000002</v>
      </c>
    </row>
    <row r="20" spans="1:22">
      <c r="A20" s="250">
        <v>25</v>
      </c>
      <c r="B20" s="219" t="s">
        <v>8</v>
      </c>
      <c r="C20" s="271">
        <f t="shared" si="0"/>
        <v>1.947236136278415</v>
      </c>
      <c r="D20" s="170">
        <f>ROUND(+IF('PART 2023'!Z$4&lt;1,'PISO 2021'!$Q19*'PART 2023'!Z$4,'PISO 2021'!J19+Copete!C19),2)</f>
        <v>89434199.670000002</v>
      </c>
      <c r="E20" s="271">
        <f t="shared" si="1"/>
        <v>1.9137934454021936</v>
      </c>
      <c r="F20" s="170">
        <f>ROUND(+IF('PART 2023'!Z$5&lt;1,'PISO 2021'!$Q19*'PART 2023'!Z$5,'PISO 2021'!K19+Copete!D19),2)</f>
        <v>12459937.789999999</v>
      </c>
      <c r="G20" s="271">
        <f t="shared" si="2"/>
        <v>0.73168288073020948</v>
      </c>
      <c r="H20" s="179">
        <f>ROUND(+'Art.14 Frac.III'!Q18,2)</f>
        <v>1735700.61</v>
      </c>
      <c r="I20" s="271">
        <f t="shared" si="3"/>
        <v>2.0299906115744872</v>
      </c>
      <c r="J20" s="170">
        <f>ROUND(+IF('PART 2023'!Z$6&lt;1,'PISO 2021'!$Q19*'PART 2023'!Z$6,'PISO 2021'!L19+Copete!E19),2)</f>
        <v>2871089.41</v>
      </c>
      <c r="K20" s="271">
        <f t="shared" si="4"/>
        <v>2.2201861709962976</v>
      </c>
      <c r="L20" s="170">
        <f>ROUND(+IF('PART 2023'!Z$7&lt;1,'PISO 2021'!$Q19*'PART 2023'!Z$7,'PISO 2021'!M19+Copete!F19),2)</f>
        <v>4445737.7699999996</v>
      </c>
      <c r="M20" s="271">
        <f t="shared" si="5"/>
        <v>1.6701477008709615</v>
      </c>
      <c r="N20" s="170">
        <f>ROUND(+IF('PART 2023'!Z$8&lt;1,'PISO 2021'!$Q19*'PART 2023'!Z$8,'PISO 2021'!N19+Copete!G19),2)</f>
        <v>3063569.9</v>
      </c>
      <c r="O20" s="271">
        <f t="shared" si="6"/>
        <v>2.1501637179237432</v>
      </c>
      <c r="P20" s="170">
        <f>ROUND(+IF('PART 2023'!Z$9&lt;1,'PISO 2021'!$Q19*'PART 2023'!Z$9,'PISO 2021'!O19+Copete!H19),2)</f>
        <v>482219.86</v>
      </c>
      <c r="Q20" s="271">
        <f t="shared" si="7"/>
        <v>0.76341323686117235</v>
      </c>
      <c r="R20" s="170">
        <f>+ROUND('COEF Art 14 F II'!M20,2)</f>
        <v>889702.42</v>
      </c>
      <c r="S20" s="271">
        <f t="shared" si="8"/>
        <v>1.068730024747805E-2</v>
      </c>
      <c r="T20" s="170">
        <f>ROUND(+'ISR BI'!E17,2)</f>
        <v>20601.36</v>
      </c>
      <c r="U20" s="271">
        <f t="shared" si="9"/>
        <v>1.8208071460085578</v>
      </c>
      <c r="V20" s="220">
        <f t="shared" si="10"/>
        <v>115402758.79000001</v>
      </c>
    </row>
    <row r="21" spans="1:22">
      <c r="A21" s="250">
        <v>27</v>
      </c>
      <c r="B21" s="219" t="s">
        <v>9</v>
      </c>
      <c r="C21" s="271">
        <f t="shared" si="0"/>
        <v>0.25192846619330439</v>
      </c>
      <c r="D21" s="170">
        <f>ROUND(+IF('PART 2023'!Z$4&lt;1,'PISO 2021'!$Q20*'PART 2023'!Z$4,'PISO 2021'!J20+Copete!C20),2)</f>
        <v>11570769.630000001</v>
      </c>
      <c r="E21" s="271">
        <f t="shared" si="1"/>
        <v>0.24814210580503046</v>
      </c>
      <c r="F21" s="170">
        <f>ROUND(+IF('PART 2023'!Z$5&lt;1,'PISO 2021'!$Q20*'PART 2023'!Z$5,'PISO 2021'!K20+Copete!D20),2)</f>
        <v>1615553.24</v>
      </c>
      <c r="G21" s="271">
        <f t="shared" si="2"/>
        <v>0.5342021453115875</v>
      </c>
      <c r="H21" s="179">
        <f>ROUND(+'Art.14 Frac.III'!Q19,2)</f>
        <v>1267236.1399999999</v>
      </c>
      <c r="I21" s="271">
        <f t="shared" si="3"/>
        <v>0.26129788232006018</v>
      </c>
      <c r="J21" s="170">
        <f>ROUND(+IF('PART 2023'!Z$6&lt;1,'PISO 2021'!$Q20*'PART 2023'!Z$6,'PISO 2021'!L20+Copete!E20),2)</f>
        <v>369563.08</v>
      </c>
      <c r="K21" s="271">
        <f t="shared" si="4"/>
        <v>0.28283170641671618</v>
      </c>
      <c r="L21" s="170">
        <f>ROUND(+IF('PART 2023'!Z$7&lt;1,'PISO 2021'!$Q20*'PART 2023'!Z$7,'PISO 2021'!M20+Copete!F20),2)</f>
        <v>566346.92000000004</v>
      </c>
      <c r="M21" s="271">
        <f t="shared" si="5"/>
        <v>0.22055668462714512</v>
      </c>
      <c r="N21" s="170">
        <f>ROUND(+IF('PART 2023'!Z$8&lt;1,'PISO 2021'!$Q20*'PART 2023'!Z$8,'PISO 2021'!N20+Copete!G20),2)</f>
        <v>404569.5</v>
      </c>
      <c r="O21" s="271">
        <f t="shared" si="6"/>
        <v>0.27490383059799089</v>
      </c>
      <c r="P21" s="170">
        <f>ROUND(+IF('PART 2023'!Z$9&lt;1,'PISO 2021'!$Q20*'PART 2023'!Z$9,'PISO 2021'!O20+Copete!H20),2)</f>
        <v>61653.02</v>
      </c>
      <c r="Q21" s="271">
        <f t="shared" si="7"/>
        <v>6.4342175167656529E-2</v>
      </c>
      <c r="R21" s="170">
        <f>+ROUND('COEF Art 14 F II'!M21,2)</f>
        <v>74986.11</v>
      </c>
      <c r="S21" s="271">
        <f t="shared" si="8"/>
        <v>1.5668363550008558E-3</v>
      </c>
      <c r="T21" s="170">
        <f>ROUND(+'ISR BI'!E18,2)</f>
        <v>3020.31</v>
      </c>
      <c r="U21" s="271">
        <f t="shared" si="9"/>
        <v>0.25139945867755031</v>
      </c>
      <c r="V21" s="220">
        <f t="shared" si="10"/>
        <v>15933697.950000001</v>
      </c>
    </row>
    <row r="22" spans="1:22">
      <c r="A22" s="250">
        <v>26</v>
      </c>
      <c r="B22" s="219" t="s">
        <v>131</v>
      </c>
      <c r="C22" s="271">
        <f t="shared" si="0"/>
        <v>0.17531366888211233</v>
      </c>
      <c r="D22" s="170">
        <f>ROUND(+IF('PART 2023'!Z$4&lt;1,'PISO 2021'!$Q21*'PART 2023'!Z$4,'PISO 2021'!J21+Copete!C21),2)</f>
        <v>8051944.6900000004</v>
      </c>
      <c r="E22" s="271">
        <f t="shared" si="1"/>
        <v>0.17254271254919595</v>
      </c>
      <c r="F22" s="170">
        <f>ROUND(+IF('PART 2023'!Z$5&lt;1,'PISO 2021'!$Q21*'PART 2023'!Z$5,'PISO 2021'!K21+Copete!D21),2)</f>
        <v>1123356.06</v>
      </c>
      <c r="G22" s="271">
        <f t="shared" si="2"/>
        <v>1.0436875398379601</v>
      </c>
      <c r="H22" s="179">
        <f>ROUND(+'Art.14 Frac.III'!Q20,2)</f>
        <v>2475839.12</v>
      </c>
      <c r="I22" s="271">
        <f t="shared" si="3"/>
        <v>0.18217044988143991</v>
      </c>
      <c r="J22" s="170">
        <f>ROUND(+IF('PART 2023'!Z$6&lt;1,'PISO 2021'!$Q21*'PART 2023'!Z$6,'PISO 2021'!L21+Copete!E21),2)</f>
        <v>257650.28</v>
      </c>
      <c r="K22" s="271">
        <f t="shared" si="4"/>
        <v>0.19792945122289093</v>
      </c>
      <c r="L22" s="170">
        <f>ROUND(+IF('PART 2023'!Z$7&lt;1,'PISO 2021'!$Q21*'PART 2023'!Z$7,'PISO 2021'!M21+Copete!F21),2)</f>
        <v>396337.23</v>
      </c>
      <c r="M22" s="271">
        <f t="shared" si="5"/>
        <v>0.15235499674159925</v>
      </c>
      <c r="N22" s="170">
        <f>ROUND(+IF('PART 2023'!Z$8&lt;1,'PISO 2021'!$Q21*'PART 2023'!Z$8,'PISO 2021'!N21+Copete!G21),2)</f>
        <v>279466.40999999997</v>
      </c>
      <c r="O22" s="271">
        <f t="shared" si="6"/>
        <v>0.19212758655536008</v>
      </c>
      <c r="P22" s="170">
        <f>ROUND(+IF('PART 2023'!Z$9&lt;1,'PISO 2021'!$Q21*'PART 2023'!Z$9,'PISO 2021'!O21+Copete!H21),2)</f>
        <v>43088.69</v>
      </c>
      <c r="Q22" s="271">
        <f t="shared" si="7"/>
        <v>6.9856977762697753E-2</v>
      </c>
      <c r="R22" s="170">
        <f>+ROUND('COEF Art 14 F II'!M22,2)</f>
        <v>81413.210000000006</v>
      </c>
      <c r="S22" s="271">
        <f t="shared" si="8"/>
        <v>5.1972525950448489E-2</v>
      </c>
      <c r="T22" s="170">
        <f>ROUND(+'ISR BI'!E19,2)</f>
        <v>100184.77</v>
      </c>
      <c r="U22" s="271">
        <f t="shared" si="9"/>
        <v>0.20210287554076062</v>
      </c>
      <c r="V22" s="220">
        <f t="shared" si="10"/>
        <v>12809280.460000001</v>
      </c>
    </row>
    <row r="23" spans="1:22">
      <c r="A23" s="250">
        <v>29</v>
      </c>
      <c r="B23" s="219" t="s">
        <v>10</v>
      </c>
      <c r="C23" s="271">
        <f t="shared" si="0"/>
        <v>1.555126395468994</v>
      </c>
      <c r="D23" s="170">
        <f>ROUND(+IF('PART 2023'!Z$4&lt;1,'PISO 2021'!$Q22*'PART 2023'!Z$4,'PISO 2021'!J22+Copete!C22),2)</f>
        <v>71425073.709999993</v>
      </c>
      <c r="E23" s="271">
        <f t="shared" si="1"/>
        <v>1.5335237796934327</v>
      </c>
      <c r="F23" s="170">
        <f>ROUND(+IF('PART 2023'!Z$5&lt;1,'PISO 2021'!$Q22*'PART 2023'!Z$5,'PISO 2021'!K22+Copete!D22),2)</f>
        <v>9984155.2599999998</v>
      </c>
      <c r="G23" s="271">
        <f t="shared" si="2"/>
        <v>1.0202161881667413</v>
      </c>
      <c r="H23" s="179">
        <f>ROUND(+'Art.14 Frac.III'!Q21,2)</f>
        <v>2420160.2999999998</v>
      </c>
      <c r="I23" s="271">
        <f t="shared" si="3"/>
        <v>1.6085824145803052</v>
      </c>
      <c r="J23" s="170">
        <f>ROUND(+IF('PART 2023'!Z$6&lt;1,'PISO 2021'!$Q22*'PART 2023'!Z$6,'PISO 2021'!L22+Copete!E22),2)</f>
        <v>2275076.5</v>
      </c>
      <c r="K23" s="271">
        <f t="shared" si="4"/>
        <v>1.7314410006659706</v>
      </c>
      <c r="L23" s="170">
        <f>ROUND(+IF('PART 2023'!Z$7&lt;1,'PISO 2021'!$Q22*'PART 2023'!Z$7,'PISO 2021'!M22+Copete!F22),2)</f>
        <v>3467066.3</v>
      </c>
      <c r="M23" s="271">
        <f t="shared" si="5"/>
        <v>1.3761385495887701</v>
      </c>
      <c r="N23" s="170">
        <f>ROUND(+IF('PART 2023'!Z$8&lt;1,'PISO 2021'!$Q22*'PART 2023'!Z$8,'PISO 2021'!N22+Copete!G22),2)</f>
        <v>2524265.75</v>
      </c>
      <c r="O23" s="271">
        <f t="shared" si="6"/>
        <v>1.6862093338898949</v>
      </c>
      <c r="P23" s="170">
        <f>ROUND(+IF('PART 2023'!Z$9&lt;1,'PISO 2021'!$Q22*'PART 2023'!Z$9,'PISO 2021'!O22+Copete!H22),2)</f>
        <v>378168.24</v>
      </c>
      <c r="Q23" s="271">
        <f t="shared" si="7"/>
        <v>0.81654334153217978</v>
      </c>
      <c r="R23" s="170">
        <f>+ROUND('COEF Art 14 F II'!M23,2)</f>
        <v>951621.68</v>
      </c>
      <c r="S23" s="271">
        <f t="shared" si="8"/>
        <v>3.1832730349929679E-2</v>
      </c>
      <c r="T23" s="170">
        <f>ROUND(+'ISR BI'!E20,2)</f>
        <v>61362.32</v>
      </c>
      <c r="U23" s="271">
        <f t="shared" si="9"/>
        <v>1.4750228548482791</v>
      </c>
      <c r="V23" s="220">
        <f t="shared" si="10"/>
        <v>93486950.059999987</v>
      </c>
    </row>
    <row r="24" spans="1:22">
      <c r="A24" s="250">
        <v>30</v>
      </c>
      <c r="B24" s="219" t="s">
        <v>132</v>
      </c>
      <c r="C24" s="271">
        <f t="shared" si="0"/>
        <v>2.6299177544897576</v>
      </c>
      <c r="D24" s="170">
        <f>ROUND(+IF('PART 2023'!Z$4&lt;1,'PISO 2021'!$Q23*'PART 2023'!Z$4,'PISO 2021'!J23+Copete!C23),2)</f>
        <v>120788940.38</v>
      </c>
      <c r="E24" s="271">
        <f t="shared" si="1"/>
        <v>2.6680570389352338</v>
      </c>
      <c r="F24" s="170">
        <f>ROUND(+IF('PART 2023'!Z$5&lt;1,'PISO 2021'!$Q23*'PART 2023'!Z$5,'PISO 2021'!K23+Copete!D23),2)</f>
        <v>17370644.050000001</v>
      </c>
      <c r="G24" s="271">
        <f t="shared" si="2"/>
        <v>1.3876582775386586</v>
      </c>
      <c r="H24" s="179">
        <f>ROUND(+'Art.14 Frac.III'!Q22,2)</f>
        <v>3291807.67</v>
      </c>
      <c r="I24" s="271">
        <f t="shared" si="3"/>
        <v>2.5355414838469903</v>
      </c>
      <c r="J24" s="170">
        <f>ROUND(+IF('PART 2023'!Z$6&lt;1,'PISO 2021'!$Q23*'PART 2023'!Z$6,'PISO 2021'!L23+Copete!E23),2)</f>
        <v>3586108.36</v>
      </c>
      <c r="K24" s="271">
        <f t="shared" si="4"/>
        <v>2.3186354219703871</v>
      </c>
      <c r="L24" s="170">
        <f>ROUND(+IF('PART 2023'!Z$7&lt;1,'PISO 2021'!$Q23*'PART 2023'!Z$7,'PISO 2021'!M23+Copete!F23),2)</f>
        <v>4642874.1900000004</v>
      </c>
      <c r="M24" s="271">
        <f t="shared" si="5"/>
        <v>2.9459196692215182</v>
      </c>
      <c r="N24" s="170">
        <f>ROUND(+IF('PART 2023'!Z$8&lt;1,'PISO 2021'!$Q23*'PART 2023'!Z$8,'PISO 2021'!N23+Copete!G23),2)</f>
        <v>5403732.1500000004</v>
      </c>
      <c r="O24" s="271">
        <f t="shared" si="6"/>
        <v>2.3984916028631638</v>
      </c>
      <c r="P24" s="170">
        <f>ROUND(+IF('PART 2023'!Z$9&lt;1,'PISO 2021'!$Q23*'PART 2023'!Z$9,'PISO 2021'!O23+Copete!H23),2)</f>
        <v>537912.66</v>
      </c>
      <c r="Q24" s="271">
        <f t="shared" si="7"/>
        <v>5.4308163070770625</v>
      </c>
      <c r="R24" s="170">
        <f>+ROUND('COEF Art 14 F II'!M24,2)</f>
        <v>6329220.1100000003</v>
      </c>
      <c r="S24" s="271">
        <f t="shared" si="8"/>
        <v>8.5730151265517982</v>
      </c>
      <c r="T24" s="170">
        <f>ROUND(+'ISR BI'!E21,2)</f>
        <v>16525761.119999999</v>
      </c>
      <c r="U24" s="271">
        <f t="shared" si="9"/>
        <v>2.8159829250345978</v>
      </c>
      <c r="V24" s="220">
        <f t="shared" si="10"/>
        <v>178477000.69000003</v>
      </c>
    </row>
    <row r="25" spans="1:22">
      <c r="A25" s="250">
        <v>32</v>
      </c>
      <c r="B25" s="219" t="s">
        <v>11</v>
      </c>
      <c r="C25" s="271">
        <f t="shared" si="0"/>
        <v>0.32414162653986989</v>
      </c>
      <c r="D25" s="170">
        <f>ROUND(+IF('PART 2023'!Z$4&lt;1,'PISO 2021'!$Q24*'PART 2023'!Z$4,'PISO 2021'!J24+Copete!C24),2)</f>
        <v>14887432.710000001</v>
      </c>
      <c r="E25" s="271">
        <f t="shared" si="1"/>
        <v>0.32231416604434121</v>
      </c>
      <c r="F25" s="170">
        <f>ROUND(+IF('PART 2023'!Z$5&lt;1,'PISO 2021'!$Q24*'PART 2023'!Z$5,'PISO 2021'!K24+Copete!D24),2)</f>
        <v>2098457.63</v>
      </c>
      <c r="G25" s="271">
        <f t="shared" si="2"/>
        <v>0.72772404649197164</v>
      </c>
      <c r="H25" s="179">
        <f>ROUND(+'Art.14 Frac.III'!Q23,2)</f>
        <v>1726309.45</v>
      </c>
      <c r="I25" s="271">
        <f t="shared" si="3"/>
        <v>0.32866370614867141</v>
      </c>
      <c r="J25" s="170">
        <f>ROUND(+IF('PART 2023'!Z$6&lt;1,'PISO 2021'!$Q24*'PART 2023'!Z$6,'PISO 2021'!L24+Copete!E24),2)</f>
        <v>464841.01</v>
      </c>
      <c r="K25" s="271">
        <f t="shared" si="4"/>
        <v>0.33905685796930085</v>
      </c>
      <c r="L25" s="170">
        <f>ROUND(+IF('PART 2023'!Z$7&lt;1,'PISO 2021'!$Q24*'PART 2023'!Z$7,'PISO 2021'!M24+Copete!F24),2)</f>
        <v>678933.1</v>
      </c>
      <c r="M25" s="271">
        <f t="shared" si="5"/>
        <v>0.30900025888846649</v>
      </c>
      <c r="N25" s="170">
        <f>ROUND(+IF('PART 2023'!Z$8&lt;1,'PISO 2021'!$Q24*'PART 2023'!Z$8,'PISO 2021'!N24+Copete!G24),2)</f>
        <v>566802.5</v>
      </c>
      <c r="O25" s="271">
        <f t="shared" si="6"/>
        <v>0.33523051649640662</v>
      </c>
      <c r="P25" s="170">
        <f>ROUND(+IF('PART 2023'!Z$9&lt;1,'PISO 2021'!$Q24*'PART 2023'!Z$9,'PISO 2021'!O24+Copete!H24),2)</f>
        <v>75182.559999999998</v>
      </c>
      <c r="Q25" s="271">
        <f t="shared" si="7"/>
        <v>0.15379201412674154</v>
      </c>
      <c r="R25" s="170">
        <f>+ROUND('COEF Art 14 F II'!M25,2)</f>
        <v>179233.37</v>
      </c>
      <c r="S25" s="271">
        <f t="shared" si="8"/>
        <v>1.2872926750711562E-2</v>
      </c>
      <c r="T25" s="170">
        <f>ROUND(+'ISR BI'!E22,2)</f>
        <v>24814.48</v>
      </c>
      <c r="U25" s="271">
        <f t="shared" si="9"/>
        <v>0.3266331093952336</v>
      </c>
      <c r="V25" s="220">
        <f t="shared" si="10"/>
        <v>20702006.810000002</v>
      </c>
    </row>
    <row r="26" spans="1:22">
      <c r="A26" s="250">
        <v>33</v>
      </c>
      <c r="B26" s="219" t="s">
        <v>12</v>
      </c>
      <c r="C26" s="271">
        <f t="shared" si="0"/>
        <v>4.8824415727742796</v>
      </c>
      <c r="D26" s="170">
        <f>ROUND(+IF('PART 2023'!Z$4&lt;1,'PISO 2021'!$Q25*'PART 2023'!Z$4,'PISO 2021'!J25+Copete!C25),2)</f>
        <v>224244633.90000001</v>
      </c>
      <c r="E26" s="271">
        <f t="shared" si="1"/>
        <v>4.8990450599358173</v>
      </c>
      <c r="F26" s="170">
        <f>ROUND(+IF('PART 2023'!Z$5&lt;1,'PISO 2021'!$Q25*'PART 2023'!Z$5,'PISO 2021'!K25+Copete!D25),2)</f>
        <v>31895707.879999999</v>
      </c>
      <c r="G26" s="271">
        <f t="shared" si="2"/>
        <v>2.4825146634025566</v>
      </c>
      <c r="H26" s="179">
        <f>ROUND(+'Art.14 Frac.III'!Q24,2)</f>
        <v>5889029.7000000002</v>
      </c>
      <c r="I26" s="271">
        <f t="shared" si="3"/>
        <v>4.8413559713148899</v>
      </c>
      <c r="J26" s="170">
        <f>ROUND(+IF('PART 2023'!Z$6&lt;1,'PISO 2021'!$Q25*'PART 2023'!Z$6,'PISO 2021'!L25+Copete!E25),2)</f>
        <v>6847305.4900000002</v>
      </c>
      <c r="K26" s="271">
        <f t="shared" si="4"/>
        <v>4.7469284765090647</v>
      </c>
      <c r="L26" s="170">
        <f>ROUND(+IF('PART 2023'!Z$7&lt;1,'PISO 2021'!$Q25*'PART 2023'!Z$7,'PISO 2021'!M25+Copete!F25),2)</f>
        <v>9505328.6500000004</v>
      </c>
      <c r="M26" s="271">
        <f t="shared" si="5"/>
        <v>5.0200092842948765</v>
      </c>
      <c r="N26" s="170">
        <f>ROUND(+IF('PART 2023'!Z$8&lt;1,'PISO 2021'!$Q25*'PART 2023'!Z$8,'PISO 2021'!N25+Copete!G25),2)</f>
        <v>9208257.0500000007</v>
      </c>
      <c r="O26" s="271">
        <f t="shared" si="6"/>
        <v>4.781692925237687</v>
      </c>
      <c r="P26" s="170">
        <f>ROUND(+IF('PART 2023'!Z$9&lt;1,'PISO 2021'!$Q25*'PART 2023'!Z$9,'PISO 2021'!O25+Copete!H25),2)</f>
        <v>1072396.1499999999</v>
      </c>
      <c r="Q26" s="271">
        <f t="shared" si="7"/>
        <v>7.4213204773672077</v>
      </c>
      <c r="R26" s="170">
        <f>+ROUND('COEF Art 14 F II'!M26,2)</f>
        <v>8649007.4700000007</v>
      </c>
      <c r="S26" s="271">
        <f t="shared" si="8"/>
        <v>4.4145313702764977</v>
      </c>
      <c r="T26" s="170">
        <f>ROUND(+'ISR BI'!E23,2)</f>
        <v>8509665.4800000004</v>
      </c>
      <c r="U26" s="271">
        <f t="shared" si="9"/>
        <v>4.8252023792772789</v>
      </c>
      <c r="V26" s="220">
        <f t="shared" si="10"/>
        <v>305821331.76999998</v>
      </c>
    </row>
    <row r="27" spans="1:22">
      <c r="A27" s="250">
        <v>34</v>
      </c>
      <c r="B27" s="219" t="s">
        <v>133</v>
      </c>
      <c r="C27" s="271">
        <f t="shared" si="0"/>
        <v>0.61990998875598491</v>
      </c>
      <c r="D27" s="170">
        <f>ROUND(+IF('PART 2023'!Z$4&lt;1,'PISO 2021'!$Q26*'PART 2023'!Z$4,'PISO 2021'!J26+Copete!C26),2)</f>
        <v>28471715.719999999</v>
      </c>
      <c r="E27" s="271">
        <f t="shared" si="1"/>
        <v>0.6130649145979884</v>
      </c>
      <c r="F27" s="170">
        <f>ROUND(+IF('PART 2023'!Z$5&lt;1,'PISO 2021'!$Q26*'PART 2023'!Z$5,'PISO 2021'!K26+Copete!D26),2)</f>
        <v>3991418.57</v>
      </c>
      <c r="G27" s="271">
        <f t="shared" si="2"/>
        <v>1.0938907351065668</v>
      </c>
      <c r="H27" s="179">
        <f>ROUND(+'Art.14 Frac.III'!Q25,2)</f>
        <v>2594931.31</v>
      </c>
      <c r="I27" s="271">
        <f t="shared" si="3"/>
        <v>0.63684824478524271</v>
      </c>
      <c r="J27" s="170">
        <f>ROUND(+IF('PART 2023'!Z$6&lt;1,'PISO 2021'!$Q26*'PART 2023'!Z$6,'PISO 2021'!L26+Copete!E26),2)</f>
        <v>900717.59</v>
      </c>
      <c r="K27" s="271">
        <f t="shared" si="4"/>
        <v>0.67577760372932982</v>
      </c>
      <c r="L27" s="170">
        <f>ROUND(+IF('PART 2023'!Z$7&lt;1,'PISO 2021'!$Q26*'PART 2023'!Z$7,'PISO 2021'!M26+Copete!F26),2)</f>
        <v>1353188.33</v>
      </c>
      <c r="M27" s="271">
        <f t="shared" si="5"/>
        <v>0.56319532219999846</v>
      </c>
      <c r="N27" s="170">
        <f>ROUND(+IF('PART 2023'!Z$8&lt;1,'PISO 2021'!$Q26*'PART 2023'!Z$8,'PISO 2021'!N26+Copete!G26),2)</f>
        <v>1033075.24</v>
      </c>
      <c r="O27" s="271">
        <f t="shared" si="6"/>
        <v>0.66144534245055087</v>
      </c>
      <c r="P27" s="170">
        <f>ROUND(+IF('PART 2023'!Z$9&lt;1,'PISO 2021'!$Q26*'PART 2023'!Z$9,'PISO 2021'!O26+Copete!H26),2)</f>
        <v>148343.16</v>
      </c>
      <c r="Q27" s="271">
        <f t="shared" si="7"/>
        <v>0.31667225063275123</v>
      </c>
      <c r="R27" s="170">
        <f>+ROUND('COEF Art 14 F II'!M27,2)</f>
        <v>369058.4</v>
      </c>
      <c r="S27" s="271">
        <f t="shared" si="8"/>
        <v>0.18739734969065358</v>
      </c>
      <c r="T27" s="170">
        <f>ROUND(+'ISR BI'!E24,2)</f>
        <v>361236.25</v>
      </c>
      <c r="U27" s="271">
        <f t="shared" si="9"/>
        <v>0.61886531922346255</v>
      </c>
      <c r="V27" s="220">
        <f t="shared" si="10"/>
        <v>39223684.57</v>
      </c>
    </row>
    <row r="28" spans="1:22">
      <c r="A28" s="250">
        <v>35</v>
      </c>
      <c r="B28" s="219" t="s">
        <v>13</v>
      </c>
      <c r="C28" s="271">
        <f t="shared" si="0"/>
        <v>0.10579452638100682</v>
      </c>
      <c r="D28" s="170">
        <f>ROUND(+IF('PART 2023'!Z$4&lt;1,'PISO 2021'!$Q27*'PART 2023'!Z$4,'PISO 2021'!J27+Copete!C27),2)</f>
        <v>4859014.59</v>
      </c>
      <c r="E28" s="271">
        <f t="shared" si="1"/>
        <v>0.10512726622135236</v>
      </c>
      <c r="F28" s="170">
        <f>ROUND(+IF('PART 2023'!Z$5&lt;1,'PISO 2021'!$Q27*'PART 2023'!Z$5,'PISO 2021'!K27+Copete!D27),2)</f>
        <v>684441.26</v>
      </c>
      <c r="G28" s="271">
        <f t="shared" si="2"/>
        <v>1.6946111944344966</v>
      </c>
      <c r="H28" s="179">
        <f>ROUND(+'Art.14 Frac.III'!Q26,2)</f>
        <v>4019962.42</v>
      </c>
      <c r="I28" s="271">
        <f t="shared" si="3"/>
        <v>0.10744567613249671</v>
      </c>
      <c r="J28" s="170">
        <f>ROUND(+IF('PART 2023'!Z$6&lt;1,'PISO 2021'!$Q27*'PART 2023'!Z$6,'PISO 2021'!L27+Copete!E27),2)</f>
        <v>151964.32</v>
      </c>
      <c r="K28" s="271">
        <f t="shared" si="4"/>
        <v>0.11124052491451486</v>
      </c>
      <c r="L28" s="170">
        <f>ROUND(+IF('PART 2023'!Z$7&lt;1,'PISO 2021'!$Q27*'PART 2023'!Z$7,'PISO 2021'!M27+Copete!F27),2)</f>
        <v>222749.88</v>
      </c>
      <c r="M28" s="271">
        <f t="shared" si="5"/>
        <v>0.10026596033801852</v>
      </c>
      <c r="N28" s="170">
        <f>ROUND(+IF('PART 2023'!Z$8&lt;1,'PISO 2021'!$Q27*'PART 2023'!Z$8,'PISO 2021'!N27+Copete!G27),2)</f>
        <v>183918.93</v>
      </c>
      <c r="O28" s="271">
        <f t="shared" si="6"/>
        <v>0.10984342524841344</v>
      </c>
      <c r="P28" s="170">
        <f>ROUND(+IF('PART 2023'!Z$9&lt;1,'PISO 2021'!$Q27*'PART 2023'!Z$9,'PISO 2021'!O27+Copete!H27),2)</f>
        <v>24634.720000000001</v>
      </c>
      <c r="Q28" s="271">
        <f t="shared" si="7"/>
        <v>4.4548469135585779E-2</v>
      </c>
      <c r="R28" s="170">
        <f>+ROUND('COEF Art 14 F II'!M28,2)</f>
        <v>51917.99</v>
      </c>
      <c r="S28" s="271">
        <f t="shared" si="8"/>
        <v>3.6163436548450872E-3</v>
      </c>
      <c r="T28" s="170">
        <f>ROUND(+'ISR BI'!E25,2)</f>
        <v>6971.04</v>
      </c>
      <c r="U28" s="271">
        <f t="shared" si="9"/>
        <v>0.16102200984693946</v>
      </c>
      <c r="V28" s="220">
        <f t="shared" si="10"/>
        <v>10205575.15</v>
      </c>
    </row>
    <row r="29" spans="1:22">
      <c r="A29" s="250">
        <v>61</v>
      </c>
      <c r="B29" s="219" t="s">
        <v>14</v>
      </c>
      <c r="C29" s="271">
        <f t="shared" si="0"/>
        <v>0.44081838168233167</v>
      </c>
      <c r="D29" s="170">
        <f>ROUND(+IF('PART 2023'!Z$4&lt;1,'PISO 2021'!$Q28*'PART 2023'!Z$4,'PISO 2021'!J28+Copete!C28),2)</f>
        <v>20246254.899999999</v>
      </c>
      <c r="E29" s="271">
        <f t="shared" si="1"/>
        <v>0.43385951193627087</v>
      </c>
      <c r="F29" s="170">
        <f>ROUND(+IF('PART 2023'!Z$5&lt;1,'PISO 2021'!$Q28*'PART 2023'!Z$5,'PISO 2021'!K28+Copete!D28),2)</f>
        <v>2824684.42</v>
      </c>
      <c r="G29" s="271">
        <f t="shared" si="2"/>
        <v>1.5673980805485406</v>
      </c>
      <c r="H29" s="179">
        <f>ROUND(+'Art.14 Frac.III'!Q27,2)</f>
        <v>3718187.04</v>
      </c>
      <c r="I29" s="271">
        <f t="shared" si="3"/>
        <v>0.45803821915439163</v>
      </c>
      <c r="J29" s="170">
        <f>ROUND(+IF('PART 2023'!Z$6&lt;1,'PISO 2021'!$Q28*'PART 2023'!Z$6,'PISO 2021'!L28+Copete!E28),2)</f>
        <v>647820.07999999996</v>
      </c>
      <c r="K29" s="271">
        <f t="shared" si="4"/>
        <v>0.49761476794363418</v>
      </c>
      <c r="L29" s="170">
        <f>ROUND(+IF('PART 2023'!Z$7&lt;1,'PISO 2021'!$Q28*'PART 2023'!Z$7,'PISO 2021'!M28+Copete!F28),2)</f>
        <v>996432.1</v>
      </c>
      <c r="M29" s="271">
        <f t="shared" si="5"/>
        <v>0.38316086618559392</v>
      </c>
      <c r="N29" s="170">
        <f>ROUND(+IF('PART 2023'!Z$8&lt;1,'PISO 2021'!$Q28*'PART 2023'!Z$8,'PISO 2021'!N28+Copete!G28),2)</f>
        <v>702836.1</v>
      </c>
      <c r="O29" s="271">
        <f t="shared" si="6"/>
        <v>0.48304426023095071</v>
      </c>
      <c r="P29" s="170">
        <f>ROUND(+IF('PART 2023'!Z$9&lt;1,'PISO 2021'!$Q28*'PART 2023'!Z$9,'PISO 2021'!O28+Copete!H28),2)</f>
        <v>108332.93</v>
      </c>
      <c r="Q29" s="271">
        <f t="shared" si="7"/>
        <v>0.15416535367476514</v>
      </c>
      <c r="R29" s="170">
        <f>+ROUND('COEF Art 14 F II'!M29,2)</f>
        <v>179668.47</v>
      </c>
      <c r="S29" s="271">
        <f t="shared" si="8"/>
        <v>1.340347986512249E-3</v>
      </c>
      <c r="T29" s="170">
        <f>ROUND(+'ISR BI'!E26,2)</f>
        <v>2583.7199999999998</v>
      </c>
      <c r="U29" s="271">
        <f t="shared" si="9"/>
        <v>0.464291563295052</v>
      </c>
      <c r="V29" s="220">
        <f t="shared" si="10"/>
        <v>29426799.759999998</v>
      </c>
    </row>
    <row r="30" spans="1:22">
      <c r="A30" s="250">
        <v>36</v>
      </c>
      <c r="B30" s="219" t="s">
        <v>15</v>
      </c>
      <c r="C30" s="271">
        <f t="shared" si="0"/>
        <v>0.63377987732444441</v>
      </c>
      <c r="D30" s="170">
        <f>ROUND(+IF('PART 2023'!Z$4&lt;1,'PISO 2021'!$Q29*'PART 2023'!Z$4,'PISO 2021'!J29+Copete!C29),2)</f>
        <v>29108742.920000002</v>
      </c>
      <c r="E30" s="271">
        <f t="shared" si="1"/>
        <v>0.64484894319524622</v>
      </c>
      <c r="F30" s="170">
        <f>ROUND(+IF('PART 2023'!Z$5&lt;1,'PISO 2021'!$Q29*'PART 2023'!Z$5,'PISO 2021'!K29+Copete!D29),2)</f>
        <v>4198351.57</v>
      </c>
      <c r="G30" s="271">
        <f t="shared" si="2"/>
        <v>1.784122705506467</v>
      </c>
      <c r="H30" s="179">
        <f>ROUND(+'Art.14 Frac.III'!Q28,2)</f>
        <v>4232301.93</v>
      </c>
      <c r="I30" s="271">
        <f t="shared" si="3"/>
        <v>0.60638930089110832</v>
      </c>
      <c r="J30" s="170">
        <f>ROUND(+IF('PART 2023'!Z$6&lt;1,'PISO 2021'!$Q29*'PART 2023'!Z$6,'PISO 2021'!L29+Copete!E29),2)</f>
        <v>857638.40000000002</v>
      </c>
      <c r="K30" s="271">
        <f t="shared" si="4"/>
        <v>0.54343721937421297</v>
      </c>
      <c r="L30" s="170">
        <f>ROUND(+IF('PART 2023'!Z$7&lt;1,'PISO 2021'!$Q29*'PART 2023'!Z$7,'PISO 2021'!M29+Copete!F29),2)</f>
        <v>1088187.74</v>
      </c>
      <c r="M30" s="271">
        <f t="shared" si="5"/>
        <v>0.72549228754840689</v>
      </c>
      <c r="N30" s="170">
        <f>ROUND(+IF('PART 2023'!Z$8&lt;1,'PISO 2021'!$Q29*'PART 2023'!Z$8,'PISO 2021'!N29+Copete!G29),2)</f>
        <v>1330778.31</v>
      </c>
      <c r="O30" s="271">
        <f t="shared" si="6"/>
        <v>0.56661369562779385</v>
      </c>
      <c r="P30" s="170">
        <f>ROUND(+IF('PART 2023'!Z$9&lt;1,'PISO 2021'!$Q29*'PART 2023'!Z$9,'PISO 2021'!O29+Copete!H29),2)</f>
        <v>127075.15</v>
      </c>
      <c r="Q30" s="271">
        <f t="shared" si="7"/>
        <v>1.4867968289079023</v>
      </c>
      <c r="R30" s="170">
        <f>+ROUND('COEF Art 14 F II'!M30,2)</f>
        <v>1732753.21</v>
      </c>
      <c r="S30" s="271">
        <f t="shared" si="8"/>
        <v>0.60693366189495013</v>
      </c>
      <c r="T30" s="170">
        <f>ROUND(+'ISR BI'!E27,2)</f>
        <v>1169954.8600000001</v>
      </c>
      <c r="U30" s="271">
        <f t="shared" si="9"/>
        <v>0.69179210125034074</v>
      </c>
      <c r="V30" s="220">
        <f t="shared" si="10"/>
        <v>43845784.090000004</v>
      </c>
    </row>
    <row r="31" spans="1:22">
      <c r="A31" s="250">
        <v>28</v>
      </c>
      <c r="B31" s="219" t="s">
        <v>16</v>
      </c>
      <c r="C31" s="271">
        <f t="shared" si="0"/>
        <v>8.3811460577967996</v>
      </c>
      <c r="D31" s="170">
        <f>ROUND(+IF('PART 2023'!Z$4&lt;1,'PISO 2021'!$Q30*'PART 2023'!Z$4,'PISO 2021'!J30+Copete!C30),2)</f>
        <v>384935897.62</v>
      </c>
      <c r="E31" s="271">
        <f t="shared" si="1"/>
        <v>8.4123640238214303</v>
      </c>
      <c r="F31" s="170">
        <f>ROUND(+IF('PART 2023'!Z$5&lt;1,'PISO 2021'!$Q30*'PART 2023'!Z$5,'PISO 2021'!K30+Copete!D30),2)</f>
        <v>54769511.649999999</v>
      </c>
      <c r="G31" s="271">
        <f t="shared" si="2"/>
        <v>6.0481663760731834</v>
      </c>
      <c r="H31" s="179">
        <f>ROUND(+'Art.14 Frac.III'!Q29,2)</f>
        <v>14347480.779999999</v>
      </c>
      <c r="I31" s="271">
        <f t="shared" si="3"/>
        <v>8.3038966846082989</v>
      </c>
      <c r="J31" s="170">
        <f>ROUND(+IF('PART 2023'!Z$6&lt;1,'PISO 2021'!$Q30*'PART 2023'!Z$6,'PISO 2021'!L30+Copete!E30),2)</f>
        <v>11744502.51</v>
      </c>
      <c r="K31" s="271">
        <f t="shared" si="4"/>
        <v>8.1263536011552819</v>
      </c>
      <c r="L31" s="170">
        <f>ROUND(+IF('PART 2023'!Z$7&lt;1,'PISO 2021'!$Q30*'PART 2023'!Z$7,'PISO 2021'!M30+Copete!F30),2)</f>
        <v>16272345.810000001</v>
      </c>
      <c r="M31" s="271">
        <f t="shared" si="5"/>
        <v>8.6398016071301758</v>
      </c>
      <c r="N31" s="170">
        <f>ROUND(+IF('PART 2023'!Z$8&lt;1,'PISO 2021'!$Q30*'PART 2023'!Z$8,'PISO 2021'!N30+Copete!G30),2)</f>
        <v>15848081.060000001</v>
      </c>
      <c r="O31" s="271">
        <f t="shared" si="6"/>
        <v>8.1917178879938106</v>
      </c>
      <c r="P31" s="170">
        <f>ROUND(+IF('PART 2023'!Z$9&lt;1,'PISO 2021'!$Q30*'PART 2023'!Z$9,'PISO 2021'!O30+Copete!H30),2)</f>
        <v>1837166.64</v>
      </c>
      <c r="Q31" s="271">
        <f t="shared" si="7"/>
        <v>11.045521579139441</v>
      </c>
      <c r="R31" s="170">
        <f>+ROUND('COEF Art 14 F II'!M31,2)</f>
        <v>12872749.390000001</v>
      </c>
      <c r="S31" s="271">
        <f t="shared" si="8"/>
        <v>5.5156941569173554</v>
      </c>
      <c r="T31" s="170">
        <f>ROUND(+'ISR BI'!E28,2)</f>
        <v>10632320.449999999</v>
      </c>
      <c r="U31" s="271">
        <f t="shared" si="9"/>
        <v>8.2559174408950469</v>
      </c>
      <c r="V31" s="220">
        <f t="shared" si="10"/>
        <v>523260055.90999991</v>
      </c>
    </row>
    <row r="32" spans="1:22">
      <c r="A32" s="250">
        <v>37</v>
      </c>
      <c r="B32" s="219" t="s">
        <v>134</v>
      </c>
      <c r="C32" s="271">
        <f t="shared" si="0"/>
        <v>0.17392798770177914</v>
      </c>
      <c r="D32" s="170">
        <f>ROUND(+IF('PART 2023'!Z$4&lt;1,'PISO 2021'!$Q31*'PART 2023'!Z$4,'PISO 2021'!J31+Copete!C31),2)</f>
        <v>7988302.0300000003</v>
      </c>
      <c r="E32" s="271">
        <f t="shared" si="1"/>
        <v>0.17087534931588669</v>
      </c>
      <c r="F32" s="170">
        <f>ROUND(+IF('PART 2023'!Z$5&lt;1,'PISO 2021'!$Q31*'PART 2023'!Z$5,'PISO 2021'!K31+Copete!D31),2)</f>
        <v>1112500.53</v>
      </c>
      <c r="G32" s="271">
        <f t="shared" si="2"/>
        <v>0.83816293259905361</v>
      </c>
      <c r="H32" s="179">
        <f>ROUND(+'Art.14 Frac.III'!Q30,2)</f>
        <v>1988292.95</v>
      </c>
      <c r="I32" s="271">
        <f t="shared" si="3"/>
        <v>0.18148179471490941</v>
      </c>
      <c r="J32" s="170">
        <f>ROUND(+IF('PART 2023'!Z$6&lt;1,'PISO 2021'!$Q31*'PART 2023'!Z$6,'PISO 2021'!L31+Copete!E31),2)</f>
        <v>256676.29</v>
      </c>
      <c r="K32" s="271">
        <f t="shared" si="4"/>
        <v>0.1988427876125925</v>
      </c>
      <c r="L32" s="170">
        <f>ROUND(+IF('PART 2023'!Z$7&lt;1,'PISO 2021'!$Q31*'PART 2023'!Z$7,'PISO 2021'!M31+Copete!F31),2)</f>
        <v>398166.11</v>
      </c>
      <c r="M32" s="271">
        <f t="shared" si="5"/>
        <v>0.14863543616035271</v>
      </c>
      <c r="N32" s="170">
        <f>ROUND(+IF('PART 2023'!Z$8&lt;1,'PISO 2021'!$Q31*'PART 2023'!Z$8,'PISO 2021'!N31+Copete!G31),2)</f>
        <v>272643.58</v>
      </c>
      <c r="O32" s="271">
        <f t="shared" si="6"/>
        <v>0.19245116796283201</v>
      </c>
      <c r="P32" s="170">
        <f>ROUND(+IF('PART 2023'!Z$9&lt;1,'PISO 2021'!$Q31*'PART 2023'!Z$9,'PISO 2021'!O31+Copete!H31),2)</f>
        <v>43161.26</v>
      </c>
      <c r="Q32" s="271">
        <f t="shared" si="7"/>
        <v>5.1431825883971577E-2</v>
      </c>
      <c r="R32" s="170">
        <f>+ROUND('COEF Art 14 F II'!M32,2)</f>
        <v>59940.04</v>
      </c>
      <c r="S32" s="271">
        <f t="shared" si="8"/>
        <v>1.5412404043349498E-3</v>
      </c>
      <c r="T32" s="170">
        <f>ROUND(+'ISR BI'!E29,2)</f>
        <v>2970.97</v>
      </c>
      <c r="U32" s="271">
        <f t="shared" si="9"/>
        <v>0.19126938407912827</v>
      </c>
      <c r="V32" s="220">
        <f t="shared" si="10"/>
        <v>12122653.759999998</v>
      </c>
    </row>
    <row r="33" spans="1:22">
      <c r="A33" s="250">
        <v>39</v>
      </c>
      <c r="B33" s="219" t="s">
        <v>17</v>
      </c>
      <c r="C33" s="271">
        <f t="shared" si="0"/>
        <v>0.30436003357559416</v>
      </c>
      <c r="D33" s="170">
        <f>ROUND(+IF('PART 2023'!Z$4&lt;1,'PISO 2021'!$Q32*'PART 2023'!Z$4,'PISO 2021'!J32+Copete!C32),2)</f>
        <v>13978888.08</v>
      </c>
      <c r="E33" s="271">
        <f t="shared" si="1"/>
        <v>0.29956300345775433</v>
      </c>
      <c r="F33" s="170">
        <f>ROUND(+IF('PART 2023'!Z$5&lt;1,'PISO 2021'!$Q32*'PART 2023'!Z$5,'PISO 2021'!K32+Copete!D32),2)</f>
        <v>1950333.98</v>
      </c>
      <c r="G33" s="271">
        <f t="shared" si="2"/>
        <v>1.3077296800131346</v>
      </c>
      <c r="H33" s="179">
        <f>ROUND(+'Art.14 Frac.III'!Q31,2)</f>
        <v>3102200.78</v>
      </c>
      <c r="I33" s="271">
        <f t="shared" si="3"/>
        <v>0.31623036196898086</v>
      </c>
      <c r="J33" s="170">
        <f>ROUND(+IF('PART 2023'!Z$6&lt;1,'PISO 2021'!$Q32*'PART 2023'!Z$6,'PISO 2021'!L32+Copete!E32),2)</f>
        <v>447256.08</v>
      </c>
      <c r="K33" s="271">
        <f t="shared" si="4"/>
        <v>0.34351207959847807</v>
      </c>
      <c r="L33" s="170">
        <f>ROUND(+IF('PART 2023'!Z$7&lt;1,'PISO 2021'!$Q32*'PART 2023'!Z$7,'PISO 2021'!M32+Copete!F32),2)</f>
        <v>687854.31</v>
      </c>
      <c r="M33" s="271">
        <f t="shared" si="5"/>
        <v>0.26461437197361642</v>
      </c>
      <c r="N33" s="170">
        <f>ROUND(+IF('PART 2023'!Z$8&lt;1,'PISO 2021'!$Q32*'PART 2023'!Z$8,'PISO 2021'!N32+Copete!G32),2)</f>
        <v>485384.99</v>
      </c>
      <c r="O33" s="271">
        <f t="shared" si="6"/>
        <v>0.33346800776352098</v>
      </c>
      <c r="P33" s="170">
        <f>ROUND(+IF('PART 2023'!Z$9&lt;1,'PISO 2021'!$Q32*'PART 2023'!Z$9,'PISO 2021'!O32+Copete!H32),2)</f>
        <v>74787.28</v>
      </c>
      <c r="Q33" s="271">
        <f t="shared" si="7"/>
        <v>0.24671072749995188</v>
      </c>
      <c r="R33" s="170">
        <f>+ROUND('COEF Art 14 F II'!M33,2)</f>
        <v>287523.34999999998</v>
      </c>
      <c r="S33" s="271">
        <f t="shared" si="8"/>
        <v>4.9162693374277177E-3</v>
      </c>
      <c r="T33" s="170">
        <f>ROUND(+'ISR BI'!E30,2)</f>
        <v>9476.84</v>
      </c>
      <c r="U33" s="271">
        <f t="shared" si="9"/>
        <v>0.33170882531146095</v>
      </c>
      <c r="V33" s="220">
        <f t="shared" si="10"/>
        <v>21023705.689999998</v>
      </c>
    </row>
    <row r="34" spans="1:22">
      <c r="A34" s="250">
        <v>38</v>
      </c>
      <c r="B34" s="219" t="s">
        <v>18</v>
      </c>
      <c r="C34" s="271">
        <f t="shared" si="0"/>
        <v>0.18266563699783173</v>
      </c>
      <c r="D34" s="170">
        <f>ROUND(+IF('PART 2023'!Z$4&lt;1,'PISO 2021'!$Q33*'PART 2023'!Z$4,'PISO 2021'!J33+Copete!C33),2)</f>
        <v>8389611.6899999995</v>
      </c>
      <c r="E34" s="271">
        <f t="shared" si="1"/>
        <v>0.18064785103564801</v>
      </c>
      <c r="F34" s="170">
        <f>ROUND(+IF('PART 2023'!Z$5&lt;1,'PISO 2021'!$Q33*'PART 2023'!Z$5,'PISO 2021'!K33+Copete!D33),2)</f>
        <v>1176125.3500000001</v>
      </c>
      <c r="G34" s="271">
        <f t="shared" si="2"/>
        <v>1.5976424560120728</v>
      </c>
      <c r="H34" s="179">
        <f>ROUND(+'Art.14 Frac.III'!Q32,2)</f>
        <v>3789932.85</v>
      </c>
      <c r="I34" s="271">
        <f t="shared" si="3"/>
        <v>0.18765868489431942</v>
      </c>
      <c r="J34" s="170">
        <f>ROUND(+IF('PART 2023'!Z$6&lt;1,'PISO 2021'!$Q33*'PART 2023'!Z$6,'PISO 2021'!L33+Copete!E33),2)</f>
        <v>265412.49</v>
      </c>
      <c r="K34" s="271">
        <f t="shared" si="4"/>
        <v>0.19913425042979294</v>
      </c>
      <c r="L34" s="170">
        <f>ROUND(+IF('PART 2023'!Z$7&lt;1,'PISO 2021'!$Q33*'PART 2023'!Z$7,'PISO 2021'!M33+Copete!F33),2)</f>
        <v>398749.74</v>
      </c>
      <c r="M34" s="271">
        <f t="shared" si="5"/>
        <v>0.165947333728036</v>
      </c>
      <c r="N34" s="170">
        <f>ROUND(+IF('PART 2023'!Z$8&lt;1,'PISO 2021'!$Q33*'PART 2023'!Z$8,'PISO 2021'!N33+Copete!G33),2)</f>
        <v>304398.98</v>
      </c>
      <c r="O34" s="271">
        <f t="shared" si="6"/>
        <v>0.19490939678677249</v>
      </c>
      <c r="P34" s="170">
        <f>ROUND(+IF('PART 2023'!Z$9&lt;1,'PISO 2021'!$Q33*'PART 2023'!Z$9,'PISO 2021'!O33+Copete!H33),2)</f>
        <v>43712.57</v>
      </c>
      <c r="Q34" s="271">
        <f t="shared" si="7"/>
        <v>5.7249092718677945E-2</v>
      </c>
      <c r="R34" s="170">
        <f>+ROUND('COEF Art 14 F II'!M34,2)</f>
        <v>66719.64</v>
      </c>
      <c r="S34" s="271">
        <f t="shared" si="8"/>
        <v>7.6854772906430717E-3</v>
      </c>
      <c r="T34" s="170">
        <f>ROUND(+'ISR BI'!E31,2)</f>
        <v>14814.9</v>
      </c>
      <c r="U34" s="271">
        <f t="shared" si="9"/>
        <v>0.22798166574803549</v>
      </c>
      <c r="V34" s="220">
        <f t="shared" si="10"/>
        <v>14449478.210000001</v>
      </c>
    </row>
    <row r="35" spans="1:22">
      <c r="A35" s="250">
        <v>40</v>
      </c>
      <c r="B35" s="219" t="s">
        <v>19</v>
      </c>
      <c r="C35" s="271">
        <f t="shared" si="0"/>
        <v>0.24721551686912785</v>
      </c>
      <c r="D35" s="170">
        <f>ROUND(+IF('PART 2023'!Z$4&lt;1,'PISO 2021'!$Q34*'PART 2023'!Z$4,'PISO 2021'!J34+Copete!C34),2)</f>
        <v>11354309.57</v>
      </c>
      <c r="E35" s="271">
        <f t="shared" si="1"/>
        <v>0.24370271565812865</v>
      </c>
      <c r="F35" s="170">
        <f>ROUND(+IF('PART 2023'!Z$5&lt;1,'PISO 2021'!$Q34*'PART 2023'!Z$5,'PISO 2021'!K34+Copete!D34),2)</f>
        <v>1586650.16</v>
      </c>
      <c r="G35" s="271">
        <f t="shared" si="2"/>
        <v>0.94063349690013887</v>
      </c>
      <c r="H35" s="179">
        <f>ROUND(+'Art.14 Frac.III'!Q33,2)</f>
        <v>2231373.9700000002</v>
      </c>
      <c r="I35" s="271">
        <f t="shared" si="3"/>
        <v>0.25590799732480346</v>
      </c>
      <c r="J35" s="170">
        <f>ROUND(+IF('PART 2023'!Z$6&lt;1,'PISO 2021'!$Q34*'PART 2023'!Z$6,'PISO 2021'!L34+Copete!E34),2)</f>
        <v>361939.97</v>
      </c>
      <c r="K35" s="271">
        <f t="shared" si="4"/>
        <v>0.27588602907590432</v>
      </c>
      <c r="L35" s="170">
        <f>ROUND(+IF('PART 2023'!Z$7&lt;1,'PISO 2021'!$Q34*'PART 2023'!Z$7,'PISO 2021'!M34+Copete!F34),2)</f>
        <v>552438.78</v>
      </c>
      <c r="M35" s="271">
        <f t="shared" si="5"/>
        <v>0.21811031071076564</v>
      </c>
      <c r="N35" s="170">
        <f>ROUND(+IF('PART 2023'!Z$8&lt;1,'PISO 2021'!$Q34*'PART 2023'!Z$8,'PISO 2021'!N34+Copete!G34),2)</f>
        <v>400082.09</v>
      </c>
      <c r="O35" s="271">
        <f t="shared" si="6"/>
        <v>0.26853092219998409</v>
      </c>
      <c r="P35" s="170">
        <f>ROUND(+IF('PART 2023'!Z$9&lt;1,'PISO 2021'!$Q34*'PART 2023'!Z$9,'PISO 2021'!O34+Copete!H34),2)</f>
        <v>60223.76</v>
      </c>
      <c r="Q35" s="271">
        <f t="shared" si="7"/>
        <v>0.13605225908591537</v>
      </c>
      <c r="R35" s="170">
        <f>+ROUND('COEF Art 14 F II'!M35,2)</f>
        <v>158558.98000000001</v>
      </c>
      <c r="S35" s="271">
        <f t="shared" si="8"/>
        <v>1.0716325246257083E-2</v>
      </c>
      <c r="T35" s="170">
        <f>ROUND(+'ISR BI'!E32,2)</f>
        <v>20657.310000000001</v>
      </c>
      <c r="U35" s="271">
        <f t="shared" si="9"/>
        <v>0.26390398103660034</v>
      </c>
      <c r="V35" s="220">
        <f t="shared" si="10"/>
        <v>16726234.590000002</v>
      </c>
    </row>
    <row r="36" spans="1:22">
      <c r="A36" s="250">
        <v>41</v>
      </c>
      <c r="B36" s="219" t="s">
        <v>20</v>
      </c>
      <c r="C36" s="271">
        <f t="shared" si="0"/>
        <v>0.23991657301112665</v>
      </c>
      <c r="D36" s="170">
        <f>ROUND(+IF('PART 2023'!Z$4&lt;1,'PISO 2021'!$Q35*'PART 2023'!Z$4,'PISO 2021'!J35+Copete!C35),2)</f>
        <v>11019077.91</v>
      </c>
      <c r="E36" s="271">
        <f t="shared" si="1"/>
        <v>0.2369663303064671</v>
      </c>
      <c r="F36" s="170">
        <f>ROUND(+IF('PART 2023'!Z$5&lt;1,'PISO 2021'!$Q35*'PART 2023'!Z$5,'PISO 2021'!K35+Copete!D35),2)</f>
        <v>1542792.27</v>
      </c>
      <c r="G36" s="271">
        <f t="shared" si="2"/>
        <v>0.58764461172899884</v>
      </c>
      <c r="H36" s="179">
        <f>ROUND(+'Art.14 Frac.III'!Q34,2)</f>
        <v>1394012.54</v>
      </c>
      <c r="I36" s="271">
        <f t="shared" si="3"/>
        <v>0.24721700211906114</v>
      </c>
      <c r="J36" s="170">
        <f>ROUND(+IF('PART 2023'!Z$6&lt;1,'PISO 2021'!$Q35*'PART 2023'!Z$6,'PISO 2021'!L35+Copete!E35),2)</f>
        <v>349647.98</v>
      </c>
      <c r="K36" s="271">
        <f t="shared" si="4"/>
        <v>0.26399565155674742</v>
      </c>
      <c r="L36" s="170">
        <f>ROUND(+IF('PART 2023'!Z$7&lt;1,'PISO 2021'!$Q35*'PART 2023'!Z$7,'PISO 2021'!M35+Copete!F35),2)</f>
        <v>528629.29</v>
      </c>
      <c r="M36" s="271">
        <f t="shared" si="5"/>
        <v>0.21547241526625227</v>
      </c>
      <c r="N36" s="170">
        <f>ROUND(+IF('PART 2023'!Z$8&lt;1,'PISO 2021'!$Q35*'PART 2023'!Z$8,'PISO 2021'!N35+Copete!G35),2)</f>
        <v>395243.37</v>
      </c>
      <c r="O36" s="271">
        <f t="shared" si="6"/>
        <v>0.25781844691472355</v>
      </c>
      <c r="P36" s="170">
        <f>ROUND(+IF('PART 2023'!Z$9&lt;1,'PISO 2021'!$Q35*'PART 2023'!Z$9,'PISO 2021'!O35+Copete!H35),2)</f>
        <v>57821.26</v>
      </c>
      <c r="Q36" s="271">
        <f t="shared" si="7"/>
        <v>9.2474481355736729E-2</v>
      </c>
      <c r="R36" s="170">
        <f>+ROUND('COEF Art 14 F II'!M36,2)</f>
        <v>107772.26</v>
      </c>
      <c r="S36" s="271">
        <f t="shared" si="8"/>
        <v>1.3696583069950962E-3</v>
      </c>
      <c r="T36" s="170">
        <f>ROUND(+'ISR BI'!E33,2)</f>
        <v>2640.22</v>
      </c>
      <c r="U36" s="271">
        <f t="shared" si="9"/>
        <v>0.24294157225776733</v>
      </c>
      <c r="V36" s="220">
        <f t="shared" si="10"/>
        <v>15397637.099999998</v>
      </c>
    </row>
    <row r="37" spans="1:22">
      <c r="A37" s="250">
        <v>42</v>
      </c>
      <c r="B37" s="219" t="s">
        <v>135</v>
      </c>
      <c r="C37" s="271">
        <f t="shared" si="0"/>
        <v>3.1118960308301569</v>
      </c>
      <c r="D37" s="170">
        <f>ROUND(+IF('PART 2023'!Z$4&lt;1,'PISO 2021'!$Q36*'PART 2023'!Z$4,'PISO 2021'!J36+Copete!C36),2)</f>
        <v>142925619.44</v>
      </c>
      <c r="E37" s="271">
        <f t="shared" si="1"/>
        <v>3.1662007682012256</v>
      </c>
      <c r="F37" s="170">
        <f>ROUND(+IF('PART 2023'!Z$5&lt;1,'PISO 2021'!$Q36*'PART 2023'!Z$5,'PISO 2021'!K36+Copete!D36),2)</f>
        <v>20613857.100000001</v>
      </c>
      <c r="G37" s="271">
        <f t="shared" si="2"/>
        <v>1.7516801711404555</v>
      </c>
      <c r="H37" s="179">
        <f>ROUND(+'Art.14 Frac.III'!Q35,2)</f>
        <v>4155341.64</v>
      </c>
      <c r="I37" s="271">
        <f t="shared" si="3"/>
        <v>2.9775180845554594</v>
      </c>
      <c r="J37" s="170">
        <f>ROUND(+IF('PART 2023'!Z$6&lt;1,'PISO 2021'!$Q36*'PART 2023'!Z$6,'PISO 2021'!L36+Copete!E36),2)</f>
        <v>4211211.91</v>
      </c>
      <c r="K37" s="271">
        <f t="shared" si="4"/>
        <v>2.6686757183391396</v>
      </c>
      <c r="L37" s="170">
        <f>ROUND(+IF('PART 2023'!Z$7&lt;1,'PISO 2021'!$Q36*'PART 2023'!Z$7,'PISO 2021'!M36+Copete!F36),2)</f>
        <v>5343800.71</v>
      </c>
      <c r="M37" s="271">
        <f t="shared" si="5"/>
        <v>3.5618363416209511</v>
      </c>
      <c r="N37" s="170">
        <f>ROUND(+IF('PART 2023'!Z$8&lt;1,'PISO 2021'!$Q36*'PART 2023'!Z$8,'PISO 2021'!N36+Copete!G36),2)</f>
        <v>6533514.7300000004</v>
      </c>
      <c r="O37" s="271">
        <f t="shared" si="6"/>
        <v>2.7823792299435968</v>
      </c>
      <c r="P37" s="170">
        <f>ROUND(+IF('PART 2023'!Z$9&lt;1,'PISO 2021'!$Q36*'PART 2023'!Z$9,'PISO 2021'!O36+Copete!H36),2)</f>
        <v>624007.61</v>
      </c>
      <c r="Q37" s="271">
        <f t="shared" si="7"/>
        <v>6.7533823902134404</v>
      </c>
      <c r="R37" s="170">
        <f>+ROUND('COEF Art 14 F II'!M37,2)</f>
        <v>7870574.3700000001</v>
      </c>
      <c r="S37" s="271">
        <f t="shared" si="8"/>
        <v>2.4917614241223696</v>
      </c>
      <c r="T37" s="170">
        <f>ROUND(+'ISR BI'!E34,2)</f>
        <v>4803240.57</v>
      </c>
      <c r="U37" s="271">
        <f t="shared" si="9"/>
        <v>3.1095166436772637</v>
      </c>
      <c r="V37" s="220">
        <f t="shared" si="10"/>
        <v>197081168.07999998</v>
      </c>
    </row>
    <row r="38" spans="1:22">
      <c r="A38" s="250">
        <v>43</v>
      </c>
      <c r="B38" s="219" t="s">
        <v>21</v>
      </c>
      <c r="C38" s="271">
        <f t="shared" si="0"/>
        <v>0.46169605642780254</v>
      </c>
      <c r="D38" s="170">
        <f>ROUND(+IF('PART 2023'!Z$4&lt;1,'PISO 2021'!$Q37*'PART 2023'!Z$4,'PISO 2021'!J37+Copete!C37),2)</f>
        <v>21205141.239999998</v>
      </c>
      <c r="E38" s="271">
        <f t="shared" si="1"/>
        <v>0.45943610667748613</v>
      </c>
      <c r="F38" s="170">
        <f>ROUND(+IF('PART 2023'!Z$5&lt;1,'PISO 2021'!$Q37*'PART 2023'!Z$5,'PISO 2021'!K37+Copete!D37),2)</f>
        <v>2991203.32</v>
      </c>
      <c r="G38" s="271">
        <f t="shared" si="2"/>
        <v>4.9774883681022608</v>
      </c>
      <c r="H38" s="179">
        <f>ROUND(+'Art.14 Frac.III'!Q36,2)</f>
        <v>11807614.779999999</v>
      </c>
      <c r="I38" s="271">
        <f t="shared" si="3"/>
        <v>0.46728834587656876</v>
      </c>
      <c r="J38" s="170">
        <f>ROUND(+IF('PART 2023'!Z$6&lt;1,'PISO 2021'!$Q37*'PART 2023'!Z$6,'PISO 2021'!L37+Copete!E37),2)</f>
        <v>660902.87</v>
      </c>
      <c r="K38" s="271">
        <f t="shared" si="4"/>
        <v>0.48014114681629322</v>
      </c>
      <c r="L38" s="170">
        <f>ROUND(+IF('PART 2023'!Z$7&lt;1,'PISO 2021'!$Q37*'PART 2023'!Z$7,'PISO 2021'!M37+Copete!F37),2)</f>
        <v>961442.63</v>
      </c>
      <c r="M38" s="271">
        <f t="shared" si="5"/>
        <v>0.44297130416512726</v>
      </c>
      <c r="N38" s="170">
        <f>ROUND(+IF('PART 2023'!Z$8&lt;1,'PISO 2021'!$Q37*'PART 2023'!Z$8,'PISO 2021'!N37+Copete!G37),2)</f>
        <v>812547.03</v>
      </c>
      <c r="O38" s="271">
        <f t="shared" si="6"/>
        <v>0.47540926395386252</v>
      </c>
      <c r="P38" s="170">
        <f>ROUND(+IF('PART 2023'!Z$9&lt;1,'PISO 2021'!$Q37*'PART 2023'!Z$9,'PISO 2021'!O37+Copete!H37),2)</f>
        <v>106620.62</v>
      </c>
      <c r="Q38" s="271">
        <f t="shared" si="7"/>
        <v>0.18840845000848691</v>
      </c>
      <c r="R38" s="170">
        <f>+ROUND('COEF Art 14 F II'!M38,2)</f>
        <v>219576.3</v>
      </c>
      <c r="S38" s="271">
        <f t="shared" si="8"/>
        <v>1.4894851223297865E-2</v>
      </c>
      <c r="T38" s="170">
        <f>ROUND(+'ISR BI'!E35,2)</f>
        <v>28712.04</v>
      </c>
      <c r="U38" s="271">
        <f t="shared" si="9"/>
        <v>0.61208204795474686</v>
      </c>
      <c r="V38" s="220">
        <f t="shared" si="10"/>
        <v>38793760.829999991</v>
      </c>
    </row>
    <row r="39" spans="1:22">
      <c r="A39" s="250">
        <v>44</v>
      </c>
      <c r="B39" s="219" t="s">
        <v>22</v>
      </c>
      <c r="C39" s="271">
        <f t="shared" si="0"/>
        <v>1.5675596171900099</v>
      </c>
      <c r="D39" s="170">
        <f>ROUND(+IF('PART 2023'!Z$4&lt;1,'PISO 2021'!$Q38*'PART 2023'!Z$4,'PISO 2021'!J38+Copete!C38),2)</f>
        <v>71996116.540000007</v>
      </c>
      <c r="E39" s="271">
        <f t="shared" si="1"/>
        <v>1.5477450455085009</v>
      </c>
      <c r="F39" s="170">
        <f>ROUND(+IF('PART 2023'!Z$5&lt;1,'PISO 2021'!$Q38*'PART 2023'!Z$5,'PISO 2021'!K38+Copete!D38),2)</f>
        <v>10076744.189999999</v>
      </c>
      <c r="G39" s="271">
        <f t="shared" si="2"/>
        <v>0.93703649504257058</v>
      </c>
      <c r="H39" s="179">
        <f>ROUND(+'Art.14 Frac.III'!Q37,2)</f>
        <v>2222841.15</v>
      </c>
      <c r="I39" s="271">
        <f t="shared" si="3"/>
        <v>1.6165910897464608</v>
      </c>
      <c r="J39" s="170">
        <f>ROUND(+IF('PART 2023'!Z$6&lt;1,'PISO 2021'!$Q38*'PART 2023'!Z$6,'PISO 2021'!L38+Copete!E38),2)</f>
        <v>2286403.46</v>
      </c>
      <c r="K39" s="271">
        <f t="shared" si="4"/>
        <v>1.7292806910294569</v>
      </c>
      <c r="L39" s="170">
        <f>ROUND(+IF('PART 2023'!Z$7&lt;1,'PISO 2021'!$Q38*'PART 2023'!Z$7,'PISO 2021'!M38+Copete!F38),2)</f>
        <v>3462740.46</v>
      </c>
      <c r="M39" s="271">
        <f t="shared" si="5"/>
        <v>1.4033865716063025</v>
      </c>
      <c r="N39" s="170">
        <f>ROUND(+IF('PART 2023'!Z$8&lt;1,'PISO 2021'!$Q38*'PART 2023'!Z$8,'PISO 2021'!N38+Copete!G38),2)</f>
        <v>2574247.09</v>
      </c>
      <c r="O39" s="271">
        <f t="shared" si="6"/>
        <v>1.6877928629108345</v>
      </c>
      <c r="P39" s="170">
        <f>ROUND(+IF('PART 2023'!Z$9&lt;1,'PISO 2021'!$Q38*'PART 2023'!Z$9,'PISO 2021'!O38+Copete!H38),2)</f>
        <v>378523.38</v>
      </c>
      <c r="Q39" s="271">
        <f t="shared" si="7"/>
        <v>1.3718573631608302</v>
      </c>
      <c r="R39" s="170">
        <f>+ROUND('COEF Art 14 F II'!M39,2)</f>
        <v>1598799.65</v>
      </c>
      <c r="S39" s="271">
        <f t="shared" si="8"/>
        <v>0.33689393379065741</v>
      </c>
      <c r="T39" s="170">
        <f>ROUND(+'ISR BI'!E36,2)</f>
        <v>649413.14</v>
      </c>
      <c r="U39" s="271">
        <f t="shared" si="9"/>
        <v>1.5027741797363798</v>
      </c>
      <c r="V39" s="220">
        <f t="shared" si="10"/>
        <v>95245829.060000002</v>
      </c>
    </row>
    <row r="40" spans="1:22">
      <c r="A40" s="250">
        <v>46</v>
      </c>
      <c r="B40" s="219" t="s">
        <v>136</v>
      </c>
      <c r="C40" s="271">
        <f t="shared" si="0"/>
        <v>0.33025862504404135</v>
      </c>
      <c r="D40" s="170">
        <f>ROUND(+IF('PART 2023'!Z$4&lt;1,'PISO 2021'!$Q39*'PART 2023'!Z$4,'PISO 2021'!J39+Copete!C39),2)</f>
        <v>15168379.050000001</v>
      </c>
      <c r="E40" s="271">
        <f t="shared" si="1"/>
        <v>0.3256436134251548</v>
      </c>
      <c r="F40" s="170">
        <f>ROUND(+IF('PART 2023'!Z$5&lt;1,'PISO 2021'!$Q39*'PART 2023'!Z$5,'PISO 2021'!K39+Copete!D39),2)</f>
        <v>2120134.3199999998</v>
      </c>
      <c r="G40" s="271">
        <f t="shared" si="2"/>
        <v>3.9295454595876604</v>
      </c>
      <c r="H40" s="179">
        <f>ROUND(+'Art.14 Frac.III'!Q38,2)</f>
        <v>9321681.0600000005</v>
      </c>
      <c r="I40" s="271">
        <f t="shared" si="3"/>
        <v>0.34167854569136319</v>
      </c>
      <c r="J40" s="170">
        <f>ROUND(+IF('PART 2023'!Z$6&lt;1,'PISO 2021'!$Q39*'PART 2023'!Z$6,'PISO 2021'!L39+Copete!E39),2)</f>
        <v>483248.37</v>
      </c>
      <c r="K40" s="271">
        <f t="shared" si="4"/>
        <v>0.36792507068801561</v>
      </c>
      <c r="L40" s="170">
        <f>ROUND(+IF('PART 2023'!Z$7&lt;1,'PISO 2021'!$Q39*'PART 2023'!Z$7,'PISO 2021'!M39+Copete!F39),2)</f>
        <v>736739.29</v>
      </c>
      <c r="M40" s="271">
        <f t="shared" si="5"/>
        <v>0.29202109120113373</v>
      </c>
      <c r="N40" s="170">
        <f>ROUND(+IF('PART 2023'!Z$8&lt;1,'PISO 2021'!$Q39*'PART 2023'!Z$8,'PISO 2021'!N39+Copete!G39),2)</f>
        <v>535657.43000000005</v>
      </c>
      <c r="O40" s="271">
        <f t="shared" si="6"/>
        <v>0.35826218229868245</v>
      </c>
      <c r="P40" s="170">
        <f>ROUND(+IF('PART 2023'!Z$9&lt;1,'PISO 2021'!$Q39*'PART 2023'!Z$9,'PISO 2021'!O39+Copete!H39),2)</f>
        <v>80347.899999999994</v>
      </c>
      <c r="Q40" s="271">
        <f t="shared" si="7"/>
        <v>0.1304718753792781</v>
      </c>
      <c r="R40" s="170">
        <f>+ROUND('COEF Art 14 F II'!M40,2)</f>
        <v>152055.45000000001</v>
      </c>
      <c r="S40" s="271">
        <f t="shared" si="8"/>
        <v>0.34267578617478334</v>
      </c>
      <c r="T40" s="170">
        <f>ROUND(+'ISR BI'!E37,2)</f>
        <v>660558.52</v>
      </c>
      <c r="U40" s="271">
        <f t="shared" si="9"/>
        <v>0.46164091060857315</v>
      </c>
      <c r="V40" s="220">
        <f t="shared" si="10"/>
        <v>29258801.389999997</v>
      </c>
    </row>
    <row r="41" spans="1:22">
      <c r="A41" s="250">
        <v>49</v>
      </c>
      <c r="B41" s="219" t="s">
        <v>23</v>
      </c>
      <c r="C41" s="271">
        <f t="shared" si="0"/>
        <v>0.2716593955107095</v>
      </c>
      <c r="D41" s="170">
        <f>ROUND(+IF('PART 2023'!Z$4&lt;1,'PISO 2021'!$Q40*'PART 2023'!Z$4,'PISO 2021'!J40+Copete!C40),2)</f>
        <v>12476987.34</v>
      </c>
      <c r="E41" s="271">
        <f t="shared" si="1"/>
        <v>0.26300754603682164</v>
      </c>
      <c r="F41" s="170">
        <f>ROUND(+IF('PART 2023'!Z$5&lt;1,'PISO 2021'!$Q40*'PART 2023'!Z$5,'PISO 2021'!K40+Copete!D40),2)</f>
        <v>1712336.13</v>
      </c>
      <c r="G41" s="271">
        <f t="shared" si="2"/>
        <v>1.6493751238442238</v>
      </c>
      <c r="H41" s="179">
        <f>ROUND(+'Art.14 Frac.III'!Q39,2)</f>
        <v>3912653.26</v>
      </c>
      <c r="I41" s="271">
        <f t="shared" si="3"/>
        <v>0.29306854394384174</v>
      </c>
      <c r="J41" s="170">
        <f>ROUND(+IF('PART 2023'!Z$6&lt;1,'PISO 2021'!$Q40*'PART 2023'!Z$6,'PISO 2021'!L40+Copete!E40),2)</f>
        <v>414497.48</v>
      </c>
      <c r="K41" s="271">
        <f t="shared" si="4"/>
        <v>0.34227341631050689</v>
      </c>
      <c r="L41" s="170">
        <f>ROUND(+IF('PART 2023'!Z$7&lt;1,'PISO 2021'!$Q40*'PART 2023'!Z$7,'PISO 2021'!M40+Copete!F40),2)</f>
        <v>685373.99</v>
      </c>
      <c r="M41" s="271">
        <f t="shared" si="5"/>
        <v>0.19997474681990235</v>
      </c>
      <c r="N41" s="170">
        <f>ROUND(+IF('PART 2023'!Z$8&lt;1,'PISO 2021'!$Q40*'PART 2023'!Z$8,'PISO 2021'!N40+Copete!G40),2)</f>
        <v>366815.83</v>
      </c>
      <c r="O41" s="271">
        <f t="shared" si="6"/>
        <v>0.32415811987710813</v>
      </c>
      <c r="P41" s="170">
        <f>ROUND(+IF('PART 2023'!Z$9&lt;1,'PISO 2021'!$Q40*'PART 2023'!Z$9,'PISO 2021'!O40+Copete!H40),2)</f>
        <v>72699.34</v>
      </c>
      <c r="Q41" s="271">
        <f t="shared" si="7"/>
        <v>2.6200919713130016E-2</v>
      </c>
      <c r="R41" s="170">
        <f>+ROUND('COEF Art 14 F II'!M41,2)</f>
        <v>30535.26</v>
      </c>
      <c r="S41" s="271">
        <f t="shared" si="8"/>
        <v>4.1049544787951642E-3</v>
      </c>
      <c r="T41" s="170">
        <f>ROUND(+'ISR BI'!E38,2)</f>
        <v>7912.91</v>
      </c>
      <c r="U41" s="271">
        <f t="shared" si="9"/>
        <v>0.31050506816166967</v>
      </c>
      <c r="V41" s="220">
        <f t="shared" si="10"/>
        <v>19679811.539999995</v>
      </c>
    </row>
    <row r="42" spans="1:22">
      <c r="A42" s="250">
        <v>48</v>
      </c>
      <c r="B42" s="219" t="s">
        <v>24</v>
      </c>
      <c r="C42" s="271">
        <f t="shared" si="0"/>
        <v>0.35992912210443917</v>
      </c>
      <c r="D42" s="170">
        <f>ROUND(+IF('PART 2023'!Z$4&lt;1,'PISO 2021'!$Q41*'PART 2023'!Z$4,'PISO 2021'!J41+Copete!C41),2)</f>
        <v>16531109.08</v>
      </c>
      <c r="E42" s="271">
        <f t="shared" si="1"/>
        <v>0.35684280625041009</v>
      </c>
      <c r="F42" s="170">
        <f>ROUND(+IF('PART 2023'!Z$5&lt;1,'PISO 2021'!$Q41*'PART 2023'!Z$5,'PISO 2021'!K41+Copete!D41),2)</f>
        <v>2323259.69</v>
      </c>
      <c r="G42" s="271">
        <f t="shared" si="2"/>
        <v>0.33292896526604027</v>
      </c>
      <c r="H42" s="179">
        <f>ROUND(+'Art.14 Frac.III'!Q40,2)</f>
        <v>789775.22</v>
      </c>
      <c r="I42" s="271">
        <f t="shared" si="3"/>
        <v>0.36756626419775118</v>
      </c>
      <c r="J42" s="170">
        <f>ROUND(+IF('PART 2023'!Z$6&lt;1,'PISO 2021'!$Q41*'PART 2023'!Z$6,'PISO 2021'!L41+Copete!E41),2)</f>
        <v>519862.31</v>
      </c>
      <c r="K42" s="271">
        <f t="shared" si="4"/>
        <v>0.38511878004070338</v>
      </c>
      <c r="L42" s="170">
        <f>ROUND(+IF('PART 2023'!Z$7&lt;1,'PISO 2021'!$Q41*'PART 2023'!Z$7,'PISO 2021'!M41+Copete!F41),2)</f>
        <v>771168.26</v>
      </c>
      <c r="M42" s="271">
        <f t="shared" si="5"/>
        <v>0.33435754893520775</v>
      </c>
      <c r="N42" s="170">
        <f>ROUND(+IF('PART 2023'!Z$8&lt;1,'PISO 2021'!$Q41*'PART 2023'!Z$8,'PISO 2021'!N41+Copete!G41),2)</f>
        <v>613315.65</v>
      </c>
      <c r="O42" s="271">
        <f t="shared" si="6"/>
        <v>0.37865663956507167</v>
      </c>
      <c r="P42" s="170">
        <f>ROUND(+IF('PART 2023'!Z$9&lt;1,'PISO 2021'!$Q41*'PART 2023'!Z$9,'PISO 2021'!O41+Copete!H41),2)</f>
        <v>84921.79</v>
      </c>
      <c r="Q42" s="271">
        <f t="shared" si="7"/>
        <v>0.1759325080173276</v>
      </c>
      <c r="R42" s="170">
        <f>+ROUND('COEF Art 14 F II'!M42,2)</f>
        <v>205036.5</v>
      </c>
      <c r="S42" s="271">
        <f t="shared" si="8"/>
        <v>1.2777743430318769E-4</v>
      </c>
      <c r="T42" s="170">
        <f>ROUND(+'ISR BI'!E39,2)</f>
        <v>246.31</v>
      </c>
      <c r="U42" s="271">
        <f t="shared" si="9"/>
        <v>0.34456759947920468</v>
      </c>
      <c r="V42" s="220">
        <f t="shared" si="10"/>
        <v>21838694.809999995</v>
      </c>
    </row>
    <row r="43" spans="1:22">
      <c r="A43" s="250">
        <v>47</v>
      </c>
      <c r="B43" s="219" t="s">
        <v>25</v>
      </c>
      <c r="C43" s="271">
        <f t="shared" si="0"/>
        <v>0.48859309614528196</v>
      </c>
      <c r="D43" s="170">
        <f>ROUND(+IF('PART 2023'!Z$4&lt;1,'PISO 2021'!$Q42*'PART 2023'!Z$4,'PISO 2021'!J42+Copete!C42),2)</f>
        <v>22440489.73</v>
      </c>
      <c r="E43" s="271">
        <f t="shared" si="1"/>
        <v>0.48379171814368471</v>
      </c>
      <c r="F43" s="170">
        <f>ROUND(+IF('PART 2023'!Z$5&lt;1,'PISO 2021'!$Q42*'PART 2023'!Z$5,'PISO 2021'!K42+Copete!D42),2)</f>
        <v>3149772.89</v>
      </c>
      <c r="G43" s="271">
        <f t="shared" si="2"/>
        <v>0.4742936270938512</v>
      </c>
      <c r="H43" s="179">
        <f>ROUND(+'Art.14 Frac.III'!Q41,2)</f>
        <v>1125120.95</v>
      </c>
      <c r="I43" s="271">
        <f t="shared" si="3"/>
        <v>0.50047418718599124</v>
      </c>
      <c r="J43" s="170">
        <f>ROUND(+IF('PART 2023'!Z$6&lt;1,'PISO 2021'!$Q42*'PART 2023'!Z$6,'PISO 2021'!L42+Copete!E42),2)</f>
        <v>707838.81</v>
      </c>
      <c r="K43" s="271">
        <f t="shared" si="4"/>
        <v>0.52778061769067464</v>
      </c>
      <c r="L43" s="170">
        <f>ROUND(+IF('PART 2023'!Z$7&lt;1,'PISO 2021'!$Q42*'PART 2023'!Z$7,'PISO 2021'!M42+Copete!F42),2)</f>
        <v>1056836.7</v>
      </c>
      <c r="M43" s="271">
        <f t="shared" si="5"/>
        <v>0.4488114269122368</v>
      </c>
      <c r="N43" s="170">
        <f>ROUND(+IF('PART 2023'!Z$8&lt;1,'PISO 2021'!$Q42*'PART 2023'!Z$8,'PISO 2021'!N42+Copete!G42),2)</f>
        <v>823259.63</v>
      </c>
      <c r="O43" s="271">
        <f t="shared" si="6"/>
        <v>0.51772748744536679</v>
      </c>
      <c r="P43" s="170">
        <f>ROUND(+IF('PART 2023'!Z$9&lt;1,'PISO 2021'!$Q42*'PART 2023'!Z$9,'PISO 2021'!O42+Copete!H42),2)</f>
        <v>116111.38</v>
      </c>
      <c r="Q43" s="271">
        <f t="shared" si="7"/>
        <v>0.18008931911091153</v>
      </c>
      <c r="R43" s="170">
        <f>+ROUND('COEF Art 14 F II'!M43,2)</f>
        <v>209880.95999999999</v>
      </c>
      <c r="S43" s="271">
        <f t="shared" si="8"/>
        <v>7.4430368450775185E-3</v>
      </c>
      <c r="T43" s="170">
        <f>ROUND(+'ISR BI'!E40,2)</f>
        <v>14347.56</v>
      </c>
      <c r="U43" s="271">
        <f t="shared" si="9"/>
        <v>0.46771312919083552</v>
      </c>
      <c r="V43" s="220">
        <f t="shared" si="10"/>
        <v>29643658.609999996</v>
      </c>
    </row>
    <row r="44" spans="1:22">
      <c r="A44" s="250">
        <v>45</v>
      </c>
      <c r="B44" s="219" t="s">
        <v>26</v>
      </c>
      <c r="C44" s="271">
        <f t="shared" si="0"/>
        <v>1.1248380111920471</v>
      </c>
      <c r="D44" s="170">
        <f>ROUND(+IF('PART 2023'!Z$4&lt;1,'PISO 2021'!$Q43*'PART 2023'!Z$4,'PISO 2021'!J43+Copete!C43),2)</f>
        <v>51662448.850000001</v>
      </c>
      <c r="E44" s="271">
        <f t="shared" si="1"/>
        <v>1.1115987970273749</v>
      </c>
      <c r="F44" s="170">
        <f>ROUND(+IF('PART 2023'!Z$5&lt;1,'PISO 2021'!$Q43*'PART 2023'!Z$5,'PISO 2021'!K43+Copete!D43),2)</f>
        <v>7237171.75</v>
      </c>
      <c r="G44" s="271">
        <f t="shared" si="2"/>
        <v>1.1117350945658897</v>
      </c>
      <c r="H44" s="179">
        <f>ROUND(+'Art.14 Frac.III'!Q42,2)</f>
        <v>2637261.7599999998</v>
      </c>
      <c r="I44" s="271">
        <f t="shared" si="3"/>
        <v>1.1575986633075031</v>
      </c>
      <c r="J44" s="170">
        <f>ROUND(+IF('PART 2023'!Z$6&lt;1,'PISO 2021'!$Q43*'PART 2023'!Z$6,'PISO 2021'!L43+Copete!E43),2)</f>
        <v>1637233.81</v>
      </c>
      <c r="K44" s="271">
        <f t="shared" si="4"/>
        <v>1.2328928455605521</v>
      </c>
      <c r="L44" s="170">
        <f>ROUND(+IF('PART 2023'!Z$7&lt;1,'PISO 2021'!$Q43*'PART 2023'!Z$7,'PISO 2021'!M43+Copete!F43),2)</f>
        <v>2468765.17</v>
      </c>
      <c r="M44" s="271">
        <f t="shared" si="5"/>
        <v>1.0151448814956356</v>
      </c>
      <c r="N44" s="170">
        <f>ROUND(+IF('PART 2023'!Z$8&lt;1,'PISO 2021'!$Q43*'PART 2023'!Z$8,'PISO 2021'!N43+Copete!G43),2)</f>
        <v>1862091.18</v>
      </c>
      <c r="O44" s="271">
        <f t="shared" si="6"/>
        <v>1.2051725090379983</v>
      </c>
      <c r="P44" s="170">
        <f>ROUND(+IF('PART 2023'!Z$9&lt;1,'PISO 2021'!$Q43*'PART 2023'!Z$9,'PISO 2021'!O43+Copete!H43),2)</f>
        <v>270285.52</v>
      </c>
      <c r="Q44" s="271">
        <f t="shared" si="7"/>
        <v>1.0585533371398985</v>
      </c>
      <c r="R44" s="170">
        <f>+ROUND('COEF Art 14 F II'!M44,2)</f>
        <v>1233666.67</v>
      </c>
      <c r="S44" s="271">
        <f t="shared" si="8"/>
        <v>1.1798862922032634</v>
      </c>
      <c r="T44" s="170">
        <f>ROUND(+'ISR BI'!E41,2)</f>
        <v>2274406.23</v>
      </c>
      <c r="U44" s="271">
        <f t="shared" si="9"/>
        <v>1.124697535203915</v>
      </c>
      <c r="V44" s="220">
        <f t="shared" si="10"/>
        <v>71283330.940000013</v>
      </c>
    </row>
    <row r="45" spans="1:22">
      <c r="A45" s="250">
        <v>70</v>
      </c>
      <c r="B45" s="219" t="s">
        <v>27</v>
      </c>
      <c r="C45" s="271">
        <f t="shared" si="0"/>
        <v>26.194018756796893</v>
      </c>
      <c r="D45" s="170">
        <f>ROUND(+IF('PART 2023'!Z$4&lt;1,'PISO 2021'!$Q44*'PART 2023'!Z$4,'PISO 2021'!J44+Copete!C44),2)</f>
        <v>1203059587.9000001</v>
      </c>
      <c r="E45" s="271">
        <f t="shared" si="1"/>
        <v>26.188460162119124</v>
      </c>
      <c r="F45" s="170">
        <f>ROUND(+IF('PART 2023'!Z$5&lt;1,'PISO 2021'!$Q44*'PART 2023'!Z$5,'PISO 2021'!K44+Copete!D44),2)</f>
        <v>170502509.15000001</v>
      </c>
      <c r="G45" s="271">
        <f t="shared" si="2"/>
        <v>0</v>
      </c>
      <c r="H45" s="179">
        <f>ROUND(+'Art.14 Frac.III'!Q43,2)</f>
        <v>0</v>
      </c>
      <c r="I45" s="271">
        <f t="shared" si="3"/>
        <v>26.207773552769826</v>
      </c>
      <c r="J45" s="170">
        <f>ROUND(+IF('PART 2023'!Z$6&lt;1,'PISO 2021'!$Q44*'PART 2023'!Z$6,'PISO 2021'!L44+Copete!E44),2)</f>
        <v>37066605.469999999</v>
      </c>
      <c r="K45" s="271">
        <f t="shared" si="4"/>
        <v>26.239386444160939</v>
      </c>
      <c r="L45" s="170">
        <f>ROUND(+IF('PART 2023'!Z$7&lt;1,'PISO 2021'!$Q44*'PART 2023'!Z$7,'PISO 2021'!M44+Copete!F44),2)</f>
        <v>52542184.479999997</v>
      </c>
      <c r="M45" s="271">
        <f t="shared" si="5"/>
        <v>26.14796319270723</v>
      </c>
      <c r="N45" s="170">
        <f>ROUND(+IF('PART 2023'!Z$8&lt;1,'PISO 2021'!$Q44*'PART 2023'!Z$8,'PISO 2021'!N44+Copete!G44),2)</f>
        <v>47963490.259999998</v>
      </c>
      <c r="O45" s="271">
        <f t="shared" si="6"/>
        <v>26.22774771860928</v>
      </c>
      <c r="P45" s="170">
        <f>ROUND(+IF('PART 2023'!Z$9&lt;1,'PISO 2021'!$Q44*'PART 2023'!Z$9,'PISO 2021'!O44+Copete!H44),2)</f>
        <v>5882129.2199999997</v>
      </c>
      <c r="Q45" s="271">
        <f t="shared" si="7"/>
        <v>21.713534237242644</v>
      </c>
      <c r="R45" s="170">
        <f>+ROUND('COEF Art 14 F II'!M45,2)</f>
        <v>25305539.68</v>
      </c>
      <c r="S45" s="271">
        <f t="shared" si="8"/>
        <v>24.87060740751744</v>
      </c>
      <c r="T45" s="170">
        <f>ROUND(+'ISR BI'!E42,2)</f>
        <v>47941793.039999999</v>
      </c>
      <c r="U45" s="271">
        <f t="shared" si="9"/>
        <v>25.090940570350334</v>
      </c>
      <c r="V45" s="220">
        <f t="shared" si="10"/>
        <v>1590263839.2000003</v>
      </c>
    </row>
    <row r="46" spans="1:22">
      <c r="A46" s="250">
        <v>50</v>
      </c>
      <c r="B46" s="219" t="s">
        <v>137</v>
      </c>
      <c r="C46" s="271">
        <f t="shared" si="0"/>
        <v>0.15112264580212439</v>
      </c>
      <c r="D46" s="170">
        <f>ROUND(+IF('PART 2023'!Z$4&lt;1,'PISO 2021'!$Q45*'PART 2023'!Z$4,'PISO 2021'!J45+Copete!C45),2)</f>
        <v>6940880.2699999996</v>
      </c>
      <c r="E46" s="271">
        <f t="shared" si="1"/>
        <v>0.15219675183477552</v>
      </c>
      <c r="F46" s="170">
        <f>ROUND(+IF('PART 2023'!Z$5&lt;1,'PISO 2021'!$Q45*'PART 2023'!Z$5,'PISO 2021'!K45+Copete!D45),2)</f>
        <v>990891.71</v>
      </c>
      <c r="G46" s="271">
        <f t="shared" si="2"/>
        <v>1.1365805105411551</v>
      </c>
      <c r="H46" s="179">
        <f>ROUND(+'Art.14 Frac.III'!Q44,2)</f>
        <v>2696200.14</v>
      </c>
      <c r="I46" s="271">
        <f t="shared" si="3"/>
        <v>0.14846475342854415</v>
      </c>
      <c r="J46" s="170">
        <f>ROUND(+IF('PART 2023'!Z$6&lt;1,'PISO 2021'!$Q45*'PART 2023'!Z$6,'PISO 2021'!L45+Copete!E45),2)</f>
        <v>209979.09</v>
      </c>
      <c r="K46" s="271">
        <f t="shared" si="4"/>
        <v>0.14235608210308209</v>
      </c>
      <c r="L46" s="170">
        <f>ROUND(+IF('PART 2023'!Z$7&lt;1,'PISO 2021'!$Q45*'PART 2023'!Z$7,'PISO 2021'!M45+Copete!F45),2)</f>
        <v>285056.19</v>
      </c>
      <c r="M46" s="271">
        <f t="shared" si="5"/>
        <v>0.16002212725175316</v>
      </c>
      <c r="N46" s="170">
        <f>ROUND(+IF('PART 2023'!Z$8&lt;1,'PISO 2021'!$Q45*'PART 2023'!Z$8,'PISO 2021'!N45+Copete!G45),2)</f>
        <v>293530.31</v>
      </c>
      <c r="O46" s="271">
        <f t="shared" si="6"/>
        <v>0.1446050396909315</v>
      </c>
      <c r="P46" s="170">
        <f>ROUND(+IF('PART 2023'!Z$9&lt;1,'PISO 2021'!$Q45*'PART 2023'!Z$9,'PISO 2021'!O45+Copete!H45),2)</f>
        <v>32430.75</v>
      </c>
      <c r="Q46" s="271">
        <f t="shared" si="7"/>
        <v>6.6334595064925533E-2</v>
      </c>
      <c r="R46" s="170">
        <f>+ROUND('COEF Art 14 F II'!M46,2)</f>
        <v>77308.13</v>
      </c>
      <c r="S46" s="271">
        <f t="shared" si="8"/>
        <v>1.0337392085253617E-2</v>
      </c>
      <c r="T46" s="170">
        <f>ROUND(+'ISR BI'!E43,2)</f>
        <v>19926.86</v>
      </c>
      <c r="U46" s="271">
        <f t="shared" si="9"/>
        <v>0.18217423891299905</v>
      </c>
      <c r="V46" s="220">
        <f t="shared" si="10"/>
        <v>11546203.449999999</v>
      </c>
    </row>
    <row r="47" spans="1:22">
      <c r="A47" s="250">
        <v>51</v>
      </c>
      <c r="B47" s="219" t="s">
        <v>138</v>
      </c>
      <c r="C47" s="271">
        <f t="shared" si="0"/>
        <v>0.79116172981853894</v>
      </c>
      <c r="D47" s="170">
        <f>ROUND(+IF('PART 2023'!Z$4&lt;1,'PISO 2021'!$Q46*'PART 2023'!Z$4,'PISO 2021'!J46+Copete!C46),2)</f>
        <v>36337100.979999997</v>
      </c>
      <c r="E47" s="271">
        <f t="shared" si="1"/>
        <v>0.81043040775595554</v>
      </c>
      <c r="F47" s="170">
        <f>ROUND(+IF('PART 2023'!Z$5&lt;1,'PISO 2021'!$Q46*'PART 2023'!Z$5,'PISO 2021'!K46+Copete!D46),2)</f>
        <v>5276385.75</v>
      </c>
      <c r="G47" s="271">
        <f t="shared" si="2"/>
        <v>1.2751006270703924</v>
      </c>
      <c r="H47" s="179">
        <f>ROUND(+'Art.14 Frac.III'!Q45,2)</f>
        <v>3024798.03</v>
      </c>
      <c r="I47" s="271">
        <f t="shared" si="3"/>
        <v>0.74348107322356383</v>
      </c>
      <c r="J47" s="170">
        <f>ROUND(+IF('PART 2023'!Z$6&lt;1,'PISO 2021'!$Q46*'PART 2023'!Z$6,'PISO 2021'!L46+Copete!E46),2)</f>
        <v>1051532.27</v>
      </c>
      <c r="K47" s="271">
        <f t="shared" si="4"/>
        <v>0.63389607536948234</v>
      </c>
      <c r="L47" s="170">
        <f>ROUND(+IF('PART 2023'!Z$7&lt;1,'PISO 2021'!$Q46*'PART 2023'!Z$7,'PISO 2021'!M46+Copete!F46),2)</f>
        <v>1269324.06</v>
      </c>
      <c r="M47" s="271">
        <f t="shared" si="5"/>
        <v>0.95081180200037052</v>
      </c>
      <c r="N47" s="170">
        <f>ROUND(+IF('PART 2023'!Z$8&lt;1,'PISO 2021'!$Q46*'PART 2023'!Z$8,'PISO 2021'!N46+Copete!G46),2)</f>
        <v>1744084.32</v>
      </c>
      <c r="O47" s="271">
        <f t="shared" si="6"/>
        <v>0.67424092042208328</v>
      </c>
      <c r="P47" s="170">
        <f>ROUND(+IF('PART 2023'!Z$9&lt;1,'PISO 2021'!$Q46*'PART 2023'!Z$9,'PISO 2021'!O46+Copete!H46),2)</f>
        <v>151212.84</v>
      </c>
      <c r="Q47" s="271">
        <f t="shared" si="7"/>
        <v>2.0109817801451451</v>
      </c>
      <c r="R47" s="170">
        <f>+ROUND('COEF Art 14 F II'!M47,2)</f>
        <v>2343652.52</v>
      </c>
      <c r="S47" s="271">
        <f t="shared" si="8"/>
        <v>2.0119546889842446</v>
      </c>
      <c r="T47" s="170">
        <f>ROUND(+'ISR BI'!E44,2)</f>
        <v>3878341.76</v>
      </c>
      <c r="U47" s="271">
        <f t="shared" si="9"/>
        <v>0.86898756129192356</v>
      </c>
      <c r="V47" s="220">
        <f t="shared" si="10"/>
        <v>55076432.530000009</v>
      </c>
    </row>
    <row r="48" spans="1:22">
      <c r="A48" s="250">
        <v>52</v>
      </c>
      <c r="B48" s="219" t="s">
        <v>139</v>
      </c>
      <c r="C48" s="271">
        <f t="shared" si="0"/>
        <v>0.26390250076874938</v>
      </c>
      <c r="D48" s="170">
        <f>ROUND(+IF('PART 2023'!Z$4&lt;1,'PISO 2021'!$Q47*'PART 2023'!Z$4,'PISO 2021'!J47+Copete!C47),2)</f>
        <v>12120722.550000001</v>
      </c>
      <c r="E48" s="271">
        <f t="shared" si="1"/>
        <v>0.26172145045297573</v>
      </c>
      <c r="F48" s="170">
        <f>ROUND(+IF('PART 2023'!Z$5&lt;1,'PISO 2021'!$Q47*'PART 2023'!Z$5,'PISO 2021'!K47+Copete!D47),2)</f>
        <v>1703962.88</v>
      </c>
      <c r="G48" s="271">
        <f t="shared" si="2"/>
        <v>1.6742778873473529</v>
      </c>
      <c r="H48" s="179">
        <f>ROUND(+'Art.14 Frac.III'!Q46,2)</f>
        <v>3971727.68</v>
      </c>
      <c r="I48" s="271">
        <f t="shared" si="3"/>
        <v>0.2692995506661251</v>
      </c>
      <c r="J48" s="170">
        <f>ROUND(+IF('PART 2023'!Z$6&lt;1,'PISO 2021'!$Q47*'PART 2023'!Z$6,'PISO 2021'!L47+Copete!E47),2)</f>
        <v>380880.13</v>
      </c>
      <c r="K48" s="271">
        <f t="shared" si="4"/>
        <v>0.28170363949201838</v>
      </c>
      <c r="L48" s="170">
        <f>ROUND(+IF('PART 2023'!Z$7&lt;1,'PISO 2021'!$Q47*'PART 2023'!Z$7,'PISO 2021'!M47+Copete!F47),2)</f>
        <v>564088.06000000006</v>
      </c>
      <c r="M48" s="271">
        <f t="shared" si="5"/>
        <v>0.24583146411830001</v>
      </c>
      <c r="N48" s="170">
        <f>ROUND(+IF('PART 2023'!Z$8&lt;1,'PISO 2021'!$Q47*'PART 2023'!Z$8,'PISO 2021'!N47+Copete!G47),2)</f>
        <v>450931.3</v>
      </c>
      <c r="O48" s="271">
        <f t="shared" si="6"/>
        <v>0.27713693023268982</v>
      </c>
      <c r="P48" s="170">
        <f>ROUND(+IF('PART 2023'!Z$9&lt;1,'PISO 2021'!$Q47*'PART 2023'!Z$9,'PISO 2021'!O47+Copete!H47),2)</f>
        <v>62153.84</v>
      </c>
      <c r="Q48" s="271">
        <f t="shared" si="7"/>
        <v>0.12592543028118477</v>
      </c>
      <c r="R48" s="170">
        <f>+ROUND('COEF Art 14 F II'!M48,2)</f>
        <v>146756.9</v>
      </c>
      <c r="S48" s="271">
        <f t="shared" si="8"/>
        <v>3.312912323105234E-2</v>
      </c>
      <c r="T48" s="170">
        <f>ROUND(+'ISR BI'!E45,2)</f>
        <v>63861.31</v>
      </c>
      <c r="U48" s="271">
        <f t="shared" si="9"/>
        <v>0.30711714000595147</v>
      </c>
      <c r="V48" s="220">
        <f t="shared" si="10"/>
        <v>19465084.649999995</v>
      </c>
    </row>
    <row r="49" spans="1:22">
      <c r="A49" s="250">
        <v>53</v>
      </c>
      <c r="B49" s="219" t="s">
        <v>28</v>
      </c>
      <c r="C49" s="271">
        <f t="shared" si="0"/>
        <v>0.28352804629539236</v>
      </c>
      <c r="D49" s="170">
        <f>ROUND(+IF('PART 2023'!Z$4&lt;1,'PISO 2021'!$Q48*'PART 2023'!Z$4,'PISO 2021'!J48+Copete!C48),2)</f>
        <v>13022100.109999999</v>
      </c>
      <c r="E49" s="271">
        <f t="shared" si="1"/>
        <v>0.2799611941673697</v>
      </c>
      <c r="F49" s="170">
        <f>ROUND(+IF('PART 2023'!Z$5&lt;1,'PISO 2021'!$Q48*'PART 2023'!Z$5,'PISO 2021'!K48+Copete!D48),2)</f>
        <v>1822714.5</v>
      </c>
      <c r="G49" s="271">
        <f t="shared" si="2"/>
        <v>0.68865998040280452</v>
      </c>
      <c r="H49" s="179">
        <f>ROUND(+'Art.14 Frac.III'!Q47,2)</f>
        <v>1633641.54</v>
      </c>
      <c r="I49" s="271">
        <f t="shared" si="3"/>
        <v>0.29235427959227683</v>
      </c>
      <c r="J49" s="170">
        <f>ROUND(+IF('PART 2023'!Z$6&lt;1,'PISO 2021'!$Q48*'PART 2023'!Z$6,'PISO 2021'!L48+Copete!E48),2)</f>
        <v>413487.27</v>
      </c>
      <c r="K49" s="271">
        <f t="shared" si="4"/>
        <v>0.31263971355514336</v>
      </c>
      <c r="L49" s="170">
        <f>ROUND(+IF('PART 2023'!Z$7&lt;1,'PISO 2021'!$Q48*'PART 2023'!Z$7,'PISO 2021'!M48+Copete!F48),2)</f>
        <v>626034.97</v>
      </c>
      <c r="M49" s="271">
        <f t="shared" si="5"/>
        <v>0.25397499155018993</v>
      </c>
      <c r="N49" s="170">
        <f>ROUND(+IF('PART 2023'!Z$8&lt;1,'PISO 2021'!$Q48*'PART 2023'!Z$8,'PISO 2021'!N48+Copete!G48),2)</f>
        <v>465869.06</v>
      </c>
      <c r="O49" s="271">
        <f t="shared" si="6"/>
        <v>0.30517142231813299</v>
      </c>
      <c r="P49" s="170">
        <f>ROUND(+IF('PART 2023'!Z$9&lt;1,'PISO 2021'!$Q48*'PART 2023'!Z$9,'PISO 2021'!O48+Copete!H48),2)</f>
        <v>68441.17</v>
      </c>
      <c r="Q49" s="271">
        <f t="shared" si="7"/>
        <v>8.8879747495727454E-2</v>
      </c>
      <c r="R49" s="170">
        <f>+ROUND('COEF Art 14 F II'!M49,2)</f>
        <v>103582.86</v>
      </c>
      <c r="S49" s="271">
        <f t="shared" si="8"/>
        <v>2.2663154810724853E-3</v>
      </c>
      <c r="T49" s="170">
        <f>ROUND(+'ISR BI'!E46,2)</f>
        <v>4368.66</v>
      </c>
      <c r="U49" s="271">
        <f t="shared" si="9"/>
        <v>0.28652950212667477</v>
      </c>
      <c r="V49" s="220">
        <f t="shared" si="10"/>
        <v>18160240.139999997</v>
      </c>
    </row>
    <row r="50" spans="1:22">
      <c r="A50" s="250">
        <v>54</v>
      </c>
      <c r="B50" s="219" t="s">
        <v>29</v>
      </c>
      <c r="C50" s="271">
        <f t="shared" si="0"/>
        <v>0.79799335198181987</v>
      </c>
      <c r="D50" s="170">
        <f>ROUND(+IF('PART 2023'!Z$4&lt;1,'PISO 2021'!$Q49*'PART 2023'!Z$4,'PISO 2021'!J49+Copete!C49),2)</f>
        <v>36650869.119999997</v>
      </c>
      <c r="E50" s="271">
        <f t="shared" si="1"/>
        <v>0.78609554246722813</v>
      </c>
      <c r="F50" s="170">
        <f>ROUND(+IF('PART 2023'!Z$5&lt;1,'PISO 2021'!$Q49*'PART 2023'!Z$5,'PISO 2021'!K49+Copete!D49),2)</f>
        <v>5117951.25</v>
      </c>
      <c r="G50" s="271">
        <f t="shared" si="2"/>
        <v>1.3501418612065195</v>
      </c>
      <c r="H50" s="179">
        <f>ROUND(+'Art.14 Frac.III'!Q48,2)</f>
        <v>3202811.1</v>
      </c>
      <c r="I50" s="271">
        <f t="shared" si="3"/>
        <v>0.8274346774866983</v>
      </c>
      <c r="J50" s="170">
        <f>ROUND(+IF('PART 2023'!Z$6&lt;1,'PISO 2021'!$Q49*'PART 2023'!Z$6,'PISO 2021'!L49+Copete!E49),2)</f>
        <v>1170270.8999999999</v>
      </c>
      <c r="K50" s="271">
        <f t="shared" si="4"/>
        <v>0.89510000024885916</v>
      </c>
      <c r="L50" s="170">
        <f>ROUND(+IF('PART 2023'!Z$7&lt;1,'PISO 2021'!$Q49*'PART 2023'!Z$7,'PISO 2021'!M49+Copete!F49),2)</f>
        <v>1792363.15</v>
      </c>
      <c r="M50" s="271">
        <f t="shared" si="5"/>
        <v>0.69941439986457199</v>
      </c>
      <c r="N50" s="170">
        <f>ROUND(+IF('PART 2023'!Z$8&lt;1,'PISO 2021'!$Q49*'PART 2023'!Z$8,'PISO 2021'!N49+Copete!G49),2)</f>
        <v>1282943.3600000001</v>
      </c>
      <c r="O50" s="271">
        <f t="shared" si="6"/>
        <v>0.8701883460315023</v>
      </c>
      <c r="P50" s="170">
        <f>ROUND(+IF('PART 2023'!Z$9&lt;1,'PISO 2021'!$Q49*'PART 2023'!Z$9,'PISO 2021'!O49+Copete!H49),2)</f>
        <v>195158.21</v>
      </c>
      <c r="Q50" s="271">
        <f t="shared" si="7"/>
        <v>0.59469885558685576</v>
      </c>
      <c r="R50" s="170">
        <f>+ROUND('COEF Art 14 F II'!M50,2)</f>
        <v>693078.12</v>
      </c>
      <c r="S50" s="271">
        <f t="shared" si="8"/>
        <v>9.9184812034117525E-2</v>
      </c>
      <c r="T50" s="170">
        <f>ROUND(+'ISR BI'!E47,2)</f>
        <v>191193.47</v>
      </c>
      <c r="U50" s="271">
        <f t="shared" si="9"/>
        <v>0.79357270215181497</v>
      </c>
      <c r="V50" s="220">
        <f t="shared" si="10"/>
        <v>50296638.679999992</v>
      </c>
    </row>
    <row r="51" spans="1:22">
      <c r="A51" s="250">
        <v>55</v>
      </c>
      <c r="B51" s="219" t="s">
        <v>30</v>
      </c>
      <c r="C51" s="271">
        <f t="shared" si="0"/>
        <v>0.88764795241913463</v>
      </c>
      <c r="D51" s="170">
        <f>ROUND(+IF('PART 2023'!Z$4&lt;1,'PISO 2021'!$Q50*'PART 2023'!Z$4,'PISO 2021'!J50+Copete!C50),2)</f>
        <v>40768596.439999998</v>
      </c>
      <c r="E51" s="271">
        <f t="shared" si="1"/>
        <v>0.89545809619974559</v>
      </c>
      <c r="F51" s="170">
        <f>ROUND(+IF('PART 2023'!Z$5&lt;1,'PISO 2021'!$Q50*'PART 2023'!Z$5,'PISO 2021'!K50+Copete!D50),2)</f>
        <v>5829966.7599999998</v>
      </c>
      <c r="G51" s="271">
        <f t="shared" si="2"/>
        <v>2.5655278151577696</v>
      </c>
      <c r="H51" s="179">
        <f>ROUND(+'Art.14 Frac.III'!Q49,2)</f>
        <v>6085953.7800000003</v>
      </c>
      <c r="I51" s="271">
        <f t="shared" si="3"/>
        <v>0.86832162920551259</v>
      </c>
      <c r="J51" s="170">
        <f>ROUND(+IF('PART 2023'!Z$6&lt;1,'PISO 2021'!$Q50*'PART 2023'!Z$6,'PISO 2021'!L50+Copete!E50),2)</f>
        <v>1228098.8</v>
      </c>
      <c r="K51" s="271">
        <f t="shared" si="4"/>
        <v>0.82390371374381766</v>
      </c>
      <c r="L51" s="170">
        <f>ROUND(+IF('PART 2023'!Z$7&lt;1,'PISO 2021'!$Q50*'PART 2023'!Z$7,'PISO 2021'!M50+Copete!F50),2)</f>
        <v>1649798.52</v>
      </c>
      <c r="M51" s="271">
        <f t="shared" si="5"/>
        <v>0.95235866639242561</v>
      </c>
      <c r="N51" s="170">
        <f>ROUND(+IF('PART 2023'!Z$8&lt;1,'PISO 2021'!$Q50*'PART 2023'!Z$8,'PISO 2021'!N50+Copete!G50),2)</f>
        <v>1746921.75</v>
      </c>
      <c r="O51" s="271">
        <f t="shared" si="6"/>
        <v>0.84025664224611119</v>
      </c>
      <c r="P51" s="170">
        <f>ROUND(+IF('PART 2023'!Z$9&lt;1,'PISO 2021'!$Q50*'PART 2023'!Z$9,'PISO 2021'!O50+Copete!H50),2)</f>
        <v>188445.39</v>
      </c>
      <c r="Q51" s="271">
        <f t="shared" si="7"/>
        <v>1.2466385322462323</v>
      </c>
      <c r="R51" s="170">
        <f>+ROUND('COEF Art 14 F II'!M51,2)</f>
        <v>1452866.24</v>
      </c>
      <c r="S51" s="271">
        <f t="shared" si="8"/>
        <v>2.1404511443563816</v>
      </c>
      <c r="T51" s="170">
        <f>ROUND(+'ISR BI'!E48,2)</f>
        <v>4126037.78</v>
      </c>
      <c r="U51" s="271">
        <f t="shared" si="9"/>
        <v>0.99521433314343122</v>
      </c>
      <c r="V51" s="220">
        <f t="shared" si="10"/>
        <v>63076685.460000001</v>
      </c>
    </row>
    <row r="52" spans="1:22">
      <c r="A52" s="250">
        <v>58</v>
      </c>
      <c r="B52" s="219" t="s">
        <v>140</v>
      </c>
      <c r="C52" s="271">
        <f t="shared" si="0"/>
        <v>6.8940139926156512</v>
      </c>
      <c r="D52" s="170">
        <f>ROUND(+IF('PART 2023'!Z$4&lt;1,'PISO 2021'!$Q51*'PART 2023'!Z$4,'PISO 2021'!J51+Copete!C51),2)</f>
        <v>316633721.23000002</v>
      </c>
      <c r="E52" s="271">
        <f t="shared" si="1"/>
        <v>6.8640032897633398</v>
      </c>
      <c r="F52" s="170">
        <f>ROUND(+IF('PART 2023'!Z$5&lt;1,'PISO 2021'!$Q51*'PART 2023'!Z$5,'PISO 2021'!K51+Copete!D51),2)</f>
        <v>44688758.960000001</v>
      </c>
      <c r="G52" s="271">
        <f t="shared" si="2"/>
        <v>4.2887667319406697</v>
      </c>
      <c r="H52" s="179">
        <f>ROUND(+'Art.14 Frac.III'!Q50,2)</f>
        <v>10173826.98</v>
      </c>
      <c r="I52" s="271">
        <f t="shared" si="3"/>
        <v>6.9682759553654137</v>
      </c>
      <c r="J52" s="170">
        <f>ROUND(+IF('PART 2023'!Z$6&lt;1,'PISO 2021'!$Q51*'PART 2023'!Z$6,'PISO 2021'!L51+Copete!E51),2)</f>
        <v>9855485.6300000008</v>
      </c>
      <c r="K52" s="271">
        <f t="shared" si="4"/>
        <v>7.1389530802468695</v>
      </c>
      <c r="L52" s="170">
        <f>ROUND(+IF('PART 2023'!Z$7&lt;1,'PISO 2021'!$Q51*'PART 2023'!Z$7,'PISO 2021'!M51+Copete!F51),2)</f>
        <v>14295158.560000001</v>
      </c>
      <c r="M52" s="271">
        <f t="shared" si="5"/>
        <v>6.6453611949695883</v>
      </c>
      <c r="N52" s="170">
        <f>ROUND(+IF('PART 2023'!Z$8&lt;1,'PISO 2021'!$Q51*'PART 2023'!Z$8,'PISO 2021'!N51+Copete!G51),2)</f>
        <v>12189657.550000001</v>
      </c>
      <c r="O52" s="271">
        <f t="shared" si="6"/>
        <v>7.0761164758444188</v>
      </c>
      <c r="P52" s="170">
        <f>ROUND(+IF('PART 2023'!Z$9&lt;1,'PISO 2021'!$Q51*'PART 2023'!Z$9,'PISO 2021'!O51+Copete!H51),2)</f>
        <v>1586969.34</v>
      </c>
      <c r="Q52" s="271">
        <f t="shared" si="7"/>
        <v>7.2267504060597236</v>
      </c>
      <c r="R52" s="170">
        <f>+ROUND('COEF Art 14 F II'!M52,2)</f>
        <v>8422250.25</v>
      </c>
      <c r="S52" s="271">
        <f t="shared" si="8"/>
        <v>3.6730645564671036</v>
      </c>
      <c r="T52" s="170">
        <f>ROUND(+'ISR BI'!E49,2)</f>
        <v>7080377.9699999997</v>
      </c>
      <c r="U52" s="271">
        <f t="shared" si="9"/>
        <v>6.704420946078181</v>
      </c>
      <c r="V52" s="220">
        <f t="shared" si="10"/>
        <v>424926206.47000003</v>
      </c>
    </row>
    <row r="53" spans="1:22">
      <c r="A53" s="250">
        <v>31</v>
      </c>
      <c r="B53" s="219" t="s">
        <v>141</v>
      </c>
      <c r="C53" s="271">
        <f t="shared" si="0"/>
        <v>13.710646648676072</v>
      </c>
      <c r="D53" s="170">
        <f>ROUND(+IF('PART 2023'!Z$4&lt;1,'PISO 2021'!$Q52*'PART 2023'!Z$4,'PISO 2021'!J52+Copete!C52),2)</f>
        <v>629713411.29999995</v>
      </c>
      <c r="E53" s="271">
        <f t="shared" si="1"/>
        <v>13.688536745726273</v>
      </c>
      <c r="F53" s="170">
        <f>ROUND(+IF('PART 2023'!Z$5&lt;1,'PISO 2021'!$Q52*'PART 2023'!Z$5,'PISO 2021'!K52+Copete!D52),2)</f>
        <v>89120545.739999995</v>
      </c>
      <c r="G53" s="271">
        <f t="shared" si="2"/>
        <v>8.5612328337732144</v>
      </c>
      <c r="H53" s="179">
        <f>ROUND(+'Art.14 Frac.III'!Q51,2)</f>
        <v>20308985.550000001</v>
      </c>
      <c r="I53" s="271">
        <f t="shared" si="3"/>
        <v>13.765357937945598</v>
      </c>
      <c r="J53" s="170">
        <f>ROUND(+IF('PART 2023'!Z$6&lt;1,'PISO 2021'!$Q52*'PART 2023'!Z$6,'PISO 2021'!L52+Copete!E52),2)</f>
        <v>19468845.41</v>
      </c>
      <c r="K53" s="271">
        <f t="shared" si="4"/>
        <v>13.891101562474775</v>
      </c>
      <c r="L53" s="170">
        <f>ROUND(+IF('PART 2023'!Z$7&lt;1,'PISO 2021'!$Q52*'PART 2023'!Z$7,'PISO 2021'!M52+Copete!F52),2)</f>
        <v>27815773.149999999</v>
      </c>
      <c r="M53" s="271">
        <f t="shared" si="5"/>
        <v>13.527455711934703</v>
      </c>
      <c r="N53" s="170">
        <f>ROUND(+IF('PART 2023'!Z$8&lt;1,'PISO 2021'!$Q52*'PART 2023'!Z$8,'PISO 2021'!N52+Copete!G52),2)</f>
        <v>24813557.579999998</v>
      </c>
      <c r="O53" s="271">
        <f t="shared" si="6"/>
        <v>13.844807695912872</v>
      </c>
      <c r="P53" s="170">
        <f>ROUND(+IF('PART 2023'!Z$9&lt;1,'PISO 2021'!$Q52*'PART 2023'!Z$9,'PISO 2021'!O52+Copete!H52),2)</f>
        <v>3104992.04</v>
      </c>
      <c r="Q53" s="271">
        <f t="shared" si="7"/>
        <v>5.5849762979106989</v>
      </c>
      <c r="R53" s="170">
        <f>+ROUND('COEF Art 14 F II'!M53,2)</f>
        <v>6508882.3300000001</v>
      </c>
      <c r="S53" s="271">
        <f t="shared" si="8"/>
        <v>15.526056969091353</v>
      </c>
      <c r="T53" s="170">
        <f>ROUND(+'ISR BI'!E50,2)</f>
        <v>29928782.91</v>
      </c>
      <c r="U53" s="271">
        <f t="shared" si="9"/>
        <v>13.423536796777055</v>
      </c>
      <c r="V53" s="220">
        <f t="shared" si="10"/>
        <v>850783776.00999987</v>
      </c>
    </row>
    <row r="54" spans="1:22">
      <c r="A54" s="250">
        <v>57</v>
      </c>
      <c r="B54" s="219" t="s">
        <v>31</v>
      </c>
      <c r="C54" s="271">
        <f t="shared" si="0"/>
        <v>4.0311359626721615</v>
      </c>
      <c r="D54" s="170">
        <f>ROUND(+IF('PART 2023'!Z$4&lt;1,'PISO 2021'!$Q53*'PART 2023'!Z$4,'PISO 2021'!J53+Copete!C53),2)</f>
        <v>185145197.27000001</v>
      </c>
      <c r="E54" s="271">
        <f t="shared" si="1"/>
        <v>4.0561713138410278</v>
      </c>
      <c r="F54" s="170">
        <f>ROUND(+IF('PART 2023'!Z$5&lt;1,'PISO 2021'!$Q53*'PART 2023'!Z$5,'PISO 2021'!K53+Copete!D53),2)</f>
        <v>26408096.629999999</v>
      </c>
      <c r="G54" s="271">
        <f t="shared" si="2"/>
        <v>4.6448635209413851</v>
      </c>
      <c r="H54" s="179">
        <f>ROUND(+'Art.14 Frac.III'!Q52,2)</f>
        <v>11018560.99</v>
      </c>
      <c r="I54" s="271">
        <f t="shared" si="3"/>
        <v>3.9691855757295884</v>
      </c>
      <c r="J54" s="170">
        <f>ROUND(+IF('PART 2023'!Z$6&lt;1,'PISO 2021'!$Q53*'PART 2023'!Z$6,'PISO 2021'!L53+Copete!E53),2)</f>
        <v>5613763.2400000002</v>
      </c>
      <c r="K54" s="271">
        <f t="shared" si="4"/>
        <v>3.8268043036786223</v>
      </c>
      <c r="L54" s="170">
        <f>ROUND(+IF('PART 2023'!Z$7&lt;1,'PISO 2021'!$Q53*'PART 2023'!Z$7,'PISO 2021'!M53+Copete!F53),2)</f>
        <v>7662856.6799999997</v>
      </c>
      <c r="M54" s="271">
        <f t="shared" si="5"/>
        <v>4.2385656431439624</v>
      </c>
      <c r="N54" s="170">
        <f>ROUND(+IF('PART 2023'!Z$8&lt;1,'PISO 2021'!$Q53*'PART 2023'!Z$8,'PISO 2021'!N53+Copete!G53),2)</f>
        <v>7774846.5700000003</v>
      </c>
      <c r="O54" s="271">
        <f t="shared" si="6"/>
        <v>3.8792234434322164</v>
      </c>
      <c r="P54" s="170">
        <f>ROUND(+IF('PART 2023'!Z$9&lt;1,'PISO 2021'!$Q53*'PART 2023'!Z$9,'PISO 2021'!O53+Copete!H53),2)</f>
        <v>869998.21</v>
      </c>
      <c r="Q54" s="271">
        <f t="shared" si="7"/>
        <v>5.2663231510536956</v>
      </c>
      <c r="R54" s="170">
        <f>+ROUND('COEF Art 14 F II'!M54,2)</f>
        <v>6137515.3399999999</v>
      </c>
      <c r="S54" s="271">
        <f t="shared" si="8"/>
        <v>6.0910076790700547</v>
      </c>
      <c r="T54" s="170">
        <f>ROUND(+'ISR BI'!E51,2)</f>
        <v>11741322.789999999</v>
      </c>
      <c r="U54" s="271">
        <f t="shared" si="9"/>
        <v>4.1396679308125615</v>
      </c>
      <c r="V54" s="220">
        <f t="shared" si="10"/>
        <v>262372157.72000003</v>
      </c>
    </row>
    <row r="55" spans="1:22">
      <c r="A55" s="250">
        <v>56</v>
      </c>
      <c r="B55" s="219" t="s">
        <v>32</v>
      </c>
      <c r="C55" s="271">
        <f t="shared" si="0"/>
        <v>1.3026610960611382</v>
      </c>
      <c r="D55" s="170">
        <f>ROUND(+IF('PART 2023'!Z$4&lt;1,'PISO 2021'!$Q54*'PART 2023'!Z$4,'PISO 2021'!J54+Copete!C54),2)</f>
        <v>59829647.979999997</v>
      </c>
      <c r="E55" s="271">
        <f t="shared" si="1"/>
        <v>1.3106360846559357</v>
      </c>
      <c r="F55" s="170">
        <f>ROUND(+IF('PART 2023'!Z$5&lt;1,'PISO 2021'!$Q54*'PART 2023'!Z$5,'PISO 2021'!K54+Copete!D54),2)</f>
        <v>8533023.3100000005</v>
      </c>
      <c r="G55" s="271">
        <f t="shared" si="2"/>
        <v>2.5273628161591732</v>
      </c>
      <c r="H55" s="179">
        <f>ROUND(+'Art.14 Frac.III'!Q53,2)</f>
        <v>5995418.6399999997</v>
      </c>
      <c r="I55" s="271">
        <f t="shared" si="3"/>
        <v>1.2829268614436877</v>
      </c>
      <c r="J55" s="170">
        <f>ROUND(+IF('PART 2023'!Z$6&lt;1,'PISO 2021'!$Q54*'PART 2023'!Z$6,'PISO 2021'!L54+Copete!E54),2)</f>
        <v>1814490.03</v>
      </c>
      <c r="K55" s="271">
        <f t="shared" si="4"/>
        <v>1.2375714422792647</v>
      </c>
      <c r="L55" s="170">
        <f>ROUND(+IF('PART 2023'!Z$7&lt;1,'PISO 2021'!$Q54*'PART 2023'!Z$7,'PISO 2021'!M54+Copete!F54),2)</f>
        <v>2478133.67</v>
      </c>
      <c r="M55" s="271">
        <f t="shared" si="5"/>
        <v>1.3687376226087971</v>
      </c>
      <c r="N55" s="170">
        <f>ROUND(+IF('PART 2023'!Z$8&lt;1,'PISO 2021'!$Q54*'PART 2023'!Z$8,'PISO 2021'!N54+Copete!G54),2)</f>
        <v>2510690.15</v>
      </c>
      <c r="O55" s="271">
        <f t="shared" si="6"/>
        <v>1.2542695333833751</v>
      </c>
      <c r="P55" s="170">
        <f>ROUND(+IF('PART 2023'!Z$9&lt;1,'PISO 2021'!$Q54*'PART 2023'!Z$9,'PISO 2021'!O54+Copete!H54),2)</f>
        <v>281296.57</v>
      </c>
      <c r="Q55" s="271">
        <f t="shared" si="7"/>
        <v>1.0314697280991489</v>
      </c>
      <c r="R55" s="170">
        <f>+ROUND('COEF Art 14 F II'!M55,2)</f>
        <v>1202102.7</v>
      </c>
      <c r="S55" s="271">
        <f t="shared" si="8"/>
        <v>3.9702897416985885</v>
      </c>
      <c r="T55" s="170">
        <f>ROUND(+'ISR BI'!E52,2)</f>
        <v>7653323.7000000002</v>
      </c>
      <c r="U55" s="271">
        <f t="shared" si="9"/>
        <v>1.4247100864960742</v>
      </c>
      <c r="V55" s="220">
        <f t="shared" si="10"/>
        <v>90298126.75</v>
      </c>
    </row>
    <row r="56" spans="1:22">
      <c r="A56" s="250">
        <v>59</v>
      </c>
      <c r="B56" s="219" t="s">
        <v>33</v>
      </c>
      <c r="C56" s="271">
        <f t="shared" si="0"/>
        <v>0.25510427661328261</v>
      </c>
      <c r="D56" s="170">
        <f>ROUND(+IF('PART 2023'!Z$4&lt;1,'PISO 2021'!$Q55*'PART 2023'!Z$4,'PISO 2021'!J55+Copete!C55),2)</f>
        <v>11716630.76</v>
      </c>
      <c r="E56" s="271">
        <f t="shared" si="1"/>
        <v>0.2560431539434056</v>
      </c>
      <c r="F56" s="170">
        <f>ROUND(+IF('PART 2023'!Z$5&lt;1,'PISO 2021'!$Q55*'PART 2023'!Z$5,'PISO 2021'!K55+Copete!D55),2)</f>
        <v>1666993.78</v>
      </c>
      <c r="G56" s="271">
        <f t="shared" si="2"/>
        <v>1.1806798278448074</v>
      </c>
      <c r="H56" s="179">
        <f>ROUND(+'Art.14 Frac.III'!Q54,2)</f>
        <v>2800812.69</v>
      </c>
      <c r="I56" s="271">
        <f t="shared" si="3"/>
        <v>0.25278101118937146</v>
      </c>
      <c r="J56" s="170">
        <f>ROUND(+IF('PART 2023'!Z$6&lt;1,'PISO 2021'!$Q55*'PART 2023'!Z$6,'PISO 2021'!L55+Copete!E55),2)</f>
        <v>357517.36</v>
      </c>
      <c r="K56" s="271">
        <f t="shared" si="4"/>
        <v>0.24744142449944084</v>
      </c>
      <c r="L56" s="170">
        <f>ROUND(+IF('PART 2023'!Z$7&lt;1,'PISO 2021'!$Q55*'PART 2023'!Z$7,'PISO 2021'!M55+Copete!F55),2)</f>
        <v>495480.83</v>
      </c>
      <c r="M56" s="271">
        <f t="shared" si="5"/>
        <v>0.26288331305618295</v>
      </c>
      <c r="N56" s="170">
        <f>ROUND(+IF('PART 2023'!Z$8&lt;1,'PISO 2021'!$Q55*'PART 2023'!Z$8,'PISO 2021'!N55+Copete!G55),2)</f>
        <v>482209.69</v>
      </c>
      <c r="O56" s="271">
        <f t="shared" si="6"/>
        <v>0.24940729223059876</v>
      </c>
      <c r="P56" s="170">
        <f>ROUND(+IF('PART 2023'!Z$9&lt;1,'PISO 2021'!$Q55*'PART 2023'!Z$9,'PISO 2021'!O55+Copete!H55),2)</f>
        <v>55934.879999999997</v>
      </c>
      <c r="Q56" s="271">
        <f t="shared" si="7"/>
        <v>0.10570543415292098</v>
      </c>
      <c r="R56" s="170">
        <f>+ROUND('COEF Art 14 F II'!M56,2)</f>
        <v>123191.97</v>
      </c>
      <c r="S56" s="271">
        <f t="shared" si="8"/>
        <v>6.4738280681539681E-2</v>
      </c>
      <c r="T56" s="170">
        <f>ROUND(+'ISR BI'!E53,2)</f>
        <v>124792.66</v>
      </c>
      <c r="U56" s="271">
        <f t="shared" si="9"/>
        <v>0.28121748706629252</v>
      </c>
      <c r="V56" s="220">
        <f t="shared" si="10"/>
        <v>17823564.619999997</v>
      </c>
    </row>
    <row r="57" spans="1:22" ht="13.5" thickBot="1">
      <c r="A57" s="250">
        <v>60</v>
      </c>
      <c r="B57" s="219" t="s">
        <v>34</v>
      </c>
      <c r="C57" s="271">
        <f t="shared" si="0"/>
        <v>0.30594104474374822</v>
      </c>
      <c r="D57" s="170">
        <f>ROUND(+IF('PART 2023'!Z$4&lt;1,'PISO 2021'!$Q56*'PART 2023'!Z$4,'PISO 2021'!J56+Copete!C56),2)</f>
        <v>14051502.01</v>
      </c>
      <c r="E57" s="271">
        <f t="shared" si="1"/>
        <v>0.30356958536651862</v>
      </c>
      <c r="F57" s="170">
        <f>ROUND(+IF('PART 2023'!Z$5&lt;1,'PISO 2021'!$Q56*'PART 2023'!Z$5,'PISO 2021'!K56+Copete!D56),2)</f>
        <v>1976419.22</v>
      </c>
      <c r="G57" s="271">
        <f t="shared" si="2"/>
        <v>1.6302072901780233</v>
      </c>
      <c r="H57" s="179">
        <f>ROUND(+'Art.14 Frac.III'!Q55,2)</f>
        <v>3867183.26</v>
      </c>
      <c r="I57" s="271">
        <f t="shared" si="3"/>
        <v>0.31180925646435209</v>
      </c>
      <c r="J57" s="170">
        <f>ROUND(+IF('PART 2023'!Z$6&lt;1,'PISO 2021'!$Q56*'PART 2023'!Z$6,'PISO 2021'!L56+Copete!E56),2)</f>
        <v>441003.15</v>
      </c>
      <c r="K57" s="271">
        <f t="shared" si="4"/>
        <v>0.32529623532044916</v>
      </c>
      <c r="L57" s="170">
        <f>ROUND(+IF('PART 2023'!Z$7&lt;1,'PISO 2021'!$Q56*'PART 2023'!Z$7,'PISO 2021'!M56+Copete!F56),2)</f>
        <v>651378.6</v>
      </c>
      <c r="M57" s="271">
        <f t="shared" si="5"/>
        <v>0.28629238905098975</v>
      </c>
      <c r="N57" s="170">
        <f>ROUND(+IF('PART 2023'!Z$8&lt;1,'PISO 2021'!$Q56*'PART 2023'!Z$8,'PISO 2021'!N56+Copete!G56),2)</f>
        <v>525149.21</v>
      </c>
      <c r="O57" s="271">
        <f t="shared" si="6"/>
        <v>0.320330879071135</v>
      </c>
      <c r="P57" s="170">
        <f>ROUND(+IF('PART 2023'!Z$9&lt;1,'PISO 2021'!$Q56*'PART 2023'!Z$9,'PISO 2021'!O56+Copete!H56),2)</f>
        <v>71841</v>
      </c>
      <c r="Q57" s="271">
        <f t="shared" si="7"/>
        <v>0.12235905512506468</v>
      </c>
      <c r="R57" s="170">
        <f>+ROUND('COEF Art 14 F II'!M57,2)</f>
        <v>142600.54999999999</v>
      </c>
      <c r="S57" s="271">
        <f t="shared" si="8"/>
        <v>6.983746716944972E-3</v>
      </c>
      <c r="T57" s="170">
        <f>ROUND(+'ISR BI'!E54,2)</f>
        <v>13462.21</v>
      </c>
      <c r="U57" s="271">
        <f t="shared" si="9"/>
        <v>0.34301891537689511</v>
      </c>
      <c r="V57" s="220">
        <f t="shared" si="10"/>
        <v>21740539.210000005</v>
      </c>
    </row>
    <row r="58" spans="1:22" ht="14.25" thickTop="1" thickBot="1">
      <c r="B58" s="221" t="s">
        <v>35</v>
      </c>
      <c r="C58" s="270">
        <f t="shared" ref="C58" si="11">SUM(C7:C57)</f>
        <v>99.999999999999972</v>
      </c>
      <c r="D58" s="262">
        <f t="shared" ref="D58:T58" si="12">SUM(D7:D57)</f>
        <v>4592879004.4400005</v>
      </c>
      <c r="E58" s="270">
        <f t="shared" ref="E58" si="13">SUM(E7:E57)</f>
        <v>100.00000000000006</v>
      </c>
      <c r="F58" s="262">
        <f t="shared" si="12"/>
        <v>651059696.11999989</v>
      </c>
      <c r="G58" s="270">
        <f t="shared" ref="G58" si="14">SUM(G7:G57)</f>
        <v>100.00000000000003</v>
      </c>
      <c r="H58" s="262">
        <f t="shared" si="12"/>
        <v>237220338.98999995</v>
      </c>
      <c r="I58" s="270">
        <f t="shared" ref="I58" si="15">SUM(I7:I57)</f>
        <v>99.999999999999972</v>
      </c>
      <c r="J58" s="262">
        <f t="shared" si="12"/>
        <v>141433629.97</v>
      </c>
      <c r="K58" s="270">
        <f t="shared" ref="K58" si="16">SUM(K7:K57)</f>
        <v>99.999999999999972</v>
      </c>
      <c r="L58" s="262">
        <f t="shared" si="12"/>
        <v>200241665.68000004</v>
      </c>
      <c r="M58" s="270">
        <f t="shared" ref="M58" si="17">SUM(M7:M57)</f>
        <v>99.999999999999972</v>
      </c>
      <c r="N58" s="262">
        <f t="shared" si="12"/>
        <v>183431076.09000003</v>
      </c>
      <c r="O58" s="270">
        <f t="shared" ref="O58" si="18">SUM(O7:O57)</f>
        <v>100</v>
      </c>
      <c r="P58" s="262">
        <f t="shared" si="12"/>
        <v>22427122.920000002</v>
      </c>
      <c r="Q58" s="270">
        <f t="shared" ref="Q58" si="19">SUM(Q7:Q57)</f>
        <v>100.00000000000003</v>
      </c>
      <c r="R58" s="262">
        <f t="shared" si="12"/>
        <v>116542702.82999998</v>
      </c>
      <c r="S58" s="270">
        <f t="shared" ref="S58" si="20">SUM(S7:S57)</f>
        <v>100</v>
      </c>
      <c r="T58" s="262">
        <f t="shared" si="12"/>
        <v>192764865.98999998</v>
      </c>
      <c r="U58" s="270">
        <f t="shared" ref="U58" si="21">SUM(U7:U57)</f>
        <v>99.999999999999986</v>
      </c>
      <c r="V58" s="228">
        <f>SUM(V7:V57)</f>
        <v>6338000103.0300007</v>
      </c>
    </row>
    <row r="59" spans="1:22" ht="16.5" customHeight="1">
      <c r="B59" s="94"/>
      <c r="C59" s="94"/>
      <c r="D59" s="173"/>
      <c r="E59" s="173"/>
      <c r="F59" s="176"/>
      <c r="G59" s="176"/>
      <c r="H59" s="176"/>
      <c r="I59" s="176"/>
      <c r="J59" s="154"/>
      <c r="K59" s="154"/>
      <c r="T59" s="170"/>
      <c r="U59" s="170"/>
    </row>
    <row r="60" spans="1:22">
      <c r="B60" s="99"/>
      <c r="C60" s="99"/>
      <c r="D60" s="174"/>
      <c r="E60" s="174"/>
    </row>
    <row r="61" spans="1:22">
      <c r="B61" s="99"/>
      <c r="C61" s="99"/>
      <c r="D61" s="174"/>
      <c r="E61" s="174"/>
    </row>
    <row r="62" spans="1:22" ht="16.5" customHeight="1"/>
  </sheetData>
  <mergeCells count="15">
    <mergeCell ref="B1:V1"/>
    <mergeCell ref="B2:V2"/>
    <mergeCell ref="B3:V3"/>
    <mergeCell ref="B4:V4"/>
    <mergeCell ref="B5:B6"/>
    <mergeCell ref="C5:D5"/>
    <mergeCell ref="E5:F5"/>
    <mergeCell ref="G5:H5"/>
    <mergeCell ref="I5:J5"/>
    <mergeCell ref="U5:V5"/>
    <mergeCell ref="K5:L5"/>
    <mergeCell ref="M5:N5"/>
    <mergeCell ref="O5:P5"/>
    <mergeCell ref="Q5:R5"/>
    <mergeCell ref="S5:T5"/>
  </mergeCells>
  <printOptions horizontalCentered="1"/>
  <pageMargins left="0.19685039370078741" right="0.19685039370078741" top="0.74803149606299213" bottom="0.15748031496062992" header="0.35433070866141736" footer="0.55118110236220474"/>
  <pageSetup scale="70" orientation="landscape" r:id="rId1"/>
  <headerFooter alignWithMargins="0">
    <oddHeader>&amp;LAnexo III&amp;C
CÁLCULO DE DISTRIBUCIÓN DE PARTICIPACIONES 1er SEMESTRE 2023 CON VARIABLES ACTUALIZADAS</oddHeader>
    <oddFooter>&amp;LLas cifras pueden no coincidir por cuestiones de redondeo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7"/>
  <sheetViews>
    <sheetView showGridLines="0" topLeftCell="A46" zoomScaleNormal="100" workbookViewId="0">
      <selection activeCell="C5" sqref="C5"/>
    </sheetView>
  </sheetViews>
  <sheetFormatPr baseColWidth="10" defaultColWidth="9.7109375" defaultRowHeight="12.75"/>
  <cols>
    <col min="1" max="1" width="3" style="11" bestFit="1" customWidth="1"/>
    <col min="2" max="2" width="28.85546875" style="11" customWidth="1"/>
    <col min="3" max="7" width="16.140625" style="11" customWidth="1"/>
    <col min="8" max="8" width="12.42578125" style="11" customWidth="1"/>
    <col min="9" max="9" width="15.42578125" style="11" customWidth="1"/>
    <col min="10" max="10" width="12.5703125" style="48" customWidth="1"/>
    <col min="11" max="11" width="12.28515625" style="11" customWidth="1"/>
    <col min="12" max="12" width="15.5703125" style="11" customWidth="1"/>
    <col min="13" max="13" width="12" style="48" customWidth="1"/>
    <col min="14" max="14" width="17.7109375" style="50" customWidth="1"/>
    <col min="15" max="15" width="18" style="11" customWidth="1"/>
    <col min="16" max="16" width="16.140625" style="11" customWidth="1"/>
    <col min="17" max="17" width="14.140625" style="11" customWidth="1"/>
    <col min="18" max="18" width="15.5703125" style="11" customWidth="1"/>
    <col min="19" max="19" width="16.140625" style="11" customWidth="1"/>
    <col min="20" max="20" width="13.140625" style="11" customWidth="1"/>
    <col min="21" max="21" width="14" style="11" customWidth="1"/>
    <col min="22" max="22" width="12.85546875" style="11" customWidth="1"/>
    <col min="23" max="23" width="14.42578125" style="11" customWidth="1"/>
    <col min="24" max="24" width="16.85546875" style="11" customWidth="1"/>
    <col min="25" max="25" width="14.140625" style="48" customWidth="1"/>
    <col min="26" max="26" width="18.42578125" style="11" bestFit="1" customWidth="1"/>
    <col min="27" max="27" width="3.7109375" style="11" customWidth="1"/>
    <col min="28" max="30" width="18.42578125" style="11" customWidth="1"/>
    <col min="31" max="31" width="20.140625" style="11" customWidth="1"/>
    <col min="32" max="32" width="16.140625" style="11" bestFit="1" customWidth="1"/>
    <col min="33" max="33" width="13.140625" style="232" bestFit="1" customWidth="1"/>
    <col min="34" max="34" width="13" style="11" customWidth="1"/>
    <col min="35" max="16384" width="9.7109375" style="11"/>
  </cols>
  <sheetData>
    <row r="1" spans="1:34" ht="33" customHeight="1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4" ht="26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4" ht="18.75" thickBot="1">
      <c r="C3" s="287" t="s">
        <v>80</v>
      </c>
      <c r="D3" s="287"/>
      <c r="E3" s="287"/>
      <c r="F3" s="287"/>
      <c r="G3" s="287"/>
      <c r="H3" s="288" t="s">
        <v>43</v>
      </c>
      <c r="I3" s="288"/>
      <c r="J3" s="288"/>
      <c r="K3" s="288"/>
      <c r="L3" s="288"/>
      <c r="M3" s="288"/>
      <c r="N3" s="288"/>
      <c r="O3" s="288" t="s">
        <v>70</v>
      </c>
      <c r="P3" s="288"/>
      <c r="Q3" s="288"/>
      <c r="R3" s="288"/>
      <c r="S3" s="288"/>
      <c r="T3" s="288"/>
      <c r="U3" s="287" t="s">
        <v>70</v>
      </c>
      <c r="V3" s="287"/>
      <c r="W3" s="287"/>
      <c r="X3" s="287"/>
      <c r="Y3" s="287"/>
      <c r="Z3" s="287"/>
      <c r="AB3" s="287" t="s">
        <v>91</v>
      </c>
      <c r="AC3" s="287"/>
      <c r="AD3" s="287"/>
      <c r="AE3" s="287"/>
      <c r="AF3" s="287"/>
    </row>
    <row r="4" spans="1:34" ht="64.5" thickBot="1">
      <c r="B4" s="8" t="s">
        <v>0</v>
      </c>
      <c r="C4" s="8" t="s">
        <v>240</v>
      </c>
      <c r="D4" s="8" t="s">
        <v>197</v>
      </c>
      <c r="E4" s="9" t="s">
        <v>89</v>
      </c>
      <c r="F4" s="12" t="s">
        <v>90</v>
      </c>
      <c r="G4" s="82" t="s">
        <v>60</v>
      </c>
      <c r="H4" s="8" t="s">
        <v>147</v>
      </c>
      <c r="I4" s="9" t="s">
        <v>56</v>
      </c>
      <c r="J4" s="10">
        <v>0.85</v>
      </c>
      <c r="K4" s="8" t="s">
        <v>41</v>
      </c>
      <c r="L4" s="9" t="s">
        <v>57</v>
      </c>
      <c r="M4" s="10">
        <v>0.15</v>
      </c>
      <c r="N4" s="77" t="s">
        <v>58</v>
      </c>
      <c r="O4" s="184" t="s">
        <v>187</v>
      </c>
      <c r="P4" s="184" t="s">
        <v>188</v>
      </c>
      <c r="Q4" s="184" t="s">
        <v>193</v>
      </c>
      <c r="R4" s="8" t="s">
        <v>192</v>
      </c>
      <c r="S4" s="185" t="s">
        <v>160</v>
      </c>
      <c r="T4" s="185" t="s">
        <v>161</v>
      </c>
      <c r="U4" s="8" t="s">
        <v>162</v>
      </c>
      <c r="V4" s="184" t="s">
        <v>163</v>
      </c>
      <c r="W4" s="186" t="s">
        <v>164</v>
      </c>
      <c r="X4" s="185" t="s">
        <v>165</v>
      </c>
      <c r="Y4" s="8" t="s">
        <v>166</v>
      </c>
      <c r="Z4" s="187" t="s">
        <v>59</v>
      </c>
      <c r="AB4" s="84" t="s">
        <v>73</v>
      </c>
      <c r="AC4" s="84" t="s">
        <v>71</v>
      </c>
      <c r="AD4" s="84" t="s">
        <v>72</v>
      </c>
      <c r="AE4" s="84" t="s">
        <v>95</v>
      </c>
      <c r="AF4" s="84" t="s">
        <v>61</v>
      </c>
    </row>
    <row r="5" spans="1:34" s="14" customFormat="1" ht="22.5">
      <c r="B5" s="20"/>
      <c r="C5" s="67" t="s">
        <v>125</v>
      </c>
      <c r="D5" s="59" t="s">
        <v>126</v>
      </c>
      <c r="E5" s="59" t="s">
        <v>37</v>
      </c>
      <c r="F5" s="59" t="s">
        <v>38</v>
      </c>
      <c r="G5" s="68" t="s">
        <v>51</v>
      </c>
      <c r="H5" s="20" t="s">
        <v>40</v>
      </c>
      <c r="I5" s="59" t="s">
        <v>49</v>
      </c>
      <c r="J5" s="64" t="s">
        <v>52</v>
      </c>
      <c r="K5" s="13" t="s">
        <v>42</v>
      </c>
      <c r="L5" s="59" t="s">
        <v>53</v>
      </c>
      <c r="M5" s="64" t="s">
        <v>54</v>
      </c>
      <c r="N5" s="65" t="s">
        <v>44</v>
      </c>
      <c r="O5" s="13" t="s">
        <v>167</v>
      </c>
      <c r="P5" s="13" t="s">
        <v>168</v>
      </c>
      <c r="Q5" s="13" t="s">
        <v>169</v>
      </c>
      <c r="R5" s="13" t="s">
        <v>170</v>
      </c>
      <c r="S5" s="20" t="s">
        <v>171</v>
      </c>
      <c r="T5" s="20" t="s">
        <v>172</v>
      </c>
      <c r="U5" s="13" t="s">
        <v>173</v>
      </c>
      <c r="V5" s="13" t="s">
        <v>174</v>
      </c>
      <c r="W5" s="13" t="s">
        <v>175</v>
      </c>
      <c r="X5" s="13" t="s">
        <v>176</v>
      </c>
      <c r="Y5" s="59" t="s">
        <v>177</v>
      </c>
      <c r="Z5" s="208" t="s">
        <v>178</v>
      </c>
      <c r="AB5" s="13">
        <f>+AE5*0.5</f>
        <v>823640976.11874449</v>
      </c>
      <c r="AC5" s="13">
        <f>+AE5*0.25</f>
        <v>411820488.05937225</v>
      </c>
      <c r="AD5" s="13">
        <f>+AE5*0.25</f>
        <v>411820488.05937225</v>
      </c>
      <c r="AE5" s="13">
        <f>+'PART 2023'!Z10</f>
        <v>1647281952.237489</v>
      </c>
      <c r="AG5" s="233"/>
    </row>
    <row r="6" spans="1:34" s="16" customFormat="1" ht="23.25" customHeight="1" thickBot="1">
      <c r="B6" s="15"/>
      <c r="G6" s="19"/>
      <c r="H6" s="15"/>
      <c r="J6" s="17"/>
      <c r="M6" s="17"/>
      <c r="N6" s="18"/>
      <c r="O6" s="188"/>
      <c r="P6" s="188"/>
      <c r="Q6" s="188"/>
      <c r="R6" s="188"/>
      <c r="S6" s="189"/>
      <c r="T6" s="189"/>
      <c r="U6" s="188"/>
      <c r="V6" s="188"/>
      <c r="W6" s="188"/>
      <c r="X6" s="190"/>
      <c r="Y6" s="11"/>
      <c r="Z6" s="191"/>
      <c r="AB6" s="13" t="s">
        <v>81</v>
      </c>
      <c r="AC6" s="13" t="s">
        <v>82</v>
      </c>
      <c r="AD6" s="13" t="s">
        <v>48</v>
      </c>
      <c r="AE6" s="20" t="s">
        <v>83</v>
      </c>
      <c r="AF6" s="20" t="s">
        <v>46</v>
      </c>
      <c r="AG6" s="234"/>
    </row>
    <row r="7" spans="1:34" ht="13.5" thickTop="1">
      <c r="A7" s="250">
        <v>15</v>
      </c>
      <c r="B7" s="2" t="s">
        <v>1</v>
      </c>
      <c r="C7" s="23">
        <v>685947</v>
      </c>
      <c r="D7" s="23">
        <v>215240.1</v>
      </c>
      <c r="E7" s="25">
        <f t="shared" ref="E7:E38" si="0">+D7/C7</f>
        <v>0.31378532160647982</v>
      </c>
      <c r="F7" s="26">
        <f>+E7*D7</f>
        <v>67539.184001110872</v>
      </c>
      <c r="G7" s="78">
        <f t="shared" ref="G7:G38" si="1">+F7/F$58</f>
        <v>2.6513843532537862E-5</v>
      </c>
      <c r="H7" s="21">
        <v>2974</v>
      </c>
      <c r="I7" s="72">
        <f t="shared" ref="I7:I38" si="2">+H7/$H$58</f>
        <v>5.141377508841821E-4</v>
      </c>
      <c r="J7" s="22">
        <f>+I7*J$4</f>
        <v>4.3701708825155477E-4</v>
      </c>
      <c r="K7" s="23">
        <v>46.9</v>
      </c>
      <c r="L7" s="69">
        <f t="shared" ref="L7:L38" si="3">+K7/$K$58</f>
        <v>7.3102605507790314E-4</v>
      </c>
      <c r="M7" s="24">
        <f>+L7*M$4</f>
        <v>1.0965390826168547E-4</v>
      </c>
      <c r="N7" s="78">
        <f>+M7+J7</f>
        <v>5.4667099651324028E-4</v>
      </c>
      <c r="O7" s="192">
        <v>296</v>
      </c>
      <c r="P7" s="192">
        <v>291</v>
      </c>
      <c r="Q7" s="193">
        <v>1.7570912812999999</v>
      </c>
      <c r="R7" s="194">
        <f>+P7/P$58</f>
        <v>2.7055597858981759E-4</v>
      </c>
      <c r="S7" s="195">
        <f t="shared" ref="S7:S57" si="4">+Q7*R7</f>
        <v>4.7539155108375792E-4</v>
      </c>
      <c r="T7" s="195">
        <f>+S7/S$58</f>
        <v>2.4656536212427173E-4</v>
      </c>
      <c r="U7" s="192">
        <f>+AD$5*0.85*T7</f>
        <v>86309.567603270407</v>
      </c>
      <c r="V7" s="194">
        <f t="shared" ref="V7:V57" si="5">+O7/P7</f>
        <v>1.0171821305841924</v>
      </c>
      <c r="W7" s="194">
        <f>+V7/V$58</f>
        <v>1.351657209931304E-2</v>
      </c>
      <c r="X7" s="192">
        <f>AD$5*0.15*W7</f>
        <v>834960.19782431843</v>
      </c>
      <c r="Y7" s="23">
        <f t="shared" ref="Y7:Y57" si="6">+X7+U7</f>
        <v>921269.76542758883</v>
      </c>
      <c r="Z7" s="196">
        <f>+Y7/Y$58</f>
        <v>2.237066372702586E-3</v>
      </c>
      <c r="AB7" s="27">
        <f t="shared" ref="AB7:AB38" si="7">+G7*AB$5</f>
        <v>21837.887967799146</v>
      </c>
      <c r="AC7" s="28">
        <f t="shared" ref="AC7:AC38" si="8">+N7*AC$5</f>
        <v>225130.31659198599</v>
      </c>
      <c r="AD7" s="28">
        <f>+Z7*AD$5</f>
        <v>921269.76542758849</v>
      </c>
      <c r="AE7" s="28">
        <f>SUM(AB7:AD7)</f>
        <v>1168237.9699873736</v>
      </c>
      <c r="AF7" s="29">
        <f>+AE7/AE$58</f>
        <v>7.091912640702254E-4</v>
      </c>
      <c r="AH7" s="231"/>
    </row>
    <row r="8" spans="1:34">
      <c r="A8" s="250">
        <v>11</v>
      </c>
      <c r="B8" s="4" t="s">
        <v>2</v>
      </c>
      <c r="C8" s="32">
        <v>2702829</v>
      </c>
      <c r="D8" s="32">
        <v>825718</v>
      </c>
      <c r="E8" s="34">
        <f t="shared" si="0"/>
        <v>0.30550138392032938</v>
      </c>
      <c r="F8" s="35">
        <f t="shared" ref="F8:F57" si="9">+E8*D8</f>
        <v>252257.99172792654</v>
      </c>
      <c r="G8" s="79">
        <f t="shared" si="1"/>
        <v>9.9028867781352908E-5</v>
      </c>
      <c r="H8" s="30">
        <v>3382</v>
      </c>
      <c r="I8" s="73">
        <f t="shared" si="2"/>
        <v>5.8467177992276519E-4</v>
      </c>
      <c r="J8" s="31">
        <f t="shared" ref="J8:J57" si="10">+I8*J$4</f>
        <v>4.9697101293435045E-4</v>
      </c>
      <c r="K8" s="32">
        <v>980.9</v>
      </c>
      <c r="L8" s="70">
        <f t="shared" si="3"/>
        <v>1.528919951867623E-2</v>
      </c>
      <c r="M8" s="33">
        <f t="shared" ref="M8:M57" si="11">+L8*M$4</f>
        <v>2.2933799278014345E-3</v>
      </c>
      <c r="N8" s="79">
        <f t="shared" ref="N8:N57" si="12">+M8+J8</f>
        <v>2.7903509407357849E-3</v>
      </c>
      <c r="O8" s="197">
        <v>250</v>
      </c>
      <c r="P8" s="197">
        <v>278</v>
      </c>
      <c r="Q8" s="198">
        <v>1.7189329948000001</v>
      </c>
      <c r="R8" s="199">
        <f t="shared" ref="R8:R57" si="13">+P8/P$58</f>
        <v>2.5846928538821062E-4</v>
      </c>
      <c r="S8" s="200">
        <f t="shared" si="4"/>
        <v>4.4429138279617278E-4</v>
      </c>
      <c r="T8" s="200">
        <f t="shared" ref="T8:T57" si="14">+S8/S$58</f>
        <v>2.3043502863712235E-4</v>
      </c>
      <c r="U8" s="197">
        <f t="shared" ref="U8:U57" si="15">+AD$5*0.85*T8</f>
        <v>80663.18606541786</v>
      </c>
      <c r="V8" s="199">
        <f t="shared" si="5"/>
        <v>0.89928057553956831</v>
      </c>
      <c r="W8" s="199">
        <f t="shared" ref="W8:W57" si="16">+V8/V$58</f>
        <v>1.1949866568941082E-2</v>
      </c>
      <c r="X8" s="197">
        <f t="shared" ref="X8:X57" si="17">AD$5*0.15*W8</f>
        <v>738179.98239985376</v>
      </c>
      <c r="Y8" s="32">
        <f t="shared" si="6"/>
        <v>818843.16846527159</v>
      </c>
      <c r="Z8" s="201">
        <f t="shared" ref="Z8:Z57" si="18">+Y8/Y$58</f>
        <v>1.9883497596827151E-3</v>
      </c>
      <c r="AB8" s="36">
        <f t="shared" si="7"/>
        <v>81564.233323367589</v>
      </c>
      <c r="AC8" s="37">
        <f t="shared" si="8"/>
        <v>1149123.6862707394</v>
      </c>
      <c r="AD8" s="37">
        <f t="shared" ref="AD8:AD57" si="19">+Z8*AD$5</f>
        <v>818843.16846527124</v>
      </c>
      <c r="AE8" s="37">
        <f t="shared" ref="AE8:AE57" si="20">SUM(AB8:AD8)</f>
        <v>2049531.0880593783</v>
      </c>
      <c r="AF8" s="38">
        <f t="shared" ref="AF8:AF57" si="21">+AE8/AE$58</f>
        <v>1.2441896089953014E-3</v>
      </c>
      <c r="AH8" s="231"/>
    </row>
    <row r="9" spans="1:34">
      <c r="A9" s="250">
        <v>12</v>
      </c>
      <c r="B9" s="4" t="s">
        <v>142</v>
      </c>
      <c r="C9" s="32">
        <v>1181103</v>
      </c>
      <c r="D9" s="32">
        <v>291226</v>
      </c>
      <c r="E9" s="34">
        <f t="shared" si="0"/>
        <v>0.24657121351821137</v>
      </c>
      <c r="F9" s="35">
        <f t="shared" si="9"/>
        <v>71807.948228054622</v>
      </c>
      <c r="G9" s="79">
        <f t="shared" si="1"/>
        <v>2.8189631424624623E-5</v>
      </c>
      <c r="H9" s="30">
        <v>1407</v>
      </c>
      <c r="I9" s="73">
        <f t="shared" si="2"/>
        <v>2.4323867366981983E-4</v>
      </c>
      <c r="J9" s="31">
        <f t="shared" si="10"/>
        <v>2.0675287261934686E-4</v>
      </c>
      <c r="K9" s="32">
        <v>694.5</v>
      </c>
      <c r="L9" s="70">
        <f t="shared" si="3"/>
        <v>1.0825108640759142E-2</v>
      </c>
      <c r="M9" s="33">
        <f t="shared" si="11"/>
        <v>1.6237662961138713E-3</v>
      </c>
      <c r="N9" s="79">
        <f t="shared" si="12"/>
        <v>1.8305191687332182E-3</v>
      </c>
      <c r="O9" s="197">
        <v>366</v>
      </c>
      <c r="P9" s="197">
        <v>167</v>
      </c>
      <c r="Q9" s="198">
        <v>1.7050555638</v>
      </c>
      <c r="R9" s="199">
        <f t="shared" si="13"/>
        <v>1.5526752035910496E-4</v>
      </c>
      <c r="S9" s="200">
        <f t="shared" si="4"/>
        <v>2.6473974946572169E-4</v>
      </c>
      <c r="T9" s="200">
        <f t="shared" si="14"/>
        <v>1.3730923918798022E-4</v>
      </c>
      <c r="U9" s="197">
        <f t="shared" si="15"/>
        <v>48064.744212836828</v>
      </c>
      <c r="V9" s="199">
        <f t="shared" si="5"/>
        <v>2.191616766467066</v>
      </c>
      <c r="W9" s="199">
        <f t="shared" si="16"/>
        <v>2.9122755057643529E-2</v>
      </c>
      <c r="X9" s="197">
        <f t="shared" si="17"/>
        <v>1799002.0802208462</v>
      </c>
      <c r="Y9" s="32">
        <f t="shared" si="6"/>
        <v>1847066.824433683</v>
      </c>
      <c r="Z9" s="201">
        <f t="shared" si="18"/>
        <v>4.4851261119563095E-3</v>
      </c>
      <c r="AB9" s="36">
        <f t="shared" si="7"/>
        <v>23218.135543005457</v>
      </c>
      <c r="AC9" s="37">
        <f t="shared" si="8"/>
        <v>753845.29746975028</v>
      </c>
      <c r="AD9" s="37">
        <f t="shared" si="19"/>
        <v>1847066.824433682</v>
      </c>
      <c r="AE9" s="37">
        <f t="shared" si="20"/>
        <v>2624130.2574464376</v>
      </c>
      <c r="AF9" s="38">
        <f t="shared" si="21"/>
        <v>1.5930061358846938E-3</v>
      </c>
      <c r="AH9" s="231"/>
    </row>
    <row r="10" spans="1:34" ht="13.5" customHeight="1">
      <c r="A10" s="250">
        <v>13</v>
      </c>
      <c r="B10" s="4" t="s">
        <v>3</v>
      </c>
      <c r="C10" s="32">
        <v>56374737</v>
      </c>
      <c r="D10" s="32">
        <v>25827964</v>
      </c>
      <c r="E10" s="34">
        <f t="shared" si="0"/>
        <v>0.45814784022850519</v>
      </c>
      <c r="F10" s="35">
        <f t="shared" si="9"/>
        <v>11833025.924099583</v>
      </c>
      <c r="G10" s="79">
        <f t="shared" si="1"/>
        <v>4.6452885463182424E-3</v>
      </c>
      <c r="H10" s="30">
        <v>35289</v>
      </c>
      <c r="I10" s="73">
        <f t="shared" si="2"/>
        <v>6.1006748792709828E-3</v>
      </c>
      <c r="J10" s="31">
        <f t="shared" si="10"/>
        <v>5.1855736473803348E-3</v>
      </c>
      <c r="K10" s="32">
        <v>190.5</v>
      </c>
      <c r="L10" s="70">
        <f t="shared" si="3"/>
        <v>2.9693062578324213E-3</v>
      </c>
      <c r="M10" s="33">
        <f t="shared" si="11"/>
        <v>4.4539593867486317E-4</v>
      </c>
      <c r="N10" s="79">
        <f t="shared" si="12"/>
        <v>5.6309695860551979E-3</v>
      </c>
      <c r="O10" s="197">
        <v>6372</v>
      </c>
      <c r="P10" s="197">
        <v>6876</v>
      </c>
      <c r="Q10" s="198">
        <v>1.5964581414000001</v>
      </c>
      <c r="R10" s="199">
        <f t="shared" si="13"/>
        <v>6.3929309580191959E-3</v>
      </c>
      <c r="S10" s="200">
        <f t="shared" si="4"/>
        <v>1.0206046675337848E-2</v>
      </c>
      <c r="T10" s="200">
        <f t="shared" si="14"/>
        <v>5.2934419819306551E-3</v>
      </c>
      <c r="U10" s="197">
        <f t="shared" si="15"/>
        <v>1852955.681435755</v>
      </c>
      <c r="V10" s="199">
        <f t="shared" si="5"/>
        <v>0.92670157068062831</v>
      </c>
      <c r="W10" s="199">
        <f t="shared" si="16"/>
        <v>1.2314243652174133E-2</v>
      </c>
      <c r="X10" s="197">
        <f t="shared" si="17"/>
        <v>760688.67463805666</v>
      </c>
      <c r="Y10" s="32">
        <f t="shared" si="6"/>
        <v>2613644.3560738117</v>
      </c>
      <c r="Z10" s="201">
        <f t="shared" si="18"/>
        <v>6.3465622324671732E-3</v>
      </c>
      <c r="AB10" s="36">
        <f t="shared" si="7"/>
        <v>3826049.9926427808</v>
      </c>
      <c r="AC10" s="37">
        <f t="shared" si="8"/>
        <v>2318948.6431767331</v>
      </c>
      <c r="AD10" s="37">
        <f t="shared" si="19"/>
        <v>2613644.3560738103</v>
      </c>
      <c r="AE10" s="37">
        <f t="shared" si="20"/>
        <v>8758642.9918933231</v>
      </c>
      <c r="AF10" s="38">
        <f t="shared" si="21"/>
        <v>5.3170272277897127E-3</v>
      </c>
      <c r="AH10" s="231"/>
    </row>
    <row r="11" spans="1:34">
      <c r="A11" s="250">
        <v>14</v>
      </c>
      <c r="B11" s="4" t="s">
        <v>143</v>
      </c>
      <c r="C11" s="32">
        <v>10911069</v>
      </c>
      <c r="D11" s="32">
        <v>2729196</v>
      </c>
      <c r="E11" s="34">
        <f t="shared" si="0"/>
        <v>0.25013094500639671</v>
      </c>
      <c r="F11" s="35">
        <f t="shared" si="9"/>
        <v>682656.37458767788</v>
      </c>
      <c r="G11" s="79">
        <f t="shared" si="1"/>
        <v>2.6799027216570378E-4</v>
      </c>
      <c r="H11" s="30">
        <v>18030</v>
      </c>
      <c r="I11" s="73">
        <f t="shared" si="2"/>
        <v>3.1169817244256232E-3</v>
      </c>
      <c r="J11" s="31">
        <f t="shared" si="10"/>
        <v>2.6494344657617798E-3</v>
      </c>
      <c r="K11" s="32">
        <v>4539.2</v>
      </c>
      <c r="L11" s="70">
        <f t="shared" si="3"/>
        <v>7.0752099556708276E-2</v>
      </c>
      <c r="M11" s="33">
        <f t="shared" si="11"/>
        <v>1.0612814933506241E-2</v>
      </c>
      <c r="N11" s="79">
        <f t="shared" si="12"/>
        <v>1.3262249399268022E-2</v>
      </c>
      <c r="O11" s="197">
        <v>7349</v>
      </c>
      <c r="P11" s="197">
        <v>5491</v>
      </c>
      <c r="Q11" s="198">
        <v>1.7933312159000001</v>
      </c>
      <c r="R11" s="199">
        <f t="shared" si="13"/>
        <v>5.1052332592326066E-3</v>
      </c>
      <c r="S11" s="200">
        <f t="shared" si="4"/>
        <v>9.1553741682327307E-3</v>
      </c>
      <c r="T11" s="200">
        <f t="shared" si="14"/>
        <v>4.7485028752136602E-3</v>
      </c>
      <c r="U11" s="197">
        <f t="shared" si="15"/>
        <v>1662201.1558785485</v>
      </c>
      <c r="V11" s="199">
        <f t="shared" si="5"/>
        <v>1.3383718812602441</v>
      </c>
      <c r="W11" s="199">
        <f t="shared" si="16"/>
        <v>1.7784622325559021E-2</v>
      </c>
      <c r="X11" s="197">
        <f t="shared" si="17"/>
        <v>1098610.7769094985</v>
      </c>
      <c r="Y11" s="32">
        <f t="shared" si="6"/>
        <v>2760811.932788047</v>
      </c>
      <c r="Z11" s="201">
        <f t="shared" si="18"/>
        <v>6.7039207927654613E-3</v>
      </c>
      <c r="AB11" s="36">
        <f t="shared" si="7"/>
        <v>220727.76935688825</v>
      </c>
      <c r="AC11" s="37">
        <f t="shared" si="8"/>
        <v>5461666.0203716727</v>
      </c>
      <c r="AD11" s="37">
        <f t="shared" si="19"/>
        <v>2760811.9327880461</v>
      </c>
      <c r="AE11" s="37">
        <f t="shared" si="20"/>
        <v>8443205.7225166075</v>
      </c>
      <c r="AF11" s="38">
        <f t="shared" si="21"/>
        <v>5.1255376840912224E-3</v>
      </c>
      <c r="AH11" s="231"/>
    </row>
    <row r="12" spans="1:34">
      <c r="A12" s="250">
        <v>17</v>
      </c>
      <c r="B12" s="4" t="s">
        <v>4</v>
      </c>
      <c r="C12" s="32">
        <v>696327770</v>
      </c>
      <c r="D12" s="32">
        <v>369978125.35000002</v>
      </c>
      <c r="E12" s="34">
        <f t="shared" si="0"/>
        <v>0.53132754614971056</v>
      </c>
      <c r="F12" s="35">
        <f t="shared" si="9"/>
        <v>196579569.47128552</v>
      </c>
      <c r="G12" s="79">
        <f t="shared" si="1"/>
        <v>7.7171201040415208E-2</v>
      </c>
      <c r="H12" s="30">
        <v>656464</v>
      </c>
      <c r="I12" s="73">
        <f t="shared" si="2"/>
        <v>0.11348786970290306</v>
      </c>
      <c r="J12" s="31">
        <f t="shared" si="10"/>
        <v>9.6464689247467594E-2</v>
      </c>
      <c r="K12" s="32">
        <v>224</v>
      </c>
      <c r="L12" s="70">
        <f t="shared" si="3"/>
        <v>3.4914677257452094E-3</v>
      </c>
      <c r="M12" s="33">
        <f t="shared" si="11"/>
        <v>5.2372015886178135E-4</v>
      </c>
      <c r="N12" s="79">
        <f t="shared" si="12"/>
        <v>9.6988409406329371E-2</v>
      </c>
      <c r="O12" s="197">
        <v>77936</v>
      </c>
      <c r="P12" s="197">
        <v>87455</v>
      </c>
      <c r="Q12" s="198">
        <v>1.8323297204</v>
      </c>
      <c r="R12" s="199">
        <f t="shared" si="13"/>
        <v>8.1310904149733673E-2</v>
      </c>
      <c r="S12" s="200">
        <f t="shared" si="4"/>
        <v>0.14898838626615271</v>
      </c>
      <c r="T12" s="200">
        <f t="shared" si="14"/>
        <v>7.7273934146028844E-2</v>
      </c>
      <c r="U12" s="197">
        <f t="shared" si="15"/>
        <v>27049540.883142579</v>
      </c>
      <c r="V12" s="199">
        <f t="shared" si="5"/>
        <v>0.89115545137499286</v>
      </c>
      <c r="W12" s="199">
        <f t="shared" si="16"/>
        <v>1.1841897874560577E-2</v>
      </c>
      <c r="X12" s="197">
        <f t="shared" si="17"/>
        <v>731510.42433761689</v>
      </c>
      <c r="Y12" s="32">
        <f t="shared" si="6"/>
        <v>27781051.307480197</v>
      </c>
      <c r="Z12" s="201">
        <f t="shared" si="18"/>
        <v>6.7459128705308569E-2</v>
      </c>
      <c r="AB12" s="36">
        <f t="shared" si="7"/>
        <v>63561363.353183456</v>
      </c>
      <c r="AC12" s="37">
        <f t="shared" si="8"/>
        <v>39941814.097816773</v>
      </c>
      <c r="AD12" s="37">
        <f t="shared" si="19"/>
        <v>27781051.307480182</v>
      </c>
      <c r="AE12" s="37">
        <f t="shared" si="20"/>
        <v>131284228.75848041</v>
      </c>
      <c r="AF12" s="38">
        <f t="shared" si="21"/>
        <v>7.9697485048117078E-2</v>
      </c>
      <c r="AH12" s="231"/>
    </row>
    <row r="13" spans="1:34">
      <c r="A13" s="250">
        <v>16</v>
      </c>
      <c r="B13" s="4" t="s">
        <v>5</v>
      </c>
      <c r="C13" s="32">
        <v>1849663</v>
      </c>
      <c r="D13" s="32">
        <v>809425.1</v>
      </c>
      <c r="E13" s="34">
        <f t="shared" si="0"/>
        <v>0.43760679648130496</v>
      </c>
      <c r="F13" s="35">
        <f t="shared" si="9"/>
        <v>354209.9250025599</v>
      </c>
      <c r="G13" s="79">
        <f t="shared" si="1"/>
        <v>1.3905211719814937E-4</v>
      </c>
      <c r="H13" s="30">
        <v>14992</v>
      </c>
      <c r="I13" s="73">
        <f t="shared" si="2"/>
        <v>2.5917798121236242E-3</v>
      </c>
      <c r="J13" s="31">
        <f t="shared" si="10"/>
        <v>2.2030128403050806E-3</v>
      </c>
      <c r="K13" s="32">
        <v>2688.6</v>
      </c>
      <c r="L13" s="70">
        <f t="shared" si="3"/>
        <v>4.1906964854636471E-2</v>
      </c>
      <c r="M13" s="33">
        <f t="shared" si="11"/>
        <v>6.2860447281954702E-3</v>
      </c>
      <c r="N13" s="79">
        <f t="shared" si="12"/>
        <v>8.48905756850055E-3</v>
      </c>
      <c r="O13" s="197">
        <v>10274</v>
      </c>
      <c r="P13" s="197">
        <v>7471</v>
      </c>
      <c r="Q13" s="198">
        <v>2.3084826450000002</v>
      </c>
      <c r="R13" s="199">
        <f t="shared" si="13"/>
        <v>6.9461296084004373E-3</v>
      </c>
      <c r="S13" s="200">
        <f t="shared" si="4"/>
        <v>1.6035019650913057E-2</v>
      </c>
      <c r="T13" s="200">
        <f t="shared" si="14"/>
        <v>8.3166821494490614E-3</v>
      </c>
      <c r="U13" s="197">
        <f t="shared" si="15"/>
        <v>2911233.0865476639</v>
      </c>
      <c r="V13" s="199">
        <f t="shared" si="5"/>
        <v>1.375184044973899</v>
      </c>
      <c r="W13" s="199">
        <f t="shared" si="16"/>
        <v>1.8273791619834338E-2</v>
      </c>
      <c r="X13" s="197">
        <f t="shared" si="17"/>
        <v>1128828.2675363163</v>
      </c>
      <c r="Y13" s="32">
        <f t="shared" si="6"/>
        <v>4040061.3540839804</v>
      </c>
      <c r="Z13" s="201">
        <f t="shared" si="18"/>
        <v>9.8102485700068479E-3</v>
      </c>
      <c r="AB13" s="36">
        <f t="shared" si="7"/>
        <v>114529.02154046181</v>
      </c>
      <c r="AC13" s="37">
        <f t="shared" si="8"/>
        <v>3495967.8310240041</v>
      </c>
      <c r="AD13" s="37">
        <f t="shared" si="19"/>
        <v>4040061.3540839786</v>
      </c>
      <c r="AE13" s="37">
        <f t="shared" si="20"/>
        <v>7650558.2066484448</v>
      </c>
      <c r="AF13" s="38">
        <f t="shared" si="21"/>
        <v>4.6443525932259233E-3</v>
      </c>
      <c r="AH13" s="231"/>
    </row>
    <row r="14" spans="1:34">
      <c r="A14" s="250">
        <v>18</v>
      </c>
      <c r="B14" s="4" t="s">
        <v>6</v>
      </c>
      <c r="C14" s="32">
        <v>2325037</v>
      </c>
      <c r="D14" s="32">
        <v>2282515</v>
      </c>
      <c r="E14" s="34">
        <f t="shared" si="0"/>
        <v>0.9817112587885698</v>
      </c>
      <c r="F14" s="35">
        <f t="shared" si="9"/>
        <v>2240770.6738537923</v>
      </c>
      <c r="G14" s="79">
        <f t="shared" si="1"/>
        <v>8.7965888124857548E-4</v>
      </c>
      <c r="H14" s="30">
        <v>3661</v>
      </c>
      <c r="I14" s="73">
        <f t="shared" si="2"/>
        <v>6.329046086035611E-4</v>
      </c>
      <c r="J14" s="31">
        <f t="shared" si="10"/>
        <v>5.3796891731302697E-4</v>
      </c>
      <c r="K14" s="32">
        <v>466.7</v>
      </c>
      <c r="L14" s="70">
        <f t="shared" si="3"/>
        <v>7.2744106589521839E-3</v>
      </c>
      <c r="M14" s="33">
        <f t="shared" si="11"/>
        <v>1.0911615988428275E-3</v>
      </c>
      <c r="N14" s="79">
        <f t="shared" si="12"/>
        <v>1.6291305161558545E-3</v>
      </c>
      <c r="O14" s="197">
        <v>1472</v>
      </c>
      <c r="P14" s="197">
        <v>1100</v>
      </c>
      <c r="Q14" s="198">
        <v>1.4822637890000001</v>
      </c>
      <c r="R14" s="199">
        <f t="shared" si="13"/>
        <v>1.0227201939821285E-3</v>
      </c>
      <c r="S14" s="200">
        <f t="shared" si="4"/>
        <v>1.515941109818765E-3</v>
      </c>
      <c r="T14" s="200">
        <f t="shared" si="14"/>
        <v>7.8625412641311154E-4</v>
      </c>
      <c r="U14" s="197">
        <f t="shared" si="15"/>
        <v>275226.22436642146</v>
      </c>
      <c r="V14" s="199">
        <f t="shared" si="5"/>
        <v>1.3381818181818181</v>
      </c>
      <c r="W14" s="199">
        <f t="shared" si="16"/>
        <v>1.7782096719548338E-2</v>
      </c>
      <c r="X14" s="197">
        <f t="shared" si="17"/>
        <v>1098454.7624645038</v>
      </c>
      <c r="Y14" s="32">
        <f t="shared" si="6"/>
        <v>1373680.9868309251</v>
      </c>
      <c r="Z14" s="201">
        <f t="shared" si="18"/>
        <v>3.3356305153833935E-3</v>
      </c>
      <c r="AB14" s="36">
        <f t="shared" si="7"/>
        <v>724523.0996030994</v>
      </c>
      <c r="AC14" s="37">
        <f t="shared" si="8"/>
        <v>670909.32427572098</v>
      </c>
      <c r="AD14" s="37">
        <f t="shared" si="19"/>
        <v>1373680.9868309244</v>
      </c>
      <c r="AE14" s="37">
        <f t="shared" si="20"/>
        <v>2769113.4107097448</v>
      </c>
      <c r="AF14" s="38">
        <f t="shared" si="21"/>
        <v>1.6810196985090995E-3</v>
      </c>
      <c r="AH14" s="231"/>
    </row>
    <row r="15" spans="1:34">
      <c r="A15" s="250">
        <v>19</v>
      </c>
      <c r="B15" s="4" t="s">
        <v>127</v>
      </c>
      <c r="C15" s="32">
        <v>116630005</v>
      </c>
      <c r="D15" s="32">
        <v>34565785.189999998</v>
      </c>
      <c r="E15" s="34">
        <f t="shared" si="0"/>
        <v>0.29637129133279211</v>
      </c>
      <c r="F15" s="35">
        <f t="shared" si="9"/>
        <v>10244306.392692201</v>
      </c>
      <c r="G15" s="79">
        <f t="shared" si="1"/>
        <v>4.0216052475663747E-3</v>
      </c>
      <c r="H15" s="30">
        <v>122337</v>
      </c>
      <c r="I15" s="73">
        <f t="shared" si="2"/>
        <v>2.1149317427679282E-2</v>
      </c>
      <c r="J15" s="31">
        <f t="shared" si="10"/>
        <v>1.7976919813527389E-2</v>
      </c>
      <c r="K15" s="32">
        <v>1140.9000000000001</v>
      </c>
      <c r="L15" s="70">
        <f t="shared" si="3"/>
        <v>1.7783105037065667E-2</v>
      </c>
      <c r="M15" s="33">
        <f t="shared" si="11"/>
        <v>2.6674657555598499E-3</v>
      </c>
      <c r="N15" s="79">
        <f t="shared" si="12"/>
        <v>2.0644385569087237E-2</v>
      </c>
      <c r="O15" s="197">
        <v>26523</v>
      </c>
      <c r="P15" s="197">
        <v>24758</v>
      </c>
      <c r="Q15" s="198">
        <v>1.8739893594999999</v>
      </c>
      <c r="R15" s="199">
        <f t="shared" si="13"/>
        <v>2.3018642329645032E-2</v>
      </c>
      <c r="S15" s="200">
        <f t="shared" si="4"/>
        <v>4.3136690795891081E-2</v>
      </c>
      <c r="T15" s="200">
        <f t="shared" si="14"/>
        <v>2.2373165367967789E-2</v>
      </c>
      <c r="U15" s="197">
        <f t="shared" si="15"/>
        <v>7831668.6990791075</v>
      </c>
      <c r="V15" s="199">
        <f t="shared" si="5"/>
        <v>1.0712900880523468</v>
      </c>
      <c r="W15" s="199">
        <f t="shared" si="16"/>
        <v>1.4235572253046412E-2</v>
      </c>
      <c r="X15" s="197">
        <f t="shared" si="17"/>
        <v>879375.04695810459</v>
      </c>
      <c r="Y15" s="32">
        <f t="shared" si="6"/>
        <v>8711043.7460372113</v>
      </c>
      <c r="Z15" s="201">
        <f t="shared" si="18"/>
        <v>2.1152526400729569E-2</v>
      </c>
      <c r="AB15" s="36">
        <f t="shared" si="7"/>
        <v>3312358.871669834</v>
      </c>
      <c r="AC15" s="37">
        <f t="shared" si="8"/>
        <v>8501780.9407473672</v>
      </c>
      <c r="AD15" s="37">
        <f t="shared" si="19"/>
        <v>8711043.7460372075</v>
      </c>
      <c r="AE15" s="37">
        <f t="shared" si="20"/>
        <v>20525183.558454409</v>
      </c>
      <c r="AF15" s="38">
        <f t="shared" si="21"/>
        <v>1.2460030616237388E-2</v>
      </c>
      <c r="AH15" s="231"/>
    </row>
    <row r="16" spans="1:34">
      <c r="A16" s="250">
        <v>20</v>
      </c>
      <c r="B16" s="4" t="s">
        <v>128</v>
      </c>
      <c r="C16" s="32">
        <v>36098646</v>
      </c>
      <c r="D16" s="32">
        <v>10430458.359999999</v>
      </c>
      <c r="E16" s="34">
        <f t="shared" si="0"/>
        <v>0.28894320191399975</v>
      </c>
      <c r="F16" s="35">
        <f t="shared" si="9"/>
        <v>3013810.0359690464</v>
      </c>
      <c r="G16" s="79">
        <f t="shared" si="1"/>
        <v>1.1831307841853893E-3</v>
      </c>
      <c r="H16" s="30">
        <v>104478</v>
      </c>
      <c r="I16" s="73">
        <f t="shared" si="2"/>
        <v>1.8061897759541888E-2</v>
      </c>
      <c r="J16" s="31">
        <f t="shared" si="10"/>
        <v>1.5352613095610604E-2</v>
      </c>
      <c r="K16" s="32">
        <v>104.3</v>
      </c>
      <c r="L16" s="70">
        <f t="shared" si="3"/>
        <v>1.6257146598001131E-3</v>
      </c>
      <c r="M16" s="33">
        <f t="shared" si="11"/>
        <v>2.4385719897001694E-4</v>
      </c>
      <c r="N16" s="79">
        <f t="shared" si="12"/>
        <v>1.5596470294580621E-2</v>
      </c>
      <c r="O16" s="197">
        <v>8234</v>
      </c>
      <c r="P16" s="197">
        <v>27842</v>
      </c>
      <c r="Q16" s="198">
        <v>1.8343045897000001</v>
      </c>
      <c r="R16" s="199">
        <f t="shared" si="13"/>
        <v>2.5885977855318563E-2</v>
      </c>
      <c r="S16" s="200">
        <f t="shared" si="4"/>
        <v>4.7482767988883408E-2</v>
      </c>
      <c r="T16" s="200">
        <f t="shared" si="14"/>
        <v>2.4627290613709465E-2</v>
      </c>
      <c r="U16" s="197">
        <f t="shared" si="15"/>
        <v>8620719.4141001534</v>
      </c>
      <c r="V16" s="199">
        <f t="shared" si="5"/>
        <v>0.29574024854536313</v>
      </c>
      <c r="W16" s="199">
        <f t="shared" si="16"/>
        <v>3.9298708382110078E-3</v>
      </c>
      <c r="X16" s="197">
        <f t="shared" si="17"/>
        <v>242760.19899035271</v>
      </c>
      <c r="Y16" s="32">
        <f t="shared" si="6"/>
        <v>8863479.6130905058</v>
      </c>
      <c r="Z16" s="201">
        <f t="shared" si="18"/>
        <v>2.1522677647384685E-2</v>
      </c>
      <c r="AB16" s="36">
        <f t="shared" si="7"/>
        <v>974474.99396258965</v>
      </c>
      <c r="AC16" s="37">
        <f t="shared" si="8"/>
        <v>6422946.0087176925</v>
      </c>
      <c r="AD16" s="37">
        <f t="shared" si="19"/>
        <v>8863479.6130905021</v>
      </c>
      <c r="AE16" s="37">
        <f t="shared" si="20"/>
        <v>16260900.615770783</v>
      </c>
      <c r="AF16" s="38">
        <f t="shared" si="21"/>
        <v>9.8713523775840195E-3</v>
      </c>
      <c r="AH16" s="231"/>
    </row>
    <row r="17" spans="1:34">
      <c r="A17" s="250">
        <v>23</v>
      </c>
      <c r="B17" s="4" t="s">
        <v>129</v>
      </c>
      <c r="C17" s="32">
        <v>3294944</v>
      </c>
      <c r="D17" s="32">
        <v>1264344</v>
      </c>
      <c r="E17" s="34">
        <f t="shared" si="0"/>
        <v>0.38372245476706129</v>
      </c>
      <c r="F17" s="35">
        <f t="shared" si="9"/>
        <v>485157.18335000536</v>
      </c>
      <c r="G17" s="79">
        <f t="shared" si="1"/>
        <v>1.9045805539814119E-4</v>
      </c>
      <c r="H17" s="30">
        <v>7340</v>
      </c>
      <c r="I17" s="73">
        <f t="shared" si="2"/>
        <v>1.2689210126058832E-3</v>
      </c>
      <c r="J17" s="31">
        <f t="shared" si="10"/>
        <v>1.0785828607150008E-3</v>
      </c>
      <c r="K17" s="32">
        <v>1007.4</v>
      </c>
      <c r="L17" s="70">
        <f t="shared" si="3"/>
        <v>1.5702252620159483E-2</v>
      </c>
      <c r="M17" s="33">
        <f t="shared" si="11"/>
        <v>2.3553378930239225E-3</v>
      </c>
      <c r="N17" s="79">
        <f t="shared" si="12"/>
        <v>3.4339207537389233E-3</v>
      </c>
      <c r="O17" s="197">
        <v>3737</v>
      </c>
      <c r="P17" s="197">
        <v>763</v>
      </c>
      <c r="Q17" s="198">
        <v>1.7930753231000001</v>
      </c>
      <c r="R17" s="199">
        <f t="shared" si="13"/>
        <v>7.0939591637123999E-4</v>
      </c>
      <c r="S17" s="200">
        <f t="shared" si="4"/>
        <v>1.2720003119531817E-3</v>
      </c>
      <c r="T17" s="200">
        <f t="shared" si="14"/>
        <v>6.5973241809605702E-4</v>
      </c>
      <c r="U17" s="197">
        <f t="shared" si="15"/>
        <v>230937.62744757181</v>
      </c>
      <c r="V17" s="199">
        <f t="shared" si="5"/>
        <v>4.8977719528178243</v>
      </c>
      <c r="W17" s="199">
        <f t="shared" si="16"/>
        <v>6.5082826109257794E-2</v>
      </c>
      <c r="X17" s="197">
        <f t="shared" si="17"/>
        <v>4020366.1818896695</v>
      </c>
      <c r="Y17" s="32">
        <f t="shared" si="6"/>
        <v>4251303.8093372416</v>
      </c>
      <c r="Z17" s="201">
        <f t="shared" si="18"/>
        <v>1.0323196471770312E-2</v>
      </c>
      <c r="AB17" s="36">
        <f t="shared" si="7"/>
        <v>156869.05865780293</v>
      </c>
      <c r="AC17" s="37">
        <f t="shared" si="8"/>
        <v>1414158.9207619708</v>
      </c>
      <c r="AD17" s="37">
        <f t="shared" si="19"/>
        <v>4251303.8093372397</v>
      </c>
      <c r="AE17" s="37">
        <f t="shared" si="20"/>
        <v>5822331.7887570132</v>
      </c>
      <c r="AF17" s="38">
        <f t="shared" si="21"/>
        <v>3.534508334076379E-3</v>
      </c>
      <c r="AH17" s="231"/>
    </row>
    <row r="18" spans="1:34">
      <c r="A18" s="250">
        <v>21</v>
      </c>
      <c r="B18" s="4" t="s">
        <v>7</v>
      </c>
      <c r="C18" s="32">
        <v>5282316</v>
      </c>
      <c r="D18" s="32">
        <v>1750296.04</v>
      </c>
      <c r="E18" s="34">
        <f t="shared" si="0"/>
        <v>0.33135011990952457</v>
      </c>
      <c r="F18" s="35">
        <f t="shared" si="9"/>
        <v>579960.80273116601</v>
      </c>
      <c r="G18" s="79">
        <f t="shared" si="1"/>
        <v>2.2767509270420376E-4</v>
      </c>
      <c r="H18" s="30">
        <v>9930</v>
      </c>
      <c r="I18" s="73">
        <f t="shared" si="2"/>
        <v>1.7166737949831634E-3</v>
      </c>
      <c r="J18" s="31">
        <f t="shared" si="10"/>
        <v>1.4591727257356889E-3</v>
      </c>
      <c r="K18" s="32">
        <v>4265.7</v>
      </c>
      <c r="L18" s="70">
        <f t="shared" si="3"/>
        <v>6.6489079811211327E-2</v>
      </c>
      <c r="M18" s="33">
        <f t="shared" si="11"/>
        <v>9.9733619716816987E-3</v>
      </c>
      <c r="N18" s="79">
        <f t="shared" si="12"/>
        <v>1.1432534697417387E-2</v>
      </c>
      <c r="O18" s="197">
        <v>4127</v>
      </c>
      <c r="P18" s="197">
        <v>1614</v>
      </c>
      <c r="Q18" s="198">
        <v>1.7681716602999999</v>
      </c>
      <c r="R18" s="199">
        <f t="shared" si="13"/>
        <v>1.5006094482610502E-3</v>
      </c>
      <c r="S18" s="200">
        <f t="shared" si="4"/>
        <v>2.6533350995936078E-3</v>
      </c>
      <c r="T18" s="200">
        <f t="shared" si="14"/>
        <v>1.3761719748213892E-3</v>
      </c>
      <c r="U18" s="197">
        <f t="shared" si="15"/>
        <v>481725.4421758884</v>
      </c>
      <c r="V18" s="199">
        <f t="shared" si="5"/>
        <v>2.5570012391573731</v>
      </c>
      <c r="W18" s="199">
        <f t="shared" si="16"/>
        <v>3.3978075870496942E-2</v>
      </c>
      <c r="X18" s="197">
        <f t="shared" si="17"/>
        <v>2098930.1682459642</v>
      </c>
      <c r="Y18" s="32">
        <f t="shared" si="6"/>
        <v>2580655.6104218527</v>
      </c>
      <c r="Z18" s="201">
        <f t="shared" si="18"/>
        <v>6.266457559172719E-3</v>
      </c>
      <c r="AB18" s="36">
        <f t="shared" si="7"/>
        <v>187522.53559281604</v>
      </c>
      <c r="AC18" s="37">
        <f t="shared" si="8"/>
        <v>4708152.0188461356</v>
      </c>
      <c r="AD18" s="37">
        <f t="shared" si="19"/>
        <v>2580655.6104218517</v>
      </c>
      <c r="AE18" s="37">
        <f t="shared" si="20"/>
        <v>7476330.1648608036</v>
      </c>
      <c r="AF18" s="38">
        <f t="shared" si="21"/>
        <v>4.5385856104996278E-3</v>
      </c>
      <c r="AH18" s="231"/>
    </row>
    <row r="19" spans="1:34">
      <c r="A19" s="250">
        <v>22</v>
      </c>
      <c r="B19" s="4" t="s">
        <v>130</v>
      </c>
      <c r="C19" s="32">
        <v>53700075</v>
      </c>
      <c r="D19" s="32">
        <v>15225307</v>
      </c>
      <c r="E19" s="34">
        <f t="shared" si="0"/>
        <v>0.28352487403416105</v>
      </c>
      <c r="F19" s="35">
        <f t="shared" si="9"/>
        <v>4316753.2493064301</v>
      </c>
      <c r="G19" s="79">
        <f t="shared" si="1"/>
        <v>1.6946269326973595E-3</v>
      </c>
      <c r="H19" s="30">
        <v>68747</v>
      </c>
      <c r="I19" s="73">
        <f t="shared" si="2"/>
        <v>1.1884811015479108E-2</v>
      </c>
      <c r="J19" s="31">
        <f t="shared" si="10"/>
        <v>1.0102089363157242E-2</v>
      </c>
      <c r="K19" s="32">
        <v>138.69999999999999</v>
      </c>
      <c r="L19" s="70">
        <f t="shared" si="3"/>
        <v>2.1619043462538417E-3</v>
      </c>
      <c r="M19" s="33">
        <f t="shared" si="11"/>
        <v>3.2428565193807623E-4</v>
      </c>
      <c r="N19" s="79">
        <f t="shared" si="12"/>
        <v>1.0426375015095319E-2</v>
      </c>
      <c r="O19" s="197">
        <v>10747</v>
      </c>
      <c r="P19" s="197">
        <v>15877</v>
      </c>
      <c r="Q19" s="198">
        <v>1.8900298334000001</v>
      </c>
      <c r="R19" s="199">
        <f t="shared" si="13"/>
        <v>1.4761571381685684E-2</v>
      </c>
      <c r="S19" s="200">
        <f t="shared" si="4"/>
        <v>2.7899810299249601E-2</v>
      </c>
      <c r="T19" s="200">
        <f t="shared" si="14"/>
        <v>1.4470444024405789E-2</v>
      </c>
      <c r="U19" s="197">
        <f t="shared" si="15"/>
        <v>5065341.522481625</v>
      </c>
      <c r="V19" s="199">
        <f t="shared" si="5"/>
        <v>0.67689110033381616</v>
      </c>
      <c r="W19" s="199">
        <f t="shared" si="16"/>
        <v>8.9946992637304091E-3</v>
      </c>
      <c r="X19" s="197">
        <f t="shared" si="17"/>
        <v>555630.21611050994</v>
      </c>
      <c r="Y19" s="32">
        <f t="shared" si="6"/>
        <v>5620971.7385921348</v>
      </c>
      <c r="Z19" s="201">
        <f t="shared" si="18"/>
        <v>1.3649082310304473E-2</v>
      </c>
      <c r="AB19" s="36">
        <f t="shared" si="7"/>
        <v>1395764.1810039671</v>
      </c>
      <c r="AC19" s="37">
        <f t="shared" si="8"/>
        <v>4293794.8474065987</v>
      </c>
      <c r="AD19" s="37">
        <f t="shared" si="19"/>
        <v>5620971.738592132</v>
      </c>
      <c r="AE19" s="37">
        <f t="shared" si="20"/>
        <v>11310530.767002698</v>
      </c>
      <c r="AF19" s="38">
        <f t="shared" si="21"/>
        <v>6.866177797698627E-3</v>
      </c>
      <c r="AH19" s="231"/>
    </row>
    <row r="20" spans="1:34">
      <c r="A20" s="250">
        <v>25</v>
      </c>
      <c r="B20" s="4" t="s">
        <v>8</v>
      </c>
      <c r="C20" s="32">
        <v>7034210</v>
      </c>
      <c r="D20" s="32">
        <v>928327</v>
      </c>
      <c r="E20" s="34">
        <f t="shared" si="0"/>
        <v>0.13197317111658594</v>
      </c>
      <c r="F20" s="35">
        <f t="shared" si="9"/>
        <v>122514.25802314687</v>
      </c>
      <c r="G20" s="79">
        <f t="shared" si="1"/>
        <v>4.8095397002090815E-5</v>
      </c>
      <c r="H20" s="30">
        <v>36088</v>
      </c>
      <c r="I20" s="73">
        <f t="shared" si="2"/>
        <v>6.2388040194715413E-3</v>
      </c>
      <c r="J20" s="31">
        <f t="shared" si="10"/>
        <v>5.3029834165508102E-3</v>
      </c>
      <c r="K20" s="32">
        <v>5053.7</v>
      </c>
      <c r="L20" s="70">
        <f t="shared" si="3"/>
        <v>7.87715644892793E-2</v>
      </c>
      <c r="M20" s="33">
        <f t="shared" si="11"/>
        <v>1.1815734673391894E-2</v>
      </c>
      <c r="N20" s="79">
        <f t="shared" si="12"/>
        <v>1.7118718089942704E-2</v>
      </c>
      <c r="O20" s="197">
        <v>25568</v>
      </c>
      <c r="P20" s="197">
        <v>20948</v>
      </c>
      <c r="Q20" s="198">
        <v>2.5216163224999999</v>
      </c>
      <c r="R20" s="199">
        <f t="shared" si="13"/>
        <v>1.9476311475943298E-2</v>
      </c>
      <c r="S20" s="200">
        <f t="shared" si="4"/>
        <v>4.9111784919832688E-2</v>
      </c>
      <c r="T20" s="200">
        <f t="shared" si="14"/>
        <v>2.5472192355379904E-2</v>
      </c>
      <c r="U20" s="197">
        <f t="shared" si="15"/>
        <v>8916475.0845745467</v>
      </c>
      <c r="V20" s="199">
        <f t="shared" si="5"/>
        <v>1.220546114187512</v>
      </c>
      <c r="W20" s="199">
        <f t="shared" si="16"/>
        <v>1.6218923884827686E-2</v>
      </c>
      <c r="X20" s="197">
        <f t="shared" si="17"/>
        <v>1001892.772507132</v>
      </c>
      <c r="Y20" s="32">
        <f t="shared" si="6"/>
        <v>9918367.8570816778</v>
      </c>
      <c r="Z20" s="201">
        <f t="shared" si="18"/>
        <v>2.4084202084797054E-2</v>
      </c>
      <c r="AB20" s="36">
        <f t="shared" si="7"/>
        <v>39613.339733620618</v>
      </c>
      <c r="AC20" s="37">
        <f t="shared" si="8"/>
        <v>7049838.8387510087</v>
      </c>
      <c r="AD20" s="37">
        <f t="shared" si="19"/>
        <v>9918367.857081674</v>
      </c>
      <c r="AE20" s="37">
        <f t="shared" si="20"/>
        <v>17007820.035566304</v>
      </c>
      <c r="AF20" s="38">
        <f t="shared" si="21"/>
        <v>1.0324777742185985E-2</v>
      </c>
      <c r="AH20" s="231"/>
    </row>
    <row r="21" spans="1:34">
      <c r="A21" s="250">
        <v>27</v>
      </c>
      <c r="B21" s="4" t="s">
        <v>9</v>
      </c>
      <c r="C21" s="32">
        <v>1629962</v>
      </c>
      <c r="D21" s="32">
        <v>292169</v>
      </c>
      <c r="E21" s="34">
        <f t="shared" si="0"/>
        <v>0.1792489640862793</v>
      </c>
      <c r="F21" s="35">
        <f t="shared" si="9"/>
        <v>52370.990588124136</v>
      </c>
      <c r="G21" s="79">
        <f t="shared" si="1"/>
        <v>2.0559268973026053E-5</v>
      </c>
      <c r="H21" s="30">
        <v>1360</v>
      </c>
      <c r="I21" s="73">
        <f t="shared" si="2"/>
        <v>2.351134301286105E-4</v>
      </c>
      <c r="J21" s="31">
        <f t="shared" si="10"/>
        <v>1.9984641560931893E-4</v>
      </c>
      <c r="K21" s="32">
        <v>720.7</v>
      </c>
      <c r="L21" s="70">
        <f t="shared" si="3"/>
        <v>1.1233485669395412E-2</v>
      </c>
      <c r="M21" s="33">
        <f t="shared" si="11"/>
        <v>1.6850228504093118E-3</v>
      </c>
      <c r="N21" s="79">
        <f t="shared" si="12"/>
        <v>1.8848692660186307E-3</v>
      </c>
      <c r="O21" s="197">
        <v>347</v>
      </c>
      <c r="P21" s="197">
        <v>179</v>
      </c>
      <c r="Q21" s="198">
        <v>1.9685182910000001</v>
      </c>
      <c r="R21" s="199">
        <f t="shared" si="13"/>
        <v>1.6642446792981908E-4</v>
      </c>
      <c r="S21" s="200">
        <f t="shared" si="4"/>
        <v>3.2760960918979179E-4</v>
      </c>
      <c r="T21" s="200">
        <f t="shared" si="14"/>
        <v>1.699171593208232E-4</v>
      </c>
      <c r="U21" s="197">
        <f t="shared" si="15"/>
        <v>59479.062358988987</v>
      </c>
      <c r="V21" s="199">
        <f t="shared" si="5"/>
        <v>1.9385474860335195</v>
      </c>
      <c r="W21" s="199">
        <f t="shared" si="16"/>
        <v>2.5759906780770288E-2</v>
      </c>
      <c r="X21" s="197">
        <f t="shared" si="17"/>
        <v>1591268.6074231127</v>
      </c>
      <c r="Y21" s="32">
        <f t="shared" si="6"/>
        <v>1650747.6697821016</v>
      </c>
      <c r="Z21" s="201">
        <f t="shared" si="18"/>
        <v>4.0084156025382402E-3</v>
      </c>
      <c r="AB21" s="36">
        <f t="shared" si="7"/>
        <v>16933.456365230995</v>
      </c>
      <c r="AC21" s="37">
        <f t="shared" si="8"/>
        <v>776227.78105990321</v>
      </c>
      <c r="AD21" s="37">
        <f t="shared" si="19"/>
        <v>1650747.6697821007</v>
      </c>
      <c r="AE21" s="37">
        <f t="shared" si="20"/>
        <v>2443908.9072072348</v>
      </c>
      <c r="AF21" s="38">
        <f t="shared" si="21"/>
        <v>1.4836008516257305E-3</v>
      </c>
      <c r="AH21" s="231"/>
    </row>
    <row r="22" spans="1:34">
      <c r="A22" s="250">
        <v>26</v>
      </c>
      <c r="B22" s="4" t="s">
        <v>131</v>
      </c>
      <c r="C22" s="32">
        <v>2243867</v>
      </c>
      <c r="D22" s="32">
        <v>719516</v>
      </c>
      <c r="E22" s="34">
        <f t="shared" si="0"/>
        <v>0.32065893388511885</v>
      </c>
      <c r="F22" s="35">
        <f t="shared" si="9"/>
        <v>230719.23347328516</v>
      </c>
      <c r="G22" s="79">
        <f t="shared" si="1"/>
        <v>9.0573401895959236E-5</v>
      </c>
      <c r="H22" s="30">
        <v>3256</v>
      </c>
      <c r="I22" s="73">
        <f t="shared" si="2"/>
        <v>5.6288921213143808E-4</v>
      </c>
      <c r="J22" s="31">
        <f t="shared" si="10"/>
        <v>4.7845583031172234E-4</v>
      </c>
      <c r="K22" s="32">
        <v>614.70000000000005</v>
      </c>
      <c r="L22" s="70">
        <f t="shared" si="3"/>
        <v>9.5812732634624129E-3</v>
      </c>
      <c r="M22" s="33">
        <f t="shared" si="11"/>
        <v>1.4371909895193619E-3</v>
      </c>
      <c r="N22" s="79">
        <f t="shared" si="12"/>
        <v>1.9156468198310843E-3</v>
      </c>
      <c r="O22" s="197">
        <v>355</v>
      </c>
      <c r="P22" s="197">
        <v>468</v>
      </c>
      <c r="Q22" s="198">
        <v>1.9393994637</v>
      </c>
      <c r="R22" s="199">
        <f t="shared" si="13"/>
        <v>4.3512095525785101E-4</v>
      </c>
      <c r="S22" s="200">
        <f t="shared" si="4"/>
        <v>8.43873347271708E-4</v>
      </c>
      <c r="T22" s="200">
        <f t="shared" si="14"/>
        <v>4.3768118508360012E-4</v>
      </c>
      <c r="U22" s="197">
        <f t="shared" si="15"/>
        <v>153209.16736720272</v>
      </c>
      <c r="V22" s="199">
        <f t="shared" si="5"/>
        <v>0.75854700854700852</v>
      </c>
      <c r="W22" s="199">
        <f t="shared" si="16"/>
        <v>1.0079763518707652E-2</v>
      </c>
      <c r="X22" s="197">
        <f t="shared" si="17"/>
        <v>622657.96976958599</v>
      </c>
      <c r="Y22" s="32">
        <f t="shared" si="6"/>
        <v>775867.13713678869</v>
      </c>
      <c r="Z22" s="201">
        <f t="shared" si="18"/>
        <v>1.8839935351272067E-3</v>
      </c>
      <c r="AB22" s="36">
        <f t="shared" si="7"/>
        <v>74599.96514798321</v>
      </c>
      <c r="AC22" s="37">
        <f t="shared" si="8"/>
        <v>788902.60829222144</v>
      </c>
      <c r="AD22" s="37">
        <f t="shared" si="19"/>
        <v>775867.13713678834</v>
      </c>
      <c r="AE22" s="37">
        <f t="shared" si="20"/>
        <v>1639369.7105769929</v>
      </c>
      <c r="AF22" s="38">
        <f t="shared" si="21"/>
        <v>9.9519678968755217E-4</v>
      </c>
      <c r="AH22" s="231"/>
    </row>
    <row r="23" spans="1:34">
      <c r="A23" s="250">
        <v>29</v>
      </c>
      <c r="B23" s="4" t="s">
        <v>10</v>
      </c>
      <c r="C23" s="32">
        <v>10409374</v>
      </c>
      <c r="D23" s="32">
        <v>1519021</v>
      </c>
      <c r="E23" s="34">
        <f t="shared" si="0"/>
        <v>0.1459281797349197</v>
      </c>
      <c r="F23" s="35">
        <f t="shared" si="9"/>
        <v>221667.96950911745</v>
      </c>
      <c r="G23" s="79">
        <f t="shared" si="1"/>
        <v>8.7020149068479203E-5</v>
      </c>
      <c r="H23" s="30">
        <v>40903</v>
      </c>
      <c r="I23" s="73">
        <f t="shared" si="2"/>
        <v>7.0712092886401146E-3</v>
      </c>
      <c r="J23" s="31">
        <f t="shared" si="10"/>
        <v>6.0105278953440974E-3</v>
      </c>
      <c r="K23" s="32">
        <v>7068.3</v>
      </c>
      <c r="L23" s="70">
        <f t="shared" si="3"/>
        <v>0.11017295234770028</v>
      </c>
      <c r="M23" s="33">
        <f t="shared" si="11"/>
        <v>1.6525942852155039E-2</v>
      </c>
      <c r="N23" s="79">
        <f t="shared" si="12"/>
        <v>2.2536470747499135E-2</v>
      </c>
      <c r="O23" s="197">
        <v>23646</v>
      </c>
      <c r="P23" s="197">
        <v>15246</v>
      </c>
      <c r="Q23" s="198">
        <v>2.0430424666000002</v>
      </c>
      <c r="R23" s="199">
        <f t="shared" si="13"/>
        <v>1.4174901888592301E-2</v>
      </c>
      <c r="S23" s="200">
        <f t="shared" si="4"/>
        <v>2.8959926518282615E-2</v>
      </c>
      <c r="T23" s="200">
        <f t="shared" si="14"/>
        <v>1.5020281182520606E-2</v>
      </c>
      <c r="U23" s="197">
        <f t="shared" si="15"/>
        <v>5257810.5982684446</v>
      </c>
      <c r="V23" s="199">
        <f t="shared" si="5"/>
        <v>1.5509641873278237</v>
      </c>
      <c r="W23" s="199">
        <f t="shared" si="16"/>
        <v>2.060960238205228E-2</v>
      </c>
      <c r="X23" s="197">
        <f t="shared" si="17"/>
        <v>1273118.4767529555</v>
      </c>
      <c r="Y23" s="32">
        <f t="shared" si="6"/>
        <v>6530929.0750214001</v>
      </c>
      <c r="Z23" s="201">
        <f t="shared" si="18"/>
        <v>1.5858679362450348E-2</v>
      </c>
      <c r="AB23" s="36">
        <f t="shared" si="7"/>
        <v>71673.360520760863</v>
      </c>
      <c r="AC23" s="37">
        <f t="shared" si="8"/>
        <v>9280980.3823708594</v>
      </c>
      <c r="AD23" s="37">
        <f t="shared" si="19"/>
        <v>6530929.0750213964</v>
      </c>
      <c r="AE23" s="37">
        <f t="shared" si="20"/>
        <v>15883582.817913018</v>
      </c>
      <c r="AF23" s="38">
        <f t="shared" si="21"/>
        <v>9.642297602021609E-3</v>
      </c>
      <c r="AH23" s="231"/>
    </row>
    <row r="24" spans="1:34">
      <c r="A24" s="250">
        <v>30</v>
      </c>
      <c r="B24" s="4" t="s">
        <v>132</v>
      </c>
      <c r="C24" s="32">
        <v>415292639</v>
      </c>
      <c r="D24" s="32">
        <v>99582374</v>
      </c>
      <c r="E24" s="34">
        <f t="shared" si="0"/>
        <v>0.23978843988130499</v>
      </c>
      <c r="F24" s="35">
        <f t="shared" si="9"/>
        <v>23878702.101136629</v>
      </c>
      <c r="G24" s="79">
        <f t="shared" si="1"/>
        <v>9.3740571585704431E-3</v>
      </c>
      <c r="H24" s="30">
        <v>397205</v>
      </c>
      <c r="I24" s="73">
        <f t="shared" si="2"/>
        <v>6.8667816186937305E-2</v>
      </c>
      <c r="J24" s="31">
        <f t="shared" si="10"/>
        <v>5.8367643758896706E-2</v>
      </c>
      <c r="K24" s="32">
        <v>1032</v>
      </c>
      <c r="L24" s="70">
        <f t="shared" si="3"/>
        <v>1.6085690593611857E-2</v>
      </c>
      <c r="M24" s="33">
        <f t="shared" si="11"/>
        <v>2.4128535890417784E-3</v>
      </c>
      <c r="N24" s="79">
        <f t="shared" si="12"/>
        <v>6.0780497347938486E-2</v>
      </c>
      <c r="O24" s="197">
        <v>49018</v>
      </c>
      <c r="P24" s="197">
        <v>87249</v>
      </c>
      <c r="Q24" s="198">
        <v>1.8532766358999999</v>
      </c>
      <c r="R24" s="199">
        <f t="shared" si="13"/>
        <v>8.1119376549769751E-2</v>
      </c>
      <c r="S24" s="200">
        <f t="shared" si="4"/>
        <v>0.15033664527846263</v>
      </c>
      <c r="T24" s="200">
        <f t="shared" si="14"/>
        <v>7.7973218705987155E-2</v>
      </c>
      <c r="U24" s="197">
        <f t="shared" si="15"/>
        <v>27294323.635600831</v>
      </c>
      <c r="V24" s="199">
        <f t="shared" si="5"/>
        <v>0.56181732741922541</v>
      </c>
      <c r="W24" s="199">
        <f t="shared" si="16"/>
        <v>7.4655700138420563E-3</v>
      </c>
      <c r="X24" s="197">
        <f t="shared" si="17"/>
        <v>461171.20301127748</v>
      </c>
      <c r="Y24" s="32">
        <f t="shared" si="6"/>
        <v>27755494.838612109</v>
      </c>
      <c r="Z24" s="201">
        <f t="shared" si="18"/>
        <v>6.7397071402165359E-2</v>
      </c>
      <c r="AB24" s="36">
        <f t="shared" si="7"/>
        <v>7720857.5882778643</v>
      </c>
      <c r="AC24" s="37">
        <f t="shared" si="8"/>
        <v>25030654.082319409</v>
      </c>
      <c r="AD24" s="37">
        <f t="shared" si="19"/>
        <v>27755494.838612098</v>
      </c>
      <c r="AE24" s="37">
        <f t="shared" si="20"/>
        <v>60507006.509209372</v>
      </c>
      <c r="AF24" s="38">
        <f t="shared" si="21"/>
        <v>3.6731420766811178E-2</v>
      </c>
      <c r="AH24" s="231"/>
    </row>
    <row r="25" spans="1:34">
      <c r="A25" s="250">
        <v>32</v>
      </c>
      <c r="B25" s="4" t="s">
        <v>11</v>
      </c>
      <c r="C25" s="32">
        <v>4596412</v>
      </c>
      <c r="D25" s="32">
        <v>940088</v>
      </c>
      <c r="E25" s="34">
        <f t="shared" si="0"/>
        <v>0.20452648718174088</v>
      </c>
      <c r="F25" s="35">
        <f t="shared" si="9"/>
        <v>192272.89628170841</v>
      </c>
      <c r="G25" s="79">
        <f t="shared" si="1"/>
        <v>7.5480531234686641E-5</v>
      </c>
      <c r="H25" s="30">
        <v>5506</v>
      </c>
      <c r="I25" s="73">
        <f t="shared" si="2"/>
        <v>9.5186363697656574E-4</v>
      </c>
      <c r="J25" s="31">
        <f t="shared" si="10"/>
        <v>8.0908409143008091E-4</v>
      </c>
      <c r="K25" s="32">
        <v>1888.6</v>
      </c>
      <c r="L25" s="70">
        <f t="shared" si="3"/>
        <v>2.9437437262689294E-2</v>
      </c>
      <c r="M25" s="33">
        <f t="shared" si="11"/>
        <v>4.4156155894033936E-3</v>
      </c>
      <c r="N25" s="79">
        <f t="shared" si="12"/>
        <v>5.2246996808334749E-3</v>
      </c>
      <c r="O25" s="197">
        <v>2284</v>
      </c>
      <c r="P25" s="197">
        <v>950</v>
      </c>
      <c r="Q25" s="198">
        <v>2.0503201405999998</v>
      </c>
      <c r="R25" s="199">
        <f t="shared" si="13"/>
        <v>8.8325834934820178E-4</v>
      </c>
      <c r="S25" s="200">
        <f t="shared" si="4"/>
        <v>1.8109623830217289E-3</v>
      </c>
      <c r="T25" s="200">
        <f t="shared" si="14"/>
        <v>9.3926910300624043E-4</v>
      </c>
      <c r="U25" s="197">
        <f t="shared" si="15"/>
        <v>328788.72135625087</v>
      </c>
      <c r="V25" s="199">
        <f t="shared" si="5"/>
        <v>2.4042105263157896</v>
      </c>
      <c r="W25" s="199">
        <f t="shared" si="16"/>
        <v>3.1947754432346431E-2</v>
      </c>
      <c r="X25" s="197">
        <f t="shared" si="17"/>
        <v>1973510.9734094818</v>
      </c>
      <c r="Y25" s="32">
        <f t="shared" si="6"/>
        <v>2302299.6947657326</v>
      </c>
      <c r="Z25" s="201">
        <f t="shared" si="18"/>
        <v>5.5905419024072662E-3</v>
      </c>
      <c r="AB25" s="36">
        <f t="shared" si="7"/>
        <v>62168.858424098689</v>
      </c>
      <c r="AC25" s="37">
        <f t="shared" si="8"/>
        <v>2151638.3725244878</v>
      </c>
      <c r="AD25" s="37">
        <f t="shared" si="19"/>
        <v>2302299.6947657317</v>
      </c>
      <c r="AE25" s="37">
        <f t="shared" si="20"/>
        <v>4516106.9257143177</v>
      </c>
      <c r="AF25" s="38">
        <f t="shared" si="21"/>
        <v>2.7415506614275279E-3</v>
      </c>
      <c r="AH25" s="231"/>
    </row>
    <row r="26" spans="1:34">
      <c r="A26" s="250">
        <v>33</v>
      </c>
      <c r="B26" s="4" t="s">
        <v>12</v>
      </c>
      <c r="C26" s="32">
        <v>459479979</v>
      </c>
      <c r="D26" s="32">
        <v>167034920.86000001</v>
      </c>
      <c r="E26" s="34">
        <f t="shared" si="0"/>
        <v>0.36353035713009818</v>
      </c>
      <c r="F26" s="35">
        <f t="shared" si="9"/>
        <v>60722264.433433488</v>
      </c>
      <c r="G26" s="79">
        <f t="shared" si="1"/>
        <v>2.3837726823927333E-2</v>
      </c>
      <c r="H26" s="30">
        <v>481213</v>
      </c>
      <c r="I26" s="73">
        <f t="shared" si="2"/>
        <v>8.3190911067999293E-2</v>
      </c>
      <c r="J26" s="31">
        <f t="shared" si="10"/>
        <v>7.0712274407799397E-2</v>
      </c>
      <c r="K26" s="32">
        <v>149.4</v>
      </c>
      <c r="L26" s="70">
        <f t="shared" si="3"/>
        <v>2.3286842777961352E-3</v>
      </c>
      <c r="M26" s="33">
        <f t="shared" si="11"/>
        <v>3.4930264166942025E-4</v>
      </c>
      <c r="N26" s="79">
        <f t="shared" si="12"/>
        <v>7.1061577049468819E-2</v>
      </c>
      <c r="O26" s="197">
        <v>95635</v>
      </c>
      <c r="P26" s="197">
        <v>113990</v>
      </c>
      <c r="Q26" s="198">
        <v>1.9916235985999999</v>
      </c>
      <c r="R26" s="199">
        <f t="shared" si="13"/>
        <v>0.10598170446547529</v>
      </c>
      <c r="S26" s="200">
        <f t="shared" si="4"/>
        <v>0.21107566363329158</v>
      </c>
      <c r="T26" s="200">
        <f t="shared" si="14"/>
        <v>0.10947596212157762</v>
      </c>
      <c r="U26" s="197">
        <f t="shared" si="15"/>
        <v>38321777.528925821</v>
      </c>
      <c r="V26" s="199">
        <f t="shared" si="5"/>
        <v>0.83897710325467145</v>
      </c>
      <c r="W26" s="199">
        <f t="shared" si="16"/>
        <v>1.1148538855378512E-2</v>
      </c>
      <c r="X26" s="197">
        <f t="shared" si="17"/>
        <v>688679.5068856281</v>
      </c>
      <c r="Y26" s="32">
        <f t="shared" si="6"/>
        <v>39010457.035811447</v>
      </c>
      <c r="Z26" s="201">
        <f t="shared" si="18"/>
        <v>9.4726848631647695E-2</v>
      </c>
      <c r="AB26" s="36">
        <f t="shared" si="7"/>
        <v>19633728.589711487</v>
      </c>
      <c r="AC26" s="37">
        <f t="shared" si="8"/>
        <v>29264613.342780933</v>
      </c>
      <c r="AD26" s="37">
        <f t="shared" si="19"/>
        <v>39010457.035811432</v>
      </c>
      <c r="AE26" s="37">
        <f t="shared" si="20"/>
        <v>87908798.968303859</v>
      </c>
      <c r="AF26" s="38">
        <f t="shared" si="21"/>
        <v>5.3365969832242788E-2</v>
      </c>
      <c r="AH26" s="231"/>
    </row>
    <row r="27" spans="1:34">
      <c r="A27" s="250">
        <v>34</v>
      </c>
      <c r="B27" s="4" t="s">
        <v>133</v>
      </c>
      <c r="C27" s="32">
        <v>12996129</v>
      </c>
      <c r="D27" s="32">
        <v>4545524</v>
      </c>
      <c r="E27" s="34">
        <f t="shared" si="0"/>
        <v>0.34975984002621086</v>
      </c>
      <c r="F27" s="35">
        <f t="shared" si="9"/>
        <v>1589841.7470753021</v>
      </c>
      <c r="G27" s="79">
        <f t="shared" si="1"/>
        <v>6.2412384672515253E-4</v>
      </c>
      <c r="H27" s="30">
        <v>14109</v>
      </c>
      <c r="I27" s="73">
        <f t="shared" si="2"/>
        <v>2.4391289600621804E-3</v>
      </c>
      <c r="J27" s="31">
        <f t="shared" si="10"/>
        <v>2.0732596160528533E-3</v>
      </c>
      <c r="K27" s="32">
        <v>2478.8000000000002</v>
      </c>
      <c r="L27" s="70">
        <f t="shared" si="3"/>
        <v>3.8636831243648327E-2</v>
      </c>
      <c r="M27" s="33">
        <f t="shared" si="11"/>
        <v>5.7955246865472486E-3</v>
      </c>
      <c r="N27" s="79">
        <f t="shared" si="12"/>
        <v>7.8687843026001014E-3</v>
      </c>
      <c r="O27" s="197">
        <v>5621</v>
      </c>
      <c r="P27" s="197">
        <v>1660</v>
      </c>
      <c r="Q27" s="198">
        <v>2.1173054283999999</v>
      </c>
      <c r="R27" s="199">
        <f t="shared" si="13"/>
        <v>1.543377747282121E-3</v>
      </c>
      <c r="S27" s="200">
        <f t="shared" si="4"/>
        <v>3.2678020823921979E-3</v>
      </c>
      <c r="T27" s="200">
        <f t="shared" si="14"/>
        <v>1.6948698435187855E-3</v>
      </c>
      <c r="U27" s="197">
        <f t="shared" si="15"/>
        <v>593284.80723176536</v>
      </c>
      <c r="V27" s="199">
        <f t="shared" si="5"/>
        <v>3.3861445783132531</v>
      </c>
      <c r="W27" s="199">
        <f t="shared" si="16"/>
        <v>4.499594119411314E-2</v>
      </c>
      <c r="X27" s="197">
        <f t="shared" si="17"/>
        <v>2779537.5694875726</v>
      </c>
      <c r="Y27" s="32">
        <f t="shared" si="6"/>
        <v>3372822.3767193379</v>
      </c>
      <c r="Z27" s="201">
        <f t="shared" si="18"/>
        <v>8.1900305461079341E-3</v>
      </c>
      <c r="AB27" s="36">
        <f t="shared" si="7"/>
        <v>514053.97433569032</v>
      </c>
      <c r="AC27" s="37">
        <f t="shared" si="8"/>
        <v>3240526.5919307009</v>
      </c>
      <c r="AD27" s="37">
        <f t="shared" si="19"/>
        <v>3372822.3767193365</v>
      </c>
      <c r="AE27" s="37">
        <f t="shared" si="20"/>
        <v>7127402.9429857284</v>
      </c>
      <c r="AF27" s="38">
        <f t="shared" si="21"/>
        <v>4.3267656355395851E-3</v>
      </c>
      <c r="AH27" s="231"/>
    </row>
    <row r="28" spans="1:34">
      <c r="A28" s="250">
        <v>35</v>
      </c>
      <c r="B28" s="4" t="s">
        <v>13</v>
      </c>
      <c r="C28" s="32">
        <v>844965</v>
      </c>
      <c r="D28" s="32">
        <v>298339</v>
      </c>
      <c r="E28" s="34">
        <f t="shared" si="0"/>
        <v>0.35307852987993588</v>
      </c>
      <c r="F28" s="35">
        <f t="shared" si="9"/>
        <v>105337.09552585019</v>
      </c>
      <c r="G28" s="79">
        <f t="shared" si="1"/>
        <v>4.1352161863525763E-5</v>
      </c>
      <c r="H28" s="30">
        <v>1808</v>
      </c>
      <c r="I28" s="73">
        <f t="shared" si="2"/>
        <v>3.1256256005332924E-4</v>
      </c>
      <c r="J28" s="31">
        <f t="shared" si="10"/>
        <v>2.6567817604532983E-4</v>
      </c>
      <c r="K28" s="32">
        <v>387.9</v>
      </c>
      <c r="L28" s="70">
        <f t="shared" si="3"/>
        <v>6.0461621911453867E-3</v>
      </c>
      <c r="M28" s="33">
        <f t="shared" si="11"/>
        <v>9.0692432867180801E-4</v>
      </c>
      <c r="N28" s="79">
        <f t="shared" si="12"/>
        <v>1.1726025047171379E-3</v>
      </c>
      <c r="O28" s="197">
        <v>196</v>
      </c>
      <c r="P28" s="197">
        <v>185</v>
      </c>
      <c r="Q28" s="198">
        <v>1.7757863003000001</v>
      </c>
      <c r="R28" s="199">
        <f t="shared" si="13"/>
        <v>1.7200294171517615E-4</v>
      </c>
      <c r="S28" s="200">
        <f t="shared" si="4"/>
        <v>3.054404675091092E-4</v>
      </c>
      <c r="T28" s="200">
        <f t="shared" si="14"/>
        <v>1.5841896917835949E-4</v>
      </c>
      <c r="U28" s="197">
        <f t="shared" si="15"/>
        <v>55454.150624160451</v>
      </c>
      <c r="V28" s="199">
        <f t="shared" si="5"/>
        <v>1.0594594594594595</v>
      </c>
      <c r="W28" s="199">
        <f t="shared" si="16"/>
        <v>1.4078363883426199E-2</v>
      </c>
      <c r="X28" s="197">
        <f t="shared" si="17"/>
        <v>869663.80283250241</v>
      </c>
      <c r="Y28" s="32">
        <f t="shared" si="6"/>
        <v>925117.95345666283</v>
      </c>
      <c r="Z28" s="201">
        <f t="shared" si="18"/>
        <v>2.2464107063155342E-3</v>
      </c>
      <c r="AB28" s="36">
        <f t="shared" si="7"/>
        <v>34059.334961894681</v>
      </c>
      <c r="AC28" s="37">
        <f t="shared" si="8"/>
        <v>482901.7357922541</v>
      </c>
      <c r="AD28" s="37">
        <f t="shared" si="19"/>
        <v>925117.95345666236</v>
      </c>
      <c r="AE28" s="37">
        <f t="shared" si="20"/>
        <v>1442079.0242108111</v>
      </c>
      <c r="AF28" s="38">
        <f t="shared" si="21"/>
        <v>8.7542938368993079E-4</v>
      </c>
      <c r="AH28" s="231"/>
    </row>
    <row r="29" spans="1:34">
      <c r="A29" s="250">
        <v>61</v>
      </c>
      <c r="B29" s="4" t="s">
        <v>14</v>
      </c>
      <c r="C29" s="32">
        <v>1658016</v>
      </c>
      <c r="D29" s="32">
        <v>227416</v>
      </c>
      <c r="E29" s="34">
        <f t="shared" si="0"/>
        <v>0.13716152316986086</v>
      </c>
      <c r="F29" s="35">
        <f t="shared" si="9"/>
        <v>31192.724953197077</v>
      </c>
      <c r="G29" s="79">
        <f t="shared" si="1"/>
        <v>1.2245321600997634E-5</v>
      </c>
      <c r="H29" s="30">
        <v>6282</v>
      </c>
      <c r="I29" s="73">
        <f t="shared" si="2"/>
        <v>1.0860165941675964E-3</v>
      </c>
      <c r="J29" s="31">
        <f t="shared" si="10"/>
        <v>9.2311410504245688E-4</v>
      </c>
      <c r="K29" s="32">
        <v>1306.7</v>
      </c>
      <c r="L29" s="70">
        <f t="shared" si="3"/>
        <v>2.0367414630496718E-2</v>
      </c>
      <c r="M29" s="33">
        <f t="shared" si="11"/>
        <v>3.0551121945745076E-3</v>
      </c>
      <c r="N29" s="79">
        <f t="shared" si="12"/>
        <v>3.9782262996169646E-3</v>
      </c>
      <c r="O29" s="197">
        <v>3611</v>
      </c>
      <c r="P29" s="197">
        <v>3897</v>
      </c>
      <c r="Q29" s="198">
        <v>2.6101222018999999</v>
      </c>
      <c r="R29" s="199">
        <f t="shared" si="13"/>
        <v>3.6232187235894133E-3</v>
      </c>
      <c r="S29" s="200">
        <f t="shared" si="4"/>
        <v>9.4570436327805069E-3</v>
      </c>
      <c r="T29" s="200">
        <f t="shared" si="14"/>
        <v>4.9049659856717437E-3</v>
      </c>
      <c r="U29" s="197">
        <f t="shared" si="15"/>
        <v>1716970.6632138635</v>
      </c>
      <c r="V29" s="199">
        <f t="shared" si="5"/>
        <v>0.92661021298434698</v>
      </c>
      <c r="W29" s="199">
        <f t="shared" si="16"/>
        <v>1.2313029668118099E-2</v>
      </c>
      <c r="X29" s="197">
        <f t="shared" si="17"/>
        <v>760613.68311208882</v>
      </c>
      <c r="Y29" s="32">
        <f t="shared" si="6"/>
        <v>2477584.3463259526</v>
      </c>
      <c r="Z29" s="201">
        <f t="shared" si="18"/>
        <v>6.0161755380386947E-3</v>
      </c>
      <c r="AB29" s="36">
        <f t="shared" si="7"/>
        <v>10085.748636333637</v>
      </c>
      <c r="AC29" s="37">
        <f t="shared" si="8"/>
        <v>1638315.0963188887</v>
      </c>
      <c r="AD29" s="37">
        <f t="shared" si="19"/>
        <v>2477584.3463259516</v>
      </c>
      <c r="AE29" s="37">
        <f t="shared" si="20"/>
        <v>4125985.1912811743</v>
      </c>
      <c r="AF29" s="38">
        <f t="shared" si="21"/>
        <v>2.5047231202144134E-3</v>
      </c>
      <c r="AH29" s="231"/>
    </row>
    <row r="30" spans="1:34">
      <c r="A30" s="250">
        <v>36</v>
      </c>
      <c r="B30" s="4" t="s">
        <v>15</v>
      </c>
      <c r="C30" s="32">
        <v>69984471</v>
      </c>
      <c r="D30" s="32">
        <v>16361057</v>
      </c>
      <c r="E30" s="34">
        <f t="shared" si="0"/>
        <v>0.23378124841438039</v>
      </c>
      <c r="F30" s="35">
        <f t="shared" si="9"/>
        <v>3824908.3308388372</v>
      </c>
      <c r="G30" s="79">
        <f t="shared" si="1"/>
        <v>1.5015434745035336E-3</v>
      </c>
      <c r="H30" s="30">
        <v>102149</v>
      </c>
      <c r="I30" s="73">
        <f t="shared" si="2"/>
        <v>1.7659266010446643E-2</v>
      </c>
      <c r="J30" s="31">
        <f t="shared" si="10"/>
        <v>1.5010376108879647E-2</v>
      </c>
      <c r="K30" s="32">
        <v>184.5</v>
      </c>
      <c r="L30" s="70">
        <f t="shared" si="3"/>
        <v>2.8757848008928175E-3</v>
      </c>
      <c r="M30" s="33">
        <f t="shared" si="11"/>
        <v>4.3136772013392259E-4</v>
      </c>
      <c r="N30" s="79">
        <f t="shared" si="12"/>
        <v>1.544174382901357E-2</v>
      </c>
      <c r="O30" s="197">
        <v>12989</v>
      </c>
      <c r="P30" s="197">
        <v>23008</v>
      </c>
      <c r="Q30" s="198">
        <v>1.8972127424</v>
      </c>
      <c r="R30" s="199">
        <f t="shared" si="13"/>
        <v>2.1391587475582556E-2</v>
      </c>
      <c r="S30" s="200">
        <f t="shared" si="4"/>
        <v>4.0584392338839474E-2</v>
      </c>
      <c r="T30" s="200">
        <f t="shared" si="14"/>
        <v>2.1049396798927165E-2</v>
      </c>
      <c r="U30" s="197">
        <f t="shared" si="15"/>
        <v>7368286.9336261367</v>
      </c>
      <c r="V30" s="199">
        <f t="shared" si="5"/>
        <v>0.56454276773296241</v>
      </c>
      <c r="W30" s="199">
        <f t="shared" si="16"/>
        <v>7.5017863505189922E-3</v>
      </c>
      <c r="X30" s="197">
        <f t="shared" si="17"/>
        <v>463408.39742818021</v>
      </c>
      <c r="Y30" s="32">
        <f t="shared" si="6"/>
        <v>7831695.3310543168</v>
      </c>
      <c r="Z30" s="201">
        <f t="shared" si="18"/>
        <v>1.901725523166593E-2</v>
      </c>
      <c r="AB30" s="36">
        <f t="shared" si="7"/>
        <v>1236732.7330248216</v>
      </c>
      <c r="AC30" s="37">
        <f t="shared" si="8"/>
        <v>6359226.4801521683</v>
      </c>
      <c r="AD30" s="37">
        <f t="shared" si="19"/>
        <v>7831695.3310543131</v>
      </c>
      <c r="AE30" s="37">
        <f t="shared" si="20"/>
        <v>15427654.544231303</v>
      </c>
      <c r="AF30" s="38">
        <f t="shared" si="21"/>
        <v>9.3655215024216407E-3</v>
      </c>
      <c r="AH30" s="231"/>
    </row>
    <row r="31" spans="1:34">
      <c r="A31" s="250">
        <v>28</v>
      </c>
      <c r="B31" s="4" t="s">
        <v>16</v>
      </c>
      <c r="C31" s="32">
        <v>534177051</v>
      </c>
      <c r="D31" s="32">
        <v>367511761.92000002</v>
      </c>
      <c r="E31" s="34">
        <f t="shared" si="0"/>
        <v>0.68799616387863138</v>
      </c>
      <c r="F31" s="35">
        <f t="shared" si="9"/>
        <v>252846682.38123688</v>
      </c>
      <c r="G31" s="79">
        <f t="shared" si="1"/>
        <v>9.9259969949698351E-2</v>
      </c>
      <c r="H31" s="30">
        <v>643143</v>
      </c>
      <c r="I31" s="73">
        <f t="shared" si="2"/>
        <v>0.11118496823029775</v>
      </c>
      <c r="J31" s="31">
        <f t="shared" si="10"/>
        <v>9.4507222995753079E-2</v>
      </c>
      <c r="K31" s="32">
        <v>118.4</v>
      </c>
      <c r="L31" s="70">
        <f t="shared" si="3"/>
        <v>1.8454900836081822E-3</v>
      </c>
      <c r="M31" s="33">
        <f t="shared" si="11"/>
        <v>2.7682351254122733E-4</v>
      </c>
      <c r="N31" s="79">
        <f t="shared" si="12"/>
        <v>9.4784046508294306E-2</v>
      </c>
      <c r="O31" s="197">
        <v>113831</v>
      </c>
      <c r="P31" s="197">
        <v>95688</v>
      </c>
      <c r="Q31" s="198">
        <v>1.8797706219999999</v>
      </c>
      <c r="R31" s="199">
        <f t="shared" si="13"/>
        <v>8.8965499928874453E-2</v>
      </c>
      <c r="S31" s="200">
        <f t="shared" si="4"/>
        <v>0.16723473313784129</v>
      </c>
      <c r="T31" s="200">
        <f t="shared" si="14"/>
        <v>8.6737537597976422E-2</v>
      </c>
      <c r="U31" s="197">
        <f t="shared" si="15"/>
        <v>30362250.806666777</v>
      </c>
      <c r="V31" s="199">
        <f t="shared" si="5"/>
        <v>1.1896058021904523</v>
      </c>
      <c r="W31" s="199">
        <f t="shared" si="16"/>
        <v>1.5807781233665195E-2</v>
      </c>
      <c r="X31" s="197">
        <f t="shared" si="17"/>
        <v>976495.22741756786</v>
      </c>
      <c r="Y31" s="32">
        <f t="shared" si="6"/>
        <v>31338746.034084346</v>
      </c>
      <c r="Z31" s="201">
        <f t="shared" si="18"/>
        <v>7.6098074143329697E-2</v>
      </c>
      <c r="AB31" s="36">
        <f t="shared" si="7"/>
        <v>81754578.5388868</v>
      </c>
      <c r="AC31" s="37">
        <f t="shared" si="8"/>
        <v>39034012.293288</v>
      </c>
      <c r="AD31" s="37">
        <f t="shared" si="19"/>
        <v>31338746.034084331</v>
      </c>
      <c r="AE31" s="37">
        <f t="shared" si="20"/>
        <v>152127336.86625913</v>
      </c>
      <c r="AF31" s="38">
        <f t="shared" si="21"/>
        <v>9.2350515137755163E-2</v>
      </c>
      <c r="AH31" s="231"/>
    </row>
    <row r="32" spans="1:34">
      <c r="A32" s="250">
        <v>37</v>
      </c>
      <c r="B32" s="4" t="s">
        <v>134</v>
      </c>
      <c r="C32" s="32">
        <v>1059673</v>
      </c>
      <c r="D32" s="32">
        <v>291621.78000000003</v>
      </c>
      <c r="E32" s="34">
        <f t="shared" si="0"/>
        <v>0.27519978332938561</v>
      </c>
      <c r="F32" s="35">
        <f t="shared" si="9"/>
        <v>80254.250670129768</v>
      </c>
      <c r="G32" s="79">
        <f t="shared" si="1"/>
        <v>3.1505394632157448E-5</v>
      </c>
      <c r="H32" s="30">
        <v>1959</v>
      </c>
      <c r="I32" s="73">
        <f t="shared" si="2"/>
        <v>3.3866706589849116E-4</v>
      </c>
      <c r="J32" s="31">
        <f t="shared" si="10"/>
        <v>2.8786700601371749E-4</v>
      </c>
      <c r="K32" s="32">
        <v>496.6</v>
      </c>
      <c r="L32" s="70">
        <f t="shared" si="3"/>
        <v>7.7404592527012097E-3</v>
      </c>
      <c r="M32" s="33">
        <f t="shared" si="11"/>
        <v>1.1610688879051814E-3</v>
      </c>
      <c r="N32" s="79">
        <f t="shared" si="12"/>
        <v>1.4489358939188989E-3</v>
      </c>
      <c r="O32" s="197">
        <v>188</v>
      </c>
      <c r="P32" s="197">
        <v>192</v>
      </c>
      <c r="Q32" s="198">
        <v>1.9505591721</v>
      </c>
      <c r="R32" s="199">
        <f t="shared" si="13"/>
        <v>1.7851116113142606E-4</v>
      </c>
      <c r="S32" s="200">
        <f t="shared" si="4"/>
        <v>3.4819658266712413E-4</v>
      </c>
      <c r="T32" s="200">
        <f t="shared" si="14"/>
        <v>1.8059474616246836E-4</v>
      </c>
      <c r="U32" s="197">
        <f t="shared" si="15"/>
        <v>63216.724029748235</v>
      </c>
      <c r="V32" s="199">
        <f t="shared" si="5"/>
        <v>0.97916666666666663</v>
      </c>
      <c r="W32" s="199">
        <f t="shared" si="16"/>
        <v>1.3011413049148681E-2</v>
      </c>
      <c r="X32" s="197">
        <f t="shared" si="17"/>
        <v>803754.97083637409</v>
      </c>
      <c r="Y32" s="32">
        <f t="shared" si="6"/>
        <v>866971.69486612233</v>
      </c>
      <c r="Z32" s="201">
        <f t="shared" si="18"/>
        <v>2.105217491610399E-3</v>
      </c>
      <c r="AB32" s="36">
        <f t="shared" si="7"/>
        <v>25949.133987836412</v>
      </c>
      <c r="AC32" s="37">
        <f t="shared" si="8"/>
        <v>596701.48700042372</v>
      </c>
      <c r="AD32" s="37">
        <f t="shared" si="19"/>
        <v>866971.69486612198</v>
      </c>
      <c r="AE32" s="37">
        <f t="shared" si="20"/>
        <v>1489622.3158543822</v>
      </c>
      <c r="AF32" s="38">
        <f t="shared" si="21"/>
        <v>9.0429104369840318E-4</v>
      </c>
      <c r="AH32" s="231"/>
    </row>
    <row r="33" spans="1:34">
      <c r="A33" s="250">
        <v>39</v>
      </c>
      <c r="B33" s="4" t="s">
        <v>17</v>
      </c>
      <c r="C33" s="32">
        <v>2387896</v>
      </c>
      <c r="D33" s="32">
        <v>630053</v>
      </c>
      <c r="E33" s="34">
        <f t="shared" si="0"/>
        <v>0.2638527808581278</v>
      </c>
      <c r="F33" s="35">
        <f t="shared" si="9"/>
        <v>166241.236138006</v>
      </c>
      <c r="G33" s="79">
        <f t="shared" si="1"/>
        <v>6.5261287781419935E-5</v>
      </c>
      <c r="H33" s="30">
        <v>16086</v>
      </c>
      <c r="I33" s="73">
        <f t="shared" si="2"/>
        <v>2.7809078213594327E-3</v>
      </c>
      <c r="J33" s="31">
        <f t="shared" si="10"/>
        <v>2.3637716481555177E-3</v>
      </c>
      <c r="K33" s="32">
        <v>170.6</v>
      </c>
      <c r="L33" s="70">
        <f t="shared" si="3"/>
        <v>2.6591267589827351E-3</v>
      </c>
      <c r="M33" s="33">
        <f t="shared" si="11"/>
        <v>3.9886901384741024E-4</v>
      </c>
      <c r="N33" s="79">
        <f t="shared" si="12"/>
        <v>2.762640662002928E-3</v>
      </c>
      <c r="O33" s="197">
        <v>3006</v>
      </c>
      <c r="P33" s="197">
        <v>3272</v>
      </c>
      <c r="Q33" s="198">
        <v>1.6415123341</v>
      </c>
      <c r="R33" s="199">
        <f t="shared" si="13"/>
        <v>3.0421277042813858E-3</v>
      </c>
      <c r="S33" s="200">
        <f t="shared" si="4"/>
        <v>4.9936901484852123E-3</v>
      </c>
      <c r="T33" s="200">
        <f t="shared" si="14"/>
        <v>2.5900145195906737E-3</v>
      </c>
      <c r="U33" s="197">
        <f t="shared" si="15"/>
        <v>906627.88700788794</v>
      </c>
      <c r="V33" s="199">
        <f t="shared" si="5"/>
        <v>0.91870415647921755</v>
      </c>
      <c r="W33" s="199">
        <f t="shared" si="16"/>
        <v>1.2207971999919139E-2</v>
      </c>
      <c r="X33" s="197">
        <f t="shared" si="17"/>
        <v>754123.94808327744</v>
      </c>
      <c r="Y33" s="32">
        <f t="shared" si="6"/>
        <v>1660751.8350911653</v>
      </c>
      <c r="Z33" s="201">
        <f t="shared" si="18"/>
        <v>4.0327081416399405E-3</v>
      </c>
      <c r="AB33" s="36">
        <f t="shared" si="7"/>
        <v>53751.870771055008</v>
      </c>
      <c r="AC33" s="37">
        <f t="shared" si="8"/>
        <v>1137712.025758713</v>
      </c>
      <c r="AD33" s="37">
        <f t="shared" si="19"/>
        <v>1660751.8350911643</v>
      </c>
      <c r="AE33" s="37">
        <f t="shared" si="20"/>
        <v>2852215.7316209325</v>
      </c>
      <c r="AF33" s="38">
        <f t="shared" si="21"/>
        <v>1.7314678448014269E-3</v>
      </c>
      <c r="AH33" s="231"/>
    </row>
    <row r="34" spans="1:34">
      <c r="A34" s="250">
        <v>38</v>
      </c>
      <c r="B34" s="4" t="s">
        <v>18</v>
      </c>
      <c r="C34" s="32">
        <v>708159</v>
      </c>
      <c r="D34" s="32">
        <v>344639</v>
      </c>
      <c r="E34" s="34">
        <f t="shared" si="0"/>
        <v>0.48666895428851431</v>
      </c>
      <c r="F34" s="35">
        <f t="shared" si="9"/>
        <v>167725.10173703928</v>
      </c>
      <c r="G34" s="79">
        <f t="shared" si="1"/>
        <v>6.5843808593567103E-5</v>
      </c>
      <c r="H34" s="30">
        <v>1386</v>
      </c>
      <c r="I34" s="73">
        <f t="shared" si="2"/>
        <v>2.3960824570459864E-4</v>
      </c>
      <c r="J34" s="31">
        <f t="shared" si="10"/>
        <v>2.0366700884890884E-4</v>
      </c>
      <c r="K34" s="32">
        <v>443.2</v>
      </c>
      <c r="L34" s="70">
        <f t="shared" si="3"/>
        <v>6.9081182859387349E-3</v>
      </c>
      <c r="M34" s="33">
        <f t="shared" si="11"/>
        <v>1.0362177428908102E-3</v>
      </c>
      <c r="N34" s="79">
        <f t="shared" si="12"/>
        <v>1.239884751739719E-3</v>
      </c>
      <c r="O34" s="197">
        <v>237</v>
      </c>
      <c r="P34" s="197">
        <v>131</v>
      </c>
      <c r="Q34" s="198">
        <v>2.2584083591000002</v>
      </c>
      <c r="R34" s="199">
        <f t="shared" si="13"/>
        <v>1.2179667764696256E-4</v>
      </c>
      <c r="S34" s="200">
        <f t="shared" si="4"/>
        <v>2.7506663490850839E-4</v>
      </c>
      <c r="T34" s="200">
        <f t="shared" si="14"/>
        <v>1.426653550949875E-4</v>
      </c>
      <c r="U34" s="197">
        <f t="shared" si="15"/>
        <v>49939.638739724185</v>
      </c>
      <c r="V34" s="199">
        <f t="shared" si="5"/>
        <v>1.8091603053435115</v>
      </c>
      <c r="W34" s="199">
        <f t="shared" si="16"/>
        <v>2.4040577366755789E-2</v>
      </c>
      <c r="X34" s="197">
        <f t="shared" si="17"/>
        <v>1485060.3456609698</v>
      </c>
      <c r="Y34" s="32">
        <f t="shared" si="6"/>
        <v>1534999.984400694</v>
      </c>
      <c r="Z34" s="201">
        <f t="shared" si="18"/>
        <v>3.7273521568441056E-3</v>
      </c>
      <c r="AB34" s="36">
        <f t="shared" si="7"/>
        <v>54231.658781381382</v>
      </c>
      <c r="AC34" s="37">
        <f t="shared" si="8"/>
        <v>510609.94359882467</v>
      </c>
      <c r="AD34" s="37">
        <f t="shared" si="19"/>
        <v>1534999.9844006933</v>
      </c>
      <c r="AE34" s="37">
        <f t="shared" si="20"/>
        <v>2099841.5867808992</v>
      </c>
      <c r="AF34" s="38">
        <f t="shared" si="21"/>
        <v>1.2747311314427394E-3</v>
      </c>
      <c r="AH34" s="231"/>
    </row>
    <row r="35" spans="1:34">
      <c r="A35" s="250">
        <v>40</v>
      </c>
      <c r="B35" s="4" t="s">
        <v>19</v>
      </c>
      <c r="C35" s="32">
        <v>2080067</v>
      </c>
      <c r="D35" s="32">
        <v>650893</v>
      </c>
      <c r="E35" s="34">
        <f t="shared" si="0"/>
        <v>0.31291924731270676</v>
      </c>
      <c r="F35" s="35">
        <f t="shared" si="9"/>
        <v>203676.94764110964</v>
      </c>
      <c r="G35" s="79">
        <f t="shared" si="1"/>
        <v>7.9957417324622485E-5</v>
      </c>
      <c r="H35" s="30">
        <v>7026</v>
      </c>
      <c r="I35" s="73">
        <f t="shared" si="2"/>
        <v>1.2146374706497186E-3</v>
      </c>
      <c r="J35" s="31">
        <f t="shared" si="10"/>
        <v>1.0324418500522608E-3</v>
      </c>
      <c r="K35" s="32">
        <v>127.8</v>
      </c>
      <c r="L35" s="70">
        <f t="shared" si="3"/>
        <v>1.9920070328135614E-3</v>
      </c>
      <c r="M35" s="33">
        <f t="shared" si="11"/>
        <v>2.9880105492203422E-4</v>
      </c>
      <c r="N35" s="79">
        <f t="shared" si="12"/>
        <v>1.331242904974295E-3</v>
      </c>
      <c r="O35" s="197">
        <v>2843</v>
      </c>
      <c r="P35" s="197">
        <v>1571</v>
      </c>
      <c r="Q35" s="198">
        <v>1.4705313694</v>
      </c>
      <c r="R35" s="199">
        <f t="shared" si="13"/>
        <v>1.4606303861326581E-3</v>
      </c>
      <c r="S35" s="200">
        <f t="shared" si="4"/>
        <v>2.1479028019069082E-3</v>
      </c>
      <c r="T35" s="200">
        <f t="shared" si="14"/>
        <v>1.1140257561426585E-3</v>
      </c>
      <c r="U35" s="197">
        <f t="shared" si="15"/>
        <v>389961.8360145737</v>
      </c>
      <c r="V35" s="199">
        <f t="shared" si="5"/>
        <v>1.8096753660089115</v>
      </c>
      <c r="W35" s="199">
        <f t="shared" si="16"/>
        <v>2.4047421622479592E-2</v>
      </c>
      <c r="X35" s="197">
        <f t="shared" si="17"/>
        <v>1485483.1363708568</v>
      </c>
      <c r="Y35" s="32">
        <f t="shared" si="6"/>
        <v>1875444.9723854305</v>
      </c>
      <c r="Z35" s="201">
        <f t="shared" si="18"/>
        <v>4.5540351360931963E-3</v>
      </c>
      <c r="AB35" s="36">
        <f t="shared" si="7"/>
        <v>65856.205253185879</v>
      </c>
      <c r="AC35" s="37">
        <f t="shared" si="8"/>
        <v>548233.10285209073</v>
      </c>
      <c r="AD35" s="37">
        <f t="shared" si="19"/>
        <v>1875444.9723854298</v>
      </c>
      <c r="AE35" s="37">
        <f t="shared" si="20"/>
        <v>2489534.2804907067</v>
      </c>
      <c r="AF35" s="38">
        <f t="shared" si="21"/>
        <v>1.5112982189291841E-3</v>
      </c>
      <c r="AH35" s="231"/>
    </row>
    <row r="36" spans="1:34">
      <c r="A36" s="250">
        <v>41</v>
      </c>
      <c r="B36" s="4" t="s">
        <v>20</v>
      </c>
      <c r="C36" s="32">
        <v>619036</v>
      </c>
      <c r="D36" s="32">
        <v>121874</v>
      </c>
      <c r="E36" s="34">
        <f t="shared" si="0"/>
        <v>0.19687707984672942</v>
      </c>
      <c r="F36" s="35">
        <f t="shared" si="9"/>
        <v>23994.197229240301</v>
      </c>
      <c r="G36" s="79">
        <f t="shared" si="1"/>
        <v>9.4193970571878259E-6</v>
      </c>
      <c r="H36" s="30">
        <v>3298</v>
      </c>
      <c r="I36" s="73">
        <f t="shared" si="2"/>
        <v>5.7015006806188052E-4</v>
      </c>
      <c r="J36" s="31">
        <f t="shared" si="10"/>
        <v>4.8462755785259843E-4</v>
      </c>
      <c r="K36" s="32">
        <v>560.5</v>
      </c>
      <c r="L36" s="70">
        <f t="shared" si="3"/>
        <v>8.7364627691079895E-3</v>
      </c>
      <c r="M36" s="33">
        <f t="shared" si="11"/>
        <v>1.3104694153661983E-3</v>
      </c>
      <c r="N36" s="79">
        <f t="shared" si="12"/>
        <v>1.7950969732187967E-3</v>
      </c>
      <c r="O36" s="197">
        <v>2022</v>
      </c>
      <c r="P36" s="197">
        <v>1144</v>
      </c>
      <c r="Q36" s="198">
        <v>2.2004042460000002</v>
      </c>
      <c r="R36" s="199">
        <f t="shared" si="13"/>
        <v>1.0636290017414136E-3</v>
      </c>
      <c r="S36" s="200">
        <f t="shared" si="4"/>
        <v>2.3404137716005482E-3</v>
      </c>
      <c r="T36" s="200">
        <f t="shared" si="14"/>
        <v>1.2138730017388346E-3</v>
      </c>
      <c r="U36" s="197">
        <f t="shared" si="15"/>
        <v>424913.10621545475</v>
      </c>
      <c r="V36" s="199">
        <f t="shared" si="5"/>
        <v>1.7674825174825175</v>
      </c>
      <c r="W36" s="199">
        <f t="shared" si="16"/>
        <v>2.3486752434499599E-2</v>
      </c>
      <c r="X36" s="197">
        <f t="shared" si="17"/>
        <v>1450848.877575791</v>
      </c>
      <c r="Y36" s="32">
        <f t="shared" si="6"/>
        <v>1875761.9837912456</v>
      </c>
      <c r="Z36" s="201">
        <f t="shared" si="18"/>
        <v>4.5548049166529462E-3</v>
      </c>
      <c r="AB36" s="36">
        <f t="shared" si="7"/>
        <v>7758.2013866322104</v>
      </c>
      <c r="AC36" s="37">
        <f t="shared" si="8"/>
        <v>739257.7116248667</v>
      </c>
      <c r="AD36" s="37">
        <f t="shared" si="19"/>
        <v>1875761.9837912447</v>
      </c>
      <c r="AE36" s="37">
        <f t="shared" si="20"/>
        <v>2622777.8968027434</v>
      </c>
      <c r="AF36" s="38">
        <f t="shared" si="21"/>
        <v>1.5921851709965293E-3</v>
      </c>
      <c r="AH36" s="231"/>
    </row>
    <row r="37" spans="1:34">
      <c r="A37" s="250">
        <v>42</v>
      </c>
      <c r="B37" s="4" t="s">
        <v>135</v>
      </c>
      <c r="C37" s="32">
        <v>593222877</v>
      </c>
      <c r="D37" s="32">
        <v>127211041.94</v>
      </c>
      <c r="E37" s="34">
        <f t="shared" si="0"/>
        <v>0.21444055324252101</v>
      </c>
      <c r="F37" s="35">
        <f t="shared" si="9"/>
        <v>27279206.212171141</v>
      </c>
      <c r="G37" s="79">
        <f t="shared" si="1"/>
        <v>1.0708992356043926E-2</v>
      </c>
      <c r="H37" s="30">
        <v>471523</v>
      </c>
      <c r="I37" s="73">
        <f t="shared" si="2"/>
        <v>8.1515727878332944E-2</v>
      </c>
      <c r="J37" s="31">
        <f t="shared" si="10"/>
        <v>6.9288368696583003E-2</v>
      </c>
      <c r="K37" s="32">
        <v>247.3</v>
      </c>
      <c r="L37" s="70">
        <f t="shared" si="3"/>
        <v>3.8546427168606708E-3</v>
      </c>
      <c r="M37" s="33">
        <f t="shared" si="11"/>
        <v>5.7819640752910064E-4</v>
      </c>
      <c r="N37" s="79">
        <f t="shared" si="12"/>
        <v>6.9866565104112099E-2</v>
      </c>
      <c r="O37" s="197">
        <v>78885</v>
      </c>
      <c r="P37" s="197">
        <v>113737</v>
      </c>
      <c r="Q37" s="198">
        <v>1.9568038190999999</v>
      </c>
      <c r="R37" s="199">
        <f t="shared" si="13"/>
        <v>0.1057464788208594</v>
      </c>
      <c r="S37" s="200">
        <f t="shared" si="4"/>
        <v>0.20692511361303492</v>
      </c>
      <c r="T37" s="200">
        <f t="shared" si="14"/>
        <v>0.10732324849756292</v>
      </c>
      <c r="U37" s="197">
        <f t="shared" si="15"/>
        <v>37568225.689926095</v>
      </c>
      <c r="V37" s="199">
        <f t="shared" si="5"/>
        <v>0.69357377106834184</v>
      </c>
      <c r="W37" s="199">
        <f t="shared" si="16"/>
        <v>9.216382790222178E-3</v>
      </c>
      <c r="X37" s="197">
        <f t="shared" si="17"/>
        <v>569324.28882169444</v>
      </c>
      <c r="Y37" s="32">
        <f t="shared" si="6"/>
        <v>38137549.978747793</v>
      </c>
      <c r="Z37" s="201">
        <f t="shared" si="18"/>
        <v>9.260721864146175E-2</v>
      </c>
      <c r="AB37" s="36">
        <f t="shared" si="7"/>
        <v>8820364.9173801932</v>
      </c>
      <c r="AC37" s="37">
        <f t="shared" si="8"/>
        <v>28772482.940207351</v>
      </c>
      <c r="AD37" s="37">
        <f t="shared" si="19"/>
        <v>38137549.97874777</v>
      </c>
      <c r="AE37" s="37">
        <f t="shared" si="20"/>
        <v>75730397.836335316</v>
      </c>
      <c r="AF37" s="38">
        <f t="shared" si="21"/>
        <v>4.5972942114415417E-2</v>
      </c>
      <c r="AH37" s="231"/>
    </row>
    <row r="38" spans="1:34">
      <c r="A38" s="250">
        <v>43</v>
      </c>
      <c r="B38" s="4" t="s">
        <v>21</v>
      </c>
      <c r="C38" s="32">
        <v>3907034</v>
      </c>
      <c r="D38" s="32">
        <v>2452655</v>
      </c>
      <c r="E38" s="34">
        <f t="shared" si="0"/>
        <v>0.62775368732393932</v>
      </c>
      <c r="F38" s="35">
        <f t="shared" si="9"/>
        <v>1539663.2199834965</v>
      </c>
      <c r="G38" s="79">
        <f t="shared" si="1"/>
        <v>6.0442527269465398E-4</v>
      </c>
      <c r="H38" s="30">
        <v>5351</v>
      </c>
      <c r="I38" s="73">
        <f t="shared" si="2"/>
        <v>9.2506762104279034E-4</v>
      </c>
      <c r="J38" s="31">
        <f t="shared" si="10"/>
        <v>7.8630747788637173E-4</v>
      </c>
      <c r="K38" s="32">
        <v>3428</v>
      </c>
      <c r="L38" s="70">
        <f t="shared" si="3"/>
        <v>5.3431925731493649E-2</v>
      </c>
      <c r="M38" s="33">
        <f t="shared" si="11"/>
        <v>8.0147888597240473E-3</v>
      </c>
      <c r="N38" s="79">
        <f t="shared" si="12"/>
        <v>8.8010963376104184E-3</v>
      </c>
      <c r="O38" s="197">
        <v>2081</v>
      </c>
      <c r="P38" s="197">
        <v>764</v>
      </c>
      <c r="Q38" s="198">
        <v>1.7755281664</v>
      </c>
      <c r="R38" s="199">
        <f t="shared" si="13"/>
        <v>7.1032566200213284E-4</v>
      </c>
      <c r="S38" s="200">
        <f t="shared" si="4"/>
        <v>1.2612032202015131E-3</v>
      </c>
      <c r="T38" s="200">
        <f t="shared" si="14"/>
        <v>6.5413242619134164E-4</v>
      </c>
      <c r="U38" s="197">
        <f t="shared" si="15"/>
        <v>228977.36475814265</v>
      </c>
      <c r="V38" s="199">
        <f t="shared" si="5"/>
        <v>2.7238219895287958</v>
      </c>
      <c r="W38" s="199">
        <f t="shared" si="16"/>
        <v>3.6194831977647418E-2</v>
      </c>
      <c r="X38" s="197">
        <f t="shared" si="17"/>
        <v>2235866.0055392599</v>
      </c>
      <c r="Y38" s="32">
        <f t="shared" si="6"/>
        <v>2464843.3702974026</v>
      </c>
      <c r="Z38" s="201">
        <f t="shared" si="18"/>
        <v>5.98523735890975E-3</v>
      </c>
      <c r="AB38" s="36">
        <f t="shared" si="7"/>
        <v>497829.4215930631</v>
      </c>
      <c r="AC38" s="37">
        <f t="shared" si="8"/>
        <v>3624471.7892122762</v>
      </c>
      <c r="AD38" s="37">
        <f t="shared" si="19"/>
        <v>2464843.3702974012</v>
      </c>
      <c r="AE38" s="37">
        <f t="shared" si="20"/>
        <v>6587144.58110274</v>
      </c>
      <c r="AF38" s="38">
        <f t="shared" si="21"/>
        <v>3.9987960604773685E-3</v>
      </c>
      <c r="AH38" s="231"/>
    </row>
    <row r="39" spans="1:34">
      <c r="A39" s="250">
        <v>44</v>
      </c>
      <c r="B39" s="4" t="s">
        <v>22</v>
      </c>
      <c r="C39" s="32">
        <v>40511812</v>
      </c>
      <c r="D39" s="32">
        <v>11225818</v>
      </c>
      <c r="E39" s="34">
        <f t="shared" ref="E39:E58" si="22">+D39/C39</f>
        <v>0.27709987398243258</v>
      </c>
      <c r="F39" s="35">
        <f t="shared" si="9"/>
        <v>3110672.7531497232</v>
      </c>
      <c r="G39" s="79">
        <f t="shared" ref="G39:G57" si="23">+F39/F$58</f>
        <v>1.221156161089894E-3</v>
      </c>
      <c r="H39" s="30">
        <v>84666</v>
      </c>
      <c r="I39" s="73">
        <f t="shared" ref="I39:I57" si="24">+H39/$H$58</f>
        <v>1.4636848290638924E-2</v>
      </c>
      <c r="J39" s="31">
        <f t="shared" si="10"/>
        <v>1.2441321047043085E-2</v>
      </c>
      <c r="K39" s="32">
        <v>2509.1999999999998</v>
      </c>
      <c r="L39" s="70">
        <f t="shared" ref="L39:L58" si="25">+K39/$K$58</f>
        <v>3.9110673292142316E-2</v>
      </c>
      <c r="M39" s="33">
        <f t="shared" si="11"/>
        <v>5.8666009938213469E-3</v>
      </c>
      <c r="N39" s="79">
        <f t="shared" si="12"/>
        <v>1.8307922040864431E-2</v>
      </c>
      <c r="O39" s="197">
        <v>25760</v>
      </c>
      <c r="P39" s="197">
        <v>21267</v>
      </c>
      <c r="Q39" s="198">
        <v>2.0486592371999999</v>
      </c>
      <c r="R39" s="199">
        <f t="shared" si="13"/>
        <v>1.9772900332198112E-2</v>
      </c>
      <c r="S39" s="200">
        <f t="shared" si="4"/>
        <v>4.0507934911792609E-2</v>
      </c>
      <c r="T39" s="200">
        <f t="shared" si="14"/>
        <v>2.1009741585989696E-2</v>
      </c>
      <c r="U39" s="197">
        <f t="shared" si="15"/>
        <v>7354405.7288520308</v>
      </c>
      <c r="V39" s="199">
        <f t="shared" si="5"/>
        <v>1.2112662810927728</v>
      </c>
      <c r="W39" s="199">
        <f t="shared" si="16"/>
        <v>1.6095611127629923E-2</v>
      </c>
      <c r="X39" s="197">
        <f t="shared" si="17"/>
        <v>994275.36452916253</v>
      </c>
      <c r="Y39" s="32">
        <f t="shared" si="6"/>
        <v>8348681.0933811935</v>
      </c>
      <c r="Z39" s="201">
        <f t="shared" si="18"/>
        <v>2.027262201723572E-2</v>
      </c>
      <c r="AB39" s="36">
        <f t="shared" ref="AB39:AB57" si="26">+G39*AB$5</f>
        <v>1005794.252513499</v>
      </c>
      <c r="AC39" s="37">
        <f t="shared" ref="AC39:AC57" si="27">+N39*AC$5</f>
        <v>7539577.390221728</v>
      </c>
      <c r="AD39" s="37">
        <f t="shared" si="19"/>
        <v>8348681.0933811897</v>
      </c>
      <c r="AE39" s="37">
        <f t="shared" si="20"/>
        <v>16894052.736116417</v>
      </c>
      <c r="AF39" s="38">
        <f t="shared" si="21"/>
        <v>1.0255714095069982E-2</v>
      </c>
      <c r="AH39" s="231"/>
    </row>
    <row r="40" spans="1:34">
      <c r="A40" s="250">
        <v>46</v>
      </c>
      <c r="B40" s="4" t="s">
        <v>136</v>
      </c>
      <c r="C40" s="32">
        <v>2187206</v>
      </c>
      <c r="D40" s="32">
        <v>1555152</v>
      </c>
      <c r="E40" s="34">
        <f t="shared" si="22"/>
        <v>0.71102218995375832</v>
      </c>
      <c r="F40" s="35">
        <f t="shared" si="9"/>
        <v>1105747.5807509671</v>
      </c>
      <c r="G40" s="79">
        <f t="shared" si="23"/>
        <v>4.3408309970151856E-4</v>
      </c>
      <c r="H40" s="30">
        <v>5119</v>
      </c>
      <c r="I40" s="73">
        <f t="shared" si="24"/>
        <v>8.8496003590320376E-4</v>
      </c>
      <c r="J40" s="31">
        <f t="shared" si="10"/>
        <v>7.5221603051772322E-4</v>
      </c>
      <c r="K40" s="32">
        <v>264.89999999999998</v>
      </c>
      <c r="L40" s="70">
        <f t="shared" si="25"/>
        <v>4.1289723238835084E-3</v>
      </c>
      <c r="M40" s="33">
        <f t="shared" si="11"/>
        <v>6.1934584858252628E-4</v>
      </c>
      <c r="N40" s="79">
        <f t="shared" si="12"/>
        <v>1.3715618791002495E-3</v>
      </c>
      <c r="O40" s="197">
        <v>1318</v>
      </c>
      <c r="P40" s="197">
        <v>475</v>
      </c>
      <c r="Q40" s="198">
        <v>2.0058388967999998</v>
      </c>
      <c r="R40" s="199">
        <f t="shared" si="13"/>
        <v>4.4162917467410089E-4</v>
      </c>
      <c r="S40" s="200">
        <f t="shared" si="4"/>
        <v>8.8583697652299298E-4</v>
      </c>
      <c r="T40" s="200">
        <f t="shared" si="14"/>
        <v>4.5944593336068676E-4</v>
      </c>
      <c r="U40" s="197">
        <f t="shared" si="15"/>
        <v>160827.86123646804</v>
      </c>
      <c r="V40" s="199">
        <f t="shared" si="5"/>
        <v>2.7747368421052632</v>
      </c>
      <c r="W40" s="199">
        <f t="shared" si="16"/>
        <v>3.6871401350116108E-2</v>
      </c>
      <c r="X40" s="197">
        <f t="shared" si="17"/>
        <v>2277659.7749156714</v>
      </c>
      <c r="Y40" s="32">
        <f t="shared" si="6"/>
        <v>2438487.6361521394</v>
      </c>
      <c r="Z40" s="201">
        <f t="shared" si="18"/>
        <v>5.9212392458739965E-3</v>
      </c>
      <c r="AB40" s="36">
        <f t="shared" si="26"/>
        <v>357528.62795480905</v>
      </c>
      <c r="AC40" s="37">
        <f t="shared" si="27"/>
        <v>564837.2824546945</v>
      </c>
      <c r="AD40" s="37">
        <f t="shared" si="19"/>
        <v>2438487.6361521385</v>
      </c>
      <c r="AE40" s="37">
        <f t="shared" si="20"/>
        <v>3360853.5465616421</v>
      </c>
      <c r="AF40" s="38">
        <f t="shared" si="21"/>
        <v>2.0402418310943205E-3</v>
      </c>
      <c r="AH40" s="231"/>
    </row>
    <row r="41" spans="1:34">
      <c r="A41" s="250">
        <v>49</v>
      </c>
      <c r="B41" s="4" t="s">
        <v>23</v>
      </c>
      <c r="C41" s="32">
        <v>769899</v>
      </c>
      <c r="D41" s="32">
        <v>328826</v>
      </c>
      <c r="E41" s="34">
        <f t="shared" si="22"/>
        <v>0.42710277581864636</v>
      </c>
      <c r="F41" s="35">
        <f t="shared" si="9"/>
        <v>140442.49736134222</v>
      </c>
      <c r="G41" s="79">
        <f t="shared" si="23"/>
        <v>5.5133482221168719E-5</v>
      </c>
      <c r="H41" s="30">
        <v>1483</v>
      </c>
      <c r="I41" s="73">
        <f t="shared" si="24"/>
        <v>2.5637736535347747E-4</v>
      </c>
      <c r="J41" s="31">
        <f t="shared" si="10"/>
        <v>2.1792076055045584E-4</v>
      </c>
      <c r="K41" s="32">
        <v>207.9</v>
      </c>
      <c r="L41" s="70">
        <f t="shared" si="25"/>
        <v>3.2405184829572727E-3</v>
      </c>
      <c r="M41" s="33">
        <f t="shared" si="11"/>
        <v>4.8607777244359088E-4</v>
      </c>
      <c r="N41" s="79">
        <f t="shared" si="12"/>
        <v>7.0399853299404674E-4</v>
      </c>
      <c r="O41" s="197">
        <v>35</v>
      </c>
      <c r="P41" s="197">
        <v>141</v>
      </c>
      <c r="Q41" s="198">
        <v>1.5774653305999999</v>
      </c>
      <c r="R41" s="199">
        <f t="shared" si="13"/>
        <v>1.3109413395589101E-4</v>
      </c>
      <c r="S41" s="200">
        <f t="shared" si="4"/>
        <v>2.0679645136045029E-4</v>
      </c>
      <c r="T41" s="200">
        <f t="shared" si="14"/>
        <v>1.072565168637593E-4</v>
      </c>
      <c r="U41" s="197">
        <f t="shared" si="15"/>
        <v>37544.866454024392</v>
      </c>
      <c r="V41" s="199">
        <f t="shared" si="5"/>
        <v>0.24822695035460993</v>
      </c>
      <c r="W41" s="199">
        <f t="shared" si="16"/>
        <v>3.2985021763346587E-3</v>
      </c>
      <c r="X41" s="197">
        <f t="shared" si="17"/>
        <v>203758.61641845608</v>
      </c>
      <c r="Y41" s="32">
        <f t="shared" si="6"/>
        <v>241303.48287248047</v>
      </c>
      <c r="Z41" s="201">
        <f t="shared" si="18"/>
        <v>5.8594336578439389E-4</v>
      </c>
      <c r="AB41" s="36">
        <f t="shared" si="26"/>
        <v>45410.19511346885</v>
      </c>
      <c r="AC41" s="37">
        <f t="shared" si="27"/>
        <v>289921.01945069042</v>
      </c>
      <c r="AD41" s="37">
        <f t="shared" si="19"/>
        <v>241303.48287248038</v>
      </c>
      <c r="AE41" s="37">
        <f t="shared" si="20"/>
        <v>576634.69743663969</v>
      </c>
      <c r="AF41" s="38">
        <f t="shared" si="21"/>
        <v>3.5005221580519452E-4</v>
      </c>
      <c r="AH41" s="231"/>
    </row>
    <row r="42" spans="1:34">
      <c r="A42" s="250">
        <v>48</v>
      </c>
      <c r="B42" s="4" t="s">
        <v>24</v>
      </c>
      <c r="C42" s="32">
        <v>847487</v>
      </c>
      <c r="D42" s="32">
        <v>95366</v>
      </c>
      <c r="E42" s="34">
        <f t="shared" si="22"/>
        <v>0.11252797978022082</v>
      </c>
      <c r="F42" s="35">
        <f t="shared" si="9"/>
        <v>10731.343319720538</v>
      </c>
      <c r="G42" s="79">
        <f t="shared" si="23"/>
        <v>4.2128012335525978E-6</v>
      </c>
      <c r="H42" s="30">
        <v>7652</v>
      </c>
      <c r="I42" s="73">
        <f t="shared" si="24"/>
        <v>1.322858799517741E-3</v>
      </c>
      <c r="J42" s="31">
        <f t="shared" si="10"/>
        <v>1.1244299795900798E-3</v>
      </c>
      <c r="K42" s="32">
        <v>997.9</v>
      </c>
      <c r="L42" s="70">
        <f t="shared" si="25"/>
        <v>1.5554176980005108E-2</v>
      </c>
      <c r="M42" s="33">
        <f t="shared" si="11"/>
        <v>2.3331265470007659E-3</v>
      </c>
      <c r="N42" s="79">
        <f t="shared" si="12"/>
        <v>3.4575565265908457E-3</v>
      </c>
      <c r="O42" s="197">
        <v>5295</v>
      </c>
      <c r="P42" s="197">
        <v>4705</v>
      </c>
      <c r="Q42" s="198">
        <v>2.7540316573000001</v>
      </c>
      <c r="R42" s="199">
        <f t="shared" si="13"/>
        <v>4.3744531933508314E-3</v>
      </c>
      <c r="S42" s="200">
        <f t="shared" si="4"/>
        <v>1.2047382577865268E-2</v>
      </c>
      <c r="T42" s="200">
        <f t="shared" si="14"/>
        <v>6.2484645366312659E-3</v>
      </c>
      <c r="U42" s="197">
        <f t="shared" si="15"/>
        <v>2187258.857832592</v>
      </c>
      <c r="V42" s="199">
        <f t="shared" si="5"/>
        <v>1.1253985122210415</v>
      </c>
      <c r="W42" s="199">
        <f t="shared" si="16"/>
        <v>1.4954578608413996E-2</v>
      </c>
      <c r="X42" s="197">
        <f t="shared" si="17"/>
        <v>923790.27918589488</v>
      </c>
      <c r="Y42" s="32">
        <f t="shared" si="6"/>
        <v>3111049.1370184869</v>
      </c>
      <c r="Z42" s="201">
        <f t="shared" si="18"/>
        <v>7.5543816473986718E-3</v>
      </c>
      <c r="AB42" s="36">
        <f t="shared" si="26"/>
        <v>3469.8357201975127</v>
      </c>
      <c r="AC42" s="37">
        <f t="shared" si="27"/>
        <v>1423892.61627351</v>
      </c>
      <c r="AD42" s="37">
        <f t="shared" si="19"/>
        <v>3111049.1370184855</v>
      </c>
      <c r="AE42" s="37">
        <f t="shared" si="20"/>
        <v>4538411.5890121926</v>
      </c>
      <c r="AF42" s="38">
        <f t="shared" si="21"/>
        <v>2.7550909441141549E-3</v>
      </c>
      <c r="AH42" s="231"/>
    </row>
    <row r="43" spans="1:34">
      <c r="A43" s="250">
        <v>47</v>
      </c>
      <c r="B43" s="4" t="s">
        <v>25</v>
      </c>
      <c r="C43" s="32">
        <v>4772320</v>
      </c>
      <c r="D43" s="32">
        <v>736730</v>
      </c>
      <c r="E43" s="34">
        <f t="shared" si="22"/>
        <v>0.1543756495792403</v>
      </c>
      <c r="F43" s="35">
        <f t="shared" si="9"/>
        <v>113733.17231451371</v>
      </c>
      <c r="G43" s="79">
        <f t="shared" si="23"/>
        <v>4.4648207996658434E-5</v>
      </c>
      <c r="H43" s="30">
        <v>6048</v>
      </c>
      <c r="I43" s="73">
        <f t="shared" si="24"/>
        <v>1.0455632539837032E-3</v>
      </c>
      <c r="J43" s="31">
        <f t="shared" si="10"/>
        <v>8.8872876588614767E-4</v>
      </c>
      <c r="K43" s="32">
        <v>3860</v>
      </c>
      <c r="L43" s="70">
        <f t="shared" si="25"/>
        <v>6.0165470631145121E-2</v>
      </c>
      <c r="M43" s="33">
        <f t="shared" si="11"/>
        <v>9.0248205946717678E-3</v>
      </c>
      <c r="N43" s="79">
        <f t="shared" si="12"/>
        <v>9.9135493605579158E-3</v>
      </c>
      <c r="O43" s="197">
        <v>1618</v>
      </c>
      <c r="P43" s="197">
        <v>916</v>
      </c>
      <c r="Q43" s="198">
        <v>2.0422796606000002</v>
      </c>
      <c r="R43" s="199">
        <f t="shared" si="13"/>
        <v>8.5164699789784515E-4</v>
      </c>
      <c r="S43" s="200">
        <f t="shared" si="4"/>
        <v>1.7393013418178203E-3</v>
      </c>
      <c r="T43" s="200">
        <f t="shared" si="14"/>
        <v>9.0210157124349997E-4</v>
      </c>
      <c r="U43" s="197">
        <f t="shared" si="15"/>
        <v>315778.322946331</v>
      </c>
      <c r="V43" s="199">
        <f t="shared" si="5"/>
        <v>1.7663755458515285</v>
      </c>
      <c r="W43" s="199">
        <f t="shared" si="16"/>
        <v>2.3472042716925653E-2</v>
      </c>
      <c r="X43" s="197">
        <f t="shared" si="17"/>
        <v>1449940.2131152132</v>
      </c>
      <c r="Y43" s="32">
        <f t="shared" si="6"/>
        <v>1765718.5360615442</v>
      </c>
      <c r="Z43" s="201">
        <f t="shared" si="18"/>
        <v>4.2875927430958208E-3</v>
      </c>
      <c r="AB43" s="36">
        <f t="shared" si="26"/>
        <v>36774.093616320482</v>
      </c>
      <c r="AC43" s="37">
        <f t="shared" si="27"/>
        <v>4082602.7360656387</v>
      </c>
      <c r="AD43" s="37">
        <f t="shared" si="19"/>
        <v>1765718.5360615435</v>
      </c>
      <c r="AE43" s="37">
        <f t="shared" si="20"/>
        <v>5885095.365743503</v>
      </c>
      <c r="AF43" s="38">
        <f t="shared" si="21"/>
        <v>3.572609629911763E-3</v>
      </c>
      <c r="AH43" s="231"/>
    </row>
    <row r="44" spans="1:34">
      <c r="A44" s="250">
        <v>45</v>
      </c>
      <c r="B44" s="4" t="s">
        <v>26</v>
      </c>
      <c r="C44" s="32">
        <v>62554222</v>
      </c>
      <c r="D44" s="32">
        <v>20566369</v>
      </c>
      <c r="E44" s="34">
        <f t="shared" si="22"/>
        <v>0.32877667313966435</v>
      </c>
      <c r="F44" s="35">
        <f t="shared" si="9"/>
        <v>6761742.3783827256</v>
      </c>
      <c r="G44" s="79">
        <f t="shared" si="23"/>
        <v>2.6544558107900926E-3</v>
      </c>
      <c r="H44" s="30">
        <v>67428</v>
      </c>
      <c r="I44" s="73">
        <f t="shared" si="24"/>
        <v>1.1656785563758786E-2</v>
      </c>
      <c r="J44" s="31">
        <f t="shared" si="10"/>
        <v>9.9082677291949667E-3</v>
      </c>
      <c r="K44" s="32">
        <v>1869</v>
      </c>
      <c r="L44" s="70">
        <f t="shared" si="25"/>
        <v>2.913193383668659E-2</v>
      </c>
      <c r="M44" s="33">
        <f t="shared" si="11"/>
        <v>4.3697900755029885E-3</v>
      </c>
      <c r="N44" s="79">
        <f t="shared" si="12"/>
        <v>1.4278057804697954E-2</v>
      </c>
      <c r="O44" s="197">
        <v>15090</v>
      </c>
      <c r="P44" s="197">
        <v>11157</v>
      </c>
      <c r="Q44" s="198">
        <v>1.7986407321</v>
      </c>
      <c r="R44" s="199">
        <f t="shared" si="13"/>
        <v>1.037317200387146E-2</v>
      </c>
      <c r="S44" s="200">
        <f t="shared" si="4"/>
        <v>1.8657609687242588E-2</v>
      </c>
      <c r="T44" s="200">
        <f t="shared" si="14"/>
        <v>9.6769079686436638E-3</v>
      </c>
      <c r="U44" s="197">
        <f t="shared" si="15"/>
        <v>3387376.6181695922</v>
      </c>
      <c r="V44" s="199">
        <f t="shared" si="5"/>
        <v>1.352514116698037</v>
      </c>
      <c r="W44" s="199">
        <f t="shared" si="16"/>
        <v>1.7972547908591634E-2</v>
      </c>
      <c r="X44" s="197">
        <f t="shared" si="17"/>
        <v>1110219.5177079984</v>
      </c>
      <c r="Y44" s="32">
        <f t="shared" si="6"/>
        <v>4497596.1358775906</v>
      </c>
      <c r="Z44" s="201">
        <f t="shared" si="18"/>
        <v>1.0921253959635852E-2</v>
      </c>
      <c r="AB44" s="36">
        <f t="shared" si="26"/>
        <v>2186318.5750632253</v>
      </c>
      <c r="AC44" s="37">
        <f t="shared" si="27"/>
        <v>5879996.7336706407</v>
      </c>
      <c r="AD44" s="37">
        <f t="shared" si="19"/>
        <v>4497596.1358775888</v>
      </c>
      <c r="AE44" s="37">
        <f t="shared" si="20"/>
        <v>12563911.444611454</v>
      </c>
      <c r="AF44" s="38">
        <f t="shared" si="21"/>
        <v>7.6270558464784973E-3</v>
      </c>
      <c r="AH44" s="231"/>
    </row>
    <row r="45" spans="1:34">
      <c r="A45" s="250">
        <v>70</v>
      </c>
      <c r="B45" s="4" t="s">
        <v>27</v>
      </c>
      <c r="C45" s="32">
        <v>2616832733</v>
      </c>
      <c r="D45" s="32">
        <v>1530787885.22</v>
      </c>
      <c r="E45" s="34">
        <f t="shared" si="22"/>
        <v>0.58497735293347086</v>
      </c>
      <c r="F45" s="35">
        <f t="shared" si="9"/>
        <v>895476244.99862146</v>
      </c>
      <c r="G45" s="79">
        <f t="shared" si="23"/>
        <v>0.35153692479624093</v>
      </c>
      <c r="H45" s="30">
        <v>1142994</v>
      </c>
      <c r="I45" s="73">
        <f t="shared" si="24"/>
        <v>0.19759797055619194</v>
      </c>
      <c r="J45" s="31">
        <f t="shared" si="10"/>
        <v>0.16795827497276314</v>
      </c>
      <c r="K45" s="32">
        <v>324.39999999999998</v>
      </c>
      <c r="L45" s="70">
        <f t="shared" si="25"/>
        <v>5.0563934385345795E-3</v>
      </c>
      <c r="M45" s="33">
        <f t="shared" si="11"/>
        <v>7.584590157801869E-4</v>
      </c>
      <c r="N45" s="79">
        <f t="shared" si="12"/>
        <v>0.16871673398854334</v>
      </c>
      <c r="O45" s="197">
        <v>182930</v>
      </c>
      <c r="P45" s="197">
        <v>207064</v>
      </c>
      <c r="Q45" s="198">
        <v>1.9809358914999999</v>
      </c>
      <c r="R45" s="199">
        <f t="shared" si="13"/>
        <v>0.19251684931519586</v>
      </c>
      <c r="S45" s="200">
        <f t="shared" si="4"/>
        <v>0.38136353652696864</v>
      </c>
      <c r="T45" s="200">
        <f t="shared" si="14"/>
        <v>0.19779703335156221</v>
      </c>
      <c r="U45" s="197">
        <f t="shared" si="15"/>
        <v>69238340.189805835</v>
      </c>
      <c r="V45" s="199">
        <f t="shared" si="5"/>
        <v>0.8834466638334042</v>
      </c>
      <c r="W45" s="199">
        <f t="shared" si="16"/>
        <v>1.1739461565986884E-2</v>
      </c>
      <c r="X45" s="197">
        <f t="shared" si="17"/>
        <v>725182.61874884402</v>
      </c>
      <c r="Y45" s="32">
        <f t="shared" si="6"/>
        <v>69963522.808554679</v>
      </c>
      <c r="Z45" s="201">
        <f t="shared" si="18"/>
        <v>0.16988839758372584</v>
      </c>
      <c r="AB45" s="36">
        <f t="shared" si="26"/>
        <v>289540215.88095754</v>
      </c>
      <c r="AC45" s="37">
        <f t="shared" si="27"/>
        <v>69481007.734945193</v>
      </c>
      <c r="AD45" s="37">
        <f t="shared" si="19"/>
        <v>69963522.808554649</v>
      </c>
      <c r="AE45" s="37">
        <f t="shared" si="20"/>
        <v>428984746.42445737</v>
      </c>
      <c r="AF45" s="38">
        <f t="shared" si="21"/>
        <v>0.26041974529118772</v>
      </c>
      <c r="AH45" s="231"/>
    </row>
    <row r="46" spans="1:34">
      <c r="A46" s="250">
        <v>50</v>
      </c>
      <c r="B46" s="4" t="s">
        <v>137</v>
      </c>
      <c r="C46" s="32">
        <v>1399134</v>
      </c>
      <c r="D46" s="32">
        <v>409925</v>
      </c>
      <c r="E46" s="34">
        <f t="shared" si="22"/>
        <v>0.29298480345699557</v>
      </c>
      <c r="F46" s="35">
        <f t="shared" si="9"/>
        <v>120101.79555710891</v>
      </c>
      <c r="G46" s="79">
        <f t="shared" si="23"/>
        <v>4.7148337109398017E-5</v>
      </c>
      <c r="H46" s="30">
        <v>906</v>
      </c>
      <c r="I46" s="73">
        <f t="shared" si="24"/>
        <v>1.5662703507097141E-4</v>
      </c>
      <c r="J46" s="31">
        <f t="shared" si="10"/>
        <v>1.331329798103257E-4</v>
      </c>
      <c r="K46" s="32">
        <v>1171.2</v>
      </c>
      <c r="L46" s="70">
        <f t="shared" si="25"/>
        <v>1.8255388394610668E-2</v>
      </c>
      <c r="M46" s="33">
        <f t="shared" si="11"/>
        <v>2.7383082591916001E-3</v>
      </c>
      <c r="N46" s="79">
        <f t="shared" si="12"/>
        <v>2.8714412390019256E-3</v>
      </c>
      <c r="O46" s="197">
        <v>133</v>
      </c>
      <c r="P46" s="197">
        <v>63</v>
      </c>
      <c r="Q46" s="198">
        <v>1.7977681072</v>
      </c>
      <c r="R46" s="199">
        <f t="shared" si="13"/>
        <v>5.8573974746249173E-5</v>
      </c>
      <c r="S46" s="200">
        <f t="shared" si="4"/>
        <v>1.0530242371074497E-4</v>
      </c>
      <c r="T46" s="200">
        <f t="shared" si="14"/>
        <v>5.4615884896592997E-5</v>
      </c>
      <c r="U46" s="197">
        <f t="shared" si="15"/>
        <v>19118.149317823008</v>
      </c>
      <c r="V46" s="199">
        <f t="shared" si="5"/>
        <v>2.1111111111111112</v>
      </c>
      <c r="W46" s="199">
        <f t="shared" si="16"/>
        <v>2.8052975652065243E-2</v>
      </c>
      <c r="X46" s="197">
        <f t="shared" si="17"/>
        <v>1732918.5186826789</v>
      </c>
      <c r="Y46" s="32">
        <f t="shared" si="6"/>
        <v>1752036.668000502</v>
      </c>
      <c r="Z46" s="201">
        <f t="shared" si="18"/>
        <v>4.254369849971888E-3</v>
      </c>
      <c r="AB46" s="36">
        <f t="shared" si="26"/>
        <v>38833.302399160209</v>
      </c>
      <c r="AC46" s="37">
        <f t="shared" si="27"/>
        <v>1182518.3324795815</v>
      </c>
      <c r="AD46" s="37">
        <f t="shared" si="19"/>
        <v>1752036.6680005011</v>
      </c>
      <c r="AE46" s="37">
        <f t="shared" si="20"/>
        <v>2973388.3028792427</v>
      </c>
      <c r="AF46" s="38">
        <f t="shared" si="21"/>
        <v>1.805026940798152E-3</v>
      </c>
      <c r="AH46" s="231"/>
    </row>
    <row r="47" spans="1:34">
      <c r="A47" s="250">
        <v>51</v>
      </c>
      <c r="B47" s="4" t="s">
        <v>138</v>
      </c>
      <c r="C47" s="32">
        <v>110604359</v>
      </c>
      <c r="D47" s="32">
        <v>24732378.239999998</v>
      </c>
      <c r="E47" s="34">
        <f t="shared" si="22"/>
        <v>0.22361124338689037</v>
      </c>
      <c r="F47" s="35">
        <f t="shared" si="9"/>
        <v>5530437.8501612712</v>
      </c>
      <c r="G47" s="79">
        <f t="shared" si="23"/>
        <v>2.1710828461177327E-3</v>
      </c>
      <c r="H47" s="30">
        <v>147624</v>
      </c>
      <c r="I47" s="73">
        <f t="shared" si="24"/>
        <v>2.5520871330372057E-2</v>
      </c>
      <c r="J47" s="31">
        <f t="shared" si="10"/>
        <v>2.1692740630816248E-2</v>
      </c>
      <c r="K47" s="32">
        <v>322.8</v>
      </c>
      <c r="L47" s="70">
        <f t="shared" si="25"/>
        <v>5.0314543833506857E-3</v>
      </c>
      <c r="M47" s="33">
        <f t="shared" si="11"/>
        <v>7.5471815750260279E-4</v>
      </c>
      <c r="N47" s="79">
        <f t="shared" si="12"/>
        <v>2.2447458788318851E-2</v>
      </c>
      <c r="O47" s="197">
        <v>19678</v>
      </c>
      <c r="P47" s="197">
        <v>32877</v>
      </c>
      <c r="Q47" s="198">
        <v>1.8363293522999999</v>
      </c>
      <c r="R47" s="199">
        <f t="shared" si="13"/>
        <v>3.0567247106864034E-2</v>
      </c>
      <c r="S47" s="200">
        <f t="shared" si="4"/>
        <v>5.6131533081341681E-2</v>
      </c>
      <c r="T47" s="200">
        <f t="shared" si="14"/>
        <v>2.9113036925540778E-2</v>
      </c>
      <c r="U47" s="197">
        <f t="shared" si="15"/>
        <v>10190943.314231718</v>
      </c>
      <c r="V47" s="199">
        <f t="shared" si="5"/>
        <v>0.59853392949478357</v>
      </c>
      <c r="W47" s="199">
        <f t="shared" si="16"/>
        <v>7.953469461024678E-3</v>
      </c>
      <c r="X47" s="197">
        <f t="shared" si="17"/>
        <v>491310.25128067425</v>
      </c>
      <c r="Y47" s="32">
        <f t="shared" si="6"/>
        <v>10682253.565512393</v>
      </c>
      <c r="Z47" s="201">
        <f t="shared" si="18"/>
        <v>2.5939101805863347E-2</v>
      </c>
      <c r="AB47" s="36">
        <f t="shared" si="26"/>
        <v>1788192.7946110712</v>
      </c>
      <c r="AC47" s="37">
        <f t="shared" si="27"/>
        <v>9244323.4338981137</v>
      </c>
      <c r="AD47" s="37">
        <f t="shared" si="19"/>
        <v>10682253.565512387</v>
      </c>
      <c r="AE47" s="37">
        <f t="shared" si="20"/>
        <v>21714769.794021569</v>
      </c>
      <c r="AF47" s="38">
        <f t="shared" si="21"/>
        <v>1.3182181571604413E-2</v>
      </c>
      <c r="AH47" s="231"/>
    </row>
    <row r="48" spans="1:34">
      <c r="A48" s="250">
        <v>52</v>
      </c>
      <c r="B48" s="4" t="s">
        <v>139</v>
      </c>
      <c r="C48" s="32">
        <v>8051951</v>
      </c>
      <c r="D48" s="32">
        <v>1668066</v>
      </c>
      <c r="E48" s="34">
        <f t="shared" si="22"/>
        <v>0.20716295963549702</v>
      </c>
      <c r="F48" s="35">
        <f t="shared" si="9"/>
        <v>345561.48942734499</v>
      </c>
      <c r="G48" s="79">
        <f t="shared" si="23"/>
        <v>1.3565700262823229E-4</v>
      </c>
      <c r="H48" s="30">
        <v>5389</v>
      </c>
      <c r="I48" s="73">
        <f t="shared" si="24"/>
        <v>9.3163696688461914E-4</v>
      </c>
      <c r="J48" s="31">
        <f t="shared" si="10"/>
        <v>7.918914218519263E-4</v>
      </c>
      <c r="K48" s="32">
        <v>1341</v>
      </c>
      <c r="L48" s="70">
        <f t="shared" si="25"/>
        <v>2.0902045626001453E-2</v>
      </c>
      <c r="M48" s="33">
        <f t="shared" si="11"/>
        <v>3.135306843900218E-3</v>
      </c>
      <c r="N48" s="79">
        <f t="shared" si="12"/>
        <v>3.927198265752144E-3</v>
      </c>
      <c r="O48" s="197">
        <v>1611</v>
      </c>
      <c r="P48" s="197">
        <v>1054</v>
      </c>
      <c r="Q48" s="198">
        <v>2.1403267704000002</v>
      </c>
      <c r="R48" s="199">
        <f t="shared" si="13"/>
        <v>9.7995189496105769E-4</v>
      </c>
      <c r="S48" s="200">
        <f t="shared" si="4"/>
        <v>2.0974172744893608E-3</v>
      </c>
      <c r="T48" s="200">
        <f t="shared" si="14"/>
        <v>1.0878410620281658E-3</v>
      </c>
      <c r="U48" s="197">
        <f t="shared" si="15"/>
        <v>380795.95153114526</v>
      </c>
      <c r="V48" s="199">
        <f t="shared" si="5"/>
        <v>1.5284629981024669</v>
      </c>
      <c r="W48" s="199">
        <f t="shared" si="16"/>
        <v>2.0310600917771596E-2</v>
      </c>
      <c r="X48" s="197">
        <f t="shared" si="17"/>
        <v>1254648.2374103747</v>
      </c>
      <c r="Y48" s="32">
        <f t="shared" si="6"/>
        <v>1635444.1889415199</v>
      </c>
      <c r="Z48" s="201">
        <f t="shared" si="18"/>
        <v>3.9712550403896776E-3</v>
      </c>
      <c r="AB48" s="36">
        <f t="shared" si="26"/>
        <v>111732.66606206032</v>
      </c>
      <c r="AC48" s="37">
        <f t="shared" si="27"/>
        <v>1617300.7065079683</v>
      </c>
      <c r="AD48" s="37">
        <f t="shared" si="19"/>
        <v>1635444.188941519</v>
      </c>
      <c r="AE48" s="37">
        <f t="shared" si="20"/>
        <v>3364477.5615115473</v>
      </c>
      <c r="AF48" s="38">
        <f t="shared" si="21"/>
        <v>2.0424418278495709E-3</v>
      </c>
      <c r="AH48" s="231"/>
    </row>
    <row r="49" spans="1:34">
      <c r="A49" s="250">
        <v>53</v>
      </c>
      <c r="B49" s="4" t="s">
        <v>28</v>
      </c>
      <c r="C49" s="32">
        <v>1112166</v>
      </c>
      <c r="D49" s="32">
        <v>267154</v>
      </c>
      <c r="E49" s="34">
        <f t="shared" si="22"/>
        <v>0.24021054410942252</v>
      </c>
      <c r="F49" s="35">
        <f t="shared" si="9"/>
        <v>64173.207701008665</v>
      </c>
      <c r="G49" s="79">
        <f t="shared" si="23"/>
        <v>2.5192462910680293E-5</v>
      </c>
      <c r="H49" s="30">
        <v>2377</v>
      </c>
      <c r="I49" s="73">
        <f t="shared" si="24"/>
        <v>4.1092987015860824E-4</v>
      </c>
      <c r="J49" s="31">
        <f t="shared" si="10"/>
        <v>3.4929038963481702E-4</v>
      </c>
      <c r="K49" s="32">
        <v>683.1</v>
      </c>
      <c r="L49" s="70">
        <f t="shared" si="25"/>
        <v>1.0647417872573894E-2</v>
      </c>
      <c r="M49" s="33">
        <f t="shared" si="11"/>
        <v>1.5971126808860842E-3</v>
      </c>
      <c r="N49" s="79">
        <f t="shared" si="12"/>
        <v>1.9464030705209012E-3</v>
      </c>
      <c r="O49" s="197">
        <v>1875</v>
      </c>
      <c r="P49" s="197">
        <v>790</v>
      </c>
      <c r="Q49" s="198">
        <v>2.1956719391999999</v>
      </c>
      <c r="R49" s="199">
        <f t="shared" si="13"/>
        <v>7.3449904840534679E-4</v>
      </c>
      <c r="S49" s="200">
        <f t="shared" si="4"/>
        <v>1.6127189499527224E-3</v>
      </c>
      <c r="T49" s="200">
        <f t="shared" si="14"/>
        <v>8.3644867266416574E-4</v>
      </c>
      <c r="U49" s="197">
        <f t="shared" si="15"/>
        <v>292796.69552119519</v>
      </c>
      <c r="V49" s="199">
        <f t="shared" si="5"/>
        <v>2.3734177215189876</v>
      </c>
      <c r="W49" s="199">
        <f t="shared" si="16"/>
        <v>3.1538571893977414E-2</v>
      </c>
      <c r="X49" s="197">
        <f t="shared" si="17"/>
        <v>1948234.5105110067</v>
      </c>
      <c r="Y49" s="32">
        <f t="shared" si="6"/>
        <v>2241031.2060322016</v>
      </c>
      <c r="Z49" s="201">
        <f t="shared" si="18"/>
        <v>5.4417671558611496E-3</v>
      </c>
      <c r="AB49" s="36">
        <f t="shared" si="26"/>
        <v>20749.544742587983</v>
      </c>
      <c r="AC49" s="37">
        <f t="shared" si="27"/>
        <v>801568.66246217827</v>
      </c>
      <c r="AD49" s="37">
        <f t="shared" si="19"/>
        <v>2241031.2060322007</v>
      </c>
      <c r="AE49" s="37">
        <f t="shared" si="20"/>
        <v>3063349.4132369668</v>
      </c>
      <c r="AF49" s="38">
        <f t="shared" si="21"/>
        <v>1.8596387880508525E-3</v>
      </c>
      <c r="AH49" s="231"/>
    </row>
    <row r="50" spans="1:34">
      <c r="A50" s="250">
        <v>54</v>
      </c>
      <c r="B50" s="4" t="s">
        <v>29</v>
      </c>
      <c r="C50" s="32">
        <v>18582885</v>
      </c>
      <c r="D50" s="32">
        <v>7763840.4800000004</v>
      </c>
      <c r="E50" s="34">
        <f t="shared" si="22"/>
        <v>0.41779521748103166</v>
      </c>
      <c r="F50" s="35">
        <f t="shared" si="9"/>
        <v>3243695.4218296376</v>
      </c>
      <c r="G50" s="79">
        <f t="shared" si="23"/>
        <v>1.2733768426960244E-3</v>
      </c>
      <c r="H50" s="30">
        <v>34709</v>
      </c>
      <c r="I50" s="73">
        <f t="shared" si="24"/>
        <v>6.0004059164220159E-3</v>
      </c>
      <c r="J50" s="31">
        <f t="shared" si="10"/>
        <v>5.1003450289587131E-3</v>
      </c>
      <c r="K50" s="32">
        <v>1541.5</v>
      </c>
      <c r="L50" s="70">
        <f t="shared" si="25"/>
        <v>2.4027220978733214E-2</v>
      </c>
      <c r="M50" s="33">
        <f t="shared" si="11"/>
        <v>3.6040831468099818E-3</v>
      </c>
      <c r="N50" s="79">
        <f t="shared" si="12"/>
        <v>8.7044281757686949E-3</v>
      </c>
      <c r="O50" s="197">
        <v>9838</v>
      </c>
      <c r="P50" s="197">
        <v>7575</v>
      </c>
      <c r="Q50" s="198">
        <v>1.6303971907999999</v>
      </c>
      <c r="R50" s="199">
        <f t="shared" si="13"/>
        <v>7.0428231540132936E-3</v>
      </c>
      <c r="S50" s="200">
        <f t="shared" si="4"/>
        <v>1.1482599085604469E-2</v>
      </c>
      <c r="T50" s="200">
        <f t="shared" si="14"/>
        <v>5.9555353796581761E-3</v>
      </c>
      <c r="U50" s="197">
        <f t="shared" si="15"/>
        <v>2084719.7636998354</v>
      </c>
      <c r="V50" s="199">
        <f t="shared" si="5"/>
        <v>1.2987458745874587</v>
      </c>
      <c r="W50" s="199">
        <f t="shared" si="16"/>
        <v>1.7258061978010494E-2</v>
      </c>
      <c r="X50" s="197">
        <f t="shared" si="17"/>
        <v>1066083.5260114763</v>
      </c>
      <c r="Y50" s="32">
        <f t="shared" si="6"/>
        <v>3150803.2897113115</v>
      </c>
      <c r="Z50" s="201">
        <f t="shared" si="18"/>
        <v>7.6509143694110191E-3</v>
      </c>
      <c r="AB50" s="36">
        <f t="shared" si="26"/>
        <v>1048805.3456851584</v>
      </c>
      <c r="AC50" s="37">
        <f t="shared" si="27"/>
        <v>3584661.8596228152</v>
      </c>
      <c r="AD50" s="37">
        <f t="shared" si="19"/>
        <v>3150803.2897113101</v>
      </c>
      <c r="AE50" s="37">
        <f t="shared" si="20"/>
        <v>7784270.4950192831</v>
      </c>
      <c r="AF50" s="38">
        <f t="shared" si="21"/>
        <v>4.7255240576429399E-3</v>
      </c>
      <c r="AH50" s="231"/>
    </row>
    <row r="51" spans="1:34">
      <c r="A51" s="250">
        <v>55</v>
      </c>
      <c r="B51" s="4" t="s">
        <v>30</v>
      </c>
      <c r="C51" s="32">
        <v>126915948</v>
      </c>
      <c r="D51" s="32">
        <v>36493940.880000003</v>
      </c>
      <c r="E51" s="34">
        <f t="shared" si="22"/>
        <v>0.28754416962634199</v>
      </c>
      <c r="F51" s="35">
        <f t="shared" si="9"/>
        <v>10493619.926732417</v>
      </c>
      <c r="G51" s="79">
        <f t="shared" si="23"/>
        <v>4.1194782102005932E-3</v>
      </c>
      <c r="H51" s="30">
        <v>86766</v>
      </c>
      <c r="I51" s="73">
        <f t="shared" si="24"/>
        <v>1.4999891087161044E-2</v>
      </c>
      <c r="J51" s="31">
        <f t="shared" si="10"/>
        <v>1.2749907424086887E-2</v>
      </c>
      <c r="K51" s="32">
        <v>1667.4</v>
      </c>
      <c r="L51" s="70">
        <f t="shared" si="25"/>
        <v>2.5989612883515902E-2</v>
      </c>
      <c r="M51" s="33">
        <f t="shared" si="11"/>
        <v>3.8984419325273851E-3</v>
      </c>
      <c r="N51" s="79">
        <f t="shared" si="12"/>
        <v>1.6648349356614273E-2</v>
      </c>
      <c r="O51" s="197">
        <v>13606</v>
      </c>
      <c r="P51" s="197">
        <v>22970</v>
      </c>
      <c r="Q51" s="198">
        <v>1.9100372027999999</v>
      </c>
      <c r="R51" s="199">
        <f t="shared" si="13"/>
        <v>2.1356257141608628E-2</v>
      </c>
      <c r="S51" s="200">
        <f t="shared" si="4"/>
        <v>4.0791245653035664E-2</v>
      </c>
      <c r="T51" s="200">
        <f t="shared" si="14"/>
        <v>2.1156682808123412E-2</v>
      </c>
      <c r="U51" s="197">
        <f t="shared" si="15"/>
        <v>7405842.1237949058</v>
      </c>
      <c r="V51" s="199">
        <f t="shared" si="5"/>
        <v>0.59233783195472356</v>
      </c>
      <c r="W51" s="199">
        <f t="shared" si="16"/>
        <v>7.8711341578214088E-3</v>
      </c>
      <c r="X51" s="197">
        <f t="shared" si="17"/>
        <v>486224.14656822121</v>
      </c>
      <c r="Y51" s="32">
        <f t="shared" si="6"/>
        <v>7892066.2703631269</v>
      </c>
      <c r="Z51" s="201">
        <f t="shared" si="18"/>
        <v>1.91638505105781E-2</v>
      </c>
      <c r="AB51" s="36">
        <f t="shared" si="26"/>
        <v>3392971.054149515</v>
      </c>
      <c r="AC51" s="37">
        <f t="shared" si="27"/>
        <v>6856131.3574238261</v>
      </c>
      <c r="AD51" s="37">
        <f t="shared" si="19"/>
        <v>7892066.2703631232</v>
      </c>
      <c r="AE51" s="37">
        <f t="shared" si="20"/>
        <v>18141168.681936465</v>
      </c>
      <c r="AF51" s="38">
        <f t="shared" si="21"/>
        <v>1.1012789071898389E-2</v>
      </c>
      <c r="AH51" s="231"/>
    </row>
    <row r="52" spans="1:34">
      <c r="A52" s="250">
        <v>58</v>
      </c>
      <c r="B52" s="4" t="s">
        <v>140</v>
      </c>
      <c r="C52" s="32">
        <v>649205075</v>
      </c>
      <c r="D52" s="32">
        <v>353219962.69999999</v>
      </c>
      <c r="E52" s="34">
        <f t="shared" si="22"/>
        <v>0.54408071702150507</v>
      </c>
      <c r="F52" s="35">
        <f t="shared" si="9"/>
        <v>192180170.57212526</v>
      </c>
      <c r="G52" s="79">
        <f t="shared" si="23"/>
        <v>7.5444129922001391E-2</v>
      </c>
      <c r="H52" s="30">
        <v>412199</v>
      </c>
      <c r="I52" s="73">
        <f t="shared" si="24"/>
        <v>7.125994175410523E-2</v>
      </c>
      <c r="J52" s="31">
        <f t="shared" si="10"/>
        <v>6.0570950490989442E-2</v>
      </c>
      <c r="K52" s="32">
        <v>60.1</v>
      </c>
      <c r="L52" s="70">
        <f t="shared" si="25"/>
        <v>9.3677326034503157E-4</v>
      </c>
      <c r="M52" s="33">
        <f t="shared" si="11"/>
        <v>1.4051598905175474E-4</v>
      </c>
      <c r="N52" s="79">
        <f t="shared" si="12"/>
        <v>6.07114664800412E-2</v>
      </c>
      <c r="O52" s="197">
        <v>47668</v>
      </c>
      <c r="P52" s="197">
        <v>40796</v>
      </c>
      <c r="Q52" s="198">
        <v>1.7340616191</v>
      </c>
      <c r="R52" s="199">
        <f t="shared" si="13"/>
        <v>3.7929902757904463E-2</v>
      </c>
      <c r="S52" s="200">
        <f t="shared" si="4"/>
        <v>6.5772788588677369E-2</v>
      </c>
      <c r="T52" s="200">
        <f t="shared" si="14"/>
        <v>3.4113545769418024E-2</v>
      </c>
      <c r="U52" s="197">
        <f t="shared" si="15"/>
        <v>11941358.507967843</v>
      </c>
      <c r="V52" s="199">
        <f t="shared" si="5"/>
        <v>1.1684478870477497</v>
      </c>
      <c r="W52" s="199">
        <f t="shared" si="16"/>
        <v>1.5526629533395704E-2</v>
      </c>
      <c r="X52" s="197">
        <f t="shared" si="17"/>
        <v>959127.62285401218</v>
      </c>
      <c r="Y52" s="32">
        <f t="shared" si="6"/>
        <v>12900486.130821856</v>
      </c>
      <c r="Z52" s="201">
        <f t="shared" si="18"/>
        <v>3.1325508334014658E-2</v>
      </c>
      <c r="AB52" s="36">
        <f t="shared" si="26"/>
        <v>62138876.811386608</v>
      </c>
      <c r="AC52" s="37">
        <f t="shared" si="27"/>
        <v>25002225.756610785</v>
      </c>
      <c r="AD52" s="37">
        <f t="shared" si="19"/>
        <v>12900486.13082185</v>
      </c>
      <c r="AE52" s="37">
        <f t="shared" si="20"/>
        <v>100041588.69881925</v>
      </c>
      <c r="AF52" s="38">
        <f t="shared" si="21"/>
        <v>6.0731308664514656E-2</v>
      </c>
      <c r="AH52" s="231"/>
    </row>
    <row r="53" spans="1:34">
      <c r="A53" s="250">
        <v>31</v>
      </c>
      <c r="B53" s="4" t="s">
        <v>141</v>
      </c>
      <c r="C53" s="32">
        <v>1187612062</v>
      </c>
      <c r="D53" s="32">
        <v>868048268.77999997</v>
      </c>
      <c r="E53" s="34">
        <f t="shared" si="22"/>
        <v>0.73091904044672795</v>
      </c>
      <c r="F53" s="35">
        <f t="shared" si="9"/>
        <v>634473007.67812097</v>
      </c>
      <c r="G53" s="79">
        <f t="shared" si="23"/>
        <v>0.24907493775642453</v>
      </c>
      <c r="H53" s="30">
        <v>132169</v>
      </c>
      <c r="I53" s="73">
        <f t="shared" si="24"/>
        <v>2.2849049225491413E-2</v>
      </c>
      <c r="J53" s="31">
        <f t="shared" si="10"/>
        <v>1.9421691841667702E-2</v>
      </c>
      <c r="K53" s="32">
        <v>70.8</v>
      </c>
      <c r="L53" s="70">
        <f t="shared" si="25"/>
        <v>1.103553191887325E-3</v>
      </c>
      <c r="M53" s="33">
        <f t="shared" si="11"/>
        <v>1.6553297878309873E-4</v>
      </c>
      <c r="N53" s="79">
        <f t="shared" si="12"/>
        <v>1.9587224820450801E-2</v>
      </c>
      <c r="O53" s="197">
        <v>4761</v>
      </c>
      <c r="P53" s="197">
        <v>6438</v>
      </c>
      <c r="Q53" s="198">
        <v>1.903799258</v>
      </c>
      <c r="R53" s="199">
        <f t="shared" si="13"/>
        <v>5.9857023716881298E-3</v>
      </c>
      <c r="S53" s="200">
        <f t="shared" si="4"/>
        <v>1.1395575733828702E-2</v>
      </c>
      <c r="T53" s="200">
        <f t="shared" si="14"/>
        <v>5.91040007131089E-3</v>
      </c>
      <c r="U53" s="197">
        <f t="shared" si="15"/>
        <v>2068920.2656943891</v>
      </c>
      <c r="V53" s="199">
        <f t="shared" si="5"/>
        <v>0.73951537744641194</v>
      </c>
      <c r="W53" s="199">
        <f t="shared" si="16"/>
        <v>9.8268664158151723E-3</v>
      </c>
      <c r="X53" s="197">
        <f t="shared" si="17"/>
        <v>607035.73851828871</v>
      </c>
      <c r="Y53" s="32">
        <f t="shared" si="6"/>
        <v>2675956.0042126779</v>
      </c>
      <c r="Z53" s="201">
        <f t="shared" si="18"/>
        <v>6.4978700229865296E-3</v>
      </c>
      <c r="AB53" s="36">
        <f t="shared" si="26"/>
        <v>205148324.86041704</v>
      </c>
      <c r="AC53" s="37">
        <f t="shared" si="27"/>
        <v>8066420.4852866987</v>
      </c>
      <c r="AD53" s="37">
        <f t="shared" si="19"/>
        <v>2675956.004212677</v>
      </c>
      <c r="AE53" s="37">
        <f t="shared" si="20"/>
        <v>215890701.34991643</v>
      </c>
      <c r="AF53" s="38">
        <f t="shared" si="21"/>
        <v>0.1310587425890716</v>
      </c>
      <c r="AH53" s="231"/>
    </row>
    <row r="54" spans="1:34">
      <c r="A54" s="250">
        <v>57</v>
      </c>
      <c r="B54" s="4" t="s">
        <v>31</v>
      </c>
      <c r="C54" s="32">
        <v>308328957</v>
      </c>
      <c r="D54" s="32">
        <v>202042327.25</v>
      </c>
      <c r="E54" s="34">
        <f t="shared" si="22"/>
        <v>0.6552817134525577</v>
      </c>
      <c r="F54" s="35">
        <f t="shared" si="9"/>
        <v>132394642.39032239</v>
      </c>
      <c r="G54" s="79">
        <f t="shared" si="23"/>
        <v>5.1974137455163445E-2</v>
      </c>
      <c r="H54" s="30">
        <v>306322</v>
      </c>
      <c r="I54" s="73">
        <f t="shared" si="24"/>
        <v>5.2956188341070756E-2</v>
      </c>
      <c r="J54" s="31">
        <f t="shared" si="10"/>
        <v>4.5012760089910141E-2</v>
      </c>
      <c r="K54" s="32">
        <v>915.8</v>
      </c>
      <c r="L54" s="70">
        <f t="shared" si="25"/>
        <v>1.4274491710881529E-2</v>
      </c>
      <c r="M54" s="33">
        <f t="shared" si="11"/>
        <v>2.1411737566322292E-3</v>
      </c>
      <c r="N54" s="79">
        <f t="shared" si="12"/>
        <v>4.7153933846542373E-2</v>
      </c>
      <c r="O54" s="197">
        <v>43432</v>
      </c>
      <c r="P54" s="197">
        <v>47092</v>
      </c>
      <c r="Q54" s="198">
        <v>1.8493369051999999</v>
      </c>
      <c r="R54" s="199">
        <f t="shared" si="13"/>
        <v>4.378358125000581E-2</v>
      </c>
      <c r="S54" s="200">
        <f t="shared" si="4"/>
        <v>8.0970592647458484E-2</v>
      </c>
      <c r="T54" s="200">
        <f t="shared" si="14"/>
        <v>4.1995999827981793E-2</v>
      </c>
      <c r="U54" s="197">
        <f t="shared" si="15"/>
        <v>14700591.173845658</v>
      </c>
      <c r="V54" s="199">
        <f t="shared" si="5"/>
        <v>0.92227979274611394</v>
      </c>
      <c r="W54" s="199">
        <f t="shared" si="16"/>
        <v>1.2255485954351926E-2</v>
      </c>
      <c r="X54" s="197">
        <f t="shared" si="17"/>
        <v>757059.03106889862</v>
      </c>
      <c r="Y54" s="32">
        <f t="shared" si="6"/>
        <v>15457650.204914557</v>
      </c>
      <c r="Z54" s="201">
        <f t="shared" si="18"/>
        <v>3.7534922746937295E-2</v>
      </c>
      <c r="AB54" s="36">
        <f t="shared" si="26"/>
        <v>42808029.306500621</v>
      </c>
      <c r="AC54" s="37">
        <f t="shared" si="27"/>
        <v>19418956.050602432</v>
      </c>
      <c r="AD54" s="37">
        <f t="shared" si="19"/>
        <v>15457650.204914549</v>
      </c>
      <c r="AE54" s="37">
        <f t="shared" si="20"/>
        <v>77684635.562017605</v>
      </c>
      <c r="AF54" s="38">
        <f t="shared" si="21"/>
        <v>4.7159282875951634E-2</v>
      </c>
      <c r="AH54" s="231"/>
    </row>
    <row r="55" spans="1:34">
      <c r="A55" s="250">
        <v>56</v>
      </c>
      <c r="B55" s="4" t="s">
        <v>32</v>
      </c>
      <c r="C55" s="32">
        <v>208470911</v>
      </c>
      <c r="D55" s="32">
        <v>109150868.86</v>
      </c>
      <c r="E55" s="34">
        <f t="shared" si="22"/>
        <v>0.52357841358500135</v>
      </c>
      <c r="F55" s="35">
        <f t="shared" si="9"/>
        <v>57149038.759143323</v>
      </c>
      <c r="G55" s="79">
        <f t="shared" si="23"/>
        <v>2.2434986357992501E-2</v>
      </c>
      <c r="H55" s="30">
        <v>46784</v>
      </c>
      <c r="I55" s="73">
        <f t="shared" si="24"/>
        <v>8.0879019964242016E-3</v>
      </c>
      <c r="J55" s="31">
        <f t="shared" si="10"/>
        <v>6.8747166969605712E-3</v>
      </c>
      <c r="K55" s="32">
        <v>739.2</v>
      </c>
      <c r="L55" s="70">
        <f t="shared" si="25"/>
        <v>1.1521843494959192E-2</v>
      </c>
      <c r="M55" s="33">
        <f t="shared" si="11"/>
        <v>1.7282765242438787E-3</v>
      </c>
      <c r="N55" s="79">
        <f t="shared" si="12"/>
        <v>8.6029932212044503E-3</v>
      </c>
      <c r="O55" s="197">
        <v>7735</v>
      </c>
      <c r="P55" s="197">
        <v>5334</v>
      </c>
      <c r="Q55" s="198">
        <v>2.0438860060000001</v>
      </c>
      <c r="R55" s="199">
        <f t="shared" si="13"/>
        <v>4.9592631951824303E-3</v>
      </c>
      <c r="S55" s="200">
        <f t="shared" si="4"/>
        <v>1.0136168644704216E-2</v>
      </c>
      <c r="T55" s="200">
        <f t="shared" si="14"/>
        <v>5.2571992218554417E-3</v>
      </c>
      <c r="U55" s="197">
        <f t="shared" si="15"/>
        <v>1840268.9969643808</v>
      </c>
      <c r="V55" s="199">
        <f t="shared" si="5"/>
        <v>1.4501312335958005</v>
      </c>
      <c r="W55" s="199">
        <f t="shared" si="16"/>
        <v>1.9269708720803205E-2</v>
      </c>
      <c r="X55" s="197">
        <f t="shared" si="17"/>
        <v>1190349.1275244674</v>
      </c>
      <c r="Y55" s="32">
        <f t="shared" si="6"/>
        <v>3030618.1244888483</v>
      </c>
      <c r="Z55" s="201">
        <f t="shared" si="18"/>
        <v>7.3590756466976022E-3</v>
      </c>
      <c r="AB55" s="36">
        <f t="shared" si="26"/>
        <v>18478374.063107658</v>
      </c>
      <c r="AC55" s="37">
        <f t="shared" si="27"/>
        <v>3542888.8671278879</v>
      </c>
      <c r="AD55" s="37">
        <f t="shared" si="19"/>
        <v>3030618.1244888469</v>
      </c>
      <c r="AE55" s="37">
        <f t="shared" si="20"/>
        <v>25051881.054724392</v>
      </c>
      <c r="AF55" s="38">
        <f t="shared" si="21"/>
        <v>1.520801039597176E-2</v>
      </c>
      <c r="AH55" s="231"/>
    </row>
    <row r="56" spans="1:34">
      <c r="A56" s="250">
        <v>59</v>
      </c>
      <c r="B56" s="4" t="s">
        <v>33</v>
      </c>
      <c r="C56" s="32">
        <v>4538835</v>
      </c>
      <c r="D56" s="32">
        <v>1301773</v>
      </c>
      <c r="E56" s="34">
        <f t="shared" si="22"/>
        <v>0.28680773810900817</v>
      </c>
      <c r="F56" s="35">
        <f t="shared" si="9"/>
        <v>373358.56966137787</v>
      </c>
      <c r="G56" s="79">
        <f t="shared" si="23"/>
        <v>1.4656929668222066E-4</v>
      </c>
      <c r="H56" s="30">
        <v>1552</v>
      </c>
      <c r="I56" s="73">
        <f t="shared" si="24"/>
        <v>2.6830591438206137E-4</v>
      </c>
      <c r="J56" s="31">
        <f t="shared" si="10"/>
        <v>2.2806002722475217E-4</v>
      </c>
      <c r="K56" s="32">
        <v>1764.9</v>
      </c>
      <c r="L56" s="70">
        <f t="shared" si="25"/>
        <v>2.7509336558784465E-2</v>
      </c>
      <c r="M56" s="33">
        <f t="shared" si="11"/>
        <v>4.1264004838176696E-3</v>
      </c>
      <c r="N56" s="79">
        <f t="shared" si="12"/>
        <v>4.354460511042422E-3</v>
      </c>
      <c r="O56" s="197">
        <v>549</v>
      </c>
      <c r="P56" s="197">
        <v>170</v>
      </c>
      <c r="Q56" s="198">
        <v>2.1071899398</v>
      </c>
      <c r="R56" s="199">
        <f t="shared" si="13"/>
        <v>1.5805675725178347E-4</v>
      </c>
      <c r="S56" s="200">
        <f t="shared" si="4"/>
        <v>3.3305560879836883E-4</v>
      </c>
      <c r="T56" s="200">
        <f t="shared" si="14"/>
        <v>1.7274176750444833E-4</v>
      </c>
      <c r="U56" s="197">
        <f t="shared" si="15"/>
        <v>60467.809151632435</v>
      </c>
      <c r="V56" s="199">
        <f t="shared" si="5"/>
        <v>3.2294117647058824</v>
      </c>
      <c r="W56" s="199">
        <f t="shared" si="16"/>
        <v>4.2913236129057078E-2</v>
      </c>
      <c r="X56" s="197">
        <f t="shared" si="17"/>
        <v>2650882.4770313054</v>
      </c>
      <c r="Y56" s="32">
        <f t="shared" si="6"/>
        <v>2711350.2861829377</v>
      </c>
      <c r="Z56" s="201">
        <f t="shared" si="18"/>
        <v>6.5838159217373382E-3</v>
      </c>
      <c r="AB56" s="36">
        <f t="shared" si="26"/>
        <v>120720.47858838209</v>
      </c>
      <c r="AC56" s="37">
        <f t="shared" si="27"/>
        <v>1793256.0528927536</v>
      </c>
      <c r="AD56" s="37">
        <f t="shared" si="19"/>
        <v>2711350.2861829363</v>
      </c>
      <c r="AE56" s="37">
        <f t="shared" si="20"/>
        <v>4625326.8176640719</v>
      </c>
      <c r="AF56" s="38">
        <f t="shared" si="21"/>
        <v>2.8078537565360499E-3</v>
      </c>
      <c r="AH56" s="231"/>
    </row>
    <row r="57" spans="1:34">
      <c r="A57" s="250">
        <v>60</v>
      </c>
      <c r="B57" s="4" t="s">
        <v>34</v>
      </c>
      <c r="C57" s="32">
        <v>3120510</v>
      </c>
      <c r="D57" s="32">
        <v>846367</v>
      </c>
      <c r="E57" s="34">
        <f t="shared" si="22"/>
        <v>0.2712271391535358</v>
      </c>
      <c r="F57" s="35">
        <f t="shared" si="9"/>
        <v>229557.70008396063</v>
      </c>
      <c r="G57" s="79">
        <f t="shared" si="23"/>
        <v>9.011741897289249E-5</v>
      </c>
      <c r="H57" s="30">
        <v>3573</v>
      </c>
      <c r="I57" s="73">
        <f t="shared" si="24"/>
        <v>6.1769138665406279E-4</v>
      </c>
      <c r="J57" s="31">
        <f t="shared" si="10"/>
        <v>5.2503767865595338E-4</v>
      </c>
      <c r="K57" s="32">
        <v>879.3</v>
      </c>
      <c r="L57" s="70">
        <f t="shared" si="25"/>
        <v>1.3705569514498939E-2</v>
      </c>
      <c r="M57" s="33">
        <f t="shared" si="11"/>
        <v>2.0558354271748409E-3</v>
      </c>
      <c r="N57" s="79">
        <f t="shared" si="12"/>
        <v>2.5808731058307942E-3</v>
      </c>
      <c r="O57" s="197">
        <v>1377</v>
      </c>
      <c r="P57" s="197">
        <v>417</v>
      </c>
      <c r="Q57" s="198">
        <v>1.7545098130000001</v>
      </c>
      <c r="R57" s="199">
        <f t="shared" si="13"/>
        <v>3.8770392808231595E-4</v>
      </c>
      <c r="S57" s="200">
        <f t="shared" si="4"/>
        <v>6.8023034635906966E-4</v>
      </c>
      <c r="T57" s="200">
        <f t="shared" si="14"/>
        <v>3.5280652610587192E-4</v>
      </c>
      <c r="U57" s="197">
        <f t="shared" si="15"/>
        <v>123499.01240573404</v>
      </c>
      <c r="V57" s="199">
        <f t="shared" si="5"/>
        <v>3.3021582733812949</v>
      </c>
      <c r="W57" s="199">
        <f t="shared" si="16"/>
        <v>4.3879910041151653E-2</v>
      </c>
      <c r="X57" s="197">
        <f t="shared" si="17"/>
        <v>2710596.8953722632</v>
      </c>
      <c r="Y57" s="32">
        <f t="shared" si="6"/>
        <v>2834095.9077779972</v>
      </c>
      <c r="Z57" s="201">
        <f t="shared" si="18"/>
        <v>6.8818720533627351E-3</v>
      </c>
      <c r="AB57" s="36">
        <f t="shared" si="26"/>
        <v>74224.398928135037</v>
      </c>
      <c r="AC57" s="37">
        <f t="shared" si="27"/>
        <v>1062856.4220625455</v>
      </c>
      <c r="AD57" s="37">
        <f t="shared" si="19"/>
        <v>2834095.9077779958</v>
      </c>
      <c r="AE57" s="37">
        <f t="shared" si="20"/>
        <v>3971176.7287686765</v>
      </c>
      <c r="AF57" s="38">
        <f t="shared" si="21"/>
        <v>2.4107449992848283E-3</v>
      </c>
      <c r="AH57" s="231"/>
    </row>
    <row r="58" spans="1:34" ht="13.5" thickBot="1">
      <c r="B58" s="6" t="s">
        <v>35</v>
      </c>
      <c r="C58" s="83">
        <f>SUM(C7:C57)</f>
        <v>8468114430</v>
      </c>
      <c r="D58" s="83">
        <f>SUM(D7:D57)</f>
        <v>4429099910.0499992</v>
      </c>
      <c r="E58" s="43">
        <f t="shared" si="22"/>
        <v>0.52303260031052734</v>
      </c>
      <c r="F58" s="44">
        <f t="shared" ref="F58:K58" si="28">SUM(F7:F57)</f>
        <v>2547317740.5692463</v>
      </c>
      <c r="G58" s="80">
        <f t="shared" si="28"/>
        <v>1.0000000000000004</v>
      </c>
      <c r="H58" s="39">
        <f t="shared" si="28"/>
        <v>5784442</v>
      </c>
      <c r="I58" s="74">
        <f t="shared" si="28"/>
        <v>1.0000000000000002</v>
      </c>
      <c r="J58" s="40">
        <f t="shared" si="28"/>
        <v>0.8500000000000002</v>
      </c>
      <c r="K58" s="41">
        <f t="shared" si="28"/>
        <v>64156.400000000016</v>
      </c>
      <c r="L58" s="71">
        <f t="shared" si="25"/>
        <v>1</v>
      </c>
      <c r="M58" s="42">
        <f>SUM(M7:M57)</f>
        <v>0.14999999999999997</v>
      </c>
      <c r="N58" s="80">
        <f>SUM(N7:N57)</f>
        <v>0.99999999999999989</v>
      </c>
      <c r="O58" s="202">
        <f>SUM(O7:O57)</f>
        <v>964355</v>
      </c>
      <c r="P58" s="203">
        <f t="shared" ref="P58:Y58" si="29">SUM(P7:P57)</f>
        <v>1075563</v>
      </c>
      <c r="Q58" s="204">
        <f t="shared" si="29"/>
        <v>98.366423307599987</v>
      </c>
      <c r="R58" s="204">
        <f>SUM(R7:R57)</f>
        <v>0.99999999999999989</v>
      </c>
      <c r="S58" s="205">
        <f t="shared" si="29"/>
        <v>1.9280548856824229</v>
      </c>
      <c r="T58" s="205">
        <f t="shared" si="29"/>
        <v>1</v>
      </c>
      <c r="U58" s="203">
        <f t="shared" si="29"/>
        <v>350047414.85046643</v>
      </c>
      <c r="V58" s="204">
        <f>SUM(V7:V57)</f>
        <v>75.254444922162563</v>
      </c>
      <c r="W58" s="204">
        <f t="shared" si="29"/>
        <v>1</v>
      </c>
      <c r="X58" s="206">
        <f t="shared" si="29"/>
        <v>61773073.208905838</v>
      </c>
      <c r="Y58" s="202">
        <f t="shared" si="29"/>
        <v>411820488.05937243</v>
      </c>
      <c r="Z58" s="207">
        <f>SUM(Z7:Z57)</f>
        <v>0.99999999999999933</v>
      </c>
      <c r="AB58" s="45">
        <f>SUM(AB7:AB57)</f>
        <v>823640976.11874485</v>
      </c>
      <c r="AC58" s="46">
        <f>SUM(AC7:AC57)</f>
        <v>411820488.05937225</v>
      </c>
      <c r="AD58" s="46">
        <f>SUM(AD7:AD57)</f>
        <v>411820488.05937213</v>
      </c>
      <c r="AE58" s="46">
        <f>SUM(AE7:AE57)</f>
        <v>1647281952.2374892</v>
      </c>
      <c r="AF58" s="47">
        <f>SUM(AF7:AF57)</f>
        <v>0.99999999999999989</v>
      </c>
    </row>
    <row r="59" spans="1:34" ht="13.5" thickTop="1">
      <c r="L59" s="49"/>
      <c r="S59" s="51"/>
    </row>
    <row r="60" spans="1:34" ht="86.45" customHeight="1">
      <c r="C60" s="286" t="s">
        <v>226</v>
      </c>
      <c r="D60" s="286"/>
      <c r="E60" s="286"/>
      <c r="F60" s="286"/>
      <c r="G60" s="286"/>
      <c r="L60" s="49"/>
      <c r="S60" s="51"/>
    </row>
    <row r="61" spans="1:34">
      <c r="S61" s="52"/>
      <c r="T61" s="52"/>
    </row>
    <row r="62" spans="1:34">
      <c r="S62" s="51"/>
    </row>
    <row r="63" spans="1:34">
      <c r="S63" s="51"/>
    </row>
    <row r="64" spans="1:34">
      <c r="S64" s="51"/>
    </row>
    <row r="65" spans="10:25">
      <c r="J65" s="11"/>
      <c r="M65" s="11"/>
      <c r="N65" s="11"/>
      <c r="S65" s="51"/>
      <c r="Y65" s="11"/>
    </row>
    <row r="66" spans="10:25">
      <c r="J66" s="11"/>
      <c r="M66" s="11"/>
      <c r="N66" s="11"/>
      <c r="S66" s="51"/>
      <c r="Y66" s="11"/>
    </row>
    <row r="67" spans="10:25">
      <c r="J67" s="11"/>
      <c r="M67" s="11"/>
      <c r="N67" s="11"/>
      <c r="S67" s="51"/>
      <c r="Y67" s="11"/>
    </row>
    <row r="68" spans="10:25">
      <c r="J68" s="11"/>
      <c r="M68" s="11"/>
      <c r="N68" s="11"/>
      <c r="S68" s="51"/>
      <c r="Y68" s="11"/>
    </row>
    <row r="69" spans="10:25">
      <c r="J69" s="11"/>
      <c r="M69" s="11"/>
      <c r="N69" s="11"/>
      <c r="S69" s="51"/>
      <c r="Y69" s="11"/>
    </row>
    <row r="70" spans="10:25">
      <c r="J70" s="11"/>
      <c r="M70" s="11"/>
      <c r="N70" s="11"/>
      <c r="S70" s="51"/>
      <c r="Y70" s="11"/>
    </row>
    <row r="71" spans="10:25">
      <c r="J71" s="11"/>
      <c r="M71" s="11"/>
      <c r="N71" s="11"/>
      <c r="S71" s="51"/>
      <c r="Y71" s="11"/>
    </row>
    <row r="72" spans="10:25">
      <c r="J72" s="11"/>
      <c r="M72" s="11"/>
      <c r="N72" s="11"/>
      <c r="S72" s="51"/>
      <c r="Y72" s="11"/>
    </row>
    <row r="73" spans="10:25">
      <c r="J73" s="11"/>
      <c r="M73" s="11"/>
      <c r="N73" s="11"/>
      <c r="S73" s="51"/>
      <c r="Y73" s="11"/>
    </row>
    <row r="74" spans="10:25">
      <c r="J74" s="11"/>
      <c r="M74" s="11"/>
      <c r="N74" s="11"/>
      <c r="S74" s="51"/>
      <c r="Y74" s="11"/>
    </row>
    <row r="75" spans="10:25">
      <c r="J75" s="11"/>
      <c r="M75" s="11"/>
      <c r="N75" s="11"/>
      <c r="S75" s="51"/>
      <c r="Y75" s="11"/>
    </row>
    <row r="76" spans="10:25">
      <c r="J76" s="11"/>
      <c r="M76" s="11"/>
      <c r="N76" s="11"/>
      <c r="S76" s="51"/>
      <c r="Y76" s="11"/>
    </row>
    <row r="77" spans="10:25">
      <c r="J77" s="11"/>
      <c r="M77" s="11"/>
      <c r="N77" s="11"/>
      <c r="S77" s="51"/>
      <c r="Y77" s="11"/>
    </row>
    <row r="78" spans="10:25">
      <c r="J78" s="11"/>
      <c r="M78" s="11"/>
      <c r="N78" s="11"/>
      <c r="S78" s="51"/>
      <c r="Y78" s="11"/>
    </row>
    <row r="79" spans="10:25">
      <c r="J79" s="11"/>
      <c r="M79" s="11"/>
      <c r="N79" s="11"/>
      <c r="S79" s="51"/>
      <c r="Y79" s="11"/>
    </row>
    <row r="80" spans="10:25">
      <c r="J80" s="11"/>
      <c r="M80" s="11"/>
      <c r="N80" s="11"/>
      <c r="S80" s="51"/>
      <c r="Y80" s="11"/>
    </row>
    <row r="81" spans="10:25">
      <c r="J81" s="11"/>
      <c r="M81" s="11"/>
      <c r="N81" s="11"/>
      <c r="S81" s="51"/>
      <c r="Y81" s="11"/>
    </row>
    <row r="82" spans="10:25">
      <c r="J82" s="11"/>
      <c r="M82" s="11"/>
      <c r="N82" s="11"/>
      <c r="S82" s="51"/>
      <c r="Y82" s="11"/>
    </row>
    <row r="83" spans="10:25">
      <c r="J83" s="11"/>
      <c r="M83" s="11"/>
      <c r="N83" s="11"/>
      <c r="S83" s="51"/>
      <c r="Y83" s="11"/>
    </row>
    <row r="84" spans="10:25">
      <c r="J84" s="11"/>
      <c r="M84" s="11"/>
      <c r="N84" s="11"/>
      <c r="S84" s="51"/>
      <c r="Y84" s="11"/>
    </row>
    <row r="85" spans="10:25">
      <c r="J85" s="11"/>
      <c r="M85" s="11"/>
      <c r="N85" s="11"/>
      <c r="S85" s="51"/>
      <c r="Y85" s="11"/>
    </row>
    <row r="86" spans="10:25">
      <c r="J86" s="11"/>
      <c r="M86" s="11"/>
      <c r="N86" s="11"/>
      <c r="S86" s="51"/>
      <c r="Y86" s="11"/>
    </row>
    <row r="87" spans="10:25">
      <c r="J87" s="11"/>
      <c r="M87" s="11"/>
      <c r="N87" s="11"/>
      <c r="S87" s="51"/>
      <c r="Y87" s="11"/>
    </row>
  </sheetData>
  <mergeCells count="6">
    <mergeCell ref="C60:G60"/>
    <mergeCell ref="AB3:AF3"/>
    <mergeCell ref="C3:G3"/>
    <mergeCell ref="H3:N3"/>
    <mergeCell ref="O3:T3"/>
    <mergeCell ref="U3:Z3"/>
  </mergeCells>
  <phoneticPr fontId="0" type="noConversion"/>
  <conditionalFormatting sqref="AH7:AH57">
    <cfRule type="top10" dxfId="0" priority="2" rank="5"/>
  </conditionalFormatting>
  <printOptions horizontalCentered="1"/>
  <pageMargins left="0.27559055118110237" right="0.19685039370078741" top="0.43307086614173229" bottom="0.23622047244094491" header="0.23622047244094491" footer="0.23622047244094491"/>
  <pageSetup scale="80" orientation="portrait" r:id="rId1"/>
  <headerFooter alignWithMargins="0">
    <oddHeader>&amp;LANEXO I</oddHeader>
  </headerFooter>
  <colBreaks count="3" manualBreakCount="3">
    <brk id="7" max="1048575" man="1"/>
    <brk id="14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0"/>
  <sheetViews>
    <sheetView showGridLines="0" topLeftCell="A25" zoomScaleSheetLayoutView="100" workbookViewId="0">
      <selection activeCell="I28" sqref="I28"/>
    </sheetView>
  </sheetViews>
  <sheetFormatPr baseColWidth="10" defaultColWidth="9.7109375" defaultRowHeight="12.75"/>
  <cols>
    <col min="1" max="1" width="3" style="11" bestFit="1" customWidth="1"/>
    <col min="2" max="2" width="26.28515625" style="11" customWidth="1"/>
    <col min="3" max="3" width="12.7109375" style="11" customWidth="1"/>
    <col min="4" max="8" width="11.7109375" style="11" customWidth="1"/>
    <col min="9" max="9" width="13.85546875" style="11" bestFit="1" customWidth="1"/>
    <col min="10" max="10" width="12.7109375" style="11" bestFit="1" customWidth="1"/>
    <col min="11" max="15" width="11.7109375" style="11" customWidth="1"/>
    <col min="16" max="16" width="17.42578125" style="11" customWidth="1"/>
    <col min="17" max="17" width="13.7109375" style="11" customWidth="1"/>
    <col min="18" max="16384" width="9.7109375" style="11"/>
  </cols>
  <sheetData>
    <row r="1" spans="1:17" ht="47.25" customHeight="1">
      <c r="B1" s="289" t="s">
        <v>203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90"/>
    </row>
    <row r="2" spans="1:17" ht="8.25" customHeight="1" thickBot="1">
      <c r="P2" s="62"/>
    </row>
    <row r="3" spans="1:17" ht="13.5" customHeight="1" thickBot="1">
      <c r="B3" s="291" t="s">
        <v>0</v>
      </c>
      <c r="C3" s="293" t="s">
        <v>200</v>
      </c>
      <c r="D3" s="294"/>
      <c r="E3" s="294"/>
      <c r="F3" s="294"/>
      <c r="G3" s="294"/>
      <c r="H3" s="294"/>
      <c r="I3" s="294"/>
      <c r="J3" s="293" t="s">
        <v>223</v>
      </c>
      <c r="K3" s="294"/>
      <c r="L3" s="294"/>
      <c r="M3" s="294"/>
      <c r="N3" s="294"/>
      <c r="O3" s="294"/>
      <c r="P3" s="295"/>
    </row>
    <row r="4" spans="1:17" ht="48.75" thickBot="1">
      <c r="B4" s="292"/>
      <c r="C4" s="209" t="s">
        <v>78</v>
      </c>
      <c r="D4" s="8" t="s">
        <v>144</v>
      </c>
      <c r="E4" s="8" t="s">
        <v>79</v>
      </c>
      <c r="F4" s="8" t="s">
        <v>88</v>
      </c>
      <c r="G4" s="8" t="s">
        <v>98</v>
      </c>
      <c r="H4" s="8" t="s">
        <v>99</v>
      </c>
      <c r="I4" s="8" t="s">
        <v>36</v>
      </c>
      <c r="J4" s="209" t="s">
        <v>78</v>
      </c>
      <c r="K4" s="8" t="s">
        <v>144</v>
      </c>
      <c r="L4" s="8" t="s">
        <v>79</v>
      </c>
      <c r="M4" s="8" t="s">
        <v>88</v>
      </c>
      <c r="N4" s="8" t="s">
        <v>98</v>
      </c>
      <c r="O4" s="8" t="s">
        <v>99</v>
      </c>
      <c r="P4" s="209" t="s">
        <v>202</v>
      </c>
      <c r="Q4" s="8" t="s">
        <v>201</v>
      </c>
    </row>
    <row r="5" spans="1:17" ht="15.75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75" customHeight="1" thickTop="1">
      <c r="A6" s="250">
        <v>15</v>
      </c>
      <c r="B6" s="2" t="s">
        <v>1</v>
      </c>
      <c r="C6" s="3">
        <v>8456683.4800000004</v>
      </c>
      <c r="D6" s="3">
        <v>1154944.1599999999</v>
      </c>
      <c r="E6" s="3">
        <v>283974.84000000003</v>
      </c>
      <c r="F6" s="3">
        <v>478710.51</v>
      </c>
      <c r="G6" s="3">
        <v>235438.53</v>
      </c>
      <c r="H6" s="3">
        <v>50454.75</v>
      </c>
      <c r="I6" s="251">
        <f>SUM(C6:H6)</f>
        <v>10660206.27</v>
      </c>
      <c r="J6" s="3">
        <f t="shared" ref="J6:O6" si="0">ROUND(+C6/2,2)</f>
        <v>4228341.74</v>
      </c>
      <c r="K6" s="3">
        <f t="shared" si="0"/>
        <v>577472.07999999996</v>
      </c>
      <c r="L6" s="3">
        <f t="shared" si="0"/>
        <v>141987.42000000001</v>
      </c>
      <c r="M6" s="3">
        <f t="shared" si="0"/>
        <v>239355.26</v>
      </c>
      <c r="N6" s="3">
        <f t="shared" si="0"/>
        <v>117719.27</v>
      </c>
      <c r="O6" s="3">
        <f t="shared" si="0"/>
        <v>25227.38</v>
      </c>
      <c r="P6" s="254">
        <f t="shared" ref="P6:P37" si="1">SUM(J6:O6)</f>
        <v>5330103.1499999994</v>
      </c>
      <c r="Q6" s="257">
        <f>+P6/P$57</f>
        <v>1.2861627573724447E-3</v>
      </c>
    </row>
    <row r="7" spans="1:17" ht="12.75" customHeight="1">
      <c r="A7" s="250">
        <v>11</v>
      </c>
      <c r="B7" s="4" t="s">
        <v>2</v>
      </c>
      <c r="C7" s="5">
        <v>16270247.26</v>
      </c>
      <c r="D7" s="107">
        <v>2222056.33</v>
      </c>
      <c r="E7" s="107">
        <v>546353.77</v>
      </c>
      <c r="F7" s="107">
        <v>921015.71</v>
      </c>
      <c r="G7" s="107">
        <v>452972.26</v>
      </c>
      <c r="H7" s="107">
        <v>97072.48</v>
      </c>
      <c r="I7" s="252">
        <f t="shared" ref="I7:I56" si="2">SUM(C7:H7)</f>
        <v>20509717.810000002</v>
      </c>
      <c r="J7" s="107">
        <f t="shared" ref="J7:J56" si="3">ROUND(+C7/2,2)</f>
        <v>8135123.6299999999</v>
      </c>
      <c r="K7" s="107">
        <f t="shared" ref="K7:K56" si="4">ROUND(+D7/2,2)</f>
        <v>1111028.17</v>
      </c>
      <c r="L7" s="107">
        <f t="shared" ref="L7:L56" si="5">ROUND(+E7/2,2)</f>
        <v>273176.89</v>
      </c>
      <c r="M7" s="107">
        <f t="shared" ref="M7:M56" si="6">ROUND(+F7/2,2)</f>
        <v>460507.86</v>
      </c>
      <c r="N7" s="107">
        <f t="shared" ref="N7:N56" si="7">ROUND(+G7/2,2)</f>
        <v>226486.13</v>
      </c>
      <c r="O7" s="107">
        <f t="shared" ref="O7:O56" si="8">ROUND(+H7/2,2)</f>
        <v>48536.24</v>
      </c>
      <c r="P7" s="255">
        <f t="shared" si="1"/>
        <v>10254858.920000002</v>
      </c>
      <c r="Q7" s="258">
        <f t="shared" ref="Q7:Q56" si="9">+P7/P$57</f>
        <v>2.4745145176060268E-3</v>
      </c>
    </row>
    <row r="8" spans="1:17" ht="12.75" customHeight="1">
      <c r="A8" s="250">
        <v>12</v>
      </c>
      <c r="B8" s="4" t="s">
        <v>142</v>
      </c>
      <c r="C8" s="5">
        <v>17073492.140000001</v>
      </c>
      <c r="D8" s="107">
        <v>2331756.9</v>
      </c>
      <c r="E8" s="107">
        <v>573326.68000000005</v>
      </c>
      <c r="F8" s="107">
        <v>966485.28</v>
      </c>
      <c r="G8" s="107">
        <v>475335.02</v>
      </c>
      <c r="H8" s="107">
        <v>101864.84</v>
      </c>
      <c r="I8" s="252">
        <f t="shared" si="2"/>
        <v>21522260.859999999</v>
      </c>
      <c r="J8" s="107">
        <f t="shared" si="3"/>
        <v>8536746.0700000003</v>
      </c>
      <c r="K8" s="107">
        <f t="shared" si="4"/>
        <v>1165878.45</v>
      </c>
      <c r="L8" s="107">
        <f t="shared" si="5"/>
        <v>286663.34000000003</v>
      </c>
      <c r="M8" s="107">
        <f t="shared" si="6"/>
        <v>483242.64</v>
      </c>
      <c r="N8" s="107">
        <f t="shared" si="7"/>
        <v>237667.51</v>
      </c>
      <c r="O8" s="107">
        <f t="shared" si="8"/>
        <v>50932.42</v>
      </c>
      <c r="P8" s="255">
        <f t="shared" si="1"/>
        <v>10761130.43</v>
      </c>
      <c r="Q8" s="258">
        <f t="shared" si="9"/>
        <v>2.5966786752135039E-3</v>
      </c>
    </row>
    <row r="9" spans="1:17" ht="12.75" customHeight="1">
      <c r="A9" s="250">
        <v>13</v>
      </c>
      <c r="B9" s="4" t="s">
        <v>3</v>
      </c>
      <c r="C9" s="5">
        <v>47100062.189999998</v>
      </c>
      <c r="D9" s="107">
        <v>6432538.46</v>
      </c>
      <c r="E9" s="107">
        <v>1581616.81</v>
      </c>
      <c r="F9" s="107">
        <v>2666210.0699999998</v>
      </c>
      <c r="G9" s="107">
        <v>1311290.56</v>
      </c>
      <c r="H9" s="107">
        <v>281011.08</v>
      </c>
      <c r="I9" s="252">
        <f t="shared" si="2"/>
        <v>59372729.170000002</v>
      </c>
      <c r="J9" s="107">
        <f t="shared" si="3"/>
        <v>23550031.100000001</v>
      </c>
      <c r="K9" s="107">
        <f t="shared" si="4"/>
        <v>3216269.23</v>
      </c>
      <c r="L9" s="107">
        <f t="shared" si="5"/>
        <v>790808.41</v>
      </c>
      <c r="M9" s="107">
        <f t="shared" si="6"/>
        <v>1333105.04</v>
      </c>
      <c r="N9" s="107">
        <f t="shared" si="7"/>
        <v>655645.28</v>
      </c>
      <c r="O9" s="107">
        <f t="shared" si="8"/>
        <v>140505.54</v>
      </c>
      <c r="P9" s="255">
        <f t="shared" si="1"/>
        <v>29686364.600000001</v>
      </c>
      <c r="Q9" s="258">
        <f t="shared" si="9"/>
        <v>7.1633691648724926E-3</v>
      </c>
    </row>
    <row r="10" spans="1:17" ht="12.75" customHeight="1">
      <c r="A10" s="250">
        <v>14</v>
      </c>
      <c r="B10" s="4" t="s">
        <v>143</v>
      </c>
      <c r="C10" s="5">
        <v>59127255.659999996</v>
      </c>
      <c r="D10" s="107">
        <v>8075113.46</v>
      </c>
      <c r="E10" s="107">
        <v>1985489.12</v>
      </c>
      <c r="F10" s="107">
        <v>3347037.71</v>
      </c>
      <c r="G10" s="107">
        <v>1646133.97</v>
      </c>
      <c r="H10" s="107">
        <v>352768.4</v>
      </c>
      <c r="I10" s="252">
        <f t="shared" si="2"/>
        <v>74533798.319999993</v>
      </c>
      <c r="J10" s="107">
        <f t="shared" si="3"/>
        <v>29563627.829999998</v>
      </c>
      <c r="K10" s="107">
        <f t="shared" si="4"/>
        <v>4037556.73</v>
      </c>
      <c r="L10" s="107">
        <f t="shared" si="5"/>
        <v>992744.56</v>
      </c>
      <c r="M10" s="107">
        <f t="shared" si="6"/>
        <v>1673518.86</v>
      </c>
      <c r="N10" s="107">
        <f t="shared" si="7"/>
        <v>823066.99</v>
      </c>
      <c r="O10" s="107">
        <f t="shared" si="8"/>
        <v>176384.2</v>
      </c>
      <c r="P10" s="255">
        <f t="shared" si="1"/>
        <v>37266899.170000002</v>
      </c>
      <c r="Q10" s="258">
        <f t="shared" si="9"/>
        <v>8.9925647677584035E-3</v>
      </c>
    </row>
    <row r="11" spans="1:17" ht="12.75" customHeight="1">
      <c r="A11" s="250">
        <v>17</v>
      </c>
      <c r="B11" s="4" t="s">
        <v>4</v>
      </c>
      <c r="C11" s="5">
        <v>405989025.50999999</v>
      </c>
      <c r="D11" s="107">
        <v>55446636.350000001</v>
      </c>
      <c r="E11" s="107">
        <v>13633083.18</v>
      </c>
      <c r="F11" s="107">
        <v>22981966.010000002</v>
      </c>
      <c r="G11" s="107">
        <v>11302948.529999999</v>
      </c>
      <c r="H11" s="107">
        <v>2422234.86</v>
      </c>
      <c r="I11" s="252">
        <f t="shared" si="2"/>
        <v>511775894.44</v>
      </c>
      <c r="J11" s="107">
        <f t="shared" si="3"/>
        <v>202994512.75999999</v>
      </c>
      <c r="K11" s="107">
        <f t="shared" si="4"/>
        <v>27723318.18</v>
      </c>
      <c r="L11" s="107">
        <f t="shared" si="5"/>
        <v>6816541.5899999999</v>
      </c>
      <c r="M11" s="107">
        <f t="shared" si="6"/>
        <v>11490983.01</v>
      </c>
      <c r="N11" s="107">
        <f t="shared" si="7"/>
        <v>5651474.2699999996</v>
      </c>
      <c r="O11" s="107">
        <f t="shared" si="8"/>
        <v>1211117.43</v>
      </c>
      <c r="P11" s="255">
        <f t="shared" si="1"/>
        <v>255887947.24000001</v>
      </c>
      <c r="Q11" s="258">
        <f t="shared" si="9"/>
        <v>6.174618736985852E-2</v>
      </c>
    </row>
    <row r="12" spans="1:17" ht="12.75" customHeight="1">
      <c r="A12" s="250">
        <v>16</v>
      </c>
      <c r="B12" s="4" t="s">
        <v>5</v>
      </c>
      <c r="C12" s="5">
        <v>67494144.25</v>
      </c>
      <c r="D12" s="107">
        <v>9217794.1699999999</v>
      </c>
      <c r="E12" s="107">
        <v>2266448.66</v>
      </c>
      <c r="F12" s="107">
        <v>3820665.17</v>
      </c>
      <c r="G12" s="107">
        <v>1879072.56</v>
      </c>
      <c r="H12" s="107">
        <v>402687.41</v>
      </c>
      <c r="I12" s="252">
        <f t="shared" si="2"/>
        <v>85080812.219999999</v>
      </c>
      <c r="J12" s="107">
        <f t="shared" si="3"/>
        <v>33747072.130000003</v>
      </c>
      <c r="K12" s="107">
        <f t="shared" si="4"/>
        <v>4608897.09</v>
      </c>
      <c r="L12" s="107">
        <f t="shared" si="5"/>
        <v>1133224.33</v>
      </c>
      <c r="M12" s="107">
        <f t="shared" si="6"/>
        <v>1910332.59</v>
      </c>
      <c r="N12" s="107">
        <f t="shared" si="7"/>
        <v>939536.28</v>
      </c>
      <c r="O12" s="107">
        <f t="shared" si="8"/>
        <v>201343.71</v>
      </c>
      <c r="P12" s="255">
        <f t="shared" si="1"/>
        <v>42540406.130000003</v>
      </c>
      <c r="Q12" s="258">
        <f t="shared" si="9"/>
        <v>1.0265070770329175E-2</v>
      </c>
    </row>
    <row r="13" spans="1:17" ht="12.75" customHeight="1">
      <c r="A13" s="250">
        <v>18</v>
      </c>
      <c r="B13" s="4" t="s">
        <v>6</v>
      </c>
      <c r="C13" s="5">
        <v>10731926.619999999</v>
      </c>
      <c r="D13" s="107">
        <v>1465678.12</v>
      </c>
      <c r="E13" s="107">
        <v>360377.35</v>
      </c>
      <c r="F13" s="107">
        <v>607506.01</v>
      </c>
      <c r="G13" s="107">
        <v>298782.5</v>
      </c>
      <c r="H13" s="107">
        <v>64029.43</v>
      </c>
      <c r="I13" s="252">
        <f t="shared" si="2"/>
        <v>13528300.029999997</v>
      </c>
      <c r="J13" s="107">
        <f t="shared" si="3"/>
        <v>5365963.3099999996</v>
      </c>
      <c r="K13" s="107">
        <f t="shared" si="4"/>
        <v>732839.06</v>
      </c>
      <c r="L13" s="107">
        <f t="shared" si="5"/>
        <v>180188.68</v>
      </c>
      <c r="M13" s="107">
        <f t="shared" si="6"/>
        <v>303753.01</v>
      </c>
      <c r="N13" s="107">
        <f t="shared" si="7"/>
        <v>149391.25</v>
      </c>
      <c r="O13" s="107">
        <f t="shared" si="8"/>
        <v>32014.720000000001</v>
      </c>
      <c r="P13" s="255">
        <f t="shared" si="1"/>
        <v>6764150.0299999984</v>
      </c>
      <c r="Q13" s="258">
        <f t="shared" si="9"/>
        <v>1.6322006552285397E-3</v>
      </c>
    </row>
    <row r="14" spans="1:17" ht="12.75" customHeight="1">
      <c r="A14" s="250">
        <v>19</v>
      </c>
      <c r="B14" s="4" t="s">
        <v>127</v>
      </c>
      <c r="C14" s="5">
        <v>106677450.62</v>
      </c>
      <c r="D14" s="107">
        <v>14569127.34</v>
      </c>
      <c r="E14" s="107">
        <v>3582221.36</v>
      </c>
      <c r="F14" s="107">
        <v>6038728.6100000003</v>
      </c>
      <c r="G14" s="107">
        <v>2969956.47</v>
      </c>
      <c r="H14" s="107">
        <v>636465.09</v>
      </c>
      <c r="I14" s="252">
        <f t="shared" si="2"/>
        <v>134473949.49000001</v>
      </c>
      <c r="J14" s="107">
        <f t="shared" si="3"/>
        <v>53338725.310000002</v>
      </c>
      <c r="K14" s="107">
        <f t="shared" si="4"/>
        <v>7284563.6699999999</v>
      </c>
      <c r="L14" s="107">
        <f t="shared" si="5"/>
        <v>1791110.68</v>
      </c>
      <c r="M14" s="107">
        <f t="shared" si="6"/>
        <v>3019364.31</v>
      </c>
      <c r="N14" s="107">
        <f t="shared" si="7"/>
        <v>1484978.24</v>
      </c>
      <c r="O14" s="107">
        <f t="shared" si="8"/>
        <v>318232.55</v>
      </c>
      <c r="P14" s="255">
        <f t="shared" si="1"/>
        <v>67236974.760000005</v>
      </c>
      <c r="Q14" s="258">
        <f t="shared" si="9"/>
        <v>1.622439386650577E-2</v>
      </c>
    </row>
    <row r="15" spans="1:17" ht="12.75" customHeight="1">
      <c r="A15" s="250">
        <v>20</v>
      </c>
      <c r="B15" s="4" t="s">
        <v>128</v>
      </c>
      <c r="C15" s="5">
        <v>18469977.07</v>
      </c>
      <c r="D15" s="107">
        <v>2522477.2999999998</v>
      </c>
      <c r="E15" s="107">
        <v>620220.54</v>
      </c>
      <c r="F15" s="107">
        <v>1045536.6</v>
      </c>
      <c r="G15" s="107">
        <v>514213.9</v>
      </c>
      <c r="H15" s="107">
        <v>110196.63</v>
      </c>
      <c r="I15" s="252">
        <f t="shared" si="2"/>
        <v>23282622.039999999</v>
      </c>
      <c r="J15" s="107">
        <f t="shared" si="3"/>
        <v>9234988.5399999991</v>
      </c>
      <c r="K15" s="107">
        <f t="shared" si="4"/>
        <v>1261238.6499999999</v>
      </c>
      <c r="L15" s="107">
        <f t="shared" si="5"/>
        <v>310110.27</v>
      </c>
      <c r="M15" s="107">
        <f t="shared" si="6"/>
        <v>522768.3</v>
      </c>
      <c r="N15" s="107">
        <f t="shared" si="7"/>
        <v>257106.95</v>
      </c>
      <c r="O15" s="107">
        <f t="shared" si="8"/>
        <v>55098.32</v>
      </c>
      <c r="P15" s="255">
        <f t="shared" si="1"/>
        <v>11641311.029999999</v>
      </c>
      <c r="Q15" s="258">
        <f t="shared" si="9"/>
        <v>2.8090677182814098E-3</v>
      </c>
    </row>
    <row r="16" spans="1:17" ht="12.75" customHeight="1">
      <c r="A16" s="250">
        <v>23</v>
      </c>
      <c r="B16" s="4" t="s">
        <v>129</v>
      </c>
      <c r="C16" s="5">
        <v>25750823.350000001</v>
      </c>
      <c r="D16" s="107">
        <v>3516835.3</v>
      </c>
      <c r="E16" s="107">
        <v>864710.85</v>
      </c>
      <c r="F16" s="107">
        <v>1457686.07</v>
      </c>
      <c r="G16" s="107">
        <v>716916.5</v>
      </c>
      <c r="H16" s="107">
        <v>153636.03</v>
      </c>
      <c r="I16" s="252">
        <f t="shared" si="2"/>
        <v>32460608.100000005</v>
      </c>
      <c r="J16" s="107">
        <f t="shared" si="3"/>
        <v>12875411.68</v>
      </c>
      <c r="K16" s="107">
        <f t="shared" si="4"/>
        <v>1758417.65</v>
      </c>
      <c r="L16" s="107">
        <f t="shared" si="5"/>
        <v>432355.43</v>
      </c>
      <c r="M16" s="107">
        <f t="shared" si="6"/>
        <v>728843.04</v>
      </c>
      <c r="N16" s="107">
        <f t="shared" si="7"/>
        <v>358458.25</v>
      </c>
      <c r="O16" s="107">
        <f t="shared" si="8"/>
        <v>76818.02</v>
      </c>
      <c r="P16" s="255">
        <f t="shared" si="1"/>
        <v>16230304.07</v>
      </c>
      <c r="Q16" s="258">
        <f t="shared" si="9"/>
        <v>3.9163993731836906E-3</v>
      </c>
    </row>
    <row r="17" spans="1:17" ht="12.75" customHeight="1">
      <c r="A17" s="250">
        <v>21</v>
      </c>
      <c r="B17" s="4" t="s">
        <v>7</v>
      </c>
      <c r="C17" s="5">
        <v>54157749.329999998</v>
      </c>
      <c r="D17" s="107">
        <v>7396419.2199999997</v>
      </c>
      <c r="E17" s="107">
        <v>1818613.45</v>
      </c>
      <c r="F17" s="107">
        <v>3065727.09</v>
      </c>
      <c r="G17" s="107">
        <v>1507780.3</v>
      </c>
      <c r="H17" s="107">
        <v>323119.05</v>
      </c>
      <c r="I17" s="252">
        <f t="shared" si="2"/>
        <v>68269408.439999998</v>
      </c>
      <c r="J17" s="107">
        <f t="shared" si="3"/>
        <v>27078874.670000002</v>
      </c>
      <c r="K17" s="107">
        <f t="shared" si="4"/>
        <v>3698209.61</v>
      </c>
      <c r="L17" s="107">
        <f t="shared" si="5"/>
        <v>909306.73</v>
      </c>
      <c r="M17" s="107">
        <f t="shared" si="6"/>
        <v>1532863.55</v>
      </c>
      <c r="N17" s="107">
        <f t="shared" si="7"/>
        <v>753890.15</v>
      </c>
      <c r="O17" s="107">
        <f t="shared" si="8"/>
        <v>161559.53</v>
      </c>
      <c r="P17" s="255">
        <f t="shared" si="1"/>
        <v>34134704.240000002</v>
      </c>
      <c r="Q17" s="258">
        <f t="shared" si="9"/>
        <v>8.2367609203606671E-3</v>
      </c>
    </row>
    <row r="18" spans="1:17" ht="12.75" customHeight="1">
      <c r="A18" s="250">
        <v>22</v>
      </c>
      <c r="B18" s="4" t="s">
        <v>130</v>
      </c>
      <c r="C18" s="5">
        <v>27763179.960000001</v>
      </c>
      <c r="D18" s="107">
        <v>3791666.39</v>
      </c>
      <c r="E18" s="107">
        <v>932285.65</v>
      </c>
      <c r="F18" s="107">
        <v>1571600.26</v>
      </c>
      <c r="G18" s="107">
        <v>772941.57</v>
      </c>
      <c r="H18" s="107">
        <v>165642.26999999999</v>
      </c>
      <c r="I18" s="252">
        <f t="shared" si="2"/>
        <v>34997316.100000001</v>
      </c>
      <c r="J18" s="107">
        <f t="shared" si="3"/>
        <v>13881589.98</v>
      </c>
      <c r="K18" s="107">
        <f t="shared" si="4"/>
        <v>1895833.2</v>
      </c>
      <c r="L18" s="107">
        <f t="shared" si="5"/>
        <v>466142.83</v>
      </c>
      <c r="M18" s="107">
        <f t="shared" si="6"/>
        <v>785800.13</v>
      </c>
      <c r="N18" s="107">
        <f t="shared" si="7"/>
        <v>386470.79</v>
      </c>
      <c r="O18" s="107">
        <f t="shared" si="8"/>
        <v>82821.14</v>
      </c>
      <c r="P18" s="255">
        <f t="shared" si="1"/>
        <v>17498658.07</v>
      </c>
      <c r="Q18" s="258">
        <f t="shared" si="9"/>
        <v>4.2224553034454475E-3</v>
      </c>
    </row>
    <row r="19" spans="1:17" ht="12.75" customHeight="1">
      <c r="A19" s="250">
        <v>25</v>
      </c>
      <c r="B19" s="4" t="s">
        <v>8</v>
      </c>
      <c r="C19" s="5">
        <v>151914214.69</v>
      </c>
      <c r="D19" s="107">
        <v>20747191.890000001</v>
      </c>
      <c r="E19" s="107">
        <v>5101268.74</v>
      </c>
      <c r="F19" s="107">
        <v>8599462.3000000007</v>
      </c>
      <c r="G19" s="107">
        <v>4229371.83</v>
      </c>
      <c r="H19" s="107">
        <v>906359.25</v>
      </c>
      <c r="I19" s="252">
        <f t="shared" si="2"/>
        <v>191497868.70000002</v>
      </c>
      <c r="J19" s="107">
        <f t="shared" si="3"/>
        <v>75957107.349999994</v>
      </c>
      <c r="K19" s="107">
        <f t="shared" si="4"/>
        <v>10373595.949999999</v>
      </c>
      <c r="L19" s="107">
        <f t="shared" si="5"/>
        <v>2550634.37</v>
      </c>
      <c r="M19" s="107">
        <f t="shared" si="6"/>
        <v>4299731.1500000004</v>
      </c>
      <c r="N19" s="107">
        <f t="shared" si="7"/>
        <v>2114685.92</v>
      </c>
      <c r="O19" s="107">
        <f t="shared" si="8"/>
        <v>453179.63</v>
      </c>
      <c r="P19" s="255">
        <f t="shared" si="1"/>
        <v>95748934.370000005</v>
      </c>
      <c r="Q19" s="258">
        <f t="shared" si="9"/>
        <v>2.3104377153525157E-2</v>
      </c>
    </row>
    <row r="20" spans="1:17" ht="12.75" customHeight="1">
      <c r="A20" s="250">
        <v>27</v>
      </c>
      <c r="B20" s="4" t="s">
        <v>9</v>
      </c>
      <c r="C20" s="5">
        <v>19268404.920000002</v>
      </c>
      <c r="D20" s="107">
        <v>2631520</v>
      </c>
      <c r="E20" s="107">
        <v>647031.68999999994</v>
      </c>
      <c r="F20" s="107">
        <v>1090733.49</v>
      </c>
      <c r="G20" s="107">
        <v>536442.55000000005</v>
      </c>
      <c r="H20" s="107">
        <v>114960.26</v>
      </c>
      <c r="I20" s="252">
        <f t="shared" si="2"/>
        <v>24289092.910000004</v>
      </c>
      <c r="J20" s="107">
        <f t="shared" si="3"/>
        <v>9634202.4600000009</v>
      </c>
      <c r="K20" s="107">
        <f t="shared" si="4"/>
        <v>1315760</v>
      </c>
      <c r="L20" s="107">
        <f t="shared" si="5"/>
        <v>323515.84999999998</v>
      </c>
      <c r="M20" s="107">
        <f t="shared" si="6"/>
        <v>545366.75</v>
      </c>
      <c r="N20" s="107">
        <f t="shared" si="7"/>
        <v>268221.28000000003</v>
      </c>
      <c r="O20" s="107">
        <f t="shared" si="8"/>
        <v>57480.13</v>
      </c>
      <c r="P20" s="255">
        <f t="shared" si="1"/>
        <v>12144546.470000001</v>
      </c>
      <c r="Q20" s="258">
        <f t="shared" si="9"/>
        <v>2.9304992671470146E-3</v>
      </c>
    </row>
    <row r="21" spans="1:17" ht="12.75" customHeight="1">
      <c r="A21" s="250">
        <v>26</v>
      </c>
      <c r="B21" s="4" t="s">
        <v>131</v>
      </c>
      <c r="C21" s="5">
        <v>13505797.789999999</v>
      </c>
      <c r="D21" s="107">
        <v>1844510.59</v>
      </c>
      <c r="E21" s="107">
        <v>453523.75</v>
      </c>
      <c r="F21" s="107">
        <v>764527.53</v>
      </c>
      <c r="G21" s="107">
        <v>376008.53</v>
      </c>
      <c r="H21" s="107">
        <v>80579.06</v>
      </c>
      <c r="I21" s="252">
        <f t="shared" si="2"/>
        <v>17024947.249999996</v>
      </c>
      <c r="J21" s="107">
        <f t="shared" si="3"/>
        <v>6752898.9000000004</v>
      </c>
      <c r="K21" s="107">
        <f t="shared" si="4"/>
        <v>922255.3</v>
      </c>
      <c r="L21" s="107">
        <f t="shared" si="5"/>
        <v>226761.88</v>
      </c>
      <c r="M21" s="107">
        <f t="shared" si="6"/>
        <v>382263.77</v>
      </c>
      <c r="N21" s="107">
        <f t="shared" si="7"/>
        <v>188004.27</v>
      </c>
      <c r="O21" s="107">
        <f t="shared" si="8"/>
        <v>40289.53</v>
      </c>
      <c r="P21" s="255">
        <f t="shared" si="1"/>
        <v>8512473.6499999985</v>
      </c>
      <c r="Q21" s="258">
        <f t="shared" si="9"/>
        <v>2.0540740532843682E-3</v>
      </c>
    </row>
    <row r="22" spans="1:17" ht="12.75" customHeight="1">
      <c r="A22" s="250">
        <v>29</v>
      </c>
      <c r="B22" s="4" t="s">
        <v>10</v>
      </c>
      <c r="C22" s="5">
        <v>117677666.58</v>
      </c>
      <c r="D22" s="107">
        <v>16071446.210000001</v>
      </c>
      <c r="E22" s="107">
        <v>3951607.84</v>
      </c>
      <c r="F22" s="107">
        <v>6661421.7699999996</v>
      </c>
      <c r="G22" s="107">
        <v>3276208.28</v>
      </c>
      <c r="H22" s="107">
        <v>702095.2</v>
      </c>
      <c r="I22" s="252">
        <f t="shared" si="2"/>
        <v>148340445.88</v>
      </c>
      <c r="J22" s="107">
        <f t="shared" si="3"/>
        <v>58838833.289999999</v>
      </c>
      <c r="K22" s="107">
        <f t="shared" si="4"/>
        <v>8035723.1100000003</v>
      </c>
      <c r="L22" s="107">
        <f t="shared" si="5"/>
        <v>1975803.92</v>
      </c>
      <c r="M22" s="107">
        <f t="shared" si="6"/>
        <v>3330710.89</v>
      </c>
      <c r="N22" s="107">
        <f t="shared" si="7"/>
        <v>1638104.14</v>
      </c>
      <c r="O22" s="107">
        <f t="shared" si="8"/>
        <v>351047.6</v>
      </c>
      <c r="P22" s="255">
        <f t="shared" si="1"/>
        <v>74170222.949999988</v>
      </c>
      <c r="Q22" s="258">
        <f t="shared" si="9"/>
        <v>1.7897398189057744E-2</v>
      </c>
    </row>
    <row r="23" spans="1:17" ht="12.75" customHeight="1">
      <c r="A23" s="250">
        <v>30</v>
      </c>
      <c r="B23" s="4" t="s">
        <v>132</v>
      </c>
      <c r="C23" s="5">
        <v>145685695.75999999</v>
      </c>
      <c r="D23" s="107">
        <v>19896552.09</v>
      </c>
      <c r="E23" s="107">
        <v>4892115.51</v>
      </c>
      <c r="F23" s="107">
        <v>8246882.2999999998</v>
      </c>
      <c r="G23" s="107">
        <v>4055966.58</v>
      </c>
      <c r="H23" s="107">
        <v>869198.3</v>
      </c>
      <c r="I23" s="252">
        <f t="shared" si="2"/>
        <v>183646410.54000002</v>
      </c>
      <c r="J23" s="107">
        <f t="shared" si="3"/>
        <v>72842847.879999995</v>
      </c>
      <c r="K23" s="107">
        <f t="shared" si="4"/>
        <v>9948276.0500000007</v>
      </c>
      <c r="L23" s="107">
        <f t="shared" si="5"/>
        <v>2446057.7599999998</v>
      </c>
      <c r="M23" s="107">
        <f t="shared" si="6"/>
        <v>4123441.15</v>
      </c>
      <c r="N23" s="107">
        <f t="shared" si="7"/>
        <v>2027983.29</v>
      </c>
      <c r="O23" s="107">
        <f t="shared" si="8"/>
        <v>434599.15</v>
      </c>
      <c r="P23" s="255">
        <f t="shared" si="1"/>
        <v>91823205.280000016</v>
      </c>
      <c r="Q23" s="258">
        <f t="shared" si="9"/>
        <v>2.2157092193178449E-2</v>
      </c>
    </row>
    <row r="24" spans="1:17" ht="12.75" customHeight="1">
      <c r="A24" s="250">
        <v>32</v>
      </c>
      <c r="B24" s="4" t="s">
        <v>11</v>
      </c>
      <c r="C24" s="5">
        <v>22617688.309999999</v>
      </c>
      <c r="D24" s="107">
        <v>3088937.53</v>
      </c>
      <c r="E24" s="107">
        <v>759500.4</v>
      </c>
      <c r="F24" s="107">
        <v>1280327.57</v>
      </c>
      <c r="G24" s="107">
        <v>629688.37</v>
      </c>
      <c r="H24" s="107">
        <v>134942.94</v>
      </c>
      <c r="I24" s="252">
        <f t="shared" si="2"/>
        <v>28511085.120000001</v>
      </c>
      <c r="J24" s="107">
        <f t="shared" si="3"/>
        <v>11308844.16</v>
      </c>
      <c r="K24" s="107">
        <f t="shared" si="4"/>
        <v>1544468.77</v>
      </c>
      <c r="L24" s="107">
        <f t="shared" si="5"/>
        <v>379750.2</v>
      </c>
      <c r="M24" s="107">
        <f t="shared" si="6"/>
        <v>640163.79</v>
      </c>
      <c r="N24" s="107">
        <f t="shared" si="7"/>
        <v>314844.19</v>
      </c>
      <c r="O24" s="107">
        <f t="shared" si="8"/>
        <v>67471.47</v>
      </c>
      <c r="P24" s="255">
        <f t="shared" si="1"/>
        <v>14255542.579999998</v>
      </c>
      <c r="Q24" s="258">
        <f t="shared" si="9"/>
        <v>3.4398861403898149E-3</v>
      </c>
    </row>
    <row r="25" spans="1:17" ht="12.75" customHeight="1">
      <c r="A25" s="250">
        <v>33</v>
      </c>
      <c r="B25" s="4" t="s">
        <v>12</v>
      </c>
      <c r="C25" s="5">
        <v>309170413.64999998</v>
      </c>
      <c r="D25" s="107">
        <v>42223947.990000002</v>
      </c>
      <c r="E25" s="107">
        <v>10381920.939999999</v>
      </c>
      <c r="F25" s="107">
        <v>17501320.210000001</v>
      </c>
      <c r="G25" s="107">
        <v>8607467.3300000001</v>
      </c>
      <c r="H25" s="107">
        <v>1844590.14</v>
      </c>
      <c r="I25" s="252">
        <f t="shared" si="2"/>
        <v>389729660.25999993</v>
      </c>
      <c r="J25" s="107">
        <f t="shared" si="3"/>
        <v>154585206.83000001</v>
      </c>
      <c r="K25" s="107">
        <f t="shared" si="4"/>
        <v>21111974</v>
      </c>
      <c r="L25" s="107">
        <f t="shared" si="5"/>
        <v>5190960.47</v>
      </c>
      <c r="M25" s="107">
        <f t="shared" si="6"/>
        <v>8750660.1099999994</v>
      </c>
      <c r="N25" s="107">
        <f t="shared" si="7"/>
        <v>4303733.67</v>
      </c>
      <c r="O25" s="107">
        <f t="shared" si="8"/>
        <v>922295.07</v>
      </c>
      <c r="P25" s="255">
        <f t="shared" si="1"/>
        <v>194864830.15000001</v>
      </c>
      <c r="Q25" s="258">
        <f t="shared" si="9"/>
        <v>4.7021207696634752E-2</v>
      </c>
    </row>
    <row r="26" spans="1:17" ht="12.75" customHeight="1">
      <c r="A26" s="250">
        <v>34</v>
      </c>
      <c r="B26" s="4" t="s">
        <v>133</v>
      </c>
      <c r="C26" s="5">
        <v>45647843.009999998</v>
      </c>
      <c r="D26" s="107">
        <v>6234206.3300000001</v>
      </c>
      <c r="E26" s="107">
        <v>1532851.39</v>
      </c>
      <c r="F26" s="107">
        <v>2584003.7799999998</v>
      </c>
      <c r="G26" s="107">
        <v>1270860.02</v>
      </c>
      <c r="H26" s="107">
        <v>272346.76</v>
      </c>
      <c r="I26" s="252">
        <f t="shared" si="2"/>
        <v>57542111.289999999</v>
      </c>
      <c r="J26" s="107">
        <f t="shared" si="3"/>
        <v>22823921.510000002</v>
      </c>
      <c r="K26" s="107">
        <f t="shared" si="4"/>
        <v>3117103.17</v>
      </c>
      <c r="L26" s="107">
        <f t="shared" si="5"/>
        <v>766425.7</v>
      </c>
      <c r="M26" s="107">
        <f t="shared" si="6"/>
        <v>1292001.8899999999</v>
      </c>
      <c r="N26" s="107">
        <f t="shared" si="7"/>
        <v>635430.01</v>
      </c>
      <c r="O26" s="107">
        <f t="shared" si="8"/>
        <v>136173.38</v>
      </c>
      <c r="P26" s="255">
        <f t="shared" si="1"/>
        <v>28771055.66</v>
      </c>
      <c r="Q26" s="258">
        <f t="shared" si="9"/>
        <v>6.9425035949223024E-3</v>
      </c>
    </row>
    <row r="27" spans="1:17" ht="12.75" customHeight="1">
      <c r="A27" s="250">
        <v>35</v>
      </c>
      <c r="B27" s="4" t="s">
        <v>13</v>
      </c>
      <c r="C27" s="5">
        <v>7432606.0899999999</v>
      </c>
      <c r="D27" s="107">
        <v>1015084.11</v>
      </c>
      <c r="E27" s="107">
        <v>249586.39</v>
      </c>
      <c r="F27" s="107">
        <v>420740.19</v>
      </c>
      <c r="G27" s="107">
        <v>206927.67</v>
      </c>
      <c r="H27" s="107">
        <v>44344.84</v>
      </c>
      <c r="I27" s="252">
        <f t="shared" si="2"/>
        <v>9369289.2899999991</v>
      </c>
      <c r="J27" s="107">
        <f t="shared" si="3"/>
        <v>3716303.05</v>
      </c>
      <c r="K27" s="107">
        <f t="shared" si="4"/>
        <v>507542.06</v>
      </c>
      <c r="L27" s="107">
        <f t="shared" si="5"/>
        <v>124793.2</v>
      </c>
      <c r="M27" s="107">
        <f t="shared" si="6"/>
        <v>210370.1</v>
      </c>
      <c r="N27" s="107">
        <f t="shared" si="7"/>
        <v>103463.84</v>
      </c>
      <c r="O27" s="107">
        <f t="shared" si="8"/>
        <v>22172.42</v>
      </c>
      <c r="P27" s="255">
        <f t="shared" si="1"/>
        <v>4684644.669999999</v>
      </c>
      <c r="Q27" s="258">
        <f t="shared" si="9"/>
        <v>1.1304125523494467E-3</v>
      </c>
    </row>
    <row r="28" spans="1:17" ht="12.75" customHeight="1">
      <c r="A28" s="250">
        <v>61</v>
      </c>
      <c r="B28" s="4" t="s">
        <v>14</v>
      </c>
      <c r="C28" s="5">
        <v>33953602.020000003</v>
      </c>
      <c r="D28" s="107">
        <v>4637103.24</v>
      </c>
      <c r="E28" s="107">
        <v>1140159.5900000001</v>
      </c>
      <c r="F28" s="107">
        <v>1922023.7</v>
      </c>
      <c r="G28" s="107">
        <v>945286.18</v>
      </c>
      <c r="H28" s="107">
        <v>202575.92</v>
      </c>
      <c r="I28" s="252">
        <f t="shared" si="2"/>
        <v>42800750.650000013</v>
      </c>
      <c r="J28" s="107">
        <f t="shared" si="3"/>
        <v>16976801.010000002</v>
      </c>
      <c r="K28" s="107">
        <f t="shared" si="4"/>
        <v>2318551.62</v>
      </c>
      <c r="L28" s="107">
        <f t="shared" si="5"/>
        <v>570079.80000000005</v>
      </c>
      <c r="M28" s="107">
        <f t="shared" si="6"/>
        <v>961011.85</v>
      </c>
      <c r="N28" s="107">
        <f t="shared" si="7"/>
        <v>472643.09</v>
      </c>
      <c r="O28" s="107">
        <f t="shared" si="8"/>
        <v>101287.96</v>
      </c>
      <c r="P28" s="255">
        <f t="shared" si="1"/>
        <v>21400375.330000006</v>
      </c>
      <c r="Q28" s="258">
        <f t="shared" si="9"/>
        <v>5.1639461692665469E-3</v>
      </c>
    </row>
    <row r="29" spans="1:17" ht="12.75" customHeight="1">
      <c r="A29" s="250">
        <v>36</v>
      </c>
      <c r="B29" s="4" t="s">
        <v>15</v>
      </c>
      <c r="C29" s="5">
        <v>33767565.25</v>
      </c>
      <c r="D29" s="107">
        <v>4611695.87</v>
      </c>
      <c r="E29" s="107">
        <v>1133912.49</v>
      </c>
      <c r="F29" s="107">
        <v>1911492.65</v>
      </c>
      <c r="G29" s="107">
        <v>940106.82</v>
      </c>
      <c r="H29" s="107">
        <v>201465.97</v>
      </c>
      <c r="I29" s="252">
        <f t="shared" si="2"/>
        <v>42566239.049999997</v>
      </c>
      <c r="J29" s="107">
        <f t="shared" si="3"/>
        <v>16883782.629999999</v>
      </c>
      <c r="K29" s="107">
        <f t="shared" si="4"/>
        <v>2305847.94</v>
      </c>
      <c r="L29" s="107">
        <f t="shared" si="5"/>
        <v>566956.25</v>
      </c>
      <c r="M29" s="107">
        <f t="shared" si="6"/>
        <v>955746.33</v>
      </c>
      <c r="N29" s="107">
        <f t="shared" si="7"/>
        <v>470053.41</v>
      </c>
      <c r="O29" s="107">
        <f t="shared" si="8"/>
        <v>100732.99</v>
      </c>
      <c r="P29" s="255">
        <f t="shared" si="1"/>
        <v>21283119.549999997</v>
      </c>
      <c r="Q29" s="258">
        <f t="shared" si="9"/>
        <v>5.1356521544832362E-3</v>
      </c>
    </row>
    <row r="30" spans="1:17" ht="12.75" customHeight="1">
      <c r="A30" s="250">
        <v>28</v>
      </c>
      <c r="B30" s="4" t="s">
        <v>16</v>
      </c>
      <c r="C30" s="5">
        <v>528778679.38</v>
      </c>
      <c r="D30" s="107">
        <v>72216235.670000002</v>
      </c>
      <c r="E30" s="107">
        <v>17756351.190000001</v>
      </c>
      <c r="F30" s="107">
        <v>29932763.879999999</v>
      </c>
      <c r="G30" s="107">
        <v>14721477.23</v>
      </c>
      <c r="H30" s="107">
        <v>3154829.49</v>
      </c>
      <c r="I30" s="252">
        <f t="shared" si="2"/>
        <v>666560336.84000003</v>
      </c>
      <c r="J30" s="107">
        <f t="shared" si="3"/>
        <v>264389339.69</v>
      </c>
      <c r="K30" s="107">
        <f t="shared" si="4"/>
        <v>36108117.840000004</v>
      </c>
      <c r="L30" s="107">
        <f t="shared" si="5"/>
        <v>8878175.5999999996</v>
      </c>
      <c r="M30" s="107">
        <f t="shared" si="6"/>
        <v>14966381.939999999</v>
      </c>
      <c r="N30" s="107">
        <f t="shared" si="7"/>
        <v>7360738.6200000001</v>
      </c>
      <c r="O30" s="107">
        <f t="shared" si="8"/>
        <v>1577414.75</v>
      </c>
      <c r="P30" s="255">
        <f t="shared" si="1"/>
        <v>333280168.44</v>
      </c>
      <c r="Q30" s="258">
        <f t="shared" si="9"/>
        <v>8.0421059096828784E-2</v>
      </c>
    </row>
    <row r="31" spans="1:17" ht="12.75" customHeight="1">
      <c r="A31" s="250">
        <v>37</v>
      </c>
      <c r="B31" s="4" t="s">
        <v>134</v>
      </c>
      <c r="C31" s="5">
        <v>13615833.84</v>
      </c>
      <c r="D31" s="107">
        <v>1859538.41</v>
      </c>
      <c r="E31" s="107">
        <v>457218.75</v>
      </c>
      <c r="F31" s="107">
        <v>770756.38</v>
      </c>
      <c r="G31" s="107">
        <v>379071.99</v>
      </c>
      <c r="H31" s="107">
        <v>81235.56</v>
      </c>
      <c r="I31" s="252">
        <f t="shared" si="2"/>
        <v>17163654.93</v>
      </c>
      <c r="J31" s="107">
        <f t="shared" si="3"/>
        <v>6807916.9199999999</v>
      </c>
      <c r="K31" s="107">
        <f t="shared" si="4"/>
        <v>929769.21</v>
      </c>
      <c r="L31" s="107">
        <f t="shared" si="5"/>
        <v>228609.38</v>
      </c>
      <c r="M31" s="107">
        <f t="shared" si="6"/>
        <v>385378.19</v>
      </c>
      <c r="N31" s="107">
        <f t="shared" si="7"/>
        <v>189536</v>
      </c>
      <c r="O31" s="107">
        <f t="shared" si="8"/>
        <v>40617.78</v>
      </c>
      <c r="P31" s="255">
        <f t="shared" si="1"/>
        <v>8581827.4799999986</v>
      </c>
      <c r="Q31" s="258">
        <f t="shared" si="9"/>
        <v>2.070809247841933E-3</v>
      </c>
    </row>
    <row r="32" spans="1:17" ht="12.75" customHeight="1">
      <c r="A32" s="250">
        <v>39</v>
      </c>
      <c r="B32" s="4" t="s">
        <v>17</v>
      </c>
      <c r="C32" s="5">
        <v>23437552.559999999</v>
      </c>
      <c r="D32" s="107">
        <v>3200907.84</v>
      </c>
      <c r="E32" s="107">
        <v>787031.38</v>
      </c>
      <c r="F32" s="107">
        <v>1326737.9199999999</v>
      </c>
      <c r="G32" s="107">
        <v>652513.81999999995</v>
      </c>
      <c r="H32" s="107">
        <v>139834.46</v>
      </c>
      <c r="I32" s="252">
        <f t="shared" si="2"/>
        <v>29544577.979999997</v>
      </c>
      <c r="J32" s="107">
        <f t="shared" si="3"/>
        <v>11718776.279999999</v>
      </c>
      <c r="K32" s="107">
        <f t="shared" si="4"/>
        <v>1600453.92</v>
      </c>
      <c r="L32" s="107">
        <f t="shared" si="5"/>
        <v>393515.69</v>
      </c>
      <c r="M32" s="107">
        <f t="shared" si="6"/>
        <v>663368.95999999996</v>
      </c>
      <c r="N32" s="107">
        <f t="shared" si="7"/>
        <v>326256.90999999997</v>
      </c>
      <c r="O32" s="107">
        <f t="shared" si="8"/>
        <v>69917.23</v>
      </c>
      <c r="P32" s="255">
        <f t="shared" si="1"/>
        <v>14772288.989999998</v>
      </c>
      <c r="Q32" s="258">
        <f t="shared" si="9"/>
        <v>3.5645779087935675E-3</v>
      </c>
    </row>
    <row r="33" spans="1:17" ht="12.75" customHeight="1">
      <c r="A33" s="250">
        <v>38</v>
      </c>
      <c r="B33" s="4" t="s">
        <v>18</v>
      </c>
      <c r="C33" s="5">
        <v>13451370.800000001</v>
      </c>
      <c r="D33" s="107">
        <v>1837077.4</v>
      </c>
      <c r="E33" s="107">
        <v>451696.09</v>
      </c>
      <c r="F33" s="107">
        <v>761446.56</v>
      </c>
      <c r="G33" s="107">
        <v>374493.26</v>
      </c>
      <c r="H33" s="107">
        <v>80254.34</v>
      </c>
      <c r="I33" s="252">
        <f t="shared" si="2"/>
        <v>16956338.450000003</v>
      </c>
      <c r="J33" s="107">
        <f t="shared" si="3"/>
        <v>6725685.4000000004</v>
      </c>
      <c r="K33" s="107">
        <f t="shared" si="4"/>
        <v>918538.7</v>
      </c>
      <c r="L33" s="107">
        <f t="shared" si="5"/>
        <v>225848.05</v>
      </c>
      <c r="M33" s="107">
        <f t="shared" si="6"/>
        <v>380723.28</v>
      </c>
      <c r="N33" s="107">
        <f t="shared" si="7"/>
        <v>187246.63</v>
      </c>
      <c r="O33" s="107">
        <f t="shared" si="8"/>
        <v>40127.17</v>
      </c>
      <c r="P33" s="255">
        <f t="shared" si="1"/>
        <v>8478169.2300000004</v>
      </c>
      <c r="Q33" s="258">
        <f t="shared" si="9"/>
        <v>2.0457963396687769E-3</v>
      </c>
    </row>
    <row r="34" spans="1:17" ht="12.75" customHeight="1">
      <c r="A34" s="250">
        <v>40</v>
      </c>
      <c r="B34" s="4" t="s">
        <v>19</v>
      </c>
      <c r="C34" s="5">
        <v>18763177.170000002</v>
      </c>
      <c r="D34" s="107">
        <v>2562520.16</v>
      </c>
      <c r="E34" s="107">
        <v>630066.18000000005</v>
      </c>
      <c r="F34" s="107">
        <v>1062133.8799999999</v>
      </c>
      <c r="G34" s="107">
        <v>522376.75</v>
      </c>
      <c r="H34" s="107">
        <v>111945.94</v>
      </c>
      <c r="I34" s="252">
        <f t="shared" si="2"/>
        <v>23652220.080000002</v>
      </c>
      <c r="J34" s="107">
        <f t="shared" si="3"/>
        <v>9381588.5899999999</v>
      </c>
      <c r="K34" s="107">
        <f t="shared" si="4"/>
        <v>1281260.08</v>
      </c>
      <c r="L34" s="107">
        <f t="shared" si="5"/>
        <v>315033.09000000003</v>
      </c>
      <c r="M34" s="107">
        <f t="shared" si="6"/>
        <v>531066.93999999994</v>
      </c>
      <c r="N34" s="107">
        <f t="shared" si="7"/>
        <v>261188.38</v>
      </c>
      <c r="O34" s="107">
        <f t="shared" si="8"/>
        <v>55972.97</v>
      </c>
      <c r="P34" s="255">
        <f t="shared" si="1"/>
        <v>11826110.050000001</v>
      </c>
      <c r="Q34" s="258">
        <f t="shared" si="9"/>
        <v>2.8536600292431457E-3</v>
      </c>
    </row>
    <row r="35" spans="1:17" ht="12.75" customHeight="1">
      <c r="A35" s="250">
        <v>41</v>
      </c>
      <c r="B35" s="4" t="s">
        <v>20</v>
      </c>
      <c r="C35" s="5">
        <v>17881547.870000001</v>
      </c>
      <c r="D35" s="107">
        <v>2442114.4900000002</v>
      </c>
      <c r="E35" s="107">
        <v>600461.13</v>
      </c>
      <c r="F35" s="107">
        <v>1012227.18</v>
      </c>
      <c r="G35" s="107">
        <v>497831.72</v>
      </c>
      <c r="H35" s="107">
        <v>106685.91</v>
      </c>
      <c r="I35" s="252">
        <f t="shared" si="2"/>
        <v>22540868.299999997</v>
      </c>
      <c r="J35" s="107">
        <f t="shared" si="3"/>
        <v>8940773.9399999995</v>
      </c>
      <c r="K35" s="107">
        <f t="shared" si="4"/>
        <v>1221057.25</v>
      </c>
      <c r="L35" s="107">
        <f t="shared" si="5"/>
        <v>300230.57</v>
      </c>
      <c r="M35" s="107">
        <f t="shared" si="6"/>
        <v>506113.59</v>
      </c>
      <c r="N35" s="107">
        <f t="shared" si="7"/>
        <v>248915.86</v>
      </c>
      <c r="O35" s="107">
        <f t="shared" si="8"/>
        <v>53342.96</v>
      </c>
      <c r="P35" s="255">
        <f t="shared" si="1"/>
        <v>11270434.17</v>
      </c>
      <c r="Q35" s="258">
        <f t="shared" si="9"/>
        <v>2.7195745149644658E-3</v>
      </c>
    </row>
    <row r="36" spans="1:17" ht="12.75" customHeight="1">
      <c r="A36" s="250">
        <v>42</v>
      </c>
      <c r="B36" s="4" t="s">
        <v>135</v>
      </c>
      <c r="C36" s="5">
        <v>165832851.94</v>
      </c>
      <c r="D36" s="107">
        <v>22648084.699999999</v>
      </c>
      <c r="E36" s="107">
        <v>5568655.6100000003</v>
      </c>
      <c r="F36" s="107">
        <v>9387359.5800000001</v>
      </c>
      <c r="G36" s="107">
        <v>4616874.03</v>
      </c>
      <c r="H36" s="107">
        <v>989401.41</v>
      </c>
      <c r="I36" s="252">
        <f t="shared" si="2"/>
        <v>209043227.27000001</v>
      </c>
      <c r="J36" s="107">
        <f t="shared" si="3"/>
        <v>82916425.969999999</v>
      </c>
      <c r="K36" s="107">
        <f t="shared" si="4"/>
        <v>11324042.35</v>
      </c>
      <c r="L36" s="107">
        <f t="shared" si="5"/>
        <v>2784327.81</v>
      </c>
      <c r="M36" s="107">
        <f t="shared" si="6"/>
        <v>4693679.79</v>
      </c>
      <c r="N36" s="107">
        <f t="shared" si="7"/>
        <v>2308437.02</v>
      </c>
      <c r="O36" s="107">
        <f t="shared" si="8"/>
        <v>494700.71</v>
      </c>
      <c r="P36" s="255">
        <f t="shared" si="1"/>
        <v>104521613.64999999</v>
      </c>
      <c r="Q36" s="258">
        <f t="shared" si="9"/>
        <v>2.5221239258212361E-2</v>
      </c>
    </row>
    <row r="37" spans="1:17" ht="12.75" customHeight="1">
      <c r="A37" s="250">
        <v>43</v>
      </c>
      <c r="B37" s="4" t="s">
        <v>21</v>
      </c>
      <c r="C37" s="5">
        <v>31970901.600000001</v>
      </c>
      <c r="D37" s="107">
        <v>4366322.3499999996</v>
      </c>
      <c r="E37" s="107">
        <v>1073580.6499999999</v>
      </c>
      <c r="F37" s="107">
        <v>1809788.26</v>
      </c>
      <c r="G37" s="107">
        <v>890086.76</v>
      </c>
      <c r="H37" s="107">
        <v>190746.62</v>
      </c>
      <c r="I37" s="252">
        <f t="shared" si="2"/>
        <v>40301426.239999995</v>
      </c>
      <c r="J37" s="107">
        <f t="shared" si="3"/>
        <v>15985450.800000001</v>
      </c>
      <c r="K37" s="107">
        <f t="shared" si="4"/>
        <v>2183161.1800000002</v>
      </c>
      <c r="L37" s="107">
        <f t="shared" si="5"/>
        <v>536790.32999999996</v>
      </c>
      <c r="M37" s="107">
        <f t="shared" si="6"/>
        <v>904894.13</v>
      </c>
      <c r="N37" s="107">
        <f t="shared" si="7"/>
        <v>445043.38</v>
      </c>
      <c r="O37" s="107">
        <f t="shared" si="8"/>
        <v>95373.31</v>
      </c>
      <c r="P37" s="255">
        <f t="shared" si="1"/>
        <v>20150713.129999995</v>
      </c>
      <c r="Q37" s="258">
        <f t="shared" si="9"/>
        <v>4.8624006014408791E-3</v>
      </c>
    </row>
    <row r="38" spans="1:17" ht="12.75" customHeight="1">
      <c r="A38" s="250">
        <v>44</v>
      </c>
      <c r="B38" s="4" t="s">
        <v>22</v>
      </c>
      <c r="C38" s="5">
        <v>117218348.14</v>
      </c>
      <c r="D38" s="107">
        <v>16008716.279999999</v>
      </c>
      <c r="E38" s="107">
        <v>3936183.96</v>
      </c>
      <c r="F38" s="107">
        <v>6635420.9699999997</v>
      </c>
      <c r="G38" s="107">
        <v>3263420.62</v>
      </c>
      <c r="H38" s="107">
        <v>699354.79</v>
      </c>
      <c r="I38" s="252">
        <f t="shared" si="2"/>
        <v>147761444.75999999</v>
      </c>
      <c r="J38" s="107">
        <f t="shared" si="3"/>
        <v>58609174.07</v>
      </c>
      <c r="K38" s="107">
        <f t="shared" si="4"/>
        <v>8004358.1399999997</v>
      </c>
      <c r="L38" s="107">
        <f t="shared" si="5"/>
        <v>1968091.98</v>
      </c>
      <c r="M38" s="107">
        <f t="shared" si="6"/>
        <v>3317710.49</v>
      </c>
      <c r="N38" s="107">
        <f t="shared" si="7"/>
        <v>1631710.31</v>
      </c>
      <c r="O38" s="107">
        <f t="shared" si="8"/>
        <v>349677.4</v>
      </c>
      <c r="P38" s="255">
        <f t="shared" ref="P38:P56" si="10">SUM(J38:O38)</f>
        <v>73880722.390000001</v>
      </c>
      <c r="Q38" s="258">
        <f t="shared" si="9"/>
        <v>1.7827541222310214E-2</v>
      </c>
    </row>
    <row r="39" spans="1:17" ht="12.75" customHeight="1">
      <c r="A39" s="250">
        <v>46</v>
      </c>
      <c r="B39" s="4" t="s">
        <v>136</v>
      </c>
      <c r="C39" s="5">
        <v>25010439.550000001</v>
      </c>
      <c r="D39" s="107">
        <v>3415719.78</v>
      </c>
      <c r="E39" s="107">
        <v>839848.82</v>
      </c>
      <c r="F39" s="107">
        <v>1415774.9</v>
      </c>
      <c r="G39" s="107">
        <v>696303.82</v>
      </c>
      <c r="H39" s="107">
        <v>149218.71</v>
      </c>
      <c r="I39" s="252">
        <f t="shared" si="2"/>
        <v>31527305.580000002</v>
      </c>
      <c r="J39" s="107">
        <f t="shared" si="3"/>
        <v>12505219.779999999</v>
      </c>
      <c r="K39" s="107">
        <f t="shared" si="4"/>
        <v>1707859.89</v>
      </c>
      <c r="L39" s="107">
        <f t="shared" si="5"/>
        <v>419924.41</v>
      </c>
      <c r="M39" s="107">
        <f t="shared" si="6"/>
        <v>707887.45</v>
      </c>
      <c r="N39" s="107">
        <f t="shared" si="7"/>
        <v>348151.91</v>
      </c>
      <c r="O39" s="107">
        <f t="shared" si="8"/>
        <v>74609.36</v>
      </c>
      <c r="P39" s="255">
        <f t="shared" si="10"/>
        <v>15763652.799999999</v>
      </c>
      <c r="Q39" s="258">
        <f t="shared" si="9"/>
        <v>3.8037956454013205E-3</v>
      </c>
    </row>
    <row r="40" spans="1:17" ht="12.75" customHeight="1">
      <c r="A40" s="250">
        <v>49</v>
      </c>
      <c r="B40" s="4" t="s">
        <v>23</v>
      </c>
      <c r="C40" s="5">
        <v>24040117.52</v>
      </c>
      <c r="D40" s="107">
        <v>3283201.2</v>
      </c>
      <c r="E40" s="107">
        <v>807265.47</v>
      </c>
      <c r="F40" s="107">
        <v>1360847.53</v>
      </c>
      <c r="G40" s="107">
        <v>669289.55000000005</v>
      </c>
      <c r="H40" s="107">
        <v>143429.51999999999</v>
      </c>
      <c r="I40" s="252">
        <f t="shared" si="2"/>
        <v>30304150.789999999</v>
      </c>
      <c r="J40" s="107">
        <f t="shared" si="3"/>
        <v>12020058.76</v>
      </c>
      <c r="K40" s="107">
        <f t="shared" si="4"/>
        <v>1641600.6</v>
      </c>
      <c r="L40" s="107">
        <f t="shared" si="5"/>
        <v>403632.74</v>
      </c>
      <c r="M40" s="107">
        <f t="shared" si="6"/>
        <v>680423.77</v>
      </c>
      <c r="N40" s="107">
        <f t="shared" si="7"/>
        <v>334644.78000000003</v>
      </c>
      <c r="O40" s="107">
        <f t="shared" si="8"/>
        <v>71714.759999999995</v>
      </c>
      <c r="P40" s="255">
        <f t="shared" si="10"/>
        <v>15152075.409999998</v>
      </c>
      <c r="Q40" s="258">
        <f t="shared" si="9"/>
        <v>3.6562210037606527E-3</v>
      </c>
    </row>
    <row r="41" spans="1:17" ht="12.75" customHeight="1">
      <c r="A41" s="250">
        <v>48</v>
      </c>
      <c r="B41" s="4" t="s">
        <v>24</v>
      </c>
      <c r="C41" s="5">
        <v>25869692.379999999</v>
      </c>
      <c r="D41" s="107">
        <v>3533069.46</v>
      </c>
      <c r="E41" s="107">
        <v>868702.47</v>
      </c>
      <c r="F41" s="107">
        <v>1464414.93</v>
      </c>
      <c r="G41" s="107">
        <v>720225.88</v>
      </c>
      <c r="H41" s="107">
        <v>154345.23000000001</v>
      </c>
      <c r="I41" s="252">
        <f t="shared" si="2"/>
        <v>32610450.349999998</v>
      </c>
      <c r="J41" s="107">
        <f t="shared" si="3"/>
        <v>12934846.189999999</v>
      </c>
      <c r="K41" s="107">
        <f t="shared" si="4"/>
        <v>1766534.73</v>
      </c>
      <c r="L41" s="107">
        <f t="shared" si="5"/>
        <v>434351.24</v>
      </c>
      <c r="M41" s="107">
        <f t="shared" si="6"/>
        <v>732207.47</v>
      </c>
      <c r="N41" s="107">
        <f t="shared" si="7"/>
        <v>360112.94</v>
      </c>
      <c r="O41" s="107">
        <f t="shared" si="8"/>
        <v>77172.62</v>
      </c>
      <c r="P41" s="255">
        <f t="shared" si="10"/>
        <v>16305225.189999999</v>
      </c>
      <c r="Q41" s="258">
        <f t="shared" si="9"/>
        <v>3.9344779640801226E-3</v>
      </c>
    </row>
    <row r="42" spans="1:17" ht="12.75" customHeight="1">
      <c r="A42" s="250">
        <v>47</v>
      </c>
      <c r="B42" s="4" t="s">
        <v>25</v>
      </c>
      <c r="C42" s="5">
        <v>35554214.07</v>
      </c>
      <c r="D42" s="107">
        <v>4855701.6399999997</v>
      </c>
      <c r="E42" s="107">
        <v>1193908.03</v>
      </c>
      <c r="F42" s="107">
        <v>2012630.12</v>
      </c>
      <c r="G42" s="107">
        <v>989848.07</v>
      </c>
      <c r="H42" s="107">
        <v>212125.58</v>
      </c>
      <c r="I42" s="252">
        <f t="shared" si="2"/>
        <v>44818427.509999998</v>
      </c>
      <c r="J42" s="107">
        <f t="shared" si="3"/>
        <v>17777107.039999999</v>
      </c>
      <c r="K42" s="107">
        <f t="shared" si="4"/>
        <v>2427850.8199999998</v>
      </c>
      <c r="L42" s="107">
        <f t="shared" si="5"/>
        <v>596954.02</v>
      </c>
      <c r="M42" s="107">
        <f t="shared" si="6"/>
        <v>1006315.06</v>
      </c>
      <c r="N42" s="107">
        <f t="shared" si="7"/>
        <v>494924.04</v>
      </c>
      <c r="O42" s="107">
        <f t="shared" si="8"/>
        <v>106062.79</v>
      </c>
      <c r="P42" s="255">
        <f t="shared" si="10"/>
        <v>22409213.769999996</v>
      </c>
      <c r="Q42" s="258">
        <f t="shared" si="9"/>
        <v>5.4073805631644776E-3</v>
      </c>
    </row>
    <row r="43" spans="1:17" ht="12.75" customHeight="1">
      <c r="A43" s="250">
        <v>45</v>
      </c>
      <c r="B43" s="4" t="s">
        <v>26</v>
      </c>
      <c r="C43" s="5">
        <v>83413469.420000002</v>
      </c>
      <c r="D43" s="107">
        <v>11391924.449999999</v>
      </c>
      <c r="E43" s="107">
        <v>2801018.49</v>
      </c>
      <c r="F43" s="107">
        <v>4721816.1100000003</v>
      </c>
      <c r="G43" s="107">
        <v>2322274.9700000002</v>
      </c>
      <c r="H43" s="107">
        <v>497666.2</v>
      </c>
      <c r="I43" s="252">
        <f t="shared" si="2"/>
        <v>105148169.64</v>
      </c>
      <c r="J43" s="107">
        <f t="shared" si="3"/>
        <v>41706734.710000001</v>
      </c>
      <c r="K43" s="107">
        <f t="shared" si="4"/>
        <v>5695962.2300000004</v>
      </c>
      <c r="L43" s="107">
        <f t="shared" si="5"/>
        <v>1400509.25</v>
      </c>
      <c r="M43" s="107">
        <f t="shared" si="6"/>
        <v>2360908.06</v>
      </c>
      <c r="N43" s="107">
        <f t="shared" si="7"/>
        <v>1161137.49</v>
      </c>
      <c r="O43" s="107">
        <f t="shared" si="8"/>
        <v>248833.1</v>
      </c>
      <c r="P43" s="255">
        <f t="shared" si="10"/>
        <v>52574084.840000004</v>
      </c>
      <c r="Q43" s="258">
        <f t="shared" si="9"/>
        <v>1.2686214135301915E-2</v>
      </c>
    </row>
    <row r="44" spans="1:17" ht="12.75" customHeight="1">
      <c r="A44" s="250">
        <v>70</v>
      </c>
      <c r="B44" s="4" t="s">
        <v>27</v>
      </c>
      <c r="C44" s="5">
        <v>1726259320.8499999</v>
      </c>
      <c r="D44" s="107">
        <v>235758276.21000001</v>
      </c>
      <c r="E44" s="107">
        <v>57967667.659999996</v>
      </c>
      <c r="F44" s="107">
        <v>97718978.969999999</v>
      </c>
      <c r="G44" s="107">
        <v>48059969.659999996</v>
      </c>
      <c r="H44" s="107">
        <v>10299306.74</v>
      </c>
      <c r="I44" s="252">
        <f t="shared" si="2"/>
        <v>2176063520.0899997</v>
      </c>
      <c r="J44" s="107">
        <f t="shared" si="3"/>
        <v>863129660.42999995</v>
      </c>
      <c r="K44" s="107">
        <f t="shared" si="4"/>
        <v>117879138.11</v>
      </c>
      <c r="L44" s="107">
        <f t="shared" si="5"/>
        <v>28983833.829999998</v>
      </c>
      <c r="M44" s="107">
        <f t="shared" si="6"/>
        <v>48859489.490000002</v>
      </c>
      <c r="N44" s="107">
        <f t="shared" si="7"/>
        <v>24029984.829999998</v>
      </c>
      <c r="O44" s="107">
        <f t="shared" si="8"/>
        <v>5149653.37</v>
      </c>
      <c r="P44" s="255">
        <f t="shared" si="10"/>
        <v>1088031760.0599999</v>
      </c>
      <c r="Q44" s="258">
        <f t="shared" si="9"/>
        <v>0.26254387377616961</v>
      </c>
    </row>
    <row r="45" spans="1:17" ht="12.75" customHeight="1">
      <c r="A45" s="250">
        <v>50</v>
      </c>
      <c r="B45" s="4" t="s">
        <v>137</v>
      </c>
      <c r="C45" s="5">
        <v>9169501.2799999993</v>
      </c>
      <c r="D45" s="107">
        <v>1252294.94</v>
      </c>
      <c r="E45" s="107">
        <v>307911.21000000002</v>
      </c>
      <c r="F45" s="107">
        <v>519061.24</v>
      </c>
      <c r="G45" s="107">
        <v>255283.75</v>
      </c>
      <c r="H45" s="107">
        <v>54707.6</v>
      </c>
      <c r="I45" s="252">
        <f t="shared" si="2"/>
        <v>11558760.02</v>
      </c>
      <c r="J45" s="107">
        <f t="shared" si="3"/>
        <v>4584750.6399999997</v>
      </c>
      <c r="K45" s="107">
        <f t="shared" si="4"/>
        <v>626147.47</v>
      </c>
      <c r="L45" s="107">
        <f t="shared" si="5"/>
        <v>153955.60999999999</v>
      </c>
      <c r="M45" s="107">
        <f t="shared" si="6"/>
        <v>259530.62</v>
      </c>
      <c r="N45" s="107">
        <f t="shared" si="7"/>
        <v>127641.88</v>
      </c>
      <c r="O45" s="107">
        <f t="shared" si="8"/>
        <v>27353.8</v>
      </c>
      <c r="P45" s="255">
        <f t="shared" si="10"/>
        <v>5779380.0199999996</v>
      </c>
      <c r="Q45" s="258">
        <f t="shared" si="9"/>
        <v>1.3945740135303788E-3</v>
      </c>
    </row>
    <row r="46" spans="1:17" ht="12.75" customHeight="1">
      <c r="A46" s="250">
        <v>51</v>
      </c>
      <c r="B46" s="4" t="s">
        <v>138</v>
      </c>
      <c r="C46" s="5">
        <v>38260390.350000001</v>
      </c>
      <c r="D46" s="107">
        <v>5225288.9000000004</v>
      </c>
      <c r="E46" s="107">
        <v>1284781.24</v>
      </c>
      <c r="F46" s="107">
        <v>2165819.6</v>
      </c>
      <c r="G46" s="107">
        <v>1065189.44</v>
      </c>
      <c r="H46" s="107">
        <v>228271.32</v>
      </c>
      <c r="I46" s="252">
        <f t="shared" si="2"/>
        <v>48229740.850000001</v>
      </c>
      <c r="J46" s="107">
        <f t="shared" si="3"/>
        <v>19130195.18</v>
      </c>
      <c r="K46" s="107">
        <f t="shared" si="4"/>
        <v>2612644.4500000002</v>
      </c>
      <c r="L46" s="107">
        <f t="shared" si="5"/>
        <v>642390.62</v>
      </c>
      <c r="M46" s="107">
        <f t="shared" si="6"/>
        <v>1082909.8</v>
      </c>
      <c r="N46" s="107">
        <f t="shared" si="7"/>
        <v>532594.72</v>
      </c>
      <c r="O46" s="107">
        <f t="shared" si="8"/>
        <v>114135.66</v>
      </c>
      <c r="P46" s="255">
        <f t="shared" si="10"/>
        <v>24114870.43</v>
      </c>
      <c r="Q46" s="258">
        <f t="shared" si="9"/>
        <v>5.8189583527906092E-3</v>
      </c>
    </row>
    <row r="47" spans="1:17" ht="12.75" customHeight="1">
      <c r="A47" s="250">
        <v>52</v>
      </c>
      <c r="B47" s="4" t="s">
        <v>139</v>
      </c>
      <c r="C47" s="5">
        <v>18909383.170000002</v>
      </c>
      <c r="D47" s="107">
        <v>2582487.77</v>
      </c>
      <c r="E47" s="107">
        <v>634975.77</v>
      </c>
      <c r="F47" s="107">
        <v>1070410.22</v>
      </c>
      <c r="G47" s="107">
        <v>526447.19999999995</v>
      </c>
      <c r="H47" s="107">
        <v>112818.24000000001</v>
      </c>
      <c r="I47" s="252">
        <f t="shared" si="2"/>
        <v>23836522.369999997</v>
      </c>
      <c r="J47" s="107">
        <f t="shared" si="3"/>
        <v>9454691.5899999999</v>
      </c>
      <c r="K47" s="107">
        <f t="shared" si="4"/>
        <v>1291243.8899999999</v>
      </c>
      <c r="L47" s="107">
        <f t="shared" si="5"/>
        <v>317487.89</v>
      </c>
      <c r="M47" s="107">
        <f t="shared" si="6"/>
        <v>535205.11</v>
      </c>
      <c r="N47" s="107">
        <f t="shared" si="7"/>
        <v>263223.59999999998</v>
      </c>
      <c r="O47" s="107">
        <f t="shared" si="8"/>
        <v>56409.120000000003</v>
      </c>
      <c r="P47" s="255">
        <f t="shared" si="10"/>
        <v>11918261.199999999</v>
      </c>
      <c r="Q47" s="258">
        <f t="shared" si="9"/>
        <v>2.875896255042836E-3</v>
      </c>
    </row>
    <row r="48" spans="1:17" ht="12.75" customHeight="1">
      <c r="A48" s="250">
        <v>53</v>
      </c>
      <c r="B48" s="4" t="s">
        <v>28</v>
      </c>
      <c r="C48" s="5">
        <v>21189369.57</v>
      </c>
      <c r="D48" s="107">
        <v>2893869.53</v>
      </c>
      <c r="E48" s="107">
        <v>711537.55</v>
      </c>
      <c r="F48" s="107">
        <v>1199474.22</v>
      </c>
      <c r="G48" s="107">
        <v>589923.22</v>
      </c>
      <c r="H48" s="107">
        <v>126421.22</v>
      </c>
      <c r="I48" s="252">
        <f t="shared" si="2"/>
        <v>26710595.309999999</v>
      </c>
      <c r="J48" s="107">
        <f t="shared" si="3"/>
        <v>10594684.789999999</v>
      </c>
      <c r="K48" s="107">
        <f t="shared" si="4"/>
        <v>1446934.77</v>
      </c>
      <c r="L48" s="107">
        <f t="shared" si="5"/>
        <v>355768.78</v>
      </c>
      <c r="M48" s="107">
        <f t="shared" si="6"/>
        <v>599737.11</v>
      </c>
      <c r="N48" s="107">
        <f t="shared" si="7"/>
        <v>294961.61</v>
      </c>
      <c r="O48" s="107">
        <f t="shared" si="8"/>
        <v>63210.61</v>
      </c>
      <c r="P48" s="255">
        <f t="shared" si="10"/>
        <v>13355297.669999996</v>
      </c>
      <c r="Q48" s="258">
        <f t="shared" si="9"/>
        <v>3.2226555459394786E-3</v>
      </c>
    </row>
    <row r="49" spans="1:17" ht="12.75" customHeight="1">
      <c r="A49" s="250">
        <v>54</v>
      </c>
      <c r="B49" s="4" t="s">
        <v>29</v>
      </c>
      <c r="C49" s="5">
        <v>60965138.740000002</v>
      </c>
      <c r="D49" s="107">
        <v>8326116.3899999997</v>
      </c>
      <c r="E49" s="107">
        <v>2047205.11</v>
      </c>
      <c r="F49" s="107">
        <v>3451075.42</v>
      </c>
      <c r="G49" s="107">
        <v>1697301.61</v>
      </c>
      <c r="H49" s="107">
        <v>363733.69</v>
      </c>
      <c r="I49" s="252">
        <f t="shared" si="2"/>
        <v>76850570.959999993</v>
      </c>
      <c r="J49" s="107">
        <f t="shared" si="3"/>
        <v>30482569.370000001</v>
      </c>
      <c r="K49" s="107">
        <f t="shared" si="4"/>
        <v>4163058.2</v>
      </c>
      <c r="L49" s="107">
        <f t="shared" si="5"/>
        <v>1023602.56</v>
      </c>
      <c r="M49" s="107">
        <f t="shared" si="6"/>
        <v>1725537.71</v>
      </c>
      <c r="N49" s="107">
        <f t="shared" si="7"/>
        <v>848650.81</v>
      </c>
      <c r="O49" s="107">
        <f t="shared" si="8"/>
        <v>181866.85</v>
      </c>
      <c r="P49" s="255">
        <f t="shared" si="10"/>
        <v>38425285.500000007</v>
      </c>
      <c r="Q49" s="258">
        <f t="shared" si="9"/>
        <v>9.2720853163045132E-3</v>
      </c>
    </row>
    <row r="50" spans="1:17" ht="12.75" customHeight="1">
      <c r="A50" s="250">
        <v>55</v>
      </c>
      <c r="B50" s="4" t="s">
        <v>30</v>
      </c>
      <c r="C50" s="5">
        <v>52786864.539999999</v>
      </c>
      <c r="D50" s="107">
        <v>7209195.0700000003</v>
      </c>
      <c r="E50" s="107">
        <v>1772579.23</v>
      </c>
      <c r="F50" s="107">
        <v>2988124.93</v>
      </c>
      <c r="G50" s="107">
        <v>1469614.14</v>
      </c>
      <c r="H50" s="107">
        <v>314940</v>
      </c>
      <c r="I50" s="252">
        <f t="shared" si="2"/>
        <v>66541317.909999996</v>
      </c>
      <c r="J50" s="107">
        <f t="shared" si="3"/>
        <v>26393432.27</v>
      </c>
      <c r="K50" s="107">
        <f t="shared" si="4"/>
        <v>3604597.54</v>
      </c>
      <c r="L50" s="107">
        <f t="shared" si="5"/>
        <v>886289.62</v>
      </c>
      <c r="M50" s="107">
        <f t="shared" si="6"/>
        <v>1494062.47</v>
      </c>
      <c r="N50" s="107">
        <f t="shared" si="7"/>
        <v>734807.07</v>
      </c>
      <c r="O50" s="107">
        <f t="shared" si="8"/>
        <v>157470</v>
      </c>
      <c r="P50" s="255">
        <f t="shared" si="10"/>
        <v>33270658.969999999</v>
      </c>
      <c r="Q50" s="258">
        <f t="shared" si="9"/>
        <v>8.0282653592648519E-3</v>
      </c>
    </row>
    <row r="51" spans="1:17" ht="12.75" customHeight="1">
      <c r="A51" s="250">
        <v>58</v>
      </c>
      <c r="B51" s="4" t="s">
        <v>140</v>
      </c>
      <c r="C51" s="5">
        <v>474720406.57999998</v>
      </c>
      <c r="D51" s="107">
        <v>64833402.130000003</v>
      </c>
      <c r="E51" s="107">
        <v>15941078.16</v>
      </c>
      <c r="F51" s="107">
        <v>26872667.890000001</v>
      </c>
      <c r="G51" s="107">
        <v>13216466.42</v>
      </c>
      <c r="H51" s="107">
        <v>2832303.94</v>
      </c>
      <c r="I51" s="252">
        <f t="shared" si="2"/>
        <v>598416325.12</v>
      </c>
      <c r="J51" s="107">
        <f t="shared" si="3"/>
        <v>237360203.28999999</v>
      </c>
      <c r="K51" s="107">
        <f t="shared" si="4"/>
        <v>32416701.07</v>
      </c>
      <c r="L51" s="107">
        <f t="shared" si="5"/>
        <v>7970539.0800000001</v>
      </c>
      <c r="M51" s="107">
        <f t="shared" si="6"/>
        <v>13436333.949999999</v>
      </c>
      <c r="N51" s="107">
        <f t="shared" si="7"/>
        <v>6608233.21</v>
      </c>
      <c r="O51" s="107">
        <f t="shared" si="8"/>
        <v>1416151.97</v>
      </c>
      <c r="P51" s="255">
        <f t="shared" si="10"/>
        <v>299208162.56999999</v>
      </c>
      <c r="Q51" s="258">
        <f t="shared" si="9"/>
        <v>7.2199427397455523E-2</v>
      </c>
    </row>
    <row r="52" spans="1:17" ht="12.75" customHeight="1">
      <c r="A52" s="250">
        <v>31</v>
      </c>
      <c r="B52" s="4" t="s">
        <v>141</v>
      </c>
      <c r="C52" s="5">
        <v>917280808.95000005</v>
      </c>
      <c r="D52" s="107">
        <v>125274655.84</v>
      </c>
      <c r="E52" s="107">
        <v>30802225.620000001</v>
      </c>
      <c r="F52" s="107">
        <v>51924842.920000002</v>
      </c>
      <c r="G52" s="107">
        <v>25537581.359999999</v>
      </c>
      <c r="H52" s="107">
        <v>5472733.04</v>
      </c>
      <c r="I52" s="252">
        <f t="shared" si="2"/>
        <v>1156292847.73</v>
      </c>
      <c r="J52" s="107">
        <f t="shared" si="3"/>
        <v>458640404.48000002</v>
      </c>
      <c r="K52" s="107">
        <f t="shared" si="4"/>
        <v>62637327.920000002</v>
      </c>
      <c r="L52" s="107">
        <f t="shared" si="5"/>
        <v>15401112.810000001</v>
      </c>
      <c r="M52" s="107">
        <f t="shared" si="6"/>
        <v>25962421.460000001</v>
      </c>
      <c r="N52" s="107">
        <f t="shared" si="7"/>
        <v>12768790.68</v>
      </c>
      <c r="O52" s="107">
        <f t="shared" si="8"/>
        <v>2736366.52</v>
      </c>
      <c r="P52" s="255">
        <f t="shared" si="10"/>
        <v>578146423.87</v>
      </c>
      <c r="Q52" s="258">
        <f t="shared" si="9"/>
        <v>0.13950769389700413</v>
      </c>
    </row>
    <row r="53" spans="1:17" ht="12.75" customHeight="1">
      <c r="A53" s="250">
        <v>57</v>
      </c>
      <c r="B53" s="4" t="s">
        <v>31</v>
      </c>
      <c r="C53" s="5">
        <v>247174909.66</v>
      </c>
      <c r="D53" s="107">
        <v>33757112.799999997</v>
      </c>
      <c r="E53" s="107">
        <v>8300116.2400000002</v>
      </c>
      <c r="F53" s="107">
        <v>13991918.539999999</v>
      </c>
      <c r="G53" s="107">
        <v>6881479.8099999996</v>
      </c>
      <c r="H53" s="107">
        <v>1474709.03</v>
      </c>
      <c r="I53" s="252">
        <f t="shared" si="2"/>
        <v>311580246.07999998</v>
      </c>
      <c r="J53" s="107">
        <f t="shared" si="3"/>
        <v>123587454.83</v>
      </c>
      <c r="K53" s="107">
        <f t="shared" si="4"/>
        <v>16878556.399999999</v>
      </c>
      <c r="L53" s="107">
        <f t="shared" si="5"/>
        <v>4150058.12</v>
      </c>
      <c r="M53" s="107">
        <f t="shared" si="6"/>
        <v>6995959.2699999996</v>
      </c>
      <c r="N53" s="107">
        <f t="shared" si="7"/>
        <v>3440739.91</v>
      </c>
      <c r="O53" s="107">
        <f t="shared" si="8"/>
        <v>737354.52</v>
      </c>
      <c r="P53" s="255">
        <f t="shared" si="10"/>
        <v>155790123.05000001</v>
      </c>
      <c r="Q53" s="258">
        <f t="shared" si="9"/>
        <v>3.7592415867858109E-2</v>
      </c>
    </row>
    <row r="54" spans="1:17" ht="12.75" customHeight="1">
      <c r="A54" s="250">
        <v>56</v>
      </c>
      <c r="B54" s="4" t="s">
        <v>32</v>
      </c>
      <c r="C54" s="5">
        <v>79956792.879999995</v>
      </c>
      <c r="D54" s="107">
        <v>10919840.050000001</v>
      </c>
      <c r="E54" s="107">
        <v>2684943.53</v>
      </c>
      <c r="F54" s="107">
        <v>4526142.78</v>
      </c>
      <c r="G54" s="107">
        <v>2226039.27</v>
      </c>
      <c r="H54" s="107">
        <v>477042.77</v>
      </c>
      <c r="I54" s="252">
        <f t="shared" si="2"/>
        <v>100790801.27999999</v>
      </c>
      <c r="J54" s="107">
        <f t="shared" si="3"/>
        <v>39978396.439999998</v>
      </c>
      <c r="K54" s="107">
        <f t="shared" si="4"/>
        <v>5459920.0300000003</v>
      </c>
      <c r="L54" s="107">
        <f t="shared" si="5"/>
        <v>1342471.77</v>
      </c>
      <c r="M54" s="107">
        <f t="shared" si="6"/>
        <v>2263071.39</v>
      </c>
      <c r="N54" s="107">
        <f t="shared" si="7"/>
        <v>1113019.6399999999</v>
      </c>
      <c r="O54" s="107">
        <f t="shared" si="8"/>
        <v>238521.39</v>
      </c>
      <c r="P54" s="255">
        <f t="shared" si="10"/>
        <v>50395400.660000004</v>
      </c>
      <c r="Q54" s="258">
        <f t="shared" si="9"/>
        <v>1.2160494018160743E-2</v>
      </c>
    </row>
    <row r="55" spans="1:17" ht="12.75" customHeight="1">
      <c r="A55" s="250">
        <v>59</v>
      </c>
      <c r="B55" s="4" t="s">
        <v>33</v>
      </c>
      <c r="C55" s="5">
        <v>16102991.52</v>
      </c>
      <c r="D55" s="107">
        <v>2199213.92</v>
      </c>
      <c r="E55" s="107">
        <v>540737.32999999996</v>
      </c>
      <c r="F55" s="107">
        <v>911547.8</v>
      </c>
      <c r="G55" s="107">
        <v>448315.77</v>
      </c>
      <c r="H55" s="107">
        <v>96074.59</v>
      </c>
      <c r="I55" s="252">
        <f t="shared" si="2"/>
        <v>20298880.929999996</v>
      </c>
      <c r="J55" s="107">
        <f t="shared" si="3"/>
        <v>8051495.7599999998</v>
      </c>
      <c r="K55" s="107">
        <f t="shared" si="4"/>
        <v>1099606.96</v>
      </c>
      <c r="L55" s="107">
        <f t="shared" si="5"/>
        <v>270368.67</v>
      </c>
      <c r="M55" s="107">
        <f t="shared" si="6"/>
        <v>455773.9</v>
      </c>
      <c r="N55" s="107">
        <f t="shared" si="7"/>
        <v>224157.89</v>
      </c>
      <c r="O55" s="107">
        <f t="shared" si="8"/>
        <v>48037.3</v>
      </c>
      <c r="P55" s="255">
        <f t="shared" si="10"/>
        <v>10149440.48</v>
      </c>
      <c r="Q55" s="258">
        <f t="shared" si="9"/>
        <v>2.4490768726575791E-3</v>
      </c>
    </row>
    <row r="56" spans="1:17" ht="12.75" customHeight="1">
      <c r="A56" s="250">
        <v>60</v>
      </c>
      <c r="B56" s="4" t="s">
        <v>34</v>
      </c>
      <c r="C56" s="5">
        <v>21809438.43</v>
      </c>
      <c r="D56" s="107">
        <v>2978553.42</v>
      </c>
      <c r="E56" s="107">
        <v>732359.42</v>
      </c>
      <c r="F56" s="107">
        <v>1234574.68</v>
      </c>
      <c r="G56" s="107">
        <v>607186.26</v>
      </c>
      <c r="H56" s="107">
        <v>130120.71</v>
      </c>
      <c r="I56" s="252">
        <f t="shared" si="2"/>
        <v>27492232.920000006</v>
      </c>
      <c r="J56" s="107">
        <f t="shared" si="3"/>
        <v>10904719.220000001</v>
      </c>
      <c r="K56" s="107">
        <f t="shared" si="4"/>
        <v>1489276.71</v>
      </c>
      <c r="L56" s="107">
        <f t="shared" si="5"/>
        <v>366179.71</v>
      </c>
      <c r="M56" s="107">
        <f t="shared" si="6"/>
        <v>617287.34</v>
      </c>
      <c r="N56" s="107">
        <f t="shared" si="7"/>
        <v>303593.13</v>
      </c>
      <c r="O56" s="107">
        <f t="shared" si="8"/>
        <v>65060.36</v>
      </c>
      <c r="P56" s="255">
        <f t="shared" si="10"/>
        <v>13746116.470000001</v>
      </c>
      <c r="Q56" s="258">
        <f t="shared" si="9"/>
        <v>3.3169607725542761E-3</v>
      </c>
    </row>
    <row r="57" spans="1:17" s="101" customFormat="1" ht="16.5" customHeight="1" thickBot="1">
      <c r="B57" s="6" t="s">
        <v>35</v>
      </c>
      <c r="C57" s="7">
        <f>SUM(C6:C56)</f>
        <v>6575127028.2700005</v>
      </c>
      <c r="D57" s="7">
        <f t="shared" ref="D57:P57" si="11">SUM(D6:D56)</f>
        <v>897976680.14999986</v>
      </c>
      <c r="E57" s="7">
        <f t="shared" si="11"/>
        <v>220792307.28000006</v>
      </c>
      <c r="F57" s="7">
        <f t="shared" si="11"/>
        <v>372200568.00000006</v>
      </c>
      <c r="G57" s="7">
        <f t="shared" si="11"/>
        <v>183055003.20999998</v>
      </c>
      <c r="H57" s="7">
        <f t="shared" si="11"/>
        <v>39228897.610000014</v>
      </c>
      <c r="I57" s="253">
        <f t="shared" si="11"/>
        <v>8288380484.5199995</v>
      </c>
      <c r="J57" s="7">
        <f t="shared" si="11"/>
        <v>3287563514.2499995</v>
      </c>
      <c r="K57" s="7">
        <f t="shared" si="11"/>
        <v>448988340.19999987</v>
      </c>
      <c r="L57" s="7">
        <f t="shared" si="11"/>
        <v>110396153.79000001</v>
      </c>
      <c r="M57" s="7">
        <f t="shared" si="11"/>
        <v>186100284.12</v>
      </c>
      <c r="N57" s="7">
        <f t="shared" si="11"/>
        <v>91527501.719999999</v>
      </c>
      <c r="O57" s="7">
        <f t="shared" si="11"/>
        <v>19614448.91</v>
      </c>
      <c r="P57" s="253">
        <f t="shared" si="11"/>
        <v>4144190242.9899993</v>
      </c>
      <c r="Q57" s="259">
        <f t="shared" ref="Q57" si="12">SUM(Q6:Q56)</f>
        <v>1.0000000000000002</v>
      </c>
    </row>
    <row r="58" spans="1:17" ht="13.5" thickTop="1"/>
    <row r="59" spans="1:17">
      <c r="B59" s="169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</row>
    <row r="60" spans="1:17">
      <c r="B60" s="169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</sheetData>
  <mergeCells count="4">
    <mergeCell ref="B1:P1"/>
    <mergeCell ref="B3:B4"/>
    <mergeCell ref="C3:I3"/>
    <mergeCell ref="J3:P3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63" orientation="landscape" horizontalDpi="300" verticalDpi="300" r:id="rId1"/>
  <headerFooter alignWithMargins="0">
    <oddHeader>&amp;LANEXO 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F6F1-9CA9-495C-973C-A2D448AE08EB}">
  <dimension ref="A1:H64"/>
  <sheetViews>
    <sheetView showGridLines="0" zoomScaleSheetLayoutView="100" workbookViewId="0">
      <selection activeCell="G30" sqref="G30"/>
    </sheetView>
  </sheetViews>
  <sheetFormatPr baseColWidth="10" defaultColWidth="9.7109375" defaultRowHeight="12.75"/>
  <cols>
    <col min="1" max="1" width="3" style="11" bestFit="1" customWidth="1"/>
    <col min="2" max="2" width="26.28515625" style="11" customWidth="1"/>
    <col min="3" max="3" width="13.28515625" style="11" bestFit="1" customWidth="1"/>
    <col min="4" max="8" width="11.7109375" style="11" customWidth="1"/>
    <col min="9" max="16384" width="9.7109375" style="11"/>
  </cols>
  <sheetData>
    <row r="1" spans="1:8" ht="47.25" customHeight="1">
      <c r="B1" s="289" t="s">
        <v>204</v>
      </c>
      <c r="C1" s="290"/>
      <c r="D1" s="290"/>
      <c r="E1" s="290"/>
      <c r="F1" s="290"/>
      <c r="G1" s="290"/>
      <c r="H1" s="290"/>
    </row>
    <row r="2" spans="1:8" ht="8.25" customHeight="1" thickBot="1"/>
    <row r="3" spans="1:8" ht="13.5" thickBot="1">
      <c r="B3" s="291" t="s">
        <v>0</v>
      </c>
      <c r="C3" s="293" t="s">
        <v>196</v>
      </c>
      <c r="D3" s="294"/>
      <c r="E3" s="294"/>
      <c r="F3" s="294"/>
      <c r="G3" s="294"/>
      <c r="H3" s="295"/>
    </row>
    <row r="4" spans="1:8" ht="13.5" thickBot="1">
      <c r="B4" s="292"/>
      <c r="C4" s="209" t="s">
        <v>78</v>
      </c>
      <c r="D4" s="8" t="s">
        <v>144</v>
      </c>
      <c r="E4" s="8" t="s">
        <v>79</v>
      </c>
      <c r="F4" s="8" t="s">
        <v>88</v>
      </c>
      <c r="G4" s="8" t="s">
        <v>98</v>
      </c>
      <c r="H4" s="8" t="s">
        <v>99</v>
      </c>
    </row>
    <row r="5" spans="1:8" ht="15.75" thickBot="1">
      <c r="B5" s="1"/>
      <c r="C5" s="100"/>
      <c r="D5" s="100"/>
      <c r="E5" s="100"/>
      <c r="F5" s="100"/>
      <c r="G5" s="100"/>
      <c r="H5" s="100"/>
    </row>
    <row r="6" spans="1:8" ht="12.75" customHeight="1" thickTop="1">
      <c r="A6" s="250">
        <v>15</v>
      </c>
      <c r="B6" s="2" t="s">
        <v>1</v>
      </c>
      <c r="C6" s="3">
        <f>ROUND(IF('PART 2023'!Z$4&lt;1,0,'COEF Art 14 F I'!$AF7*'PART 2023'!Z$4),2)</f>
        <v>925718.34</v>
      </c>
      <c r="D6" s="3">
        <f>ROUND(IF('PART 2023'!Z$5&lt;1,0,'COEF Art 14 F I'!$AF7*'PART 2023'!Z$5),2)</f>
        <v>143307.24</v>
      </c>
      <c r="E6" s="3">
        <f>ROUND(IF('PART 2023'!Z$6&lt;1,0,'COEF Art 14 F I'!$AF7*'PART 2023'!Z$6),2)</f>
        <v>22011.51</v>
      </c>
      <c r="F6" s="3">
        <f>ROUND(IF('PART 2023'!Z$7&lt;1,0,'COEF Art 14 F I'!$AF7*'PART 2023'!Z$7),2)</f>
        <v>10028.94</v>
      </c>
      <c r="G6" s="3">
        <f>ROUND(IF('PART 2023'!Z$8&lt;1,0,'COEF Art 14 F I'!$AF7*'PART 2023'!Z$8),2)</f>
        <v>65177.21</v>
      </c>
      <c r="H6" s="260">
        <f>IF('PART 2023'!Z$9&lt;1,0,'COEF Art 14 F I'!$AF7*'PART 2023'!Z$9)</f>
        <v>1994.7238330234127</v>
      </c>
    </row>
    <row r="7" spans="1:8" ht="12.75" customHeight="1">
      <c r="A7" s="250">
        <v>11</v>
      </c>
      <c r="B7" s="4" t="s">
        <v>2</v>
      </c>
      <c r="C7" s="5">
        <f>ROUND(IF('PART 2023'!Z$4&lt;1,0,'COEF Art 14 F I'!$AF8*'PART 2023'!Z$4),2)</f>
        <v>1624059.97</v>
      </c>
      <c r="D7" s="5">
        <f>ROUND(IF('PART 2023'!Z$5&lt;1,0,'COEF Art 14 F I'!$AF8*'PART 2023'!Z$5),2)</f>
        <v>251415.08</v>
      </c>
      <c r="E7" s="5">
        <f>ROUND(IF('PART 2023'!Z$6&lt;1,0,'COEF Art 14 F I'!$AF8*'PART 2023'!Z$6),2)</f>
        <v>38616.51</v>
      </c>
      <c r="F7" s="5">
        <f>ROUND(IF('PART 2023'!Z$7&lt;1,0,'COEF Art 14 F I'!$AF8*'PART 2023'!Z$7),2)</f>
        <v>17594.560000000001</v>
      </c>
      <c r="G7" s="5">
        <f>ROUND(IF('PART 2023'!Z$8&lt;1,0,'COEF Art 14 F I'!$AF8*'PART 2023'!Z$8),2)</f>
        <v>114345.47</v>
      </c>
      <c r="H7" s="261">
        <f>IF('PART 2023'!Z$9&lt;1,0,'COEF Art 14 F I'!$AF8*'PART 2023'!Z$9)</f>
        <v>3499.4997705121968</v>
      </c>
    </row>
    <row r="8" spans="1:8" ht="12.75" customHeight="1">
      <c r="A8" s="250">
        <v>12</v>
      </c>
      <c r="B8" s="4" t="s">
        <v>142</v>
      </c>
      <c r="C8" s="5">
        <f>ROUND(IF('PART 2023'!Z$4&lt;1,0,'COEF Art 14 F I'!$AF9*'PART 2023'!Z$4),2)</f>
        <v>2079375.59</v>
      </c>
      <c r="D8" s="5">
        <f>ROUND(IF('PART 2023'!Z$5&lt;1,0,'COEF Art 14 F I'!$AF9*'PART 2023'!Z$5),2)</f>
        <v>321900.90999999997</v>
      </c>
      <c r="E8" s="5">
        <f>ROUND(IF('PART 2023'!Z$6&lt;1,0,'COEF Art 14 F I'!$AF9*'PART 2023'!Z$6),2)</f>
        <v>49442.89</v>
      </c>
      <c r="F8" s="5">
        <f>ROUND(IF('PART 2023'!Z$7&lt;1,0,'COEF Art 14 F I'!$AF9*'PART 2023'!Z$7),2)</f>
        <v>22527.31</v>
      </c>
      <c r="G8" s="5">
        <f>ROUND(IF('PART 2023'!Z$8&lt;1,0,'COEF Art 14 F I'!$AF9*'PART 2023'!Z$8),2)</f>
        <v>146402.96</v>
      </c>
      <c r="H8" s="261">
        <f>IF('PART 2023'!Z$9&lt;1,0,'COEF Art 14 F I'!$AF9*'PART 2023'!Z$9)</f>
        <v>4480.606948208374</v>
      </c>
    </row>
    <row r="9" spans="1:8" ht="12.75" customHeight="1">
      <c r="A9" s="250">
        <v>13</v>
      </c>
      <c r="B9" s="4" t="s">
        <v>3</v>
      </c>
      <c r="C9" s="5">
        <f>ROUND(IF('PART 2023'!Z$4&lt;1,0,'COEF Art 14 F I'!$AF10*'PART 2023'!Z$4),2)</f>
        <v>6940398</v>
      </c>
      <c r="D9" s="5">
        <f>ROUND(IF('PART 2023'!Z$5&lt;1,0,'COEF Art 14 F I'!$AF10*'PART 2023'!Z$5),2)</f>
        <v>1074418.8999999999</v>
      </c>
      <c r="E9" s="5">
        <f>ROUND(IF('PART 2023'!Z$6&lt;1,0,'COEF Art 14 F I'!$AF10*'PART 2023'!Z$6),2)</f>
        <v>165027.10999999999</v>
      </c>
      <c r="F9" s="5">
        <f>ROUND(IF('PART 2023'!Z$7&lt;1,0,'COEF Art 14 F I'!$AF10*'PART 2023'!Z$7),2)</f>
        <v>75190.11</v>
      </c>
      <c r="G9" s="5">
        <f>ROUND(IF('PART 2023'!Z$8&lt;1,0,'COEF Art 14 F I'!$AF10*'PART 2023'!Z$8),2)</f>
        <v>488653.81</v>
      </c>
      <c r="H9" s="261">
        <f>IF('PART 2023'!Z$9&lt;1,0,'COEF Art 14 F I'!$AF10*'PART 2023'!Z$9)</f>
        <v>14955.064267481333</v>
      </c>
    </row>
    <row r="10" spans="1:8" ht="12.75" customHeight="1">
      <c r="A10" s="250">
        <v>14</v>
      </c>
      <c r="B10" s="4" t="s">
        <v>143</v>
      </c>
      <c r="C10" s="5">
        <f>ROUND(IF('PART 2023'!Z$4&lt;1,0,'COEF Art 14 F I'!$AF11*'PART 2023'!Z$4),2)</f>
        <v>6690443.7300000004</v>
      </c>
      <c r="D10" s="5">
        <f>ROUND(IF('PART 2023'!Z$5&lt;1,0,'COEF Art 14 F I'!$AF11*'PART 2023'!Z$5),2)</f>
        <v>1035724.35</v>
      </c>
      <c r="E10" s="5">
        <f>ROUND(IF('PART 2023'!Z$6&lt;1,0,'COEF Art 14 F I'!$AF11*'PART 2023'!Z$6),2)</f>
        <v>159083.75</v>
      </c>
      <c r="F10" s="5">
        <f>ROUND(IF('PART 2023'!Z$7&lt;1,0,'COEF Art 14 F I'!$AF11*'PART 2023'!Z$7),2)</f>
        <v>72482.179999999993</v>
      </c>
      <c r="G10" s="5">
        <f>ROUND(IF('PART 2023'!Z$8&lt;1,0,'COEF Art 14 F I'!$AF11*'PART 2023'!Z$8),2)</f>
        <v>471055.23</v>
      </c>
      <c r="H10" s="261">
        <f>IF('PART 2023'!Z$9&lt;1,0,'COEF Art 14 F I'!$AF11*'PART 2023'!Z$9)</f>
        <v>14416.466605691277</v>
      </c>
    </row>
    <row r="11" spans="1:8" ht="12.75" customHeight="1">
      <c r="A11" s="250">
        <v>17</v>
      </c>
      <c r="B11" s="4" t="s">
        <v>4</v>
      </c>
      <c r="C11" s="5">
        <f>ROUND(IF('PART 2023'!Z$4&lt;1,0,'COEF Art 14 F I'!$AF12*'PART 2023'!Z$4),2)</f>
        <v>104030361.76000001</v>
      </c>
      <c r="D11" s="5">
        <f>ROUND(IF('PART 2023'!Z$5&lt;1,0,'COEF Art 14 F I'!$AF12*'PART 2023'!Z$5),2)</f>
        <v>16104578.869999999</v>
      </c>
      <c r="E11" s="5">
        <f>ROUND(IF('PART 2023'!Z$6&lt;1,0,'COEF Art 14 F I'!$AF12*'PART 2023'!Z$6),2)</f>
        <v>2473608.79</v>
      </c>
      <c r="F11" s="5">
        <f>ROUND(IF('PART 2023'!Z$7&lt;1,0,'COEF Art 14 F I'!$AF12*'PART 2023'!Z$7),2)</f>
        <v>1127032.55</v>
      </c>
      <c r="G11" s="5">
        <f>ROUND(IF('PART 2023'!Z$8&lt;1,0,'COEF Art 14 F I'!$AF12*'PART 2023'!Z$8),2)</f>
        <v>7324483.75</v>
      </c>
      <c r="H11" s="261">
        <f>IF('PART 2023'!Z$9&lt;1,0,'COEF Art 14 F I'!$AF12*'PART 2023'!Z$9)</f>
        <v>224163.04445871498</v>
      </c>
    </row>
    <row r="12" spans="1:8" ht="12.75" customHeight="1">
      <c r="A12" s="250">
        <v>16</v>
      </c>
      <c r="B12" s="4" t="s">
        <v>5</v>
      </c>
      <c r="C12" s="5">
        <f>ROUND(IF('PART 2023'!Z$4&lt;1,0,'COEF Art 14 F I'!$AF13*'PART 2023'!Z$4),2)</f>
        <v>6062345.3799999999</v>
      </c>
      <c r="D12" s="5">
        <f>ROUND(IF('PART 2023'!Z$5&lt;1,0,'COEF Art 14 F I'!$AF13*'PART 2023'!Z$5),2)</f>
        <v>938490.63</v>
      </c>
      <c r="E12" s="5">
        <f>ROUND(IF('PART 2023'!Z$6&lt;1,0,'COEF Art 14 F I'!$AF13*'PART 2023'!Z$6),2)</f>
        <v>144148.98000000001</v>
      </c>
      <c r="F12" s="5">
        <f>ROUND(IF('PART 2023'!Z$7&lt;1,0,'COEF Art 14 F I'!$AF13*'PART 2023'!Z$7),2)</f>
        <v>65677.56</v>
      </c>
      <c r="G12" s="5">
        <f>ROUND(IF('PART 2023'!Z$8&lt;1,0,'COEF Art 14 F I'!$AF13*'PART 2023'!Z$8),2)</f>
        <v>426832.6</v>
      </c>
      <c r="H12" s="261">
        <f>IF('PART 2023'!Z$9&lt;1,0,'COEF Art 14 F I'!$AF13*'PART 2023'!Z$9)</f>
        <v>13063.049809020889</v>
      </c>
    </row>
    <row r="13" spans="1:8" ht="12.75" customHeight="1">
      <c r="A13" s="250">
        <v>18</v>
      </c>
      <c r="B13" s="4" t="s">
        <v>6</v>
      </c>
      <c r="C13" s="5">
        <f>ROUND(IF('PART 2023'!Z$4&lt;1,0,'COEF Art 14 F I'!$AF14*'PART 2023'!Z$4),2)</f>
        <v>2194261.0499999998</v>
      </c>
      <c r="D13" s="5">
        <f>ROUND(IF('PART 2023'!Z$5&lt;1,0,'COEF Art 14 F I'!$AF14*'PART 2023'!Z$5),2)</f>
        <v>339685.93</v>
      </c>
      <c r="E13" s="5">
        <f>ROUND(IF('PART 2023'!Z$6&lt;1,0,'COEF Art 14 F I'!$AF14*'PART 2023'!Z$6),2)</f>
        <v>52174.61</v>
      </c>
      <c r="F13" s="5">
        <f>ROUND(IF('PART 2023'!Z$7&lt;1,0,'COEF Art 14 F I'!$AF14*'PART 2023'!Z$7),2)</f>
        <v>23771.94</v>
      </c>
      <c r="G13" s="5">
        <f>ROUND(IF('PART 2023'!Z$8&lt;1,0,'COEF Art 14 F I'!$AF14*'PART 2023'!Z$8),2)</f>
        <v>154491.72</v>
      </c>
      <c r="H13" s="261">
        <f>IF('PART 2023'!Z$9&lt;1,0,'COEF Art 14 F I'!$AF14*'PART 2023'!Z$9)</f>
        <v>4728.1604078894798</v>
      </c>
    </row>
    <row r="14" spans="1:8" ht="12.75" customHeight="1">
      <c r="A14" s="250">
        <v>19</v>
      </c>
      <c r="B14" s="4" t="s">
        <v>127</v>
      </c>
      <c r="C14" s="5">
        <f>ROUND(IF('PART 2023'!Z$4&lt;1,0,'COEF Art 14 F I'!$AF15*'PART 2023'!Z$4),2)</f>
        <v>16264270.970000001</v>
      </c>
      <c r="D14" s="5">
        <f>ROUND(IF('PART 2023'!Z$5&lt;1,0,'COEF Art 14 F I'!$AF15*'PART 2023'!Z$5),2)</f>
        <v>2517815.2799999998</v>
      </c>
      <c r="E14" s="5">
        <f>ROUND(IF('PART 2023'!Z$6&lt;1,0,'COEF Art 14 F I'!$AF15*'PART 2023'!Z$6),2)</f>
        <v>386727.9</v>
      </c>
      <c r="F14" s="5">
        <f>ROUND(IF('PART 2023'!Z$7&lt;1,0,'COEF Art 14 F I'!$AF15*'PART 2023'!Z$7),2)</f>
        <v>176202.05</v>
      </c>
      <c r="G14" s="5">
        <f>ROUND(IF('PART 2023'!Z$8&lt;1,0,'COEF Art 14 F I'!$AF15*'PART 2023'!Z$8),2)</f>
        <v>1145121.3500000001</v>
      </c>
      <c r="H14" s="261">
        <f>IF('PART 2023'!Z$9&lt;1,0,'COEF Art 14 F I'!$AF15*'PART 2023'!Z$9)</f>
        <v>35046.004215795016</v>
      </c>
    </row>
    <row r="15" spans="1:8" ht="12.75" customHeight="1">
      <c r="A15" s="250">
        <v>20</v>
      </c>
      <c r="B15" s="4" t="s">
        <v>128</v>
      </c>
      <c r="C15" s="5">
        <f>ROUND(IF('PART 2023'!Z$4&lt;1,0,'COEF Art 14 F I'!$AF16*'PART 2023'!Z$4),2)</f>
        <v>12885229.17</v>
      </c>
      <c r="D15" s="5">
        <f>ROUND(IF('PART 2023'!Z$5&lt;1,0,'COEF Art 14 F I'!$AF16*'PART 2023'!Z$5),2)</f>
        <v>1994717.56</v>
      </c>
      <c r="E15" s="5">
        <f>ROUND(IF('PART 2023'!Z$6&lt;1,0,'COEF Art 14 F I'!$AF16*'PART 2023'!Z$6),2)</f>
        <v>306381.86</v>
      </c>
      <c r="F15" s="5">
        <f>ROUND(IF('PART 2023'!Z$7&lt;1,0,'COEF Art 14 F I'!$AF16*'PART 2023'!Z$7),2)</f>
        <v>139594.56</v>
      </c>
      <c r="G15" s="5">
        <f>ROUND(IF('PART 2023'!Z$8&lt;1,0,'COEF Art 14 F I'!$AF16*'PART 2023'!Z$8),2)</f>
        <v>907212.57</v>
      </c>
      <c r="H15" s="261">
        <f>IF('PART 2023'!Z$9&lt;1,0,'COEF Art 14 F I'!$AF16*'PART 2023'!Z$9)</f>
        <v>27764.896226625508</v>
      </c>
    </row>
    <row r="16" spans="1:8" ht="12.75" customHeight="1">
      <c r="A16" s="250">
        <v>23</v>
      </c>
      <c r="B16" s="4" t="s">
        <v>129</v>
      </c>
      <c r="C16" s="5">
        <f>ROUND(IF('PART 2023'!Z$4&lt;1,0,'COEF Art 14 F I'!$AF17*'PART 2023'!Z$4),2)</f>
        <v>4613648.4800000004</v>
      </c>
      <c r="D16" s="5">
        <f>ROUND(IF('PART 2023'!Z$5&lt;1,0,'COEF Art 14 F I'!$AF17*'PART 2023'!Z$5),2)</f>
        <v>714222.89</v>
      </c>
      <c r="E16" s="5">
        <f>ROUND(IF('PART 2023'!Z$6&lt;1,0,'COEF Art 14 F I'!$AF17*'PART 2023'!Z$6),2)</f>
        <v>109702.22</v>
      </c>
      <c r="F16" s="5">
        <f>ROUND(IF('PART 2023'!Z$7&lt;1,0,'COEF Art 14 F I'!$AF17*'PART 2023'!Z$7),2)</f>
        <v>49982.83</v>
      </c>
      <c r="G16" s="5">
        <f>ROUND(IF('PART 2023'!Z$8&lt;1,0,'COEF Art 14 F I'!$AF17*'PART 2023'!Z$8),2)</f>
        <v>324833.95</v>
      </c>
      <c r="H16" s="261">
        <f>IF('PART 2023'!Z$9&lt;1,0,'COEF Art 14 F I'!$AF17*'PART 2023'!Z$9)</f>
        <v>9941.4197117124841</v>
      </c>
    </row>
    <row r="17" spans="1:8" ht="12.75" customHeight="1">
      <c r="A17" s="250">
        <v>21</v>
      </c>
      <c r="B17" s="4" t="s">
        <v>7</v>
      </c>
      <c r="C17" s="5">
        <f>ROUND(IF('PART 2023'!Z$4&lt;1,0,'COEF Art 14 F I'!$AF18*'PART 2023'!Z$4),2)</f>
        <v>5924286.0999999996</v>
      </c>
      <c r="D17" s="5">
        <f>ROUND(IF('PART 2023'!Z$5&lt;1,0,'COEF Art 14 F I'!$AF18*'PART 2023'!Z$5),2)</f>
        <v>917118.15</v>
      </c>
      <c r="E17" s="5">
        <f>ROUND(IF('PART 2023'!Z$6&lt;1,0,'COEF Art 14 F I'!$AF18*'PART 2023'!Z$6),2)</f>
        <v>140866.23999999999</v>
      </c>
      <c r="F17" s="5">
        <f>ROUND(IF('PART 2023'!Z$7&lt;1,0,'COEF Art 14 F I'!$AF18*'PART 2023'!Z$7),2)</f>
        <v>64181.87</v>
      </c>
      <c r="G17" s="5">
        <f>ROUND(IF('PART 2023'!Z$8&lt;1,0,'COEF Art 14 F I'!$AF18*'PART 2023'!Z$8),2)</f>
        <v>417112.24</v>
      </c>
      <c r="H17" s="261">
        <f>IF('PART 2023'!Z$9&lt;1,0,'COEF Art 14 F I'!$AF18*'PART 2023'!Z$9)</f>
        <v>12765.561766119354</v>
      </c>
    </row>
    <row r="18" spans="1:8" ht="12.75" customHeight="1">
      <c r="A18" s="250">
        <v>22</v>
      </c>
      <c r="B18" s="4" t="s">
        <v>130</v>
      </c>
      <c r="C18" s="5">
        <f>ROUND(IF('PART 2023'!Z$4&lt;1,0,'COEF Art 14 F I'!$AF19*'PART 2023'!Z$4),2)</f>
        <v>8962528.2400000002</v>
      </c>
      <c r="D18" s="5">
        <f>ROUND(IF('PART 2023'!Z$5&lt;1,0,'COEF Art 14 F I'!$AF19*'PART 2023'!Z$5),2)</f>
        <v>1387457.86</v>
      </c>
      <c r="E18" s="5">
        <f>ROUND(IF('PART 2023'!Z$6&lt;1,0,'COEF Art 14 F I'!$AF19*'PART 2023'!Z$6),2)</f>
        <v>213108.83</v>
      </c>
      <c r="F18" s="5">
        <f>ROUND(IF('PART 2023'!Z$7&lt;1,0,'COEF Art 14 F I'!$AF19*'PART 2023'!Z$7),2)</f>
        <v>97097.24</v>
      </c>
      <c r="G18" s="5">
        <f>ROUND(IF('PART 2023'!Z$8&lt;1,0,'COEF Art 14 F I'!$AF19*'PART 2023'!Z$8),2)</f>
        <v>631026.28</v>
      </c>
      <c r="H18" s="261">
        <f>IF('PART 2023'!Z$9&lt;1,0,'COEF Art 14 F I'!$AF19*'PART 2023'!Z$9)</f>
        <v>19312.319805295068</v>
      </c>
    </row>
    <row r="19" spans="1:8" ht="12.75" customHeight="1">
      <c r="A19" s="250">
        <v>25</v>
      </c>
      <c r="B19" s="4" t="s">
        <v>8</v>
      </c>
      <c r="C19" s="5">
        <f>ROUND(IF('PART 2023'!Z$4&lt;1,0,'COEF Art 14 F I'!$AF20*'PART 2023'!Z$4),2)</f>
        <v>13477092.32</v>
      </c>
      <c r="D19" s="5">
        <f>ROUND(IF('PART 2023'!Z$5&lt;1,0,'COEF Art 14 F I'!$AF20*'PART 2023'!Z$5),2)</f>
        <v>2086341.84</v>
      </c>
      <c r="E19" s="5">
        <f>ROUND(IF('PART 2023'!Z$6&lt;1,0,'COEF Art 14 F I'!$AF20*'PART 2023'!Z$6),2)</f>
        <v>320455.03999999998</v>
      </c>
      <c r="F19" s="5">
        <f>ROUND(IF('PART 2023'!Z$7&lt;1,0,'COEF Art 14 F I'!$AF20*'PART 2023'!Z$7),2)</f>
        <v>146006.62</v>
      </c>
      <c r="G19" s="5">
        <f>ROUND(IF('PART 2023'!Z$8&lt;1,0,'COEF Art 14 F I'!$AF20*'PART 2023'!Z$8),2)</f>
        <v>948883.98</v>
      </c>
      <c r="H19" s="261">
        <f>IF('PART 2023'!Z$9&lt;1,0,'COEF Art 14 F I'!$AF20*'PART 2023'!Z$9)</f>
        <v>29040.233962849099</v>
      </c>
    </row>
    <row r="20" spans="1:8" ht="12.75" customHeight="1">
      <c r="A20" s="250">
        <v>27</v>
      </c>
      <c r="B20" s="4" t="s">
        <v>9</v>
      </c>
      <c r="C20" s="5">
        <f>ROUND(IF('PART 2023'!Z$4&lt;1,0,'COEF Art 14 F I'!$AF21*'PART 2023'!Z$4),2)</f>
        <v>1936567.17</v>
      </c>
      <c r="D20" s="5">
        <f>ROUND(IF('PART 2023'!Z$5&lt;1,0,'COEF Art 14 F I'!$AF21*'PART 2023'!Z$5),2)</f>
        <v>299793.24</v>
      </c>
      <c r="E20" s="5">
        <f>ROUND(IF('PART 2023'!Z$6&lt;1,0,'COEF Art 14 F I'!$AF21*'PART 2023'!Z$6),2)</f>
        <v>46047.23</v>
      </c>
      <c r="F20" s="5">
        <f>ROUND(IF('PART 2023'!Z$7&lt;1,0,'COEF Art 14 F I'!$AF21*'PART 2023'!Z$7),2)</f>
        <v>20980.17</v>
      </c>
      <c r="G20" s="5">
        <f>ROUND(IF('PART 2023'!Z$8&lt;1,0,'COEF Art 14 F I'!$AF21*'PART 2023'!Z$8),2)</f>
        <v>136348.22</v>
      </c>
      <c r="H20" s="261">
        <f>IF('PART 2023'!Z$9&lt;1,0,'COEF Art 14 F I'!$AF21*'PART 2023'!Z$9)</f>
        <v>4172.8855491635522</v>
      </c>
    </row>
    <row r="21" spans="1:8" ht="12.75" customHeight="1">
      <c r="A21" s="250">
        <v>26</v>
      </c>
      <c r="B21" s="4" t="s">
        <v>131</v>
      </c>
      <c r="C21" s="5">
        <f>ROUND(IF('PART 2023'!Z$4&lt;1,0,'COEF Art 14 F I'!$AF22*'PART 2023'!Z$4),2)</f>
        <v>1299045.79</v>
      </c>
      <c r="D21" s="5">
        <f>ROUND(IF('PART 2023'!Z$5&lt;1,0,'COEF Art 14 F I'!$AF22*'PART 2023'!Z$5),2)</f>
        <v>201100.76</v>
      </c>
      <c r="E21" s="5">
        <f>ROUND(IF('PART 2023'!Z$6&lt;1,0,'COEF Art 14 F I'!$AF22*'PART 2023'!Z$6),2)</f>
        <v>30888.400000000001</v>
      </c>
      <c r="F21" s="5">
        <f>ROUND(IF('PART 2023'!Z$7&lt;1,0,'COEF Art 14 F I'!$AF22*'PART 2023'!Z$7),2)</f>
        <v>14073.46</v>
      </c>
      <c r="G21" s="5">
        <f>ROUND(IF('PART 2023'!Z$8&lt;1,0,'COEF Art 14 F I'!$AF22*'PART 2023'!Z$8),2)</f>
        <v>91462.14</v>
      </c>
      <c r="H21" s="261">
        <f>IF('PART 2023'!Z$9&lt;1,0,'COEF Art 14 F I'!$AF22*'PART 2023'!Z$9)</f>
        <v>2799.1641402136288</v>
      </c>
    </row>
    <row r="22" spans="1:8" ht="12.75" customHeight="1">
      <c r="A22" s="250">
        <v>29</v>
      </c>
      <c r="B22" s="4" t="s">
        <v>10</v>
      </c>
      <c r="C22" s="5">
        <f>ROUND(IF('PART 2023'!Z$4&lt;1,0,'COEF Art 14 F I'!$AF23*'PART 2023'!Z$4),2)</f>
        <v>12586240.42</v>
      </c>
      <c r="D22" s="5">
        <f>ROUND(IF('PART 2023'!Z$5&lt;1,0,'COEF Art 14 F I'!$AF23*'PART 2023'!Z$5),2)</f>
        <v>1948432.15</v>
      </c>
      <c r="E22" s="5">
        <f>ROUND(IF('PART 2023'!Z$6&lt;1,0,'COEF Art 14 F I'!$AF23*'PART 2023'!Z$6),2)</f>
        <v>299272.58</v>
      </c>
      <c r="F22" s="5">
        <f>ROUND(IF('PART 2023'!Z$7&lt;1,0,'COEF Art 14 F I'!$AF23*'PART 2023'!Z$7),2)</f>
        <v>136355.41</v>
      </c>
      <c r="G22" s="5">
        <f>ROUND(IF('PART 2023'!Z$8&lt;1,0,'COEF Art 14 F I'!$AF23*'PART 2023'!Z$8),2)</f>
        <v>886161.61</v>
      </c>
      <c r="H22" s="261">
        <f>IF('PART 2023'!Z$9&lt;1,0,'COEF Art 14 F I'!$AF23*'PART 2023'!Z$9)</f>
        <v>27120.639813680005</v>
      </c>
    </row>
    <row r="23" spans="1:8" ht="12.75" customHeight="1">
      <c r="A23" s="250">
        <v>30</v>
      </c>
      <c r="B23" s="4" t="s">
        <v>132</v>
      </c>
      <c r="C23" s="5">
        <f>ROUND(IF('PART 2023'!Z$4&lt;1,0,'COEF Art 14 F I'!$AF24*'PART 2023'!Z$4),2)</f>
        <v>47946092.5</v>
      </c>
      <c r="D23" s="5">
        <f>ROUND(IF('PART 2023'!Z$5&lt;1,0,'COEF Art 14 F I'!$AF24*'PART 2023'!Z$5),2)</f>
        <v>7422368</v>
      </c>
      <c r="E23" s="5">
        <f>ROUND(IF('PART 2023'!Z$6&lt;1,0,'COEF Art 14 F I'!$AF24*'PART 2023'!Z$6),2)</f>
        <v>1140050.6000000001</v>
      </c>
      <c r="F23" s="5">
        <f>ROUND(IF('PART 2023'!Z$7&lt;1,0,'COEF Art 14 F I'!$AF24*'PART 2023'!Z$7),2)</f>
        <v>519433.04</v>
      </c>
      <c r="G23" s="5">
        <f>ROUND(IF('PART 2023'!Z$8&lt;1,0,'COEF Art 14 F I'!$AF24*'PART 2023'!Z$8),2)</f>
        <v>3375748.86</v>
      </c>
      <c r="H23" s="261">
        <f>IF('PART 2023'!Z$9&lt;1,0,'COEF Art 14 F I'!$AF24*'PART 2023'!Z$9)</f>
        <v>103313.51235752692</v>
      </c>
    </row>
    <row r="24" spans="1:8" ht="12.75" customHeight="1">
      <c r="A24" s="250">
        <v>32</v>
      </c>
      <c r="B24" s="4" t="s">
        <v>11</v>
      </c>
      <c r="C24" s="5">
        <f>ROUND(IF('PART 2023'!Z$4&lt;1,0,'COEF Art 14 F I'!$AF25*'PART 2023'!Z$4),2)</f>
        <v>3578588.55</v>
      </c>
      <c r="D24" s="5">
        <f>ROUND(IF('PART 2023'!Z$5&lt;1,0,'COEF Art 14 F I'!$AF25*'PART 2023'!Z$5),2)</f>
        <v>553988.86</v>
      </c>
      <c r="E24" s="5">
        <f>ROUND(IF('PART 2023'!Z$6&lt;1,0,'COEF Art 14 F I'!$AF25*'PART 2023'!Z$6),2)</f>
        <v>85090.81</v>
      </c>
      <c r="F24" s="5">
        <f>ROUND(IF('PART 2023'!Z$7&lt;1,0,'COEF Art 14 F I'!$AF25*'PART 2023'!Z$7),2)</f>
        <v>38769.31</v>
      </c>
      <c r="G24" s="5">
        <f>ROUND(IF('PART 2023'!Z$8&lt;1,0,'COEF Art 14 F I'!$AF25*'PART 2023'!Z$8),2)</f>
        <v>251958.31</v>
      </c>
      <c r="H24" s="261">
        <f>IF('PART 2023'!Z$9&lt;1,0,'COEF Art 14 F I'!$AF25*'PART 2023'!Z$9)</f>
        <v>7711.0882787877608</v>
      </c>
    </row>
    <row r="25" spans="1:8" ht="12.75" customHeight="1">
      <c r="A25" s="250">
        <v>33</v>
      </c>
      <c r="B25" s="4" t="s">
        <v>12</v>
      </c>
      <c r="C25" s="5">
        <f>ROUND(IF('PART 2023'!Z$4&lt;1,0,'COEF Art 14 F I'!$AF26*'PART 2023'!Z$4),2)</f>
        <v>69659427.069999993</v>
      </c>
      <c r="D25" s="5">
        <f>ROUND(IF('PART 2023'!Z$5&lt;1,0,'COEF Art 14 F I'!$AF26*'PART 2023'!Z$5),2)</f>
        <v>10783733.880000001</v>
      </c>
      <c r="E25" s="5">
        <f>ROUND(IF('PART 2023'!Z$6&lt;1,0,'COEF Art 14 F I'!$AF26*'PART 2023'!Z$6),2)</f>
        <v>1656345.02</v>
      </c>
      <c r="F25" s="5">
        <f>ROUND(IF('PART 2023'!Z$7&lt;1,0,'COEF Art 14 F I'!$AF26*'PART 2023'!Z$7),2)</f>
        <v>754668.54</v>
      </c>
      <c r="G25" s="5">
        <f>ROUND(IF('PART 2023'!Z$8&lt;1,0,'COEF Art 14 F I'!$AF26*'PART 2023'!Z$8),2)</f>
        <v>4904523.38</v>
      </c>
      <c r="H25" s="261">
        <f>IF('PART 2023'!Z$9&lt;1,0,'COEF Art 14 F I'!$AF26*'PART 2023'!Z$9)</f>
        <v>150101.07609876344</v>
      </c>
    </row>
    <row r="26" spans="1:8" ht="12.75" customHeight="1">
      <c r="A26" s="250">
        <v>34</v>
      </c>
      <c r="B26" s="4" t="s">
        <v>133</v>
      </c>
      <c r="C26" s="5">
        <f>ROUND(IF('PART 2023'!Z$4&lt;1,0,'COEF Art 14 F I'!$AF27*'PART 2023'!Z$4),2)</f>
        <v>5647794.21</v>
      </c>
      <c r="D26" s="5">
        <f>ROUND(IF('PART 2023'!Z$5&lt;1,0,'COEF Art 14 F I'!$AF27*'PART 2023'!Z$5),2)</f>
        <v>874315.4</v>
      </c>
      <c r="E26" s="5">
        <f>ROUND(IF('PART 2023'!Z$6&lt;1,0,'COEF Art 14 F I'!$AF27*'PART 2023'!Z$6),2)</f>
        <v>134291.89000000001</v>
      </c>
      <c r="F26" s="5">
        <f>ROUND(IF('PART 2023'!Z$7&lt;1,0,'COEF Art 14 F I'!$AF27*'PART 2023'!Z$7),2)</f>
        <v>61186.44</v>
      </c>
      <c r="G26" s="5">
        <f>ROUND(IF('PART 2023'!Z$8&lt;1,0,'COEF Art 14 F I'!$AF27*'PART 2023'!Z$8),2)</f>
        <v>397645.23</v>
      </c>
      <c r="H26" s="261">
        <f>IF('PART 2023'!Z$9&lt;1,0,'COEF Art 14 F I'!$AF27*'PART 2023'!Z$9)</f>
        <v>12169.78122880949</v>
      </c>
    </row>
    <row r="27" spans="1:8" ht="12.75" customHeight="1">
      <c r="A27" s="250">
        <v>35</v>
      </c>
      <c r="B27" s="4" t="s">
        <v>13</v>
      </c>
      <c r="C27" s="5">
        <f>ROUND(IF('PART 2023'!Z$4&lt;1,0,'COEF Art 14 F I'!$AF28*'PART 2023'!Z$4),2)</f>
        <v>1142711.54</v>
      </c>
      <c r="D27" s="5">
        <f>ROUND(IF('PART 2023'!Z$5&lt;1,0,'COEF Art 14 F I'!$AF28*'PART 2023'!Z$5),2)</f>
        <v>176899.20000000001</v>
      </c>
      <c r="E27" s="5">
        <f>ROUND(IF('PART 2023'!Z$6&lt;1,0,'COEF Art 14 F I'!$AF28*'PART 2023'!Z$6),2)</f>
        <v>27171.119999999999</v>
      </c>
      <c r="F27" s="5">
        <f>ROUND(IF('PART 2023'!Z$7&lt;1,0,'COEF Art 14 F I'!$AF28*'PART 2023'!Z$7),2)</f>
        <v>12379.78</v>
      </c>
      <c r="G27" s="5">
        <f>ROUND(IF('PART 2023'!Z$8&lt;1,0,'COEF Art 14 F I'!$AF28*'PART 2023'!Z$8),2)</f>
        <v>80455.09</v>
      </c>
      <c r="H27" s="261">
        <f>IF('PART 2023'!Z$9&lt;1,0,'COEF Art 14 F I'!$AF28*'PART 2023'!Z$9)</f>
        <v>2462.2974707178382</v>
      </c>
    </row>
    <row r="28" spans="1:8" ht="12.75" customHeight="1">
      <c r="A28" s="250">
        <v>61</v>
      </c>
      <c r="B28" s="4" t="s">
        <v>14</v>
      </c>
      <c r="C28" s="5">
        <f>ROUND(IF('PART 2023'!Z$4&lt;1,0,'COEF Art 14 F I'!$AF29*'PART 2023'!Z$4),2)</f>
        <v>3269453.89</v>
      </c>
      <c r="D28" s="5">
        <f>ROUND(IF('PART 2023'!Z$5&lt;1,0,'COEF Art 14 F I'!$AF29*'PART 2023'!Z$5),2)</f>
        <v>506132.8</v>
      </c>
      <c r="E28" s="5">
        <f>ROUND(IF('PART 2023'!Z$6&lt;1,0,'COEF Art 14 F I'!$AF29*'PART 2023'!Z$6),2)</f>
        <v>77740.28</v>
      </c>
      <c r="F28" s="5">
        <f>ROUND(IF('PART 2023'!Z$7&lt;1,0,'COEF Art 14 F I'!$AF29*'PART 2023'!Z$7),2)</f>
        <v>35420.25</v>
      </c>
      <c r="G28" s="5">
        <f>ROUND(IF('PART 2023'!Z$8&lt;1,0,'COEF Art 14 F I'!$AF29*'PART 2023'!Z$8),2)</f>
        <v>230193.01</v>
      </c>
      <c r="H28" s="261">
        <f>IF('PART 2023'!Z$9&lt;1,0,'COEF Art 14 F I'!$AF29*'PART 2023'!Z$9)</f>
        <v>7044.9696099495677</v>
      </c>
    </row>
    <row r="29" spans="1:8" ht="12.75" customHeight="1">
      <c r="A29" s="250">
        <v>36</v>
      </c>
      <c r="B29" s="4" t="s">
        <v>15</v>
      </c>
      <c r="C29" s="5">
        <f>ROUND(IF('PART 2023'!Z$4&lt;1,0,'COEF Art 14 F I'!$AF30*'PART 2023'!Z$4),2)</f>
        <v>12224960.289999999</v>
      </c>
      <c r="D29" s="5">
        <f>ROUND(IF('PART 2023'!Z$5&lt;1,0,'COEF Art 14 F I'!$AF30*'PART 2023'!Z$5),2)</f>
        <v>1892503.63</v>
      </c>
      <c r="E29" s="5">
        <f>ROUND(IF('PART 2023'!Z$6&lt;1,0,'COEF Art 14 F I'!$AF30*'PART 2023'!Z$6),2)</f>
        <v>290682.15000000002</v>
      </c>
      <c r="F29" s="5">
        <f>ROUND(IF('PART 2023'!Z$7&lt;1,0,'COEF Art 14 F I'!$AF30*'PART 2023'!Z$7),2)</f>
        <v>132441.41</v>
      </c>
      <c r="G29" s="5">
        <f>ROUND(IF('PART 2023'!Z$8&lt;1,0,'COEF Art 14 F I'!$AF30*'PART 2023'!Z$8),2)</f>
        <v>860724.9</v>
      </c>
      <c r="H29" s="261">
        <f>IF('PART 2023'!Z$9&lt;1,0,'COEF Art 14 F I'!$AF30*'PART 2023'!Z$9)</f>
        <v>26342.158873129883</v>
      </c>
    </row>
    <row r="30" spans="1:8" ht="12.75" customHeight="1">
      <c r="A30" s="250">
        <v>28</v>
      </c>
      <c r="B30" s="4" t="s">
        <v>16</v>
      </c>
      <c r="C30" s="5">
        <f>ROUND(IF('PART 2023'!Z$4&lt;1,0,'COEF Art 14 F I'!$AF31*'PART 2023'!Z$4),2)</f>
        <v>120546557.93000001</v>
      </c>
      <c r="D30" s="5">
        <f>ROUND(IF('PART 2023'!Z$5&lt;1,0,'COEF Art 14 F I'!$AF31*'PART 2023'!Z$5),2)</f>
        <v>18661393.809999999</v>
      </c>
      <c r="E30" s="5">
        <f>ROUND(IF('PART 2023'!Z$6&lt;1,0,'COEF Art 14 F I'!$AF31*'PART 2023'!Z$6),2)</f>
        <v>2866326.91</v>
      </c>
      <c r="F30" s="5">
        <f>ROUND(IF('PART 2023'!Z$7&lt;1,0,'COEF Art 14 F I'!$AF31*'PART 2023'!Z$7),2)</f>
        <v>1305963.8700000001</v>
      </c>
      <c r="G30" s="5">
        <f>ROUND(IF('PART 2023'!Z$8&lt;1,0,'COEF Art 14 F I'!$AF31*'PART 2023'!Z$8),2)</f>
        <v>8487342.4399999995</v>
      </c>
      <c r="H30" s="261">
        <f>IF('PART 2023'!Z$9&lt;1,0,'COEF Art 14 F I'!$AF31*'PART 2023'!Z$9)</f>
        <v>259751.89327632284</v>
      </c>
    </row>
    <row r="31" spans="1:8" ht="12.75" customHeight="1">
      <c r="A31" s="250">
        <v>37</v>
      </c>
      <c r="B31" s="4" t="s">
        <v>134</v>
      </c>
      <c r="C31" s="5">
        <f>ROUND(IF('PART 2023'!Z$4&lt;1,0,'COEF Art 14 F I'!$AF32*'PART 2023'!Z$4),2)</f>
        <v>1180385.1100000001</v>
      </c>
      <c r="D31" s="5">
        <f>ROUND(IF('PART 2023'!Z$5&lt;1,0,'COEF Art 14 F I'!$AF32*'PART 2023'!Z$5),2)</f>
        <v>182731.32</v>
      </c>
      <c r="E31" s="5">
        <f>ROUND(IF('PART 2023'!Z$6&lt;1,0,'COEF Art 14 F I'!$AF32*'PART 2023'!Z$6),2)</f>
        <v>28066.91</v>
      </c>
      <c r="F31" s="5">
        <f>ROUND(IF('PART 2023'!Z$7&lt;1,0,'COEF Art 14 F I'!$AF32*'PART 2023'!Z$7),2)</f>
        <v>12787.92</v>
      </c>
      <c r="G31" s="5">
        <f>ROUND(IF('PART 2023'!Z$8&lt;1,0,'COEF Art 14 F I'!$AF32*'PART 2023'!Z$8),2)</f>
        <v>83107.58</v>
      </c>
      <c r="H31" s="261">
        <f>IF('PART 2023'!Z$9&lt;1,0,'COEF Art 14 F I'!$AF32*'PART 2023'!Z$9)</f>
        <v>2543.4759115648167</v>
      </c>
    </row>
    <row r="32" spans="1:8" ht="12.75" customHeight="1">
      <c r="A32" s="250">
        <v>39</v>
      </c>
      <c r="B32" s="4" t="s">
        <v>17</v>
      </c>
      <c r="C32" s="5">
        <f>ROUND(IF('PART 2023'!Z$4&lt;1,0,'COEF Art 14 F I'!$AF33*'PART 2023'!Z$4),2)</f>
        <v>2260111.7999999998</v>
      </c>
      <c r="D32" s="5">
        <f>ROUND(IF('PART 2023'!Z$5&lt;1,0,'COEF Art 14 F I'!$AF33*'PART 2023'!Z$5),2)</f>
        <v>349880.06</v>
      </c>
      <c r="E32" s="5">
        <f>ROUND(IF('PART 2023'!Z$6&lt;1,0,'COEF Art 14 F I'!$AF33*'PART 2023'!Z$6),2)</f>
        <v>53740.39</v>
      </c>
      <c r="F32" s="5">
        <f>ROUND(IF('PART 2023'!Z$7&lt;1,0,'COEF Art 14 F I'!$AF33*'PART 2023'!Z$7),2)</f>
        <v>24485.35</v>
      </c>
      <c r="G32" s="5">
        <f>ROUND(IF('PART 2023'!Z$8&lt;1,0,'COEF Art 14 F I'!$AF33*'PART 2023'!Z$8),2)</f>
        <v>159128.07999999999</v>
      </c>
      <c r="H32" s="261">
        <f>IF('PART 2023'!Z$9&lt;1,0,'COEF Art 14 F I'!$AF33*'PART 2023'!Z$9)</f>
        <v>4870.0545975663463</v>
      </c>
    </row>
    <row r="33" spans="1:8" ht="12.75" customHeight="1">
      <c r="A33" s="250">
        <v>38</v>
      </c>
      <c r="B33" s="4" t="s">
        <v>18</v>
      </c>
      <c r="C33" s="5">
        <f>ROUND(IF('PART 2023'!Z$4&lt;1,0,'COEF Art 14 F I'!$AF34*'PART 2023'!Z$4),2)</f>
        <v>1663926.29</v>
      </c>
      <c r="D33" s="5">
        <f>ROUND(IF('PART 2023'!Z$5&lt;1,0,'COEF Art 14 F I'!$AF34*'PART 2023'!Z$5),2)</f>
        <v>257586.65</v>
      </c>
      <c r="E33" s="5">
        <f>ROUND(IF('PART 2023'!Z$6&lt;1,0,'COEF Art 14 F I'!$AF34*'PART 2023'!Z$6),2)</f>
        <v>39564.44</v>
      </c>
      <c r="F33" s="5">
        <f>ROUND(IF('PART 2023'!Z$7&lt;1,0,'COEF Art 14 F I'!$AF34*'PART 2023'!Z$7),2)</f>
        <v>18026.46</v>
      </c>
      <c r="G33" s="5">
        <f>ROUND(IF('PART 2023'!Z$8&lt;1,0,'COEF Art 14 F I'!$AF34*'PART 2023'!Z$8),2)</f>
        <v>117152.35</v>
      </c>
      <c r="H33" s="261">
        <f>IF('PART 2023'!Z$9&lt;1,0,'COEF Art 14 F I'!$AF34*'PART 2023'!Z$9)</f>
        <v>3585.4031167732301</v>
      </c>
    </row>
    <row r="34" spans="1:8" ht="12.75" customHeight="1">
      <c r="A34" s="250">
        <v>40</v>
      </c>
      <c r="B34" s="4" t="s">
        <v>19</v>
      </c>
      <c r="C34" s="5">
        <f>ROUND(IF('PART 2023'!Z$4&lt;1,0,'COEF Art 14 F I'!$AF35*'PART 2023'!Z$4),2)</f>
        <v>1972720.98</v>
      </c>
      <c r="D34" s="5">
        <f>ROUND(IF('PART 2023'!Z$5&lt;1,0,'COEF Art 14 F I'!$AF35*'PART 2023'!Z$5),2)</f>
        <v>305390.08000000002</v>
      </c>
      <c r="E34" s="5">
        <f>ROUND(IF('PART 2023'!Z$6&lt;1,0,'COEF Art 14 F I'!$AF35*'PART 2023'!Z$6),2)</f>
        <v>46906.879999999997</v>
      </c>
      <c r="F34" s="5">
        <f>ROUND(IF('PART 2023'!Z$7&lt;1,0,'COEF Art 14 F I'!$AF35*'PART 2023'!Z$7),2)</f>
        <v>21371.84</v>
      </c>
      <c r="G34" s="5">
        <f>ROUND(IF('PART 2023'!Z$8&lt;1,0,'COEF Art 14 F I'!$AF35*'PART 2023'!Z$8),2)</f>
        <v>138893.71</v>
      </c>
      <c r="H34" s="261">
        <f>IF('PART 2023'!Z$9&lt;1,0,'COEF Art 14 F I'!$AF35*'PART 2023'!Z$9)</f>
        <v>4250.7892141849134</v>
      </c>
    </row>
    <row r="35" spans="1:8" ht="12.75" customHeight="1">
      <c r="A35" s="250">
        <v>41</v>
      </c>
      <c r="B35" s="4" t="s">
        <v>20</v>
      </c>
      <c r="C35" s="5">
        <f>ROUND(IF('PART 2023'!Z$4&lt;1,0,'COEF Art 14 F I'!$AF36*'PART 2023'!Z$4),2)</f>
        <v>2078303.97</v>
      </c>
      <c r="D35" s="5">
        <f>ROUND(IF('PART 2023'!Z$5&lt;1,0,'COEF Art 14 F I'!$AF36*'PART 2023'!Z$5),2)</f>
        <v>321735.02</v>
      </c>
      <c r="E35" s="5">
        <f>ROUND(IF('PART 2023'!Z$6&lt;1,0,'COEF Art 14 F I'!$AF36*'PART 2023'!Z$6),2)</f>
        <v>49417.41</v>
      </c>
      <c r="F35" s="5">
        <f>ROUND(IF('PART 2023'!Z$7&lt;1,0,'COEF Art 14 F I'!$AF36*'PART 2023'!Z$7),2)</f>
        <v>22515.7</v>
      </c>
      <c r="G35" s="5">
        <f>ROUND(IF('PART 2023'!Z$8&lt;1,0,'COEF Art 14 F I'!$AF36*'PART 2023'!Z$8),2)</f>
        <v>146327.51</v>
      </c>
      <c r="H35" s="261">
        <f>IF('PART 2023'!Z$9&lt;1,0,'COEF Art 14 F I'!$AF36*'PART 2023'!Z$9)</f>
        <v>4478.2978416084161</v>
      </c>
    </row>
    <row r="36" spans="1:8" ht="12.75" customHeight="1">
      <c r="A36" s="250">
        <v>42</v>
      </c>
      <c r="B36" s="4" t="s">
        <v>135</v>
      </c>
      <c r="C36" s="5">
        <f>ROUND(IF('PART 2023'!Z$4&lt;1,0,'COEF Art 14 F I'!$AF37*'PART 2023'!Z$4),2)</f>
        <v>60009193.469999999</v>
      </c>
      <c r="D36" s="5">
        <f>ROUND(IF('PART 2023'!Z$5&lt;1,0,'COEF Art 14 F I'!$AF37*'PART 2023'!Z$5),2)</f>
        <v>9289814.75</v>
      </c>
      <c r="E36" s="5">
        <f>ROUND(IF('PART 2023'!Z$6&lt;1,0,'COEF Art 14 F I'!$AF37*'PART 2023'!Z$6),2)</f>
        <v>1426884.1</v>
      </c>
      <c r="F36" s="5">
        <f>ROUND(IF('PART 2023'!Z$7&lt;1,0,'COEF Art 14 F I'!$AF37*'PART 2023'!Z$7),2)</f>
        <v>650120.92000000004</v>
      </c>
      <c r="G36" s="5">
        <f>ROUND(IF('PART 2023'!Z$8&lt;1,0,'COEF Art 14 F I'!$AF37*'PART 2023'!Z$8),2)</f>
        <v>4225077.71</v>
      </c>
      <c r="H36" s="261">
        <f>IF('PART 2023'!Z$9&lt;1,0,'COEF Art 14 F I'!$AF37*'PART 2023'!Z$9)</f>
        <v>129306.89921858594</v>
      </c>
    </row>
    <row r="37" spans="1:8" ht="12.75" customHeight="1">
      <c r="A37" s="250">
        <v>43</v>
      </c>
      <c r="B37" s="4" t="s">
        <v>21</v>
      </c>
      <c r="C37" s="5">
        <f>ROUND(IF('PART 2023'!Z$4&lt;1,0,'COEF Art 14 F I'!$AF38*'PART 2023'!Z$4),2)</f>
        <v>5219690.4400000004</v>
      </c>
      <c r="D37" s="5">
        <f>ROUND(IF('PART 2023'!Z$5&lt;1,0,'COEF Art 14 F I'!$AF38*'PART 2023'!Z$5),2)</f>
        <v>808042.14</v>
      </c>
      <c r="E37" s="5">
        <f>ROUND(IF('PART 2023'!Z$6&lt;1,0,'COEF Art 14 F I'!$AF38*'PART 2023'!Z$6),2)</f>
        <v>124112.54</v>
      </c>
      <c r="F37" s="5">
        <f>ROUND(IF('PART 2023'!Z$7&lt;1,0,'COEF Art 14 F I'!$AF38*'PART 2023'!Z$7),2)</f>
        <v>56548.5</v>
      </c>
      <c r="G37" s="5">
        <f>ROUND(IF('PART 2023'!Z$8&lt;1,0,'COEF Art 14 F I'!$AF38*'PART 2023'!Z$8),2)</f>
        <v>367503.65</v>
      </c>
      <c r="H37" s="261">
        <f>IF('PART 2023'!Z$9&lt;1,0,'COEF Art 14 F I'!$AF38*'PART 2023'!Z$9)</f>
        <v>11247.309730601099</v>
      </c>
    </row>
    <row r="38" spans="1:8" ht="12.75" customHeight="1">
      <c r="A38" s="250">
        <v>44</v>
      </c>
      <c r="B38" s="4" t="s">
        <v>22</v>
      </c>
      <c r="C38" s="5">
        <f>ROUND(IF('PART 2023'!Z$4&lt;1,0,'COEF Art 14 F I'!$AF39*'PART 2023'!Z$4),2)</f>
        <v>13386942.470000001</v>
      </c>
      <c r="D38" s="5">
        <f>ROUND(IF('PART 2023'!Z$5&lt;1,0,'COEF Art 14 F I'!$AF39*'PART 2023'!Z$5),2)</f>
        <v>2072386.05</v>
      </c>
      <c r="E38" s="5">
        <f>ROUND(IF('PART 2023'!Z$6&lt;1,0,'COEF Art 14 F I'!$AF39*'PART 2023'!Z$6),2)</f>
        <v>318311.48</v>
      </c>
      <c r="F38" s="5">
        <f>ROUND(IF('PART 2023'!Z$7&lt;1,0,'COEF Art 14 F I'!$AF39*'PART 2023'!Z$7),2)</f>
        <v>145029.97</v>
      </c>
      <c r="G38" s="5">
        <f>ROUND(IF('PART 2023'!Z$8&lt;1,0,'COEF Art 14 F I'!$AF39*'PART 2023'!Z$8),2)</f>
        <v>942536.78</v>
      </c>
      <c r="H38" s="261">
        <f>IF('PART 2023'!Z$9&lt;1,0,'COEF Art 14 F I'!$AF39*'PART 2023'!Z$9)</f>
        <v>28845.980437915427</v>
      </c>
    </row>
    <row r="39" spans="1:8" ht="12.75" customHeight="1">
      <c r="A39" s="250">
        <v>46</v>
      </c>
      <c r="B39" s="4" t="s">
        <v>136</v>
      </c>
      <c r="C39" s="5">
        <f>ROUND(IF('PART 2023'!Z$4&lt;1,0,'COEF Art 14 F I'!$AF40*'PART 2023'!Z$4),2)</f>
        <v>2663159.27</v>
      </c>
      <c r="D39" s="5">
        <f>ROUND(IF('PART 2023'!Z$5&lt;1,0,'COEF Art 14 F I'!$AF40*'PART 2023'!Z$5),2)</f>
        <v>412274.43</v>
      </c>
      <c r="E39" s="5">
        <f>ROUND(IF('PART 2023'!Z$6&lt;1,0,'COEF Art 14 F I'!$AF40*'PART 2023'!Z$6),2)</f>
        <v>63323.96</v>
      </c>
      <c r="F39" s="5">
        <f>ROUND(IF('PART 2023'!Z$7&lt;1,0,'COEF Art 14 F I'!$AF40*'PART 2023'!Z$7),2)</f>
        <v>28851.84</v>
      </c>
      <c r="G39" s="5">
        <f>ROUND(IF('PART 2023'!Z$8&lt;1,0,'COEF Art 14 F I'!$AF40*'PART 2023'!Z$8),2)</f>
        <v>187505.52</v>
      </c>
      <c r="H39" s="261">
        <f>IF('PART 2023'!Z$9&lt;1,0,'COEF Art 14 F I'!$AF40*'PART 2023'!Z$9)</f>
        <v>5738.5351622325934</v>
      </c>
    </row>
    <row r="40" spans="1:8" ht="12.75" customHeight="1">
      <c r="A40" s="250">
        <v>49</v>
      </c>
      <c r="B40" s="4" t="s">
        <v>23</v>
      </c>
      <c r="C40" s="5">
        <f>ROUND(IF('PART 2023'!Z$4&lt;1,0,'COEF Art 14 F I'!$AF41*'PART 2023'!Z$4),2)</f>
        <v>456928.58</v>
      </c>
      <c r="D40" s="5">
        <f>ROUND(IF('PART 2023'!Z$5&lt;1,0,'COEF Art 14 F I'!$AF41*'PART 2023'!Z$5),2)</f>
        <v>70735.53</v>
      </c>
      <c r="E40" s="5">
        <f>ROUND(IF('PART 2023'!Z$6&lt;1,0,'COEF Art 14 F I'!$AF41*'PART 2023'!Z$6),2)</f>
        <v>10864.74</v>
      </c>
      <c r="F40" s="5">
        <f>ROUND(IF('PART 2023'!Z$7&lt;1,0,'COEF Art 14 F I'!$AF41*'PART 2023'!Z$7),2)</f>
        <v>4950.22</v>
      </c>
      <c r="G40" s="5">
        <f>ROUND(IF('PART 2023'!Z$8&lt;1,0,'COEF Art 14 F I'!$AF41*'PART 2023'!Z$8),2)</f>
        <v>32171.05</v>
      </c>
      <c r="H40" s="261">
        <f>IF('PART 2023'!Z$9&lt;1,0,'COEF Art 14 F I'!$AF41*'PART 2023'!Z$9)</f>
        <v>984.58276778792037</v>
      </c>
    </row>
    <row r="41" spans="1:8" ht="12.75" customHeight="1">
      <c r="A41" s="250">
        <v>48</v>
      </c>
      <c r="B41" s="4" t="s">
        <v>24</v>
      </c>
      <c r="C41" s="5">
        <f>ROUND(IF('PART 2023'!Z$4&lt;1,0,'COEF Art 14 F I'!$AF42*'PART 2023'!Z$4),2)</f>
        <v>3596262.89</v>
      </c>
      <c r="D41" s="5">
        <f>ROUND(IF('PART 2023'!Z$5&lt;1,0,'COEF Art 14 F I'!$AF42*'PART 2023'!Z$5),2)</f>
        <v>556724.96</v>
      </c>
      <c r="E41" s="5">
        <f>ROUND(IF('PART 2023'!Z$6&lt;1,0,'COEF Art 14 F I'!$AF42*'PART 2023'!Z$6),2)</f>
        <v>85511.07</v>
      </c>
      <c r="F41" s="5">
        <f>ROUND(IF('PART 2023'!Z$7&lt;1,0,'COEF Art 14 F I'!$AF42*'PART 2023'!Z$7),2)</f>
        <v>38960.79</v>
      </c>
      <c r="G41" s="5">
        <f>ROUND(IF('PART 2023'!Z$8&lt;1,0,'COEF Art 14 F I'!$AF42*'PART 2023'!Z$8),2)</f>
        <v>253202.71</v>
      </c>
      <c r="H41" s="261">
        <f>IF('PART 2023'!Z$9&lt;1,0,'COEF Art 14 F I'!$AF42*'PART 2023'!Z$9)</f>
        <v>7749.1726799207881</v>
      </c>
    </row>
    <row r="42" spans="1:8" ht="12.75" customHeight="1">
      <c r="A42" s="250">
        <v>47</v>
      </c>
      <c r="B42" s="4" t="s">
        <v>25</v>
      </c>
      <c r="C42" s="5">
        <f>ROUND(IF('PART 2023'!Z$4&lt;1,0,'COEF Art 14 F I'!$AF43*'PART 2023'!Z$4),2)</f>
        <v>4663382.6900000004</v>
      </c>
      <c r="D42" s="5">
        <f>ROUND(IF('PART 2023'!Z$5&lt;1,0,'COEF Art 14 F I'!$AF43*'PART 2023'!Z$5),2)</f>
        <v>721922.07</v>
      </c>
      <c r="E42" s="5">
        <f>ROUND(IF('PART 2023'!Z$6&lt;1,0,'COEF Art 14 F I'!$AF43*'PART 2023'!Z$6),2)</f>
        <v>110884.79</v>
      </c>
      <c r="F42" s="5">
        <f>ROUND(IF('PART 2023'!Z$7&lt;1,0,'COEF Art 14 F I'!$AF43*'PART 2023'!Z$7),2)</f>
        <v>50521.64</v>
      </c>
      <c r="G42" s="5">
        <f>ROUND(IF('PART 2023'!Z$8&lt;1,0,'COEF Art 14 F I'!$AF43*'PART 2023'!Z$8),2)</f>
        <v>328335.59000000003</v>
      </c>
      <c r="H42" s="261">
        <f>IF('PART 2023'!Z$9&lt;1,0,'COEF Art 14 F I'!$AF43*'PART 2023'!Z$9)</f>
        <v>10048.586236065483</v>
      </c>
    </row>
    <row r="43" spans="1:8" ht="12.75" customHeight="1">
      <c r="A43" s="250">
        <v>45</v>
      </c>
      <c r="B43" s="4" t="s">
        <v>26</v>
      </c>
      <c r="C43" s="5">
        <f>ROUND(IF('PART 2023'!Z$4&lt;1,0,'COEF Art 14 F I'!$AF44*'PART 2023'!Z$4),2)</f>
        <v>9955714.1400000006</v>
      </c>
      <c r="D43" s="5">
        <f>ROUND(IF('PART 2023'!Z$5&lt;1,0,'COEF Art 14 F I'!$AF44*'PART 2023'!Z$5),2)</f>
        <v>1541209.52</v>
      </c>
      <c r="E43" s="5">
        <f>ROUND(IF('PART 2023'!Z$6&lt;1,0,'COEF Art 14 F I'!$AF44*'PART 2023'!Z$6),2)</f>
        <v>236724.56</v>
      </c>
      <c r="F43" s="5">
        <f>ROUND(IF('PART 2023'!Z$7&lt;1,0,'COEF Art 14 F I'!$AF44*'PART 2023'!Z$7),2)</f>
        <v>107857.11</v>
      </c>
      <c r="G43" s="5">
        <f>ROUND(IF('PART 2023'!Z$8&lt;1,0,'COEF Art 14 F I'!$AF44*'PART 2023'!Z$8),2)</f>
        <v>700953.69</v>
      </c>
      <c r="H43" s="261">
        <f>IF('PART 2023'!Z$9&lt;1,0,'COEF Art 14 F I'!$AF44*'PART 2023'!Z$9)</f>
        <v>21452.421714073331</v>
      </c>
    </row>
    <row r="44" spans="1:8" ht="12.75" customHeight="1">
      <c r="A44" s="250">
        <v>70</v>
      </c>
      <c r="B44" s="4" t="s">
        <v>27</v>
      </c>
      <c r="C44" s="5">
        <f>ROUND(IF('PART 2023'!Z$4&lt;1,0,'COEF Art 14 F I'!$AF45*'PART 2023'!Z$4),2)</f>
        <v>339929927.47000003</v>
      </c>
      <c r="D44" s="5">
        <f>ROUND(IF('PART 2023'!Z$5&lt;1,0,'COEF Art 14 F I'!$AF45*'PART 2023'!Z$5),2)</f>
        <v>52623371.039999999</v>
      </c>
      <c r="E44" s="5">
        <f>ROUND(IF('PART 2023'!Z$6&lt;1,0,'COEF Art 14 F I'!$AF45*'PART 2023'!Z$6),2)</f>
        <v>8082771.6399999997</v>
      </c>
      <c r="F44" s="5">
        <f>ROUND(IF('PART 2023'!Z$7&lt;1,0,'COEF Art 14 F I'!$AF45*'PART 2023'!Z$7),2)</f>
        <v>3682694.99</v>
      </c>
      <c r="G44" s="5">
        <f>ROUND(IF('PART 2023'!Z$8&lt;1,0,'COEF Art 14 F I'!$AF45*'PART 2023'!Z$8),2)</f>
        <v>23933505.43</v>
      </c>
      <c r="H44" s="261">
        <f>IF('PART 2023'!Z$9&lt;1,0,'COEF Art 14 F I'!$AF45*'PART 2023'!Z$9)</f>
        <v>732475.84796924458</v>
      </c>
    </row>
    <row r="45" spans="1:8" ht="12.75" customHeight="1">
      <c r="A45" s="250">
        <v>50</v>
      </c>
      <c r="B45" s="4" t="s">
        <v>137</v>
      </c>
      <c r="C45" s="5">
        <f>ROUND(IF('PART 2023'!Z$4&lt;1,0,'COEF Art 14 F I'!$AF46*'PART 2023'!Z$4),2)</f>
        <v>2356129.63</v>
      </c>
      <c r="D45" s="5">
        <f>ROUND(IF('PART 2023'!Z$5&lt;1,0,'COEF Art 14 F I'!$AF46*'PART 2023'!Z$5),2)</f>
        <v>364744.24</v>
      </c>
      <c r="E45" s="5">
        <f>ROUND(IF('PART 2023'!Z$6&lt;1,0,'COEF Art 14 F I'!$AF46*'PART 2023'!Z$6),2)</f>
        <v>56023.48</v>
      </c>
      <c r="F45" s="5">
        <f>ROUND(IF('PART 2023'!Z$7&lt;1,0,'COEF Art 14 F I'!$AF46*'PART 2023'!Z$7),2)</f>
        <v>25525.57</v>
      </c>
      <c r="G45" s="5">
        <f>ROUND(IF('PART 2023'!Z$8&lt;1,0,'COEF Art 14 F I'!$AF46*'PART 2023'!Z$8),2)</f>
        <v>165888.43</v>
      </c>
      <c r="H45" s="261">
        <f>IF('PART 2023'!Z$9&lt;1,0,'COEF Art 14 F I'!$AF46*'PART 2023'!Z$9)</f>
        <v>5076.9523547076342</v>
      </c>
    </row>
    <row r="46" spans="1:8" ht="12.75" customHeight="1">
      <c r="A46" s="250">
        <v>51</v>
      </c>
      <c r="B46" s="4" t="s">
        <v>138</v>
      </c>
      <c r="C46" s="5">
        <f>ROUND(IF('PART 2023'!Z$4&lt;1,0,'COEF Art 14 F I'!$AF47*'PART 2023'!Z$4),2)</f>
        <v>17206905.800000001</v>
      </c>
      <c r="D46" s="5">
        <f>ROUND(IF('PART 2023'!Z$5&lt;1,0,'COEF Art 14 F I'!$AF47*'PART 2023'!Z$5),2)</f>
        <v>2663741.2999999998</v>
      </c>
      <c r="E46" s="5">
        <f>ROUND(IF('PART 2023'!Z$6&lt;1,0,'COEF Art 14 F I'!$AF47*'PART 2023'!Z$6),2)</f>
        <v>409141.65</v>
      </c>
      <c r="F46" s="5">
        <f>ROUND(IF('PART 2023'!Z$7&lt;1,0,'COEF Art 14 F I'!$AF47*'PART 2023'!Z$7),2)</f>
        <v>186414.26</v>
      </c>
      <c r="G46" s="5">
        <f>ROUND(IF('PART 2023'!Z$8&lt;1,0,'COEF Art 14 F I'!$AF47*'PART 2023'!Z$8),2)</f>
        <v>1211489.6000000001</v>
      </c>
      <c r="H46" s="261">
        <f>IF('PART 2023'!Z$9&lt;1,0,'COEF Art 14 F I'!$AF47*'PART 2023'!Z$9)</f>
        <v>37077.179435641767</v>
      </c>
    </row>
    <row r="47" spans="1:8" ht="12.75" customHeight="1">
      <c r="A47" s="250">
        <v>52</v>
      </c>
      <c r="B47" s="4" t="s">
        <v>139</v>
      </c>
      <c r="C47" s="5">
        <f>ROUND(IF('PART 2023'!Z$4&lt;1,0,'COEF Art 14 F I'!$AF48*'PART 2023'!Z$4),2)</f>
        <v>2666030.96</v>
      </c>
      <c r="D47" s="5">
        <f>ROUND(IF('PART 2023'!Z$5&lt;1,0,'COEF Art 14 F I'!$AF48*'PART 2023'!Z$5),2)</f>
        <v>412718.99</v>
      </c>
      <c r="E47" s="5">
        <f>ROUND(IF('PART 2023'!Z$6&lt;1,0,'COEF Art 14 F I'!$AF48*'PART 2023'!Z$6),2)</f>
        <v>63392.24</v>
      </c>
      <c r="F47" s="5">
        <f>ROUND(IF('PART 2023'!Z$7&lt;1,0,'COEF Art 14 F I'!$AF48*'PART 2023'!Z$7),2)</f>
        <v>28882.95</v>
      </c>
      <c r="G47" s="5">
        <f>ROUND(IF('PART 2023'!Z$8&lt;1,0,'COEF Art 14 F I'!$AF48*'PART 2023'!Z$8),2)</f>
        <v>187707.7</v>
      </c>
      <c r="H47" s="261">
        <f>IF('PART 2023'!Z$9&lt;1,0,'COEF Art 14 F I'!$AF48*'PART 2023'!Z$9)</f>
        <v>5744.7230359171708</v>
      </c>
    </row>
    <row r="48" spans="1:8" ht="12.75" customHeight="1">
      <c r="A48" s="250">
        <v>53</v>
      </c>
      <c r="B48" s="4" t="s">
        <v>28</v>
      </c>
      <c r="C48" s="5">
        <f>ROUND(IF('PART 2023'!Z$4&lt;1,0,'COEF Art 14 F I'!$AF49*'PART 2023'!Z$4),2)</f>
        <v>2427415.3199999998</v>
      </c>
      <c r="D48" s="5">
        <f>ROUND(IF('PART 2023'!Z$5&lt;1,0,'COEF Art 14 F I'!$AF49*'PART 2023'!Z$5),2)</f>
        <v>375779.73</v>
      </c>
      <c r="E48" s="5">
        <f>ROUND(IF('PART 2023'!Z$6&lt;1,0,'COEF Art 14 F I'!$AF49*'PART 2023'!Z$6),2)</f>
        <v>57718.49</v>
      </c>
      <c r="F48" s="5">
        <f>ROUND(IF('PART 2023'!Z$7&lt;1,0,'COEF Art 14 F I'!$AF49*'PART 2023'!Z$7),2)</f>
        <v>26297.86</v>
      </c>
      <c r="G48" s="5">
        <f>ROUND(IF('PART 2023'!Z$8&lt;1,0,'COEF Art 14 F I'!$AF49*'PART 2023'!Z$8),2)</f>
        <v>170907.45</v>
      </c>
      <c r="H48" s="261">
        <f>IF('PART 2023'!Z$9&lt;1,0,'COEF Art 14 F I'!$AF49*'PART 2023'!Z$9)</f>
        <v>5230.5576778403356</v>
      </c>
    </row>
    <row r="49" spans="1:8" ht="12.75" customHeight="1">
      <c r="A49" s="250">
        <v>54</v>
      </c>
      <c r="B49" s="4" t="s">
        <v>29</v>
      </c>
      <c r="C49" s="5">
        <f>ROUND(IF('PART 2023'!Z$4&lt;1,0,'COEF Art 14 F I'!$AF50*'PART 2023'!Z$4),2)</f>
        <v>6168299.75</v>
      </c>
      <c r="D49" s="5">
        <f>ROUND(IF('PART 2023'!Z$5&lt;1,0,'COEF Art 14 F I'!$AF50*'PART 2023'!Z$5),2)</f>
        <v>954893.05</v>
      </c>
      <c r="E49" s="5">
        <f>ROUND(IF('PART 2023'!Z$6&lt;1,0,'COEF Art 14 F I'!$AF50*'PART 2023'!Z$6),2)</f>
        <v>146668.34</v>
      </c>
      <c r="F49" s="5">
        <f>ROUND(IF('PART 2023'!Z$7&lt;1,0,'COEF Art 14 F I'!$AF50*'PART 2023'!Z$7),2)</f>
        <v>66825.440000000002</v>
      </c>
      <c r="G49" s="5">
        <f>ROUND(IF('PART 2023'!Z$8&lt;1,0,'COEF Art 14 F I'!$AF50*'PART 2023'!Z$8),2)</f>
        <v>434292.55</v>
      </c>
      <c r="H49" s="261">
        <f>IF('PART 2023'!Z$9&lt;1,0,'COEF Art 14 F I'!$AF50*'PART 2023'!Z$9)</f>
        <v>13291.358676934415</v>
      </c>
    </row>
    <row r="50" spans="1:8" ht="12.75" customHeight="1">
      <c r="A50" s="250">
        <v>55</v>
      </c>
      <c r="B50" s="4" t="s">
        <v>30</v>
      </c>
      <c r="C50" s="5">
        <f>ROUND(IF('PART 2023'!Z$4&lt;1,0,'COEF Art 14 F I'!$AF51*'PART 2023'!Z$4),2)</f>
        <v>14375164.17</v>
      </c>
      <c r="D50" s="5">
        <f>ROUND(IF('PART 2023'!Z$5&lt;1,0,'COEF Art 14 F I'!$AF51*'PART 2023'!Z$5),2)</f>
        <v>2225369.2200000002</v>
      </c>
      <c r="E50" s="5">
        <f>ROUND(IF('PART 2023'!Z$6&lt;1,0,'COEF Art 14 F I'!$AF51*'PART 2023'!Z$6),2)</f>
        <v>341809.18</v>
      </c>
      <c r="F50" s="5">
        <f>ROUND(IF('PART 2023'!Z$7&lt;1,0,'COEF Art 14 F I'!$AF51*'PART 2023'!Z$7),2)</f>
        <v>155736.04999999999</v>
      </c>
      <c r="G50" s="5">
        <f>ROUND(IF('PART 2023'!Z$8&lt;1,0,'COEF Art 14 F I'!$AF51*'PART 2023'!Z$8),2)</f>
        <v>1012114.68</v>
      </c>
      <c r="H50" s="261">
        <f>IF('PART 2023'!Z$9&lt;1,0,'COEF Art 14 F I'!$AF51*'PART 2023'!Z$9)</f>
        <v>30975.38554507666</v>
      </c>
    </row>
    <row r="51" spans="1:8" ht="12.75" customHeight="1">
      <c r="A51" s="250">
        <v>58</v>
      </c>
      <c r="B51" s="4" t="s">
        <v>140</v>
      </c>
      <c r="C51" s="5">
        <f>ROUND(IF('PART 2023'!Z$4&lt;1,0,'COEF Art 14 F I'!$AF52*'PART 2023'!Z$4),2)</f>
        <v>79273517.939999998</v>
      </c>
      <c r="D51" s="5">
        <f>ROUND(IF('PART 2023'!Z$5&lt;1,0,'COEF Art 14 F I'!$AF52*'PART 2023'!Z$5),2)</f>
        <v>12272057.890000001</v>
      </c>
      <c r="E51" s="5">
        <f>ROUND(IF('PART 2023'!Z$6&lt;1,0,'COEF Art 14 F I'!$AF52*'PART 2023'!Z$6),2)</f>
        <v>1884946.55</v>
      </c>
      <c r="F51" s="5">
        <f>ROUND(IF('PART 2023'!Z$7&lt;1,0,'COEF Art 14 F I'!$AF52*'PART 2023'!Z$7),2)</f>
        <v>858824.61</v>
      </c>
      <c r="G51" s="5">
        <f>ROUND(IF('PART 2023'!Z$8&lt;1,0,'COEF Art 14 F I'!$AF52*'PART 2023'!Z$8),2)</f>
        <v>5581424.3399999999</v>
      </c>
      <c r="H51" s="261">
        <f>IF('PART 2023'!Z$9&lt;1,0,'COEF Art 14 F I'!$AF52*'PART 2023'!Z$9)</f>
        <v>170817.37317031156</v>
      </c>
    </row>
    <row r="52" spans="1:8" ht="12.75" customHeight="1">
      <c r="A52" s="250">
        <v>31</v>
      </c>
      <c r="B52" s="4" t="s">
        <v>141</v>
      </c>
      <c r="C52" s="5">
        <f>ROUND(IF('PART 2023'!Z$4&lt;1,0,'COEF Art 14 F I'!$AF53*'PART 2023'!Z$4),2)</f>
        <v>171073006.81999999</v>
      </c>
      <c r="D52" s="5">
        <f>ROUND(IF('PART 2023'!Z$5&lt;1,0,'COEF Art 14 F I'!$AF53*'PART 2023'!Z$5),2)</f>
        <v>26483217.82</v>
      </c>
      <c r="E52" s="5">
        <f>ROUND(IF('PART 2023'!Z$6&lt;1,0,'COEF Art 14 F I'!$AF53*'PART 2023'!Z$6),2)</f>
        <v>4067732.6</v>
      </c>
      <c r="F52" s="5">
        <f>ROUND(IF('PART 2023'!Z$7&lt;1,0,'COEF Art 14 F I'!$AF53*'PART 2023'!Z$7),2)</f>
        <v>1853351.69</v>
      </c>
      <c r="G52" s="5">
        <f>ROUND(IF('PART 2023'!Z$8&lt;1,0,'COEF Art 14 F I'!$AF53*'PART 2023'!Z$8),2)</f>
        <v>12044766.9</v>
      </c>
      <c r="H52" s="261">
        <f>IF('PART 2023'!Z$9&lt;1,0,'COEF Art 14 F I'!$AF53*'PART 2023'!Z$9)</f>
        <v>368625.51840826793</v>
      </c>
    </row>
    <row r="53" spans="1:8" ht="12.75" customHeight="1">
      <c r="A53" s="250">
        <v>57</v>
      </c>
      <c r="B53" s="4" t="s">
        <v>31</v>
      </c>
      <c r="C53" s="5">
        <f>ROUND(IF('PART 2023'!Z$4&lt;1,0,'COEF Art 14 F I'!$AF54*'PART 2023'!Z$4),2)</f>
        <v>61557742.439999998</v>
      </c>
      <c r="D53" s="5">
        <f>ROUND(IF('PART 2023'!Z$5&lt;1,0,'COEF Art 14 F I'!$AF54*'PART 2023'!Z$5),2)</f>
        <v>9529540.2300000004</v>
      </c>
      <c r="E53" s="5">
        <f>ROUND(IF('PART 2023'!Z$6&lt;1,0,'COEF Art 14 F I'!$AF54*'PART 2023'!Z$6),2)</f>
        <v>1463705.12</v>
      </c>
      <c r="F53" s="5">
        <f>ROUND(IF('PART 2023'!Z$7&lt;1,0,'COEF Art 14 F I'!$AF54*'PART 2023'!Z$7),2)</f>
        <v>666897.41</v>
      </c>
      <c r="G53" s="5">
        <f>ROUND(IF('PART 2023'!Z$8&lt;1,0,'COEF Art 14 F I'!$AF54*'PART 2023'!Z$8),2)</f>
        <v>4334106.66</v>
      </c>
      <c r="H53" s="261">
        <f>IF('PART 2023'!Z$9&lt;1,0,'COEF Art 14 F I'!$AF54*'PART 2023'!Z$9)</f>
        <v>132643.68903963076</v>
      </c>
    </row>
    <row r="54" spans="1:8" ht="12.75" customHeight="1">
      <c r="A54" s="250">
        <v>56</v>
      </c>
      <c r="B54" s="4" t="s">
        <v>32</v>
      </c>
      <c r="C54" s="5">
        <f>ROUND(IF('PART 2023'!Z$4&lt;1,0,'COEF Art 14 F I'!$AF55*'PART 2023'!Z$4),2)</f>
        <v>19851251.539999999</v>
      </c>
      <c r="D54" s="5">
        <f>ROUND(IF('PART 2023'!Z$5&lt;1,0,'COEF Art 14 F I'!$AF55*'PART 2023'!Z$5),2)</f>
        <v>3073103.28</v>
      </c>
      <c r="E54" s="5">
        <f>ROUND(IF('PART 2023'!Z$6&lt;1,0,'COEF Art 14 F I'!$AF55*'PART 2023'!Z$6),2)</f>
        <v>472018.26</v>
      </c>
      <c r="F54" s="5">
        <f>ROUND(IF('PART 2023'!Z$7&lt;1,0,'COEF Art 14 F I'!$AF55*'PART 2023'!Z$7),2)</f>
        <v>215062.28</v>
      </c>
      <c r="G54" s="5">
        <f>ROUND(IF('PART 2023'!Z$8&lt;1,0,'COEF Art 14 F I'!$AF55*'PART 2023'!Z$8),2)</f>
        <v>1397670.51</v>
      </c>
      <c r="H54" s="261">
        <f>IF('PART 2023'!Z$9&lt;1,0,'COEF Art 14 F I'!$AF55*'PART 2023'!Z$9)</f>
        <v>42775.175508519511</v>
      </c>
    </row>
    <row r="55" spans="1:8" ht="12.75" customHeight="1">
      <c r="A55" s="250">
        <v>59</v>
      </c>
      <c r="B55" s="4" t="s">
        <v>33</v>
      </c>
      <c r="C55" s="5">
        <f>ROUND(IF('PART 2023'!Z$4&lt;1,0,'COEF Art 14 F I'!$AF56*'PART 2023'!Z$4),2)</f>
        <v>3665135</v>
      </c>
      <c r="D55" s="5">
        <f>ROUND(IF('PART 2023'!Z$5&lt;1,0,'COEF Art 14 F I'!$AF56*'PART 2023'!Z$5),2)</f>
        <v>567386.81999999995</v>
      </c>
      <c r="E55" s="5">
        <f>ROUND(IF('PART 2023'!Z$6&lt;1,0,'COEF Art 14 F I'!$AF56*'PART 2023'!Z$6),2)</f>
        <v>87148.69</v>
      </c>
      <c r="F55" s="5">
        <f>ROUND(IF('PART 2023'!Z$7&lt;1,0,'COEF Art 14 F I'!$AF56*'PART 2023'!Z$7),2)</f>
        <v>39706.93</v>
      </c>
      <c r="G55" s="5">
        <f>ROUND(IF('PART 2023'!Z$8&lt;1,0,'COEF Art 14 F I'!$AF56*'PART 2023'!Z$8),2)</f>
        <v>258051.8</v>
      </c>
      <c r="H55" s="261">
        <f>IF('PART 2023'!Z$9&lt;1,0,'COEF Art 14 F I'!$AF56*'PART 2023'!Z$9)</f>
        <v>7897.5772708505438</v>
      </c>
    </row>
    <row r="56" spans="1:8" ht="12.75" customHeight="1">
      <c r="A56" s="250">
        <v>60</v>
      </c>
      <c r="B56" s="4" t="s">
        <v>34</v>
      </c>
      <c r="C56" s="5">
        <f>ROUND(IF('PART 2023'!Z$4&lt;1,0,'COEF Art 14 F I'!$AF57*'PART 2023'!Z$4),2)</f>
        <v>3146782.79</v>
      </c>
      <c r="D56" s="5">
        <f>ROUND(IF('PART 2023'!Z$5&lt;1,0,'COEF Art 14 F I'!$AF57*'PART 2023'!Z$5),2)</f>
        <v>487142.51</v>
      </c>
      <c r="E56" s="5">
        <f>ROUND(IF('PART 2023'!Z$6&lt;1,0,'COEF Art 14 F I'!$AF57*'PART 2023'!Z$6),2)</f>
        <v>74823.44</v>
      </c>
      <c r="F56" s="5">
        <f>ROUND(IF('PART 2023'!Z$7&lt;1,0,'COEF Art 14 F I'!$AF57*'PART 2023'!Z$7),2)</f>
        <v>34091.26</v>
      </c>
      <c r="G56" s="5">
        <f>ROUND(IF('PART 2023'!Z$8&lt;1,0,'COEF Art 14 F I'!$AF57*'PART 2023'!Z$8),2)</f>
        <v>221556.08</v>
      </c>
      <c r="H56" s="261">
        <f>IF('PART 2023'!Z$9&lt;1,0,'COEF Art 14 F I'!$AF57*'PART 2023'!Z$9)</f>
        <v>6780.6397921721773</v>
      </c>
    </row>
    <row r="57" spans="1:8" s="101" customFormat="1" ht="16.5" customHeight="1" thickBot="1">
      <c r="B57" s="6" t="s">
        <v>35</v>
      </c>
      <c r="C57" s="7">
        <f>SUM(C6:C56)</f>
        <v>1305315490.1900001</v>
      </c>
      <c r="D57" s="7">
        <f t="shared" ref="D57:H57" si="0">SUM(D6:D56)</f>
        <v>202071355.91999996</v>
      </c>
      <c r="E57" s="7">
        <f t="shared" si="0"/>
        <v>31037476.180000003</v>
      </c>
      <c r="F57" s="7">
        <f t="shared" si="0"/>
        <v>14141381.559999997</v>
      </c>
      <c r="G57" s="7">
        <f t="shared" si="0"/>
        <v>91903574.370000005</v>
      </c>
      <c r="H57" s="256">
        <f t="shared" si="0"/>
        <v>2812674.0049999985</v>
      </c>
    </row>
    <row r="58" spans="1:8" ht="13.5" thickTop="1">
      <c r="C58" s="102"/>
      <c r="G58" s="103"/>
    </row>
    <row r="59" spans="1:8">
      <c r="B59" s="169"/>
      <c r="C59" s="104"/>
    </row>
    <row r="60" spans="1:8">
      <c r="B60" s="169"/>
      <c r="C60" s="105"/>
    </row>
    <row r="64" spans="1:8">
      <c r="F64" s="106"/>
    </row>
  </sheetData>
  <mergeCells count="3">
    <mergeCell ref="B1:H1"/>
    <mergeCell ref="B3:B4"/>
    <mergeCell ref="C3:H3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95" orientation="portrait" horizontalDpi="300" verticalDpi="300" r:id="rId1"/>
  <headerFooter alignWithMargins="0">
    <oddHeader>&amp;LANEXO 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2"/>
  <sheetViews>
    <sheetView showGridLines="0" zoomScaleNormal="100" workbookViewId="0">
      <selection activeCell="M7" sqref="M7"/>
    </sheetView>
  </sheetViews>
  <sheetFormatPr baseColWidth="10" defaultColWidth="9.7109375" defaultRowHeight="12.75"/>
  <cols>
    <col min="1" max="1" width="3" style="11" bestFit="1" customWidth="1"/>
    <col min="2" max="2" width="28.7109375" style="11" customWidth="1"/>
    <col min="3" max="3" width="12.42578125" style="11" customWidth="1"/>
    <col min="4" max="4" width="14.140625" style="50" customWidth="1"/>
    <col min="5" max="5" width="17.28515625" style="11" customWidth="1"/>
    <col min="6" max="6" width="15.7109375" style="50" customWidth="1"/>
    <col min="7" max="7" width="2" style="11" customWidth="1"/>
    <col min="8" max="8" width="16.140625" style="50" customWidth="1"/>
    <col min="9" max="9" width="2" style="50" customWidth="1"/>
    <col min="10" max="12" width="18.42578125" style="11" customWidth="1"/>
    <col min="13" max="13" width="15.7109375" style="11" customWidth="1"/>
    <col min="14" max="14" width="15.7109375" style="50" customWidth="1"/>
    <col min="15" max="16384" width="9.7109375" style="11"/>
  </cols>
  <sheetData>
    <row r="1" spans="1:14" s="61" customFormat="1" ht="51" customHeight="1">
      <c r="B1" s="296" t="s">
        <v>94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3" spans="1:14" ht="37.5" customHeight="1" thickBot="1">
      <c r="C3" s="298" t="s">
        <v>74</v>
      </c>
      <c r="D3" s="299"/>
      <c r="E3" s="300" t="s">
        <v>76</v>
      </c>
      <c r="F3" s="300"/>
      <c r="H3" s="76" t="s">
        <v>75</v>
      </c>
      <c r="I3" s="76"/>
    </row>
    <row r="4" spans="1:14" ht="39" customHeight="1" thickBot="1">
      <c r="B4" s="8" t="s">
        <v>0</v>
      </c>
      <c r="C4" s="8" t="s">
        <v>148</v>
      </c>
      <c r="D4" s="77" t="s">
        <v>62</v>
      </c>
      <c r="E4" s="53" t="s">
        <v>195</v>
      </c>
      <c r="F4" s="77" t="s">
        <v>63</v>
      </c>
      <c r="H4" s="77" t="s">
        <v>69</v>
      </c>
      <c r="I4" s="161"/>
      <c r="J4" s="84" t="s">
        <v>66</v>
      </c>
      <c r="K4" s="84" t="s">
        <v>67</v>
      </c>
      <c r="L4" s="84" t="s">
        <v>68</v>
      </c>
      <c r="M4" s="84" t="s">
        <v>217</v>
      </c>
      <c r="N4" s="85" t="s">
        <v>61</v>
      </c>
    </row>
    <row r="5" spans="1:14" s="14" customFormat="1" ht="11.25">
      <c r="B5" s="54"/>
      <c r="C5" s="20" t="s">
        <v>40</v>
      </c>
      <c r="D5" s="75" t="s">
        <v>49</v>
      </c>
      <c r="E5" s="55" t="s">
        <v>39</v>
      </c>
      <c r="F5" s="75" t="s">
        <v>50</v>
      </c>
      <c r="H5" s="66" t="s">
        <v>46</v>
      </c>
      <c r="I5" s="66"/>
      <c r="J5" s="13">
        <f>+M5*0.35</f>
        <v>40789945.980000004</v>
      </c>
      <c r="K5" s="13">
        <f>+M5*0.35</f>
        <v>40789945.980000004</v>
      </c>
      <c r="L5" s="13">
        <f>+M5*0.3</f>
        <v>34962810.840000004</v>
      </c>
      <c r="M5" s="13">
        <f>+'PART 2023'!W12</f>
        <v>116542702.80000001</v>
      </c>
      <c r="N5" s="86"/>
    </row>
    <row r="6" spans="1:14" s="16" customFormat="1" ht="23.25" customHeight="1" thickBot="1">
      <c r="B6" s="15"/>
      <c r="C6" s="15"/>
      <c r="D6" s="56"/>
      <c r="E6" s="57"/>
      <c r="F6" s="58"/>
      <c r="H6" s="18"/>
      <c r="I6" s="18"/>
      <c r="J6" s="13" t="s">
        <v>64</v>
      </c>
      <c r="K6" s="13" t="s">
        <v>45</v>
      </c>
      <c r="L6" s="13" t="s">
        <v>65</v>
      </c>
      <c r="M6" s="20" t="s">
        <v>77</v>
      </c>
      <c r="N6" s="87" t="s">
        <v>47</v>
      </c>
    </row>
    <row r="7" spans="1:14" ht="13.5" thickTop="1">
      <c r="A7" s="250">
        <v>15</v>
      </c>
      <c r="B7" s="2" t="s">
        <v>1</v>
      </c>
      <c r="C7" s="21">
        <v>2974</v>
      </c>
      <c r="D7" s="78">
        <f t="shared" ref="D7:D57" si="0">+C7/$C$58</f>
        <v>5.141377508841821E-4</v>
      </c>
      <c r="E7" s="27">
        <v>2931</v>
      </c>
      <c r="F7" s="78">
        <f t="shared" ref="F7:F58" si="1">(E7/E$58)</f>
        <v>5.0882254193228965E-4</v>
      </c>
      <c r="H7" s="88">
        <f>+'COEF Art 14 F I'!AF7</f>
        <v>7.091912640702254E-4</v>
      </c>
      <c r="I7" s="162"/>
      <c r="J7" s="27">
        <f t="shared" ref="J7:J38" si="2">+D7*J$5</f>
        <v>20971.651084844489</v>
      </c>
      <c r="K7" s="28">
        <f t="shared" ref="K7:K38" si="3">+F7*K$5</f>
        <v>20754.843998824381</v>
      </c>
      <c r="L7" s="28">
        <f t="shared" ref="L7:L38" si="4">+H7*L$5</f>
        <v>24795.32001506778</v>
      </c>
      <c r="M7" s="28">
        <f>SUM(J7:L7)</f>
        <v>66521.815098736639</v>
      </c>
      <c r="N7" s="89">
        <f>+M7/M$58</f>
        <v>5.7079348170683273E-4</v>
      </c>
    </row>
    <row r="8" spans="1:14">
      <c r="A8" s="250">
        <v>11</v>
      </c>
      <c r="B8" s="4" t="s">
        <v>2</v>
      </c>
      <c r="C8" s="30">
        <v>3382</v>
      </c>
      <c r="D8" s="79">
        <f t="shared" si="0"/>
        <v>5.8467177992276519E-4</v>
      </c>
      <c r="E8" s="36">
        <v>2601</v>
      </c>
      <c r="F8" s="79">
        <f t="shared" si="1"/>
        <v>4.5153443588054771E-4</v>
      </c>
      <c r="H8" s="90">
        <f>+'COEF Art 14 F I'!AF8</f>
        <v>1.2441896089953014E-3</v>
      </c>
      <c r="I8" s="162"/>
      <c r="J8" s="36">
        <f t="shared" si="2"/>
        <v>23848.730319080045</v>
      </c>
      <c r="K8" s="37">
        <f t="shared" si="3"/>
        <v>18418.065247677318</v>
      </c>
      <c r="L8" s="37">
        <f t="shared" si="4"/>
        <v>43500.365948396291</v>
      </c>
      <c r="M8" s="37">
        <f t="shared" ref="M8:M57" si="5">SUM(J8:L8)</f>
        <v>85767.161515153653</v>
      </c>
      <c r="N8" s="91">
        <f t="shared" ref="N8:N57" si="6">+M8/M$58</f>
        <v>7.359290582297502E-4</v>
      </c>
    </row>
    <row r="9" spans="1:14">
      <c r="A9" s="250">
        <v>12</v>
      </c>
      <c r="B9" s="4" t="s">
        <v>142</v>
      </c>
      <c r="C9" s="30">
        <v>1407</v>
      </c>
      <c r="D9" s="79">
        <f t="shared" si="0"/>
        <v>2.4323867366981983E-4</v>
      </c>
      <c r="E9" s="36">
        <v>1572</v>
      </c>
      <c r="F9" s="79">
        <f t="shared" si="1"/>
        <v>2.7289970519193426E-4</v>
      </c>
      <c r="H9" s="90">
        <f>+'COEF Art 14 F I'!AF9</f>
        <v>1.5930061358846938E-3</v>
      </c>
      <c r="I9" s="162"/>
      <c r="J9" s="36">
        <f t="shared" si="2"/>
        <v>9921.6923592387993</v>
      </c>
      <c r="K9" s="37">
        <f t="shared" si="3"/>
        <v>11131.564232736924</v>
      </c>
      <c r="L9" s="37">
        <f t="shared" si="4"/>
        <v>55695.972195895891</v>
      </c>
      <c r="M9" s="37">
        <f t="shared" si="5"/>
        <v>76749.228787871616</v>
      </c>
      <c r="N9" s="91">
        <f t="shared" si="6"/>
        <v>6.585502733670222E-4</v>
      </c>
    </row>
    <row r="10" spans="1:14" ht="13.5" customHeight="1">
      <c r="A10" s="250">
        <v>13</v>
      </c>
      <c r="B10" s="4" t="s">
        <v>3</v>
      </c>
      <c r="C10" s="30">
        <v>35289</v>
      </c>
      <c r="D10" s="79">
        <f t="shared" si="0"/>
        <v>6.1006748792709828E-3</v>
      </c>
      <c r="E10" s="36">
        <v>39308</v>
      </c>
      <c r="F10" s="79">
        <f t="shared" si="1"/>
        <v>6.8238814323693074E-3</v>
      </c>
      <c r="H10" s="90">
        <f>+'COEF Art 14 F I'!AF10</f>
        <v>5.3170272277897127E-3</v>
      </c>
      <c r="I10" s="162"/>
      <c r="J10" s="36">
        <f t="shared" si="2"/>
        <v>248846.19876700643</v>
      </c>
      <c r="K10" s="37">
        <f t="shared" si="3"/>
        <v>278345.7550002691</v>
      </c>
      <c r="L10" s="37">
        <f t="shared" si="4"/>
        <v>185898.21719634134</v>
      </c>
      <c r="M10" s="37">
        <f t="shared" si="5"/>
        <v>713090.17096361693</v>
      </c>
      <c r="N10" s="91">
        <f t="shared" si="6"/>
        <v>6.1187028774110173E-3</v>
      </c>
    </row>
    <row r="11" spans="1:14">
      <c r="A11" s="250">
        <v>14</v>
      </c>
      <c r="B11" s="4" t="s">
        <v>143</v>
      </c>
      <c r="C11" s="30">
        <v>18030</v>
      </c>
      <c r="D11" s="79">
        <f t="shared" si="0"/>
        <v>3.1169817244256232E-3</v>
      </c>
      <c r="E11" s="36">
        <v>20318</v>
      </c>
      <c r="F11" s="79">
        <f t="shared" si="1"/>
        <v>3.5272113295736133E-3</v>
      </c>
      <c r="H11" s="90">
        <f>+'COEF Art 14 F I'!AF11</f>
        <v>5.1255376840912224E-3</v>
      </c>
      <c r="I11" s="162"/>
      <c r="J11" s="36">
        <f t="shared" si="2"/>
        <v>127141.51615996844</v>
      </c>
      <c r="K11" s="37">
        <f t="shared" si="3"/>
        <v>143874.75959335169</v>
      </c>
      <c r="L11" s="37">
        <f t="shared" si="4"/>
        <v>179203.20450217312</v>
      </c>
      <c r="M11" s="37">
        <f t="shared" si="5"/>
        <v>450219.48025549325</v>
      </c>
      <c r="N11" s="91">
        <f t="shared" si="6"/>
        <v>3.863128874127101E-3</v>
      </c>
    </row>
    <row r="12" spans="1:14">
      <c r="A12" s="250">
        <v>17</v>
      </c>
      <c r="B12" s="4" t="s">
        <v>4</v>
      </c>
      <c r="C12" s="30">
        <v>656464</v>
      </c>
      <c r="D12" s="79">
        <f t="shared" si="0"/>
        <v>0.11348786970290306</v>
      </c>
      <c r="E12" s="36">
        <v>685177</v>
      </c>
      <c r="F12" s="79">
        <f t="shared" si="1"/>
        <v>0.11894694739458901</v>
      </c>
      <c r="H12" s="90">
        <f>+'COEF Art 14 F I'!AF12</f>
        <v>7.9697485048117078E-2</v>
      </c>
      <c r="I12" s="162"/>
      <c r="J12" s="36">
        <f t="shared" si="2"/>
        <v>4629164.0745666949</v>
      </c>
      <c r="K12" s="37">
        <f t="shared" si="3"/>
        <v>4851839.5587111879</v>
      </c>
      <c r="L12" s="37">
        <f t="shared" si="4"/>
        <v>2786448.0941610462</v>
      </c>
      <c r="M12" s="37">
        <f t="shared" si="5"/>
        <v>12267451.727438929</v>
      </c>
      <c r="N12" s="91">
        <f t="shared" si="6"/>
        <v>0.10526143149855738</v>
      </c>
    </row>
    <row r="13" spans="1:14">
      <c r="A13" s="250">
        <v>16</v>
      </c>
      <c r="B13" s="4" t="s">
        <v>5</v>
      </c>
      <c r="C13" s="30">
        <v>14992</v>
      </c>
      <c r="D13" s="79">
        <f t="shared" si="0"/>
        <v>2.5917798121236242E-3</v>
      </c>
      <c r="E13" s="36">
        <v>18290</v>
      </c>
      <c r="F13" s="79">
        <f t="shared" si="1"/>
        <v>3.1751498778374537E-3</v>
      </c>
      <c r="H13" s="90">
        <f>+'COEF Art 14 F I'!AF13</f>
        <v>4.6443525932259233E-3</v>
      </c>
      <c r="I13" s="162"/>
      <c r="J13" s="36">
        <f t="shared" si="2"/>
        <v>105718.5585285772</v>
      </c>
      <c r="K13" s="37">
        <f t="shared" si="3"/>
        <v>129514.19199539335</v>
      </c>
      <c r="L13" s="37">
        <f t="shared" si="4"/>
        <v>162379.62119122143</v>
      </c>
      <c r="M13" s="37">
        <f t="shared" si="5"/>
        <v>397612.37171519198</v>
      </c>
      <c r="N13" s="91">
        <f t="shared" si="6"/>
        <v>3.411731169454155E-3</v>
      </c>
    </row>
    <row r="14" spans="1:14">
      <c r="A14" s="250">
        <v>18</v>
      </c>
      <c r="B14" s="4" t="s">
        <v>6</v>
      </c>
      <c r="C14" s="30">
        <v>3661</v>
      </c>
      <c r="D14" s="79">
        <f t="shared" si="0"/>
        <v>6.329046086035611E-4</v>
      </c>
      <c r="E14" s="36">
        <v>4505</v>
      </c>
      <c r="F14" s="79">
        <f t="shared" si="1"/>
        <v>7.8206944776696167E-4</v>
      </c>
      <c r="H14" s="90">
        <f>+'COEF Art 14 F I'!AF14</f>
        <v>1.6810196985090995E-3</v>
      </c>
      <c r="I14" s="162"/>
      <c r="J14" s="36">
        <f t="shared" si="2"/>
        <v>25816.144795432305</v>
      </c>
      <c r="K14" s="37">
        <f t="shared" si="3"/>
        <v>31900.570527022803</v>
      </c>
      <c r="L14" s="37">
        <f t="shared" si="4"/>
        <v>58773.173737287478</v>
      </c>
      <c r="M14" s="37">
        <f t="shared" si="5"/>
        <v>116489.88905974259</v>
      </c>
      <c r="N14" s="91">
        <f t="shared" si="6"/>
        <v>9.9954682928241317E-4</v>
      </c>
    </row>
    <row r="15" spans="1:14">
      <c r="A15" s="250">
        <v>19</v>
      </c>
      <c r="B15" s="4" t="s">
        <v>127</v>
      </c>
      <c r="C15" s="30">
        <v>122337</v>
      </c>
      <c r="D15" s="79">
        <f t="shared" si="0"/>
        <v>2.1149317427679282E-2</v>
      </c>
      <c r="E15" s="36">
        <v>107879</v>
      </c>
      <c r="F15" s="79">
        <f t="shared" si="1"/>
        <v>1.8727829068957171E-2</v>
      </c>
      <c r="H15" s="90">
        <f>+'COEF Art 14 F I'!AF15</f>
        <v>1.2460030616237388E-2</v>
      </c>
      <c r="I15" s="162"/>
      <c r="J15" s="36">
        <f t="shared" si="2"/>
        <v>862679.51538891054</v>
      </c>
      <c r="K15" s="37">
        <f t="shared" si="3"/>
        <v>763907.13604543684</v>
      </c>
      <c r="L15" s="37">
        <f t="shared" si="4"/>
        <v>435637.6934961165</v>
      </c>
      <c r="M15" s="37">
        <f t="shared" si="5"/>
        <v>2062224.3449304639</v>
      </c>
      <c r="N15" s="91">
        <f t="shared" si="6"/>
        <v>1.7695010458693979E-2</v>
      </c>
    </row>
    <row r="16" spans="1:14">
      <c r="A16" s="250">
        <v>20</v>
      </c>
      <c r="B16" s="4" t="s">
        <v>128</v>
      </c>
      <c r="C16" s="30">
        <v>104478</v>
      </c>
      <c r="D16" s="79">
        <f t="shared" si="0"/>
        <v>1.8061897759541888E-2</v>
      </c>
      <c r="E16" s="36">
        <v>49869</v>
      </c>
      <c r="F16" s="79">
        <f t="shared" si="1"/>
        <v>8.6572744263464178E-3</v>
      </c>
      <c r="H16" s="90">
        <f>+'COEF Art 14 F I'!AF16</f>
        <v>9.8713523775840195E-3</v>
      </c>
      <c r="I16" s="162"/>
      <c r="J16" s="36">
        <f t="shared" si="2"/>
        <v>736743.83390799677</v>
      </c>
      <c r="K16" s="37">
        <f t="shared" si="3"/>
        <v>353129.75618470588</v>
      </c>
      <c r="L16" s="37">
        <f t="shared" si="4"/>
        <v>345130.22591245436</v>
      </c>
      <c r="M16" s="37">
        <f t="shared" si="5"/>
        <v>1435003.8160051571</v>
      </c>
      <c r="N16" s="91">
        <f t="shared" si="6"/>
        <v>1.2313115978336116E-2</v>
      </c>
    </row>
    <row r="17" spans="1:14">
      <c r="A17" s="250">
        <v>23</v>
      </c>
      <c r="B17" s="4" t="s">
        <v>129</v>
      </c>
      <c r="C17" s="30">
        <v>7340</v>
      </c>
      <c r="D17" s="79">
        <f t="shared" si="0"/>
        <v>1.2689210126058832E-3</v>
      </c>
      <c r="E17" s="36">
        <v>8402</v>
      </c>
      <c r="F17" s="79">
        <f t="shared" si="1"/>
        <v>1.4585899001416231E-3</v>
      </c>
      <c r="H17" s="90">
        <f>+'COEF Art 14 F I'!AF17</f>
        <v>3.534508334076379E-3</v>
      </c>
      <c r="I17" s="162"/>
      <c r="J17" s="36">
        <f t="shared" si="2"/>
        <v>51759.219557080884</v>
      </c>
      <c r="K17" s="37">
        <f t="shared" si="3"/>
        <v>59495.803233750405</v>
      </c>
      <c r="L17" s="37">
        <f t="shared" si="4"/>
        <v>123576.34629671597</v>
      </c>
      <c r="M17" s="37">
        <f t="shared" si="5"/>
        <v>234831.36908754724</v>
      </c>
      <c r="N17" s="91">
        <f t="shared" si="6"/>
        <v>2.0149813196845413E-3</v>
      </c>
    </row>
    <row r="18" spans="1:14">
      <c r="A18" s="250">
        <v>21</v>
      </c>
      <c r="B18" s="4" t="s">
        <v>7</v>
      </c>
      <c r="C18" s="30">
        <v>9930</v>
      </c>
      <c r="D18" s="79">
        <f t="shared" si="0"/>
        <v>1.7166737949831634E-3</v>
      </c>
      <c r="E18" s="36">
        <v>12234</v>
      </c>
      <c r="F18" s="79">
        <f t="shared" si="1"/>
        <v>2.1238263316273051E-3</v>
      </c>
      <c r="H18" s="90">
        <f>+'COEF Art 14 F I'!AF18</f>
        <v>4.5385856104996278E-3</v>
      </c>
      <c r="I18" s="162"/>
      <c r="J18" s="36">
        <f t="shared" si="2"/>
        <v>70023.031362644833</v>
      </c>
      <c r="K18" s="37">
        <f t="shared" si="3"/>
        <v>86630.761337979347</v>
      </c>
      <c r="L18" s="37">
        <f t="shared" si="4"/>
        <v>158681.71018104441</v>
      </c>
      <c r="M18" s="37">
        <f t="shared" si="5"/>
        <v>315335.50288166862</v>
      </c>
      <c r="N18" s="91">
        <f t="shared" si="6"/>
        <v>2.7057507274635532E-3</v>
      </c>
    </row>
    <row r="19" spans="1:14">
      <c r="A19" s="250">
        <v>22</v>
      </c>
      <c r="B19" s="4" t="s">
        <v>130</v>
      </c>
      <c r="C19" s="30">
        <v>68747</v>
      </c>
      <c r="D19" s="79">
        <f t="shared" si="0"/>
        <v>1.1884811015479108E-2</v>
      </c>
      <c r="E19" s="36">
        <v>52995</v>
      </c>
      <c r="F19" s="79">
        <f t="shared" si="1"/>
        <v>9.199949030945646E-3</v>
      </c>
      <c r="H19" s="90">
        <f>+'COEF Art 14 F I'!AF19</f>
        <v>6.866177797698627E-3</v>
      </c>
      <c r="I19" s="162"/>
      <c r="J19" s="36">
        <f t="shared" si="2"/>
        <v>484780.79930390179</v>
      </c>
      <c r="K19" s="37">
        <f t="shared" si="3"/>
        <v>375265.4239910263</v>
      </c>
      <c r="L19" s="37">
        <f t="shared" si="4"/>
        <v>240060.8755347449</v>
      </c>
      <c r="M19" s="37">
        <f t="shared" si="5"/>
        <v>1100107.0988296729</v>
      </c>
      <c r="N19" s="91">
        <f t="shared" si="6"/>
        <v>9.4395193555582534E-3</v>
      </c>
    </row>
    <row r="20" spans="1:14">
      <c r="A20" s="250">
        <v>25</v>
      </c>
      <c r="B20" s="4" t="s">
        <v>8</v>
      </c>
      <c r="C20" s="30">
        <v>36088</v>
      </c>
      <c r="D20" s="79">
        <f t="shared" si="0"/>
        <v>6.2388040194715413E-3</v>
      </c>
      <c r="E20" s="36">
        <v>38728</v>
      </c>
      <c r="F20" s="79">
        <f t="shared" si="1"/>
        <v>6.723193245975337E-3</v>
      </c>
      <c r="H20" s="90">
        <f>+'COEF Art 14 F I'!AF20</f>
        <v>1.0324777742185985E-2</v>
      </c>
      <c r="I20" s="162"/>
      <c r="J20" s="36">
        <f t="shared" si="2"/>
        <v>254480.47893405106</v>
      </c>
      <c r="K20" s="37">
        <f t="shared" si="3"/>
        <v>274238.6893164349</v>
      </c>
      <c r="L20" s="37">
        <f t="shared" si="4"/>
        <v>360983.25116509089</v>
      </c>
      <c r="M20" s="37">
        <f t="shared" si="5"/>
        <v>889702.41941557685</v>
      </c>
      <c r="N20" s="91">
        <f t="shared" si="6"/>
        <v>7.6341323655622047E-3</v>
      </c>
    </row>
    <row r="21" spans="1:14">
      <c r="A21" s="250">
        <v>27</v>
      </c>
      <c r="B21" s="4" t="s">
        <v>9</v>
      </c>
      <c r="C21" s="30">
        <v>1360</v>
      </c>
      <c r="D21" s="79">
        <f t="shared" si="0"/>
        <v>2.351134301286105E-4</v>
      </c>
      <c r="E21" s="36">
        <v>1910</v>
      </c>
      <c r="F21" s="79">
        <f t="shared" si="1"/>
        <v>3.3157661381462747E-4</v>
      </c>
      <c r="H21" s="90">
        <f>+'COEF Art 14 F I'!AF21</f>
        <v>1.4836008516257305E-3</v>
      </c>
      <c r="I21" s="162"/>
      <c r="J21" s="36">
        <f t="shared" si="2"/>
        <v>9590.2641141185286</v>
      </c>
      <c r="K21" s="37">
        <f t="shared" si="3"/>
        <v>13524.992165729978</v>
      </c>
      <c r="L21" s="37">
        <f t="shared" si="4"/>
        <v>51870.855937453329</v>
      </c>
      <c r="M21" s="37">
        <f t="shared" si="5"/>
        <v>74986.112217301838</v>
      </c>
      <c r="N21" s="91">
        <f t="shared" si="6"/>
        <v>6.4342177086785266E-4</v>
      </c>
    </row>
    <row r="22" spans="1:14">
      <c r="A22" s="250">
        <v>26</v>
      </c>
      <c r="B22" s="4" t="s">
        <v>131</v>
      </c>
      <c r="C22" s="30">
        <v>3256</v>
      </c>
      <c r="D22" s="79">
        <f t="shared" si="0"/>
        <v>5.6288921213143808E-4</v>
      </c>
      <c r="E22" s="36">
        <v>3341</v>
      </c>
      <c r="F22" s="79">
        <f t="shared" si="1"/>
        <v>5.7999867369354472E-4</v>
      </c>
      <c r="H22" s="90">
        <f>+'COEF Art 14 F I'!AF22</f>
        <v>9.9519678968755217E-4</v>
      </c>
      <c r="I22" s="162"/>
      <c r="J22" s="36">
        <f t="shared" si="2"/>
        <v>22960.220555566124</v>
      </c>
      <c r="K22" s="37">
        <f t="shared" si="3"/>
        <v>23658.114568431338</v>
      </c>
      <c r="L22" s="37">
        <f t="shared" si="4"/>
        <v>34794.877106421154</v>
      </c>
      <c r="M22" s="37">
        <f t="shared" si="5"/>
        <v>81413.212230418605</v>
      </c>
      <c r="N22" s="91">
        <f t="shared" si="6"/>
        <v>6.9856979694500978E-4</v>
      </c>
    </row>
    <row r="23" spans="1:14">
      <c r="A23" s="250">
        <v>29</v>
      </c>
      <c r="B23" s="4" t="s">
        <v>10</v>
      </c>
      <c r="C23" s="30">
        <v>40903</v>
      </c>
      <c r="D23" s="79">
        <f t="shared" si="0"/>
        <v>7.0712092886401146E-3</v>
      </c>
      <c r="E23" s="36">
        <v>46047</v>
      </c>
      <c r="F23" s="79">
        <f t="shared" si="1"/>
        <v>7.9937739980744261E-3</v>
      </c>
      <c r="H23" s="90">
        <f>+'COEF Art 14 F I'!AF23</f>
        <v>9.642297602021609E-3</v>
      </c>
      <c r="I23" s="162"/>
      <c r="J23" s="36">
        <f t="shared" si="2"/>
        <v>288434.24489690451</v>
      </c>
      <c r="K23" s="37">
        <f t="shared" si="3"/>
        <v>326065.60955778451</v>
      </c>
      <c r="L23" s="37">
        <f t="shared" si="4"/>
        <v>337121.82712246716</v>
      </c>
      <c r="M23" s="37">
        <f t="shared" si="5"/>
        <v>951621.68157715607</v>
      </c>
      <c r="N23" s="91">
        <f t="shared" si="6"/>
        <v>8.1654334309565722E-3</v>
      </c>
    </row>
    <row r="24" spans="1:14">
      <c r="A24" s="250">
        <v>30</v>
      </c>
      <c r="B24" s="4" t="s">
        <v>132</v>
      </c>
      <c r="C24" s="30">
        <v>397205</v>
      </c>
      <c r="D24" s="79">
        <f t="shared" si="0"/>
        <v>6.8667816186937305E-2</v>
      </c>
      <c r="E24" s="36">
        <v>316902</v>
      </c>
      <c r="F24" s="79">
        <f t="shared" si="1"/>
        <v>5.5014289042451876E-2</v>
      </c>
      <c r="H24" s="90">
        <f>+'COEF Art 14 F I'!AF24</f>
        <v>3.6731420766811178E-2</v>
      </c>
      <c r="I24" s="162"/>
      <c r="J24" s="36">
        <f t="shared" si="2"/>
        <v>2800956.5128297424</v>
      </c>
      <c r="K24" s="37">
        <f t="shared" si="3"/>
        <v>2244029.8781697182</v>
      </c>
      <c r="L24" s="37">
        <f t="shared" si="4"/>
        <v>1284233.7161544671</v>
      </c>
      <c r="M24" s="37">
        <f t="shared" si="5"/>
        <v>6329220.1071539279</v>
      </c>
      <c r="N24" s="91">
        <f t="shared" si="6"/>
        <v>5.4308163060329581E-2</v>
      </c>
    </row>
    <row r="25" spans="1:14">
      <c r="A25" s="250">
        <v>32</v>
      </c>
      <c r="B25" s="4" t="s">
        <v>11</v>
      </c>
      <c r="C25" s="30">
        <v>5506</v>
      </c>
      <c r="D25" s="79">
        <f t="shared" si="0"/>
        <v>9.5186363697656574E-4</v>
      </c>
      <c r="E25" s="36">
        <v>6292</v>
      </c>
      <c r="F25" s="79">
        <f t="shared" si="1"/>
        <v>1.0922932220532127E-3</v>
      </c>
      <c r="H25" s="90">
        <f>+'COEF Art 14 F I'!AF25</f>
        <v>2.7415506614275279E-3</v>
      </c>
      <c r="I25" s="162"/>
      <c r="J25" s="36">
        <f t="shared" si="2"/>
        <v>38826.466332600452</v>
      </c>
      <c r="K25" s="37">
        <f t="shared" si="3"/>
        <v>44554.581521870692</v>
      </c>
      <c r="L25" s="37">
        <f t="shared" si="4"/>
        <v>95852.317183767547</v>
      </c>
      <c r="M25" s="37">
        <f t="shared" si="5"/>
        <v>179233.3650382387</v>
      </c>
      <c r="N25" s="91">
        <f t="shared" si="6"/>
        <v>1.5379200990886812E-3</v>
      </c>
    </row>
    <row r="26" spans="1:14">
      <c r="A26" s="250">
        <v>33</v>
      </c>
      <c r="B26" s="4" t="s">
        <v>12</v>
      </c>
      <c r="C26" s="30">
        <v>481213</v>
      </c>
      <c r="D26" s="79">
        <f t="shared" si="0"/>
        <v>8.3190911067999293E-2</v>
      </c>
      <c r="E26" s="36">
        <v>478712</v>
      </c>
      <c r="F26" s="79">
        <f t="shared" si="1"/>
        <v>8.3104557043156002E-2</v>
      </c>
      <c r="H26" s="90">
        <f>+'COEF Art 14 F I'!AF26</f>
        <v>5.3365969832242788E-2</v>
      </c>
      <c r="I26" s="162"/>
      <c r="J26" s="36">
        <f t="shared" si="2"/>
        <v>3393352.7684906758</v>
      </c>
      <c r="K26" s="37">
        <f t="shared" si="3"/>
        <v>3389830.392482162</v>
      </c>
      <c r="L26" s="37">
        <f t="shared" si="4"/>
        <v>1865824.3085378513</v>
      </c>
      <c r="M26" s="37">
        <f t="shared" si="5"/>
        <v>8649007.4695106894</v>
      </c>
      <c r="N26" s="91">
        <f t="shared" si="6"/>
        <v>7.4213204788577208E-2</v>
      </c>
    </row>
    <row r="27" spans="1:14">
      <c r="A27" s="250">
        <v>34</v>
      </c>
      <c r="B27" s="4" t="s">
        <v>133</v>
      </c>
      <c r="C27" s="30">
        <v>14109</v>
      </c>
      <c r="D27" s="79">
        <f t="shared" si="0"/>
        <v>2.4391289600621804E-3</v>
      </c>
      <c r="E27" s="36">
        <v>16705</v>
      </c>
      <c r="F27" s="79">
        <f t="shared" si="1"/>
        <v>2.8999933684677238E-3</v>
      </c>
      <c r="H27" s="90">
        <f>+'COEF Art 14 F I'!AF27</f>
        <v>4.3267656355395851E-3</v>
      </c>
      <c r="I27" s="162"/>
      <c r="J27" s="36">
        <f t="shared" si="2"/>
        <v>99491.93851918992</v>
      </c>
      <c r="K27" s="37">
        <f t="shared" si="3"/>
        <v>118290.5728421567</v>
      </c>
      <c r="L27" s="37">
        <f t="shared" si="4"/>
        <v>151275.88846438291</v>
      </c>
      <c r="M27" s="37">
        <f t="shared" si="5"/>
        <v>369058.39982572955</v>
      </c>
      <c r="N27" s="91">
        <f t="shared" si="6"/>
        <v>3.1667225056473429E-3</v>
      </c>
    </row>
    <row r="28" spans="1:14">
      <c r="A28" s="250">
        <v>35</v>
      </c>
      <c r="B28" s="4" t="s">
        <v>13</v>
      </c>
      <c r="C28" s="30">
        <v>1808</v>
      </c>
      <c r="D28" s="79">
        <f t="shared" si="0"/>
        <v>3.1256256005332924E-4</v>
      </c>
      <c r="E28" s="36">
        <v>1209</v>
      </c>
      <c r="F28" s="79">
        <f t="shared" si="1"/>
        <v>2.0988278853501815E-4</v>
      </c>
      <c r="H28" s="90">
        <f>+'COEF Art 14 F I'!AF28</f>
        <v>8.7542938368993079E-4</v>
      </c>
      <c r="I28" s="162"/>
      <c r="J28" s="36">
        <f t="shared" si="2"/>
        <v>12749.409939945806</v>
      </c>
      <c r="K28" s="37">
        <f t="shared" si="3"/>
        <v>8561.1076064751542</v>
      </c>
      <c r="L28" s="37">
        <f t="shared" si="4"/>
        <v>30607.471945728834</v>
      </c>
      <c r="M28" s="37">
        <f t="shared" si="5"/>
        <v>51917.989492149791</v>
      </c>
      <c r="N28" s="91">
        <f t="shared" si="6"/>
        <v>4.4548468711290087E-4</v>
      </c>
    </row>
    <row r="29" spans="1:14">
      <c r="A29" s="250">
        <v>61</v>
      </c>
      <c r="B29" s="4" t="s">
        <v>14</v>
      </c>
      <c r="C29" s="30">
        <v>6282</v>
      </c>
      <c r="D29" s="79">
        <f t="shared" si="0"/>
        <v>1.0860165941675964E-3</v>
      </c>
      <c r="E29" s="36">
        <v>6750</v>
      </c>
      <c r="F29" s="79">
        <f t="shared" si="1"/>
        <v>1.1718021692401757E-3</v>
      </c>
      <c r="H29" s="90">
        <f>+'COEF Art 14 F I'!AF29</f>
        <v>2.5047231202144134E-3</v>
      </c>
      <c r="I29" s="162"/>
      <c r="J29" s="36">
        <f t="shared" si="2"/>
        <v>44298.558209479845</v>
      </c>
      <c r="K29" s="37">
        <f t="shared" si="3"/>
        <v>47797.74718255359</v>
      </c>
      <c r="L29" s="37">
        <f t="shared" si="4"/>
        <v>87572.160658631125</v>
      </c>
      <c r="M29" s="37">
        <f t="shared" si="5"/>
        <v>179668.46605066455</v>
      </c>
      <c r="N29" s="91">
        <f t="shared" si="6"/>
        <v>1.5416535032570446E-3</v>
      </c>
    </row>
    <row r="30" spans="1:14">
      <c r="A30" s="250">
        <v>36</v>
      </c>
      <c r="B30" s="4" t="s">
        <v>15</v>
      </c>
      <c r="C30" s="30">
        <v>102149</v>
      </c>
      <c r="D30" s="79">
        <f t="shared" si="0"/>
        <v>1.7659266010446643E-2</v>
      </c>
      <c r="E30" s="36">
        <v>96734</v>
      </c>
      <c r="F30" s="79">
        <f t="shared" si="1"/>
        <v>1.6793053487300615E-2</v>
      </c>
      <c r="H30" s="90">
        <f>+'COEF Art 14 F I'!AF30</f>
        <v>9.3655215024216407E-3</v>
      </c>
      <c r="I30" s="162"/>
      <c r="J30" s="36">
        <f t="shared" si="2"/>
        <v>720320.50661256874</v>
      </c>
      <c r="K30" s="37">
        <f t="shared" si="3"/>
        <v>684987.74458624283</v>
      </c>
      <c r="L30" s="37">
        <f t="shared" si="4"/>
        <v>327444.95670712047</v>
      </c>
      <c r="M30" s="37">
        <f t="shared" si="5"/>
        <v>1732753.2079059319</v>
      </c>
      <c r="N30" s="91">
        <f t="shared" si="6"/>
        <v>1.4867968274938035E-2</v>
      </c>
    </row>
    <row r="31" spans="1:14">
      <c r="A31" s="250">
        <v>28</v>
      </c>
      <c r="B31" s="4" t="s">
        <v>16</v>
      </c>
      <c r="C31" s="30">
        <v>643143</v>
      </c>
      <c r="D31" s="79">
        <f t="shared" si="0"/>
        <v>0.11118496823029775</v>
      </c>
      <c r="E31" s="36">
        <v>721449</v>
      </c>
      <c r="F31" s="79">
        <f t="shared" si="1"/>
        <v>0.1252437782512823</v>
      </c>
      <c r="H31" s="90">
        <f>+'COEF Art 14 F I'!AF31</f>
        <v>9.2350515137755163E-2</v>
      </c>
      <c r="I31" s="162"/>
      <c r="J31" s="36">
        <f t="shared" si="2"/>
        <v>4535228.8479018621</v>
      </c>
      <c r="K31" s="37">
        <f t="shared" si="3"/>
        <v>5108686.949200904</v>
      </c>
      <c r="L31" s="37">
        <f t="shared" si="4"/>
        <v>3228833.5917378906</v>
      </c>
      <c r="M31" s="37">
        <f t="shared" si="5"/>
        <v>12872749.388840657</v>
      </c>
      <c r="N31" s="91">
        <f t="shared" si="6"/>
        <v>0.11045521580987959</v>
      </c>
    </row>
    <row r="32" spans="1:14">
      <c r="A32" s="250">
        <v>37</v>
      </c>
      <c r="B32" s="4" t="s">
        <v>134</v>
      </c>
      <c r="C32" s="30">
        <v>1959</v>
      </c>
      <c r="D32" s="79">
        <f t="shared" si="0"/>
        <v>3.3866706589849116E-4</v>
      </c>
      <c r="E32" s="36">
        <v>2049</v>
      </c>
      <c r="F32" s="79">
        <f t="shared" si="1"/>
        <v>3.5570705848490667E-4</v>
      </c>
      <c r="H32" s="90">
        <f>+'COEF Art 14 F I'!AF32</f>
        <v>9.0429104369840318E-4</v>
      </c>
      <c r="I32" s="162"/>
      <c r="J32" s="36">
        <f t="shared" si="2"/>
        <v>13814.211323204556</v>
      </c>
      <c r="K32" s="37">
        <f t="shared" si="3"/>
        <v>14509.271700304045</v>
      </c>
      <c r="L32" s="37">
        <f t="shared" si="4"/>
        <v>31616.556705133447</v>
      </c>
      <c r="M32" s="37">
        <f t="shared" si="5"/>
        <v>59940.039728642048</v>
      </c>
      <c r="N32" s="91">
        <f t="shared" si="6"/>
        <v>5.1431825664371034E-4</v>
      </c>
    </row>
    <row r="33" spans="1:14">
      <c r="A33" s="250">
        <v>39</v>
      </c>
      <c r="B33" s="4" t="s">
        <v>17</v>
      </c>
      <c r="C33" s="30">
        <v>16086</v>
      </c>
      <c r="D33" s="79">
        <f t="shared" si="0"/>
        <v>2.7809078213594327E-3</v>
      </c>
      <c r="E33" s="36">
        <v>16036</v>
      </c>
      <c r="F33" s="79">
        <f t="shared" si="1"/>
        <v>2.7838547534719195E-3</v>
      </c>
      <c r="H33" s="90">
        <f>+'COEF Art 14 F I'!AF33</f>
        <v>1.7314678448014269E-3</v>
      </c>
      <c r="I33" s="162"/>
      <c r="J33" s="36">
        <f t="shared" si="2"/>
        <v>113433.07980861077</v>
      </c>
      <c r="K33" s="37">
        <f t="shared" si="3"/>
        <v>113553.28501028582</v>
      </c>
      <c r="L33" s="37">
        <f t="shared" si="4"/>
        <v>60536.982733334771</v>
      </c>
      <c r="M33" s="37">
        <f t="shared" si="5"/>
        <v>287523.34755223134</v>
      </c>
      <c r="N33" s="91">
        <f t="shared" si="6"/>
        <v>2.467107254631402E-3</v>
      </c>
    </row>
    <row r="34" spans="1:14">
      <c r="A34" s="250">
        <v>38</v>
      </c>
      <c r="B34" s="4" t="s">
        <v>18</v>
      </c>
      <c r="C34" s="30">
        <v>1386</v>
      </c>
      <c r="D34" s="79">
        <f t="shared" si="0"/>
        <v>2.3960824570459864E-4</v>
      </c>
      <c r="E34" s="36">
        <v>1748</v>
      </c>
      <c r="F34" s="79">
        <f t="shared" si="1"/>
        <v>3.0345336175286326E-4</v>
      </c>
      <c r="H34" s="90">
        <f>+'COEF Art 14 F I'!AF34</f>
        <v>1.2747311314427394E-3</v>
      </c>
      <c r="I34" s="162"/>
      <c r="J34" s="36">
        <f t="shared" si="2"/>
        <v>9773.6073986531464</v>
      </c>
      <c r="K34" s="37">
        <f t="shared" si="3"/>
        <v>12377.846233348691</v>
      </c>
      <c r="L34" s="37">
        <f t="shared" si="4"/>
        <v>44568.183420491674</v>
      </c>
      <c r="M34" s="37">
        <f t="shared" si="5"/>
        <v>66719.637052493519</v>
      </c>
      <c r="N34" s="91">
        <f t="shared" si="6"/>
        <v>5.7249090204293366E-4</v>
      </c>
    </row>
    <row r="35" spans="1:14">
      <c r="A35" s="250">
        <v>40</v>
      </c>
      <c r="B35" s="4" t="s">
        <v>19</v>
      </c>
      <c r="C35" s="30">
        <v>7026</v>
      </c>
      <c r="D35" s="79">
        <f t="shared" si="0"/>
        <v>1.2146374706497186E-3</v>
      </c>
      <c r="E35" s="36">
        <v>7933</v>
      </c>
      <c r="F35" s="79">
        <f t="shared" si="1"/>
        <v>1.3771713494196021E-3</v>
      </c>
      <c r="H35" s="90">
        <f>+'COEF Art 14 F I'!AF35</f>
        <v>1.5112982189291841E-3</v>
      </c>
      <c r="I35" s="162"/>
      <c r="J35" s="36">
        <f t="shared" si="2"/>
        <v>49544.996813085862</v>
      </c>
      <c r="K35" s="37">
        <f t="shared" si="3"/>
        <v>56174.744948029278</v>
      </c>
      <c r="L35" s="37">
        <f t="shared" si="4"/>
        <v>52839.23375124998</v>
      </c>
      <c r="M35" s="37">
        <f t="shared" si="5"/>
        <v>158558.97551236511</v>
      </c>
      <c r="N35" s="91">
        <f t="shared" si="6"/>
        <v>1.3605225527030178E-3</v>
      </c>
    </row>
    <row r="36" spans="1:14">
      <c r="A36" s="250">
        <v>41</v>
      </c>
      <c r="B36" s="4" t="s">
        <v>20</v>
      </c>
      <c r="C36" s="30">
        <v>3298</v>
      </c>
      <c r="D36" s="79">
        <f t="shared" si="0"/>
        <v>5.7015006806188052E-4</v>
      </c>
      <c r="E36" s="36">
        <v>4074</v>
      </c>
      <c r="F36" s="79">
        <f t="shared" si="1"/>
        <v>7.0724770925695941E-4</v>
      </c>
      <c r="H36" s="90">
        <f>+'COEF Art 14 F I'!AF36</f>
        <v>1.5921851709965293E-3</v>
      </c>
      <c r="I36" s="162"/>
      <c r="J36" s="36">
        <f t="shared" si="2"/>
        <v>23256.390476737433</v>
      </c>
      <c r="K36" s="37">
        <f t="shared" si="3"/>
        <v>28848.595855070122</v>
      </c>
      <c r="L36" s="37">
        <f t="shared" si="4"/>
        <v>55667.268955804713</v>
      </c>
      <c r="M36" s="37">
        <f t="shared" si="5"/>
        <v>107772.25528761226</v>
      </c>
      <c r="N36" s="91">
        <f t="shared" si="6"/>
        <v>9.2474477336055292E-4</v>
      </c>
    </row>
    <row r="37" spans="1:14">
      <c r="A37" s="250">
        <v>42</v>
      </c>
      <c r="B37" s="4" t="s">
        <v>135</v>
      </c>
      <c r="C37" s="30">
        <v>471523</v>
      </c>
      <c r="D37" s="79">
        <f t="shared" si="0"/>
        <v>8.1515727878332944E-2</v>
      </c>
      <c r="E37" s="36">
        <v>414934</v>
      </c>
      <c r="F37" s="79">
        <f t="shared" si="1"/>
        <v>7.2032675746889346E-2</v>
      </c>
      <c r="H37" s="90">
        <f>+'COEF Art 14 F I'!AF37</f>
        <v>4.5972942114415417E-2</v>
      </c>
      <c r="I37" s="162"/>
      <c r="J37" s="36">
        <f t="shared" si="2"/>
        <v>3325022.1366775814</v>
      </c>
      <c r="K37" s="37">
        <f t="shared" si="3"/>
        <v>2938208.9525104729</v>
      </c>
      <c r="L37" s="37">
        <f t="shared" si="4"/>
        <v>1607343.2789045761</v>
      </c>
      <c r="M37" s="37">
        <f t="shared" si="5"/>
        <v>7870574.3680926301</v>
      </c>
      <c r="N37" s="91">
        <f t="shared" si="6"/>
        <v>6.7533823903152448E-2</v>
      </c>
    </row>
    <row r="38" spans="1:14">
      <c r="A38" s="250">
        <v>43</v>
      </c>
      <c r="B38" s="4" t="s">
        <v>21</v>
      </c>
      <c r="C38" s="30">
        <v>5351</v>
      </c>
      <c r="D38" s="79">
        <f t="shared" si="0"/>
        <v>9.2506762104279034E-4</v>
      </c>
      <c r="E38" s="36">
        <v>5936</v>
      </c>
      <c r="F38" s="79">
        <f t="shared" si="1"/>
        <v>1.030491507645879E-3</v>
      </c>
      <c r="H38" s="90">
        <f>+'COEF Art 14 F I'!AF38</f>
        <v>3.9987960604773685E-3</v>
      </c>
      <c r="I38" s="162"/>
      <c r="J38" s="36">
        <f t="shared" si="2"/>
        <v>37733.458290182534</v>
      </c>
      <c r="K38" s="37">
        <f t="shared" si="3"/>
        <v>42033.692929724166</v>
      </c>
      <c r="L38" s="37">
        <f t="shared" si="4"/>
        <v>139809.15025020746</v>
      </c>
      <c r="M38" s="37">
        <f t="shared" si="5"/>
        <v>219576.30147011415</v>
      </c>
      <c r="N38" s="91">
        <f t="shared" si="6"/>
        <v>1.8840845131842454E-3</v>
      </c>
    </row>
    <row r="39" spans="1:14">
      <c r="A39" s="250">
        <v>44</v>
      </c>
      <c r="B39" s="4" t="s">
        <v>22</v>
      </c>
      <c r="C39" s="30">
        <v>84666</v>
      </c>
      <c r="D39" s="79">
        <f t="shared" si="0"/>
        <v>1.4636848290638924E-2</v>
      </c>
      <c r="E39" s="36">
        <v>90832</v>
      </c>
      <c r="F39" s="79">
        <f t="shared" si="1"/>
        <v>1.5768464390581279E-2</v>
      </c>
      <c r="H39" s="90">
        <f>+'COEF Art 14 F I'!AF39</f>
        <v>1.0255714095069982E-2</v>
      </c>
      <c r="I39" s="162"/>
      <c r="J39" s="36">
        <f t="shared" ref="J39:J57" si="7">+D39*J$5</f>
        <v>597036.25109261705</v>
      </c>
      <c r="K39" s="37">
        <f t="shared" ref="K39:K57" si="8">+F39*K$5</f>
        <v>643194.81067936402</v>
      </c>
      <c r="L39" s="37">
        <f t="shared" ref="L39:L57" si="9">+H39*L$5</f>
        <v>358568.59193505358</v>
      </c>
      <c r="M39" s="37">
        <f t="shared" si="5"/>
        <v>1598799.6537070344</v>
      </c>
      <c r="N39" s="91">
        <f t="shared" si="6"/>
        <v>1.3718573666948066E-2</v>
      </c>
    </row>
    <row r="40" spans="1:14">
      <c r="A40" s="250">
        <v>46</v>
      </c>
      <c r="B40" s="4" t="s">
        <v>136</v>
      </c>
      <c r="C40" s="30">
        <v>5119</v>
      </c>
      <c r="D40" s="79">
        <f t="shared" si="0"/>
        <v>8.8496003590320376E-4</v>
      </c>
      <c r="E40" s="36">
        <v>6302</v>
      </c>
      <c r="F40" s="79">
        <f t="shared" si="1"/>
        <v>1.0940292252669018E-3</v>
      </c>
      <c r="H40" s="90">
        <f>+'COEF Art 14 F I'!AF40</f>
        <v>2.0402418310943205E-3</v>
      </c>
      <c r="I40" s="162"/>
      <c r="J40" s="36">
        <f t="shared" si="7"/>
        <v>36097.472058950545</v>
      </c>
      <c r="K40" s="37">
        <f t="shared" si="8"/>
        <v>44625.392999178177</v>
      </c>
      <c r="L40" s="37">
        <f t="shared" si="9"/>
        <v>71332.58920840596</v>
      </c>
      <c r="M40" s="37">
        <f t="shared" si="5"/>
        <v>152055.45426653468</v>
      </c>
      <c r="N40" s="91">
        <f t="shared" si="6"/>
        <v>1.3047187907378334E-3</v>
      </c>
    </row>
    <row r="41" spans="1:14">
      <c r="A41" s="250">
        <v>49</v>
      </c>
      <c r="B41" s="4" t="s">
        <v>23</v>
      </c>
      <c r="C41" s="30">
        <v>1483</v>
      </c>
      <c r="D41" s="79">
        <f t="shared" si="0"/>
        <v>2.5637736535347747E-4</v>
      </c>
      <c r="E41" s="36">
        <v>1107</v>
      </c>
      <c r="F41" s="79">
        <f t="shared" si="1"/>
        <v>1.9217555575538881E-4</v>
      </c>
      <c r="H41" s="90">
        <f>+'COEF Art 14 F I'!AF41</f>
        <v>3.5005221580519452E-4</v>
      </c>
      <c r="I41" s="162"/>
      <c r="J41" s="36">
        <f t="shared" si="7"/>
        <v>10457.618883263071</v>
      </c>
      <c r="K41" s="37">
        <f t="shared" si="8"/>
        <v>7838.8305379387884</v>
      </c>
      <c r="L41" s="37">
        <f t="shared" si="9"/>
        <v>12238.809405319875</v>
      </c>
      <c r="M41" s="37">
        <f t="shared" si="5"/>
        <v>30535.258826521735</v>
      </c>
      <c r="N41" s="91">
        <f t="shared" si="6"/>
        <v>2.620091871296616E-4</v>
      </c>
    </row>
    <row r="42" spans="1:14">
      <c r="A42" s="250">
        <v>48</v>
      </c>
      <c r="B42" s="4" t="s">
        <v>24</v>
      </c>
      <c r="C42" s="30">
        <v>7652</v>
      </c>
      <c r="D42" s="79">
        <f t="shared" si="0"/>
        <v>1.322858799517741E-3</v>
      </c>
      <c r="E42" s="36">
        <v>7732</v>
      </c>
      <c r="F42" s="79">
        <f t="shared" si="1"/>
        <v>1.3422776848244502E-3</v>
      </c>
      <c r="H42" s="90">
        <f>+'COEF Art 14 F I'!AF42</f>
        <v>2.7550909441141549E-3</v>
      </c>
      <c r="I42" s="162"/>
      <c r="J42" s="36">
        <f t="shared" si="7"/>
        <v>53959.338971496312</v>
      </c>
      <c r="K42" s="37">
        <f t="shared" si="8"/>
        <v>54751.434254148793</v>
      </c>
      <c r="L42" s="37">
        <f t="shared" si="9"/>
        <v>96325.723526060217</v>
      </c>
      <c r="M42" s="37">
        <f t="shared" si="5"/>
        <v>205036.4967517053</v>
      </c>
      <c r="N42" s="91">
        <f t="shared" si="6"/>
        <v>1.7593250527540136E-3</v>
      </c>
    </row>
    <row r="43" spans="1:14">
      <c r="A43" s="250">
        <v>47</v>
      </c>
      <c r="B43" s="4" t="s">
        <v>25</v>
      </c>
      <c r="C43" s="30">
        <v>6048</v>
      </c>
      <c r="D43" s="79">
        <f t="shared" si="0"/>
        <v>1.0455632539837032E-3</v>
      </c>
      <c r="E43" s="36">
        <v>5977</v>
      </c>
      <c r="F43" s="79">
        <f t="shared" si="1"/>
        <v>1.0376091208220044E-3</v>
      </c>
      <c r="H43" s="90">
        <f>+'COEF Art 14 F I'!AF43</f>
        <v>3.572609629911763E-3</v>
      </c>
      <c r="I43" s="162"/>
      <c r="J43" s="36">
        <f t="shared" si="7"/>
        <v>42648.468648668277</v>
      </c>
      <c r="K43" s="37">
        <f t="shared" si="8"/>
        <v>42324.019986684856</v>
      </c>
      <c r="L43" s="37">
        <f t="shared" si="9"/>
        <v>124908.47469576739</v>
      </c>
      <c r="M43" s="37">
        <f t="shared" si="5"/>
        <v>209880.96333112053</v>
      </c>
      <c r="N43" s="91">
        <f t="shared" si="6"/>
        <v>1.8008932201555271E-3</v>
      </c>
    </row>
    <row r="44" spans="1:14">
      <c r="A44" s="250">
        <v>45</v>
      </c>
      <c r="B44" s="4" t="s">
        <v>26</v>
      </c>
      <c r="C44" s="30">
        <v>67428</v>
      </c>
      <c r="D44" s="79">
        <f t="shared" si="0"/>
        <v>1.1656785563758786E-2</v>
      </c>
      <c r="E44" s="36">
        <v>69413</v>
      </c>
      <c r="F44" s="79">
        <f t="shared" si="1"/>
        <v>1.2050119107180492E-2</v>
      </c>
      <c r="H44" s="90">
        <f>+'COEF Art 14 F I'!AF44</f>
        <v>7.6270558464784973E-3</v>
      </c>
      <c r="I44" s="162"/>
      <c r="J44" s="36">
        <f t="shared" si="7"/>
        <v>475479.65344616474</v>
      </c>
      <c r="K44" s="37">
        <f t="shared" si="8"/>
        <v>491523.70743445813</v>
      </c>
      <c r="L44" s="37">
        <f t="shared" si="9"/>
        <v>266663.31082654383</v>
      </c>
      <c r="M44" s="37">
        <f t="shared" si="5"/>
        <v>1233666.6717071668</v>
      </c>
      <c r="N44" s="91">
        <f t="shared" si="6"/>
        <v>1.05855333887723E-2</v>
      </c>
    </row>
    <row r="45" spans="1:14">
      <c r="A45" s="250">
        <v>70</v>
      </c>
      <c r="B45" s="4" t="s">
        <v>27</v>
      </c>
      <c r="C45" s="30">
        <v>1142994</v>
      </c>
      <c r="D45" s="79">
        <f t="shared" si="0"/>
        <v>0.19759797055619194</v>
      </c>
      <c r="E45" s="36">
        <v>1149605</v>
      </c>
      <c r="F45" s="79">
        <f t="shared" si="1"/>
        <v>0.19957179744731143</v>
      </c>
      <c r="H45" s="90">
        <f>+'COEF Art 14 F I'!AF45</f>
        <v>0.26041974529118772</v>
      </c>
      <c r="I45" s="162"/>
      <c r="J45" s="36">
        <f t="shared" si="7"/>
        <v>8060010.5447447002</v>
      </c>
      <c r="K45" s="37">
        <f t="shared" si="8"/>
        <v>8140522.8370073363</v>
      </c>
      <c r="L45" s="37">
        <f t="shared" si="9"/>
        <v>9105006.2936167773</v>
      </c>
      <c r="M45" s="37">
        <f t="shared" si="5"/>
        <v>25305539.675368816</v>
      </c>
      <c r="N45" s="91">
        <f t="shared" si="6"/>
        <v>0.21713534238858256</v>
      </c>
    </row>
    <row r="46" spans="1:14">
      <c r="A46" s="250">
        <v>50</v>
      </c>
      <c r="B46" s="4" t="s">
        <v>137</v>
      </c>
      <c r="C46" s="30">
        <v>906</v>
      </c>
      <c r="D46" s="79">
        <f t="shared" si="0"/>
        <v>1.5662703507097141E-4</v>
      </c>
      <c r="E46" s="36">
        <v>1103</v>
      </c>
      <c r="F46" s="79">
        <f t="shared" si="1"/>
        <v>1.9148115446991314E-4</v>
      </c>
      <c r="H46" s="90">
        <f>+'COEF Art 14 F I'!AF46</f>
        <v>1.805026940798152E-3</v>
      </c>
      <c r="I46" s="162"/>
      <c r="J46" s="36">
        <f t="shared" si="7"/>
        <v>6388.8082995524901</v>
      </c>
      <c r="K46" s="37">
        <f t="shared" si="8"/>
        <v>7810.505947015793</v>
      </c>
      <c r="L46" s="37">
        <f t="shared" si="9"/>
        <v>63108.815492229674</v>
      </c>
      <c r="M46" s="37">
        <f t="shared" si="5"/>
        <v>77308.129738797958</v>
      </c>
      <c r="N46" s="91">
        <f t="shared" si="6"/>
        <v>6.6334594857875534E-4</v>
      </c>
    </row>
    <row r="47" spans="1:14">
      <c r="A47" s="250">
        <v>51</v>
      </c>
      <c r="B47" s="4" t="s">
        <v>138</v>
      </c>
      <c r="C47" s="30">
        <v>147624</v>
      </c>
      <c r="D47" s="79">
        <f t="shared" si="0"/>
        <v>2.5520871330372057E-2</v>
      </c>
      <c r="E47" s="36">
        <v>118875</v>
      </c>
      <c r="F47" s="79">
        <f t="shared" si="1"/>
        <v>2.0636738202729762E-2</v>
      </c>
      <c r="H47" s="90">
        <f>+'COEF Art 14 F I'!AF47</f>
        <v>1.3182181571604413E-2</v>
      </c>
      <c r="I47" s="162"/>
      <c r="J47" s="36">
        <f t="shared" si="7"/>
        <v>1040994.962928407</v>
      </c>
      <c r="K47" s="37">
        <f t="shared" si="8"/>
        <v>841771.43649274937</v>
      </c>
      <c r="L47" s="37">
        <f t="shared" si="9"/>
        <v>460886.12074653903</v>
      </c>
      <c r="M47" s="37">
        <f t="shared" si="5"/>
        <v>2343652.5201676954</v>
      </c>
      <c r="N47" s="91">
        <f t="shared" si="6"/>
        <v>2.0109817808066966E-2</v>
      </c>
    </row>
    <row r="48" spans="1:14">
      <c r="A48" s="250">
        <v>52</v>
      </c>
      <c r="B48" s="4" t="s">
        <v>139</v>
      </c>
      <c r="C48" s="30">
        <v>5389</v>
      </c>
      <c r="D48" s="79">
        <f t="shared" si="0"/>
        <v>9.3163696688461914E-4</v>
      </c>
      <c r="E48" s="36">
        <v>5274</v>
      </c>
      <c r="F48" s="79">
        <f t="shared" si="1"/>
        <v>9.1556809489965732E-4</v>
      </c>
      <c r="H48" s="90">
        <f>+'COEF Art 14 F I'!AF48</f>
        <v>2.0424418278495709E-3</v>
      </c>
      <c r="I48" s="162"/>
      <c r="J48" s="36">
        <f t="shared" si="7"/>
        <v>38001.421552194668</v>
      </c>
      <c r="K48" s="37">
        <f t="shared" si="8"/>
        <v>37345.973131968538</v>
      </c>
      <c r="L48" s="37">
        <f t="shared" si="9"/>
        <v>71409.507278808393</v>
      </c>
      <c r="M48" s="37">
        <f t="shared" si="5"/>
        <v>146756.90196297161</v>
      </c>
      <c r="N48" s="91">
        <f t="shared" si="6"/>
        <v>1.2592543199793683E-3</v>
      </c>
    </row>
    <row r="49" spans="1:14">
      <c r="A49" s="250">
        <v>53</v>
      </c>
      <c r="B49" s="4" t="s">
        <v>28</v>
      </c>
      <c r="C49" s="30">
        <v>2377</v>
      </c>
      <c r="D49" s="79">
        <f t="shared" si="0"/>
        <v>4.1092987015860824E-4</v>
      </c>
      <c r="E49" s="36">
        <v>3079</v>
      </c>
      <c r="F49" s="79">
        <f t="shared" si="1"/>
        <v>5.3451538949488898E-4</v>
      </c>
      <c r="H49" s="90">
        <f>+'COEF Art 14 F I'!AF49</f>
        <v>1.8596387880508525E-3</v>
      </c>
      <c r="I49" s="162"/>
      <c r="J49" s="36">
        <f t="shared" si="7"/>
        <v>16761.807205338046</v>
      </c>
      <c r="K49" s="37">
        <f t="shared" si="8"/>
        <v>21802.853862975182</v>
      </c>
      <c r="L49" s="37">
        <f t="shared" si="9"/>
        <v>65018.199177348812</v>
      </c>
      <c r="M49" s="37">
        <f t="shared" si="5"/>
        <v>103582.86024566204</v>
      </c>
      <c r="N49" s="91">
        <f t="shared" si="6"/>
        <v>8.8879747729398004E-4</v>
      </c>
    </row>
    <row r="50" spans="1:14">
      <c r="A50" s="250">
        <v>54</v>
      </c>
      <c r="B50" s="4" t="s">
        <v>29</v>
      </c>
      <c r="C50" s="30">
        <v>34709</v>
      </c>
      <c r="D50" s="79">
        <f t="shared" si="0"/>
        <v>6.0004059164220159E-3</v>
      </c>
      <c r="E50" s="36">
        <v>39980</v>
      </c>
      <c r="F50" s="79">
        <f t="shared" si="1"/>
        <v>6.9405408483292188E-3</v>
      </c>
      <c r="H50" s="90">
        <f>+'COEF Art 14 F I'!AF50</f>
        <v>4.7255240576429399E-3</v>
      </c>
      <c r="I50" s="162"/>
      <c r="J50" s="36">
        <f t="shared" si="7"/>
        <v>244756.23318892645</v>
      </c>
      <c r="K50" s="37">
        <f t="shared" si="8"/>
        <v>283104.28627533221</v>
      </c>
      <c r="L50" s="37">
        <f t="shared" si="9"/>
        <v>165217.60374723939</v>
      </c>
      <c r="M50" s="37">
        <f t="shared" si="5"/>
        <v>693078.12321149814</v>
      </c>
      <c r="N50" s="91">
        <f t="shared" si="6"/>
        <v>5.9469885849558158E-3</v>
      </c>
    </row>
    <row r="51" spans="1:14">
      <c r="A51" s="250">
        <v>55</v>
      </c>
      <c r="B51" s="4" t="s">
        <v>30</v>
      </c>
      <c r="C51" s="30">
        <v>86766</v>
      </c>
      <c r="D51" s="79">
        <f t="shared" si="0"/>
        <v>1.4999891087161044E-2</v>
      </c>
      <c r="E51" s="36">
        <v>64394</v>
      </c>
      <c r="F51" s="79">
        <f t="shared" si="1"/>
        <v>1.1178819094229906E-2</v>
      </c>
      <c r="H51" s="90">
        <f>+'COEF Art 14 F I'!AF51</f>
        <v>1.1012789071898389E-2</v>
      </c>
      <c r="I51" s="162"/>
      <c r="J51" s="36">
        <f t="shared" si="7"/>
        <v>611844.7471511825</v>
      </c>
      <c r="K51" s="37">
        <f t="shared" si="8"/>
        <v>455983.42697383044</v>
      </c>
      <c r="L51" s="37">
        <f t="shared" si="9"/>
        <v>385038.06114160258</v>
      </c>
      <c r="M51" s="37">
        <f t="shared" si="5"/>
        <v>1452866.2352666156</v>
      </c>
      <c r="N51" s="91">
        <f t="shared" si="6"/>
        <v>1.2466385285056353E-2</v>
      </c>
    </row>
    <row r="52" spans="1:14">
      <c r="A52" s="250">
        <v>58</v>
      </c>
      <c r="B52" s="4" t="s">
        <v>140</v>
      </c>
      <c r="C52" s="30">
        <v>412199</v>
      </c>
      <c r="D52" s="79">
        <f t="shared" si="0"/>
        <v>7.125994175410523E-2</v>
      </c>
      <c r="E52" s="36">
        <v>479050</v>
      </c>
      <c r="F52" s="79">
        <f t="shared" si="1"/>
        <v>8.3163233951778687E-2</v>
      </c>
      <c r="H52" s="90">
        <f>+'COEF Art 14 F I'!AF52</f>
        <v>6.0731308664514656E-2</v>
      </c>
      <c r="I52" s="162"/>
      <c r="J52" s="36">
        <f t="shared" si="7"/>
        <v>2906689.1746878992</v>
      </c>
      <c r="K52" s="37">
        <f t="shared" si="8"/>
        <v>3392223.820415155</v>
      </c>
      <c r="L52" s="37">
        <f t="shared" si="9"/>
        <v>2123337.2569030793</v>
      </c>
      <c r="M52" s="37">
        <f t="shared" si="5"/>
        <v>8422250.2520061322</v>
      </c>
      <c r="N52" s="91">
        <f t="shared" si="6"/>
        <v>7.2267504096413776E-2</v>
      </c>
    </row>
    <row r="53" spans="1:14">
      <c r="A53" s="250">
        <v>31</v>
      </c>
      <c r="B53" s="4" t="s">
        <v>141</v>
      </c>
      <c r="C53" s="30">
        <v>132169</v>
      </c>
      <c r="D53" s="79">
        <f t="shared" si="0"/>
        <v>2.2849049225491413E-2</v>
      </c>
      <c r="E53" s="36">
        <v>140470</v>
      </c>
      <c r="F53" s="79">
        <f t="shared" si="1"/>
        <v>2.4385637142691478E-2</v>
      </c>
      <c r="H53" s="90">
        <f>+'COEF Art 14 F I'!AF53</f>
        <v>0.1310587425890716</v>
      </c>
      <c r="I53" s="162"/>
      <c r="J53" s="36">
        <f t="shared" si="7"/>
        <v>932011.4836021557</v>
      </c>
      <c r="K53" s="37">
        <f t="shared" si="8"/>
        <v>994688.82173826708</v>
      </c>
      <c r="L53" s="37">
        <f t="shared" si="9"/>
        <v>4582182.0260699624</v>
      </c>
      <c r="M53" s="37">
        <f t="shared" si="5"/>
        <v>6508882.3314103857</v>
      </c>
      <c r="N53" s="91">
        <f t="shared" si="6"/>
        <v>5.5849763005585508E-2</v>
      </c>
    </row>
    <row r="54" spans="1:14">
      <c r="A54" s="250">
        <v>57</v>
      </c>
      <c r="B54" s="4" t="s">
        <v>31</v>
      </c>
      <c r="C54" s="30">
        <v>306322</v>
      </c>
      <c r="D54" s="79">
        <f t="shared" si="0"/>
        <v>5.2956188341070756E-2</v>
      </c>
      <c r="E54" s="36">
        <v>328847</v>
      </c>
      <c r="F54" s="79">
        <f t="shared" si="1"/>
        <v>5.7087944881203563E-2</v>
      </c>
      <c r="H54" s="90">
        <f>+'COEF Art 14 F I'!AF54</f>
        <v>4.7159282875951634E-2</v>
      </c>
      <c r="I54" s="162"/>
      <c r="J54" s="36">
        <f t="shared" si="7"/>
        <v>2160080.0617389823</v>
      </c>
      <c r="K54" s="37">
        <f t="shared" si="8"/>
        <v>2328614.1878135111</v>
      </c>
      <c r="L54" s="37">
        <f t="shared" si="9"/>
        <v>1648821.0865419484</v>
      </c>
      <c r="M54" s="37">
        <f t="shared" si="5"/>
        <v>6137515.3360944428</v>
      </c>
      <c r="N54" s="91">
        <f t="shared" si="6"/>
        <v>5.2663231490581525E-2</v>
      </c>
    </row>
    <row r="55" spans="1:14">
      <c r="A55" s="250">
        <v>56</v>
      </c>
      <c r="B55" s="4" t="s">
        <v>32</v>
      </c>
      <c r="C55" s="30">
        <v>46784</v>
      </c>
      <c r="D55" s="79">
        <f t="shared" si="0"/>
        <v>8.0879019964242016E-3</v>
      </c>
      <c r="E55" s="36">
        <v>48083</v>
      </c>
      <c r="F55" s="79">
        <f t="shared" si="1"/>
        <v>8.3472242523815361E-3</v>
      </c>
      <c r="H55" s="90">
        <f>+'COEF Art 14 F I'!AF55</f>
        <v>1.520801039597176E-2</v>
      </c>
      <c r="I55" s="162"/>
      <c r="J55" s="36">
        <f t="shared" si="7"/>
        <v>329905.08552567736</v>
      </c>
      <c r="K55" s="37">
        <f t="shared" si="8"/>
        <v>340482.82633758878</v>
      </c>
      <c r="L55" s="37">
        <f t="shared" si="9"/>
        <v>531714.79072711419</v>
      </c>
      <c r="M55" s="37">
        <f t="shared" si="5"/>
        <v>1202102.7025903803</v>
      </c>
      <c r="N55" s="91">
        <f t="shared" si="6"/>
        <v>1.0314697305873539E-2</v>
      </c>
    </row>
    <row r="56" spans="1:14">
      <c r="A56" s="250">
        <v>59</v>
      </c>
      <c r="B56" s="4" t="s">
        <v>33</v>
      </c>
      <c r="C56" s="30">
        <v>1552</v>
      </c>
      <c r="D56" s="79">
        <f t="shared" si="0"/>
        <v>2.6830591438206137E-4</v>
      </c>
      <c r="E56" s="36">
        <v>1988</v>
      </c>
      <c r="F56" s="79">
        <f t="shared" si="1"/>
        <v>3.4511743888140288E-4</v>
      </c>
      <c r="H56" s="90">
        <f>+'COEF Art 14 F I'!AF56</f>
        <v>2.8078537565360499E-3</v>
      </c>
      <c r="I56" s="162"/>
      <c r="J56" s="36">
        <f t="shared" si="7"/>
        <v>10944.183753758789</v>
      </c>
      <c r="K56" s="37">
        <f t="shared" si="8"/>
        <v>14077.321688728376</v>
      </c>
      <c r="L56" s="37">
        <f t="shared" si="9"/>
        <v>98170.45975615333</v>
      </c>
      <c r="M56" s="37">
        <f t="shared" si="5"/>
        <v>123191.96519864049</v>
      </c>
      <c r="N56" s="91">
        <f t="shared" si="6"/>
        <v>1.0570543006030277E-3</v>
      </c>
    </row>
    <row r="57" spans="1:14">
      <c r="A57" s="250">
        <v>60</v>
      </c>
      <c r="B57" s="4" t="s">
        <v>34</v>
      </c>
      <c r="C57" s="30">
        <v>3573</v>
      </c>
      <c r="D57" s="79">
        <f t="shared" si="0"/>
        <v>6.1769138665406279E-4</v>
      </c>
      <c r="E57" s="36">
        <v>4677</v>
      </c>
      <c r="F57" s="79">
        <f t="shared" si="1"/>
        <v>8.1192870304241504E-4</v>
      </c>
      <c r="H57" s="90">
        <f>+'COEF Art 14 F I'!AF57</f>
        <v>2.4107449992848283E-3</v>
      </c>
      <c r="I57" s="162"/>
      <c r="J57" s="36">
        <f t="shared" si="7"/>
        <v>25195.598293930518</v>
      </c>
      <c r="K57" s="37">
        <f t="shared" si="8"/>
        <v>33118.527936711573</v>
      </c>
      <c r="L57" s="37">
        <f t="shared" si="9"/>
        <v>84286.421393471392</v>
      </c>
      <c r="M57" s="37">
        <f t="shared" si="5"/>
        <v>142600.54762411347</v>
      </c>
      <c r="N57" s="91">
        <f t="shared" si="6"/>
        <v>1.2235905311792159E-3</v>
      </c>
    </row>
    <row r="58" spans="1:14" ht="13.5" thickBot="1">
      <c r="B58" s="6" t="s">
        <v>35</v>
      </c>
      <c r="C58" s="39">
        <f>SUM(C7:C57)</f>
        <v>5784442</v>
      </c>
      <c r="D58" s="80">
        <f>SUM(D7:D57)</f>
        <v>1.0000000000000002</v>
      </c>
      <c r="E58" s="45">
        <f>SUM(E7:E57)</f>
        <v>5760358</v>
      </c>
      <c r="F58" s="80">
        <f t="shared" si="1"/>
        <v>1</v>
      </c>
      <c r="H58" s="92">
        <f t="shared" ref="H58:N58" si="10">SUM(H7:H57)</f>
        <v>0.99999999999999989</v>
      </c>
      <c r="I58" s="163"/>
      <c r="J58" s="45">
        <f t="shared" si="10"/>
        <v>40789945.980000012</v>
      </c>
      <c r="K58" s="46">
        <f t="shared" si="10"/>
        <v>40789945.979999997</v>
      </c>
      <c r="L58" s="46">
        <f t="shared" si="10"/>
        <v>34962810.840000004</v>
      </c>
      <c r="M58" s="46">
        <f t="shared" si="10"/>
        <v>116542702.79999998</v>
      </c>
      <c r="N58" s="93">
        <f t="shared" si="10"/>
        <v>1.0000000000000004</v>
      </c>
    </row>
    <row r="59" spans="1:14" ht="13.5" thickTop="1"/>
    <row r="60" spans="1:14" ht="15.75" customHeight="1">
      <c r="B60" s="11" t="s">
        <v>55</v>
      </c>
    </row>
    <row r="61" spans="1:14">
      <c r="B61" s="11" t="s">
        <v>149</v>
      </c>
    </row>
    <row r="62" spans="1:14">
      <c r="B62" s="11" t="s">
        <v>150</v>
      </c>
    </row>
  </sheetData>
  <mergeCells count="3">
    <mergeCell ref="B1:N1"/>
    <mergeCell ref="C3:D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C63"/>
  <sheetViews>
    <sheetView showGridLines="0" topLeftCell="F19" zoomScaleNormal="100" workbookViewId="0">
      <selection activeCell="P53" sqref="P53"/>
    </sheetView>
  </sheetViews>
  <sheetFormatPr baseColWidth="10" defaultColWidth="11.42578125" defaultRowHeight="12.75"/>
  <cols>
    <col min="1" max="1" width="3" style="108" bestFit="1" customWidth="1"/>
    <col min="2" max="2" width="28.28515625" style="108" bestFit="1" customWidth="1"/>
    <col min="3" max="3" width="17.28515625" style="108" customWidth="1"/>
    <col min="4" max="4" width="16.85546875" style="108" customWidth="1"/>
    <col min="5" max="5" width="14.42578125" style="108" customWidth="1"/>
    <col min="6" max="6" width="21.140625" style="108" customWidth="1"/>
    <col min="7" max="7" width="17" style="108" customWidth="1"/>
    <col min="8" max="8" width="17.42578125" style="108" customWidth="1"/>
    <col min="9" max="9" width="15.42578125" style="108" customWidth="1"/>
    <col min="10" max="10" width="15" style="108" customWidth="1"/>
    <col min="11" max="11" width="21.42578125" style="108" customWidth="1"/>
    <col min="12" max="12" width="5.28515625" style="108" customWidth="1"/>
    <col min="13" max="13" width="28.140625" style="108" customWidth="1"/>
    <col min="14" max="18" width="18.85546875" style="108" customWidth="1"/>
    <col min="19" max="19" width="0.28515625" style="108" customWidth="1"/>
    <col min="20" max="20" width="11.42578125" style="108" customWidth="1"/>
    <col min="21" max="21" width="21.28515625" style="108" customWidth="1"/>
    <col min="22" max="22" width="16.7109375" style="108" bestFit="1" customWidth="1"/>
    <col min="23" max="24" width="15.28515625" style="108" bestFit="1" customWidth="1"/>
    <col min="25" max="25" width="14.28515625" style="108" bestFit="1" customWidth="1"/>
    <col min="26" max="26" width="13.28515625" style="108" bestFit="1" customWidth="1"/>
    <col min="27" max="27" width="12.5703125" style="108" bestFit="1" customWidth="1"/>
    <col min="28" max="28" width="14.28515625" style="108" bestFit="1" customWidth="1"/>
    <col min="29" max="16384" width="11.42578125" style="108"/>
  </cols>
  <sheetData>
    <row r="1" spans="1:29" ht="38.25" customHeight="1" thickBot="1">
      <c r="B1" s="143"/>
      <c r="C1" s="301" t="s">
        <v>124</v>
      </c>
      <c r="D1" s="301"/>
      <c r="E1" s="301"/>
      <c r="F1" s="301"/>
      <c r="G1" s="301" t="s">
        <v>123</v>
      </c>
      <c r="H1" s="301"/>
      <c r="I1" s="301"/>
      <c r="J1" s="301"/>
      <c r="K1" s="152" t="s">
        <v>122</v>
      </c>
      <c r="M1" s="302" t="s">
        <v>121</v>
      </c>
      <c r="N1" s="302"/>
      <c r="O1" s="302"/>
      <c r="P1" s="302"/>
      <c r="Q1" s="302"/>
      <c r="R1" s="302"/>
    </row>
    <row r="2" spans="1:29" ht="68.25" customHeight="1" thickTop="1" thickBot="1">
      <c r="B2" s="151" t="s">
        <v>0</v>
      </c>
      <c r="C2" s="150" t="s">
        <v>198</v>
      </c>
      <c r="D2" s="149" t="s">
        <v>197</v>
      </c>
      <c r="E2" s="149" t="s">
        <v>120</v>
      </c>
      <c r="F2" s="148" t="s">
        <v>119</v>
      </c>
      <c r="G2" s="149" t="s">
        <v>189</v>
      </c>
      <c r="H2" s="149" t="s">
        <v>118</v>
      </c>
      <c r="I2" s="149" t="s">
        <v>117</v>
      </c>
      <c r="J2" s="146" t="s">
        <v>116</v>
      </c>
      <c r="K2" s="147" t="s">
        <v>115</v>
      </c>
      <c r="M2" s="151" t="s">
        <v>0</v>
      </c>
      <c r="N2" s="150" t="s">
        <v>114</v>
      </c>
      <c r="O2" s="149" t="s">
        <v>113</v>
      </c>
      <c r="P2" s="148" t="s">
        <v>112</v>
      </c>
      <c r="Q2" s="147" t="s">
        <v>216</v>
      </c>
      <c r="R2" s="146" t="s">
        <v>61</v>
      </c>
    </row>
    <row r="3" spans="1:29" ht="21" customHeight="1" thickTop="1">
      <c r="B3" s="143"/>
      <c r="C3" s="145" t="s">
        <v>111</v>
      </c>
      <c r="D3" s="145" t="s">
        <v>110</v>
      </c>
      <c r="E3" s="145" t="s">
        <v>109</v>
      </c>
      <c r="F3" s="145" t="s">
        <v>108</v>
      </c>
      <c r="G3" s="145" t="s">
        <v>107</v>
      </c>
      <c r="H3" s="145" t="s">
        <v>106</v>
      </c>
      <c r="I3" s="145"/>
      <c r="J3" s="145" t="s">
        <v>105</v>
      </c>
      <c r="K3" s="145" t="s">
        <v>104</v>
      </c>
      <c r="N3" s="224">
        <f>N4*Q3</f>
        <v>118610169.5</v>
      </c>
      <c r="O3" s="224">
        <f>Q3*O4</f>
        <v>71166101.700000003</v>
      </c>
      <c r="P3" s="224">
        <f>Q3*P4</f>
        <v>47444067.800000004</v>
      </c>
      <c r="Q3" s="224">
        <f>+'PART 2023'!W11</f>
        <v>237220339</v>
      </c>
      <c r="R3" s="225"/>
    </row>
    <row r="4" spans="1:29" ht="13.5" thickBot="1">
      <c r="G4" s="144"/>
      <c r="H4" s="143"/>
      <c r="I4" s="143"/>
      <c r="J4" s="143"/>
      <c r="N4" s="226">
        <v>0.5</v>
      </c>
      <c r="O4" s="226">
        <v>0.3</v>
      </c>
      <c r="P4" s="226">
        <v>0.2</v>
      </c>
      <c r="Q4" s="227" t="s">
        <v>103</v>
      </c>
      <c r="R4" s="227"/>
    </row>
    <row r="5" spans="1:29" ht="13.5" thickTop="1">
      <c r="A5" s="250">
        <v>15</v>
      </c>
      <c r="B5" s="171" t="s">
        <v>1</v>
      </c>
      <c r="C5" s="137">
        <v>748778</v>
      </c>
      <c r="D5" s="136">
        <f>+VLOOKUP(A5,'COEF Art 14 F I'!A$7:D$57,4,)</f>
        <v>215240.1</v>
      </c>
      <c r="E5" s="142">
        <f t="shared" ref="E5:E36" si="0">IFERROR(D5/C5,0)</f>
        <v>0.28745516027447388</v>
      </c>
      <c r="F5" s="141">
        <f t="shared" ref="F5:F36" si="1">IFERROR(E5/$E$56,0)</f>
        <v>1.7803396844044014E-2</v>
      </c>
      <c r="G5" s="136">
        <v>200922.61</v>
      </c>
      <c r="H5" s="159">
        <f t="shared" ref="H5:H36" si="2">IFERROR((D5/G5)-1,0)</f>
        <v>7.1258729915961272E-2</v>
      </c>
      <c r="I5" s="140">
        <f t="shared" ref="I5:I36" si="3">IF(H5&lt;0,0,H5)</f>
        <v>7.1258729915961272E-2</v>
      </c>
      <c r="J5" s="133">
        <f t="shared" ref="J5:J36" si="4">IFERROR(I5/$I$56,0)</f>
        <v>7.3407925922110507E-3</v>
      </c>
      <c r="K5" s="139">
        <f t="shared" ref="K5:K36" si="5">IFERROR(D5/$D$56,0)</f>
        <v>7.4263950242771002E-5</v>
      </c>
      <c r="M5" s="138" t="s">
        <v>1</v>
      </c>
      <c r="N5" s="137">
        <f>ROUND(IFERROR($N$3*F5,0),2)</f>
        <v>2111663.92</v>
      </c>
      <c r="O5" s="136">
        <f>ROUND(IFERROR($O$3*J5,0),2)</f>
        <v>522415.59</v>
      </c>
      <c r="P5" s="135">
        <f>ROUND(IFERROR($P$3*K5,0),2)</f>
        <v>3523.38</v>
      </c>
      <c r="Q5" s="134">
        <f t="shared" ref="Q5:Q36" si="6">IFERROR(SUM(N5:P5),0)</f>
        <v>2637602.8899999997</v>
      </c>
      <c r="R5" s="133">
        <f t="shared" ref="R5:R36" si="7">IFERROR(Q5/$Q$56,0)</f>
        <v>1.1118788975810326E-2</v>
      </c>
      <c r="T5" s="109"/>
      <c r="AC5" s="109"/>
    </row>
    <row r="6" spans="1:29">
      <c r="A6" s="250">
        <v>11</v>
      </c>
      <c r="B6" s="172" t="s">
        <v>2</v>
      </c>
      <c r="C6" s="127">
        <v>2700030</v>
      </c>
      <c r="D6" s="126">
        <f>+VLOOKUP(A6,'COEF Art 14 F I'!A$7:D$57,4,)</f>
        <v>825718</v>
      </c>
      <c r="E6" s="132">
        <f t="shared" si="0"/>
        <v>0.30581808350277589</v>
      </c>
      <c r="F6" s="131">
        <f t="shared" si="1"/>
        <v>1.894069564618768E-2</v>
      </c>
      <c r="G6" s="126">
        <v>996274</v>
      </c>
      <c r="H6" s="160">
        <f t="shared" si="2"/>
        <v>-0.17119386835348505</v>
      </c>
      <c r="I6" s="130">
        <f t="shared" si="3"/>
        <v>0</v>
      </c>
      <c r="J6" s="123">
        <f t="shared" si="4"/>
        <v>0</v>
      </c>
      <c r="K6" s="129">
        <f t="shared" si="5"/>
        <v>2.8489617160817329E-4</v>
      </c>
      <c r="M6" s="128" t="s">
        <v>2</v>
      </c>
      <c r="N6" s="127">
        <f t="shared" ref="N6:N55" si="8">ROUND(IFERROR($N$3*F6,0),2)</f>
        <v>2246559.12</v>
      </c>
      <c r="O6" s="126">
        <f t="shared" ref="O6:O55" si="9">ROUND(IFERROR($O$3*J6,0),2)</f>
        <v>0</v>
      </c>
      <c r="P6" s="125">
        <f t="shared" ref="P6:P55" si="10">ROUND(IFERROR($P$3*K6,0),2)</f>
        <v>13516.63</v>
      </c>
      <c r="Q6" s="124">
        <f t="shared" si="6"/>
        <v>2260075.75</v>
      </c>
      <c r="R6" s="123">
        <f t="shared" si="7"/>
        <v>9.5273270395894415E-3</v>
      </c>
      <c r="T6" s="109"/>
      <c r="U6" s="109"/>
      <c r="V6" s="109"/>
      <c r="W6" s="109"/>
      <c r="X6" s="109"/>
      <c r="Y6" s="109"/>
      <c r="Z6" s="109"/>
    </row>
    <row r="7" spans="1:29">
      <c r="A7" s="250">
        <v>12</v>
      </c>
      <c r="B7" s="172" t="s">
        <v>142</v>
      </c>
      <c r="C7" s="127">
        <v>1233500</v>
      </c>
      <c r="D7" s="126">
        <f>+VLOOKUP(A7,'COEF Art 14 F I'!A$7:D$57,4,)</f>
        <v>291226</v>
      </c>
      <c r="E7" s="132">
        <f t="shared" si="0"/>
        <v>0.23609728415079043</v>
      </c>
      <c r="F7" s="131">
        <f t="shared" si="1"/>
        <v>1.4622571532631494E-2</v>
      </c>
      <c r="G7" s="126">
        <v>288767</v>
      </c>
      <c r="H7" s="160">
        <f t="shared" si="2"/>
        <v>8.5155159696226335E-3</v>
      </c>
      <c r="I7" s="130">
        <f t="shared" si="3"/>
        <v>8.5155159696226335E-3</v>
      </c>
      <c r="J7" s="123">
        <f t="shared" si="4"/>
        <v>8.7723478403814415E-4</v>
      </c>
      <c r="K7" s="129">
        <f t="shared" si="5"/>
        <v>1.0048124477456211E-4</v>
      </c>
      <c r="M7" s="128" t="s">
        <v>142</v>
      </c>
      <c r="N7" s="127">
        <f t="shared" si="8"/>
        <v>1734385.69</v>
      </c>
      <c r="O7" s="126">
        <f t="shared" si="9"/>
        <v>62429.38</v>
      </c>
      <c r="P7" s="125">
        <f t="shared" si="10"/>
        <v>4767.24</v>
      </c>
      <c r="Q7" s="124">
        <f t="shared" si="6"/>
        <v>1801582.3099999998</v>
      </c>
      <c r="R7" s="123">
        <f t="shared" si="7"/>
        <v>7.5945524640530331E-3</v>
      </c>
      <c r="T7" s="109"/>
      <c r="U7" s="109"/>
      <c r="V7" s="109"/>
      <c r="W7" s="109"/>
      <c r="X7" s="109"/>
      <c r="Y7" s="109"/>
      <c r="Z7" s="109"/>
    </row>
    <row r="8" spans="1:29">
      <c r="A8" s="250">
        <v>13</v>
      </c>
      <c r="B8" s="172" t="s">
        <v>3</v>
      </c>
      <c r="C8" s="127">
        <v>58299346</v>
      </c>
      <c r="D8" s="126">
        <f>+VLOOKUP(A8,'COEF Art 14 F I'!A$7:D$57,4,)</f>
        <v>25827964</v>
      </c>
      <c r="E8" s="132">
        <f t="shared" si="0"/>
        <v>0.44302322019186974</v>
      </c>
      <c r="F8" s="131">
        <f t="shared" si="1"/>
        <v>2.7438429676026749E-2</v>
      </c>
      <c r="G8" s="126">
        <v>25832482</v>
      </c>
      <c r="H8" s="160">
        <f t="shared" si="2"/>
        <v>-1.7489608625298469E-4</v>
      </c>
      <c r="I8" s="130">
        <f t="shared" si="3"/>
        <v>0</v>
      </c>
      <c r="J8" s="123">
        <f t="shared" si="4"/>
        <v>0</v>
      </c>
      <c r="K8" s="129">
        <f t="shared" si="5"/>
        <v>8.9113814450377995E-3</v>
      </c>
      <c r="M8" s="128" t="s">
        <v>3</v>
      </c>
      <c r="N8" s="127">
        <f t="shared" si="8"/>
        <v>3254476.79</v>
      </c>
      <c r="O8" s="126">
        <f t="shared" si="9"/>
        <v>0</v>
      </c>
      <c r="P8" s="125">
        <f t="shared" si="10"/>
        <v>422792.19</v>
      </c>
      <c r="Q8" s="124">
        <f t="shared" si="6"/>
        <v>3677268.98</v>
      </c>
      <c r="R8" s="123">
        <f t="shared" si="7"/>
        <v>1.5501491127010891E-2</v>
      </c>
      <c r="T8" s="109"/>
      <c r="U8" s="109"/>
      <c r="V8" s="109"/>
      <c r="W8" s="109"/>
      <c r="X8" s="109"/>
      <c r="Y8" s="109"/>
      <c r="Z8" s="109"/>
    </row>
    <row r="9" spans="1:29">
      <c r="A9" s="250">
        <v>14</v>
      </c>
      <c r="B9" s="172" t="s">
        <v>143</v>
      </c>
      <c r="C9" s="127">
        <v>11856377</v>
      </c>
      <c r="D9" s="126">
        <f>+VLOOKUP(A9,'COEF Art 14 F I'!A$7:D$57,4,)</f>
        <v>2729196</v>
      </c>
      <c r="E9" s="132">
        <f t="shared" si="0"/>
        <v>0.23018802455421247</v>
      </c>
      <c r="F9" s="131">
        <f t="shared" si="1"/>
        <v>1.4256584386838394E-2</v>
      </c>
      <c r="G9" s="126">
        <v>1947895</v>
      </c>
      <c r="H9" s="160">
        <f t="shared" si="2"/>
        <v>0.4011001619697161</v>
      </c>
      <c r="I9" s="130">
        <f t="shared" si="3"/>
        <v>0.4011001619697161</v>
      </c>
      <c r="J9" s="123">
        <f t="shared" si="4"/>
        <v>4.1319752698292606E-2</v>
      </c>
      <c r="K9" s="129">
        <f t="shared" si="5"/>
        <v>9.4165016624118655E-4</v>
      </c>
      <c r="M9" s="128" t="s">
        <v>143</v>
      </c>
      <c r="N9" s="127">
        <f t="shared" si="8"/>
        <v>1690975.89</v>
      </c>
      <c r="O9" s="126">
        <f t="shared" si="9"/>
        <v>2940565.72</v>
      </c>
      <c r="P9" s="125">
        <f t="shared" si="10"/>
        <v>44675.71</v>
      </c>
      <c r="Q9" s="124">
        <f t="shared" si="6"/>
        <v>4676217.32</v>
      </c>
      <c r="R9" s="123">
        <f t="shared" si="7"/>
        <v>1.9712548004566871E-2</v>
      </c>
      <c r="T9" s="109"/>
      <c r="U9" s="109"/>
      <c r="V9" s="109"/>
      <c r="W9" s="109"/>
      <c r="X9" s="109"/>
      <c r="Y9" s="109"/>
      <c r="Z9" s="109"/>
    </row>
    <row r="10" spans="1:29">
      <c r="A10" s="250">
        <v>17</v>
      </c>
      <c r="B10" s="172" t="s">
        <v>4</v>
      </c>
      <c r="C10" s="127">
        <v>697064760</v>
      </c>
      <c r="D10" s="126">
        <f>+VLOOKUP(A10,'COEF Art 14 F I'!A$7:D$57,4,)</f>
        <v>369978125.35000002</v>
      </c>
      <c r="E10" s="132">
        <f t="shared" si="0"/>
        <v>0.5307657861659798</v>
      </c>
      <c r="F10" s="131">
        <f t="shared" si="1"/>
        <v>3.2872723221706097E-2</v>
      </c>
      <c r="G10" s="126">
        <v>336540527.29999995</v>
      </c>
      <c r="H10" s="160">
        <f t="shared" si="2"/>
        <v>9.9356824327410109E-2</v>
      </c>
      <c r="I10" s="130">
        <f t="shared" si="3"/>
        <v>9.9356824327410109E-2</v>
      </c>
      <c r="J10" s="123">
        <f t="shared" si="4"/>
        <v>1.0235347175966122E-2</v>
      </c>
      <c r="K10" s="129">
        <f t="shared" si="5"/>
        <v>0.12765296565048098</v>
      </c>
      <c r="M10" s="128" t="s">
        <v>4</v>
      </c>
      <c r="N10" s="127">
        <f t="shared" si="8"/>
        <v>3899039.27</v>
      </c>
      <c r="O10" s="126">
        <f t="shared" si="9"/>
        <v>728409.76</v>
      </c>
      <c r="P10" s="125">
        <f t="shared" si="10"/>
        <v>6056375.96</v>
      </c>
      <c r="Q10" s="124">
        <f t="shared" si="6"/>
        <v>10683824.99</v>
      </c>
      <c r="R10" s="123">
        <f t="shared" si="7"/>
        <v>4.5037558901938751E-2</v>
      </c>
      <c r="T10" s="109"/>
      <c r="U10" s="109"/>
      <c r="V10" s="109"/>
      <c r="W10" s="109"/>
      <c r="X10" s="109"/>
      <c r="Y10" s="109"/>
      <c r="Z10" s="109"/>
    </row>
    <row r="11" spans="1:29">
      <c r="A11" s="250">
        <v>16</v>
      </c>
      <c r="B11" s="128" t="s">
        <v>5</v>
      </c>
      <c r="C11" s="127">
        <v>1901133</v>
      </c>
      <c r="D11" s="126">
        <f>+VLOOKUP(A11,'COEF Art 14 F I'!A$7:D$57,4,)</f>
        <v>809425.1</v>
      </c>
      <c r="E11" s="132">
        <f t="shared" si="0"/>
        <v>0.42575932351918566</v>
      </c>
      <c r="F11" s="131">
        <f t="shared" si="1"/>
        <v>2.6369198554049709E-2</v>
      </c>
      <c r="G11" s="126">
        <v>792296.3</v>
      </c>
      <c r="H11" s="160">
        <f t="shared" si="2"/>
        <v>2.1619184640897515E-2</v>
      </c>
      <c r="I11" s="130">
        <f t="shared" si="3"/>
        <v>2.1619184640897515E-2</v>
      </c>
      <c r="J11" s="123">
        <f t="shared" si="4"/>
        <v>2.2271229174124769E-3</v>
      </c>
      <c r="K11" s="129">
        <f t="shared" si="5"/>
        <v>2.7927465816848226E-4</v>
      </c>
      <c r="M11" s="128" t="s">
        <v>5</v>
      </c>
      <c r="N11" s="127">
        <f t="shared" si="8"/>
        <v>3127655.11</v>
      </c>
      <c r="O11" s="126">
        <f t="shared" si="9"/>
        <v>158495.66</v>
      </c>
      <c r="P11" s="125">
        <f t="shared" si="10"/>
        <v>13249.93</v>
      </c>
      <c r="Q11" s="124">
        <f t="shared" si="6"/>
        <v>3299400.7</v>
      </c>
      <c r="R11" s="123">
        <f t="shared" si="7"/>
        <v>1.3908591118483676E-2</v>
      </c>
      <c r="T11" s="109"/>
      <c r="U11" s="109"/>
      <c r="V11" s="109"/>
      <c r="W11" s="109"/>
      <c r="X11" s="109"/>
      <c r="Y11" s="109"/>
      <c r="Z11" s="109"/>
    </row>
    <row r="12" spans="1:29">
      <c r="A12" s="250">
        <v>18</v>
      </c>
      <c r="B12" s="172" t="s">
        <v>6</v>
      </c>
      <c r="C12" s="127">
        <v>2326723</v>
      </c>
      <c r="D12" s="126">
        <f>+VLOOKUP(A12,'COEF Art 14 F I'!A$7:D$57,4,)</f>
        <v>2282515</v>
      </c>
      <c r="E12" s="132">
        <f t="shared" si="0"/>
        <v>0.98099988696548757</v>
      </c>
      <c r="F12" s="131">
        <f t="shared" si="1"/>
        <v>6.0757755313672154E-2</v>
      </c>
      <c r="G12" s="126">
        <v>960189</v>
      </c>
      <c r="H12" s="160">
        <f t="shared" si="2"/>
        <v>1.3771517899080283</v>
      </c>
      <c r="I12" s="130">
        <f t="shared" si="3"/>
        <v>1.3771517899080283</v>
      </c>
      <c r="J12" s="123">
        <f t="shared" si="4"/>
        <v>0.1418687320084081</v>
      </c>
      <c r="K12" s="129">
        <f t="shared" si="5"/>
        <v>7.8753252943284465E-4</v>
      </c>
      <c r="M12" s="128" t="s">
        <v>6</v>
      </c>
      <c r="N12" s="127">
        <f t="shared" si="8"/>
        <v>7206487.6600000001</v>
      </c>
      <c r="O12" s="126">
        <f t="shared" si="9"/>
        <v>10096244.609999999</v>
      </c>
      <c r="P12" s="125">
        <f t="shared" si="10"/>
        <v>37363.75</v>
      </c>
      <c r="Q12" s="124">
        <f t="shared" si="6"/>
        <v>17340096.02</v>
      </c>
      <c r="R12" s="123">
        <f t="shared" si="7"/>
        <v>7.3097003797515755E-2</v>
      </c>
      <c r="T12" s="109"/>
      <c r="U12" s="109"/>
      <c r="V12" s="109"/>
      <c r="W12" s="109"/>
      <c r="X12" s="109"/>
      <c r="Y12" s="109"/>
      <c r="Z12" s="109"/>
    </row>
    <row r="13" spans="1:29">
      <c r="A13" s="250">
        <v>19</v>
      </c>
      <c r="B13" s="172" t="s">
        <v>127</v>
      </c>
      <c r="C13" s="127">
        <v>118292323</v>
      </c>
      <c r="D13" s="126">
        <f>+VLOOKUP(A13,'COEF Art 14 F I'!A$7:D$57,4,)</f>
        <v>34565785.189999998</v>
      </c>
      <c r="E13" s="132">
        <f t="shared" si="0"/>
        <v>0.29220649585180603</v>
      </c>
      <c r="F13" s="131">
        <f t="shared" si="1"/>
        <v>1.8097668523639882E-2</v>
      </c>
      <c r="G13" s="126">
        <v>36285132.439999998</v>
      </c>
      <c r="H13" s="160">
        <f t="shared" si="2"/>
        <v>-4.7384345443497011E-2</v>
      </c>
      <c r="I13" s="130">
        <f t="shared" si="3"/>
        <v>0</v>
      </c>
      <c r="J13" s="123">
        <f t="shared" si="4"/>
        <v>0</v>
      </c>
      <c r="K13" s="129">
        <f t="shared" si="5"/>
        <v>1.1926178028408603E-2</v>
      </c>
      <c r="M13" s="128" t="s">
        <v>127</v>
      </c>
      <c r="N13" s="127">
        <f t="shared" si="8"/>
        <v>2146567.5299999998</v>
      </c>
      <c r="O13" s="126">
        <f t="shared" si="9"/>
        <v>0</v>
      </c>
      <c r="P13" s="125">
        <f t="shared" si="10"/>
        <v>565826.4</v>
      </c>
      <c r="Q13" s="124">
        <f t="shared" si="6"/>
        <v>2712393.9299999997</v>
      </c>
      <c r="R13" s="123">
        <f t="shared" si="7"/>
        <v>1.1434069867484428E-2</v>
      </c>
      <c r="T13" s="109"/>
      <c r="U13" s="109"/>
      <c r="V13" s="109"/>
      <c r="W13" s="109"/>
      <c r="X13" s="109"/>
      <c r="Y13" s="109"/>
      <c r="Z13" s="109"/>
    </row>
    <row r="14" spans="1:29">
      <c r="A14" s="250">
        <v>20</v>
      </c>
      <c r="B14" s="172" t="s">
        <v>128</v>
      </c>
      <c r="C14" s="127">
        <v>45596306</v>
      </c>
      <c r="D14" s="126">
        <f>+VLOOKUP(A14,'COEF Art 14 F I'!A$7:D$57,4,)</f>
        <v>10430458.359999999</v>
      </c>
      <c r="E14" s="132">
        <f t="shared" si="0"/>
        <v>0.22875665322537311</v>
      </c>
      <c r="F14" s="131">
        <f t="shared" si="1"/>
        <v>1.4167933093279491E-2</v>
      </c>
      <c r="G14" s="178">
        <v>5537234.6300000008</v>
      </c>
      <c r="H14" s="160">
        <f t="shared" si="2"/>
        <v>0.88369448957231533</v>
      </c>
      <c r="I14" s="130">
        <f t="shared" si="3"/>
        <v>0.88369448957231533</v>
      </c>
      <c r="J14" s="123">
        <f t="shared" si="4"/>
        <v>9.1034712104476459E-2</v>
      </c>
      <c r="K14" s="129">
        <f t="shared" si="5"/>
        <v>3.5988045009100753E-3</v>
      </c>
      <c r="M14" s="128" t="s">
        <v>128</v>
      </c>
      <c r="N14" s="127">
        <f t="shared" si="8"/>
        <v>1680460.95</v>
      </c>
      <c r="O14" s="126">
        <f t="shared" si="9"/>
        <v>6478585.5800000001</v>
      </c>
      <c r="P14" s="125">
        <f t="shared" si="10"/>
        <v>170741.92</v>
      </c>
      <c r="Q14" s="124">
        <f t="shared" si="6"/>
        <v>8329788.4500000002</v>
      </c>
      <c r="R14" s="123">
        <f t="shared" si="7"/>
        <v>3.5114141078565544E-2</v>
      </c>
      <c r="T14" s="109"/>
      <c r="U14" s="109"/>
      <c r="V14" s="109"/>
      <c r="W14" s="109"/>
      <c r="X14" s="109"/>
      <c r="Y14" s="109"/>
      <c r="Z14" s="109"/>
    </row>
    <row r="15" spans="1:29">
      <c r="A15" s="250">
        <v>23</v>
      </c>
      <c r="B15" s="172" t="s">
        <v>129</v>
      </c>
      <c r="C15" s="127">
        <v>3975543</v>
      </c>
      <c r="D15" s="126">
        <f>+VLOOKUP(A15,'COEF Art 14 F I'!A$7:D$57,4,)</f>
        <v>1264344</v>
      </c>
      <c r="E15" s="132">
        <f t="shared" si="0"/>
        <v>0.31803051809526395</v>
      </c>
      <c r="F15" s="131">
        <f t="shared" si="1"/>
        <v>1.96970668982271E-2</v>
      </c>
      <c r="G15" s="126">
        <v>1064298</v>
      </c>
      <c r="H15" s="160">
        <f t="shared" si="2"/>
        <v>0.18796051481821818</v>
      </c>
      <c r="I15" s="130">
        <f t="shared" si="3"/>
        <v>0.18796051481821818</v>
      </c>
      <c r="J15" s="123">
        <f t="shared" si="4"/>
        <v>1.9362949022989732E-2</v>
      </c>
      <c r="K15" s="129">
        <f t="shared" si="5"/>
        <v>4.3623460454509196E-4</v>
      </c>
      <c r="M15" s="128" t="s">
        <v>129</v>
      </c>
      <c r="N15" s="127">
        <f t="shared" si="8"/>
        <v>2336272.44</v>
      </c>
      <c r="O15" s="126">
        <f t="shared" si="9"/>
        <v>1377985.6</v>
      </c>
      <c r="P15" s="125">
        <f t="shared" si="10"/>
        <v>20696.740000000002</v>
      </c>
      <c r="Q15" s="124">
        <f t="shared" si="6"/>
        <v>3734954.7800000003</v>
      </c>
      <c r="R15" s="123">
        <f t="shared" si="7"/>
        <v>1.5744665048124089E-2</v>
      </c>
      <c r="T15" s="109"/>
      <c r="U15" s="109"/>
      <c r="V15" s="109"/>
      <c r="W15" s="109"/>
      <c r="X15" s="109"/>
      <c r="Y15" s="109"/>
      <c r="Z15" s="109"/>
    </row>
    <row r="16" spans="1:29">
      <c r="A16" s="250">
        <v>21</v>
      </c>
      <c r="B16" s="172" t="s">
        <v>7</v>
      </c>
      <c r="C16" s="127">
        <v>5498532</v>
      </c>
      <c r="D16" s="126">
        <f>+VLOOKUP(A16,'COEF Art 14 F I'!A$7:D$57,4,)</f>
        <v>1750296.04</v>
      </c>
      <c r="E16" s="132">
        <f t="shared" si="0"/>
        <v>0.3183206063000088</v>
      </c>
      <c r="F16" s="131">
        <f t="shared" si="1"/>
        <v>1.9715033371411707E-2</v>
      </c>
      <c r="G16" s="178">
        <v>1864847</v>
      </c>
      <c r="H16" s="160">
        <f t="shared" si="2"/>
        <v>-6.1426465549184406E-2</v>
      </c>
      <c r="I16" s="130">
        <f t="shared" si="3"/>
        <v>0</v>
      </c>
      <c r="J16" s="123">
        <f t="shared" si="4"/>
        <v>0</v>
      </c>
      <c r="K16" s="129">
        <f t="shared" si="5"/>
        <v>6.0390186598444767E-4</v>
      </c>
      <c r="M16" s="128" t="s">
        <v>7</v>
      </c>
      <c r="N16" s="127">
        <f t="shared" si="8"/>
        <v>2338403.4500000002</v>
      </c>
      <c r="O16" s="126">
        <f t="shared" si="9"/>
        <v>0</v>
      </c>
      <c r="P16" s="125">
        <f t="shared" si="10"/>
        <v>28651.56</v>
      </c>
      <c r="Q16" s="124">
        <f t="shared" si="6"/>
        <v>2367055.0100000002</v>
      </c>
      <c r="R16" s="123">
        <f t="shared" si="7"/>
        <v>9.9782970552950087E-3</v>
      </c>
      <c r="T16" s="109"/>
      <c r="U16" s="109"/>
      <c r="V16" s="109"/>
      <c r="W16" s="109"/>
      <c r="X16" s="109"/>
      <c r="Y16" s="109"/>
      <c r="Z16" s="109"/>
    </row>
    <row r="17" spans="1:26">
      <c r="A17" s="250">
        <v>22</v>
      </c>
      <c r="B17" s="172" t="s">
        <v>130</v>
      </c>
      <c r="C17" s="127">
        <v>57370151</v>
      </c>
      <c r="D17" s="126">
        <f>+VLOOKUP(A17,'COEF Art 14 F I'!A$7:D$57,4,)</f>
        <v>15225307</v>
      </c>
      <c r="E17" s="132">
        <f t="shared" si="0"/>
        <v>0.26538725686812292</v>
      </c>
      <c r="F17" s="131">
        <f t="shared" si="1"/>
        <v>1.6436631879782612E-2</v>
      </c>
      <c r="G17" s="126">
        <v>14209085</v>
      </c>
      <c r="H17" s="160">
        <f t="shared" si="2"/>
        <v>7.1519172416802279E-2</v>
      </c>
      <c r="I17" s="130">
        <f t="shared" si="3"/>
        <v>7.1519172416802279E-2</v>
      </c>
      <c r="J17" s="123">
        <f t="shared" si="4"/>
        <v>7.3676223488335071E-3</v>
      </c>
      <c r="K17" s="129">
        <f t="shared" si="5"/>
        <v>5.253163520547114E-3</v>
      </c>
      <c r="M17" s="128" t="s">
        <v>130</v>
      </c>
      <c r="N17" s="127">
        <f t="shared" si="8"/>
        <v>1949551.69</v>
      </c>
      <c r="O17" s="126">
        <f t="shared" si="9"/>
        <v>524324.96</v>
      </c>
      <c r="P17" s="125">
        <f t="shared" si="10"/>
        <v>249231.45</v>
      </c>
      <c r="Q17" s="124">
        <f t="shared" si="6"/>
        <v>2723108.1</v>
      </c>
      <c r="R17" s="123">
        <f t="shared" si="7"/>
        <v>1.1479235345476818E-2</v>
      </c>
      <c r="T17" s="109"/>
      <c r="U17" s="109"/>
      <c r="V17" s="109"/>
      <c r="W17" s="109"/>
      <c r="X17" s="109"/>
      <c r="Y17" s="109"/>
      <c r="Z17" s="109"/>
    </row>
    <row r="18" spans="1:26">
      <c r="A18" s="250">
        <v>25</v>
      </c>
      <c r="B18" s="172" t="s">
        <v>8</v>
      </c>
      <c r="C18" s="127">
        <v>7297681</v>
      </c>
      <c r="D18" s="126">
        <f>+VLOOKUP(A18,'COEF Art 14 F I'!A$7:D$57,4,)</f>
        <v>928327</v>
      </c>
      <c r="E18" s="132">
        <f t="shared" si="0"/>
        <v>0.12720849267047984</v>
      </c>
      <c r="F18" s="131">
        <f t="shared" si="1"/>
        <v>7.8785966993347688E-3</v>
      </c>
      <c r="G18" s="126">
        <v>838434</v>
      </c>
      <c r="H18" s="160">
        <f t="shared" si="2"/>
        <v>0.10721535624748046</v>
      </c>
      <c r="I18" s="130">
        <f t="shared" si="3"/>
        <v>0.10721535624748046</v>
      </c>
      <c r="J18" s="123">
        <f t="shared" si="4"/>
        <v>1.1044902060996216E-2</v>
      </c>
      <c r="K18" s="129">
        <f t="shared" si="5"/>
        <v>3.2029919209766613E-4</v>
      </c>
      <c r="M18" s="128" t="s">
        <v>8</v>
      </c>
      <c r="N18" s="127">
        <f t="shared" si="8"/>
        <v>934481.69</v>
      </c>
      <c r="O18" s="126">
        <f t="shared" si="9"/>
        <v>786022.62</v>
      </c>
      <c r="P18" s="125">
        <f t="shared" si="10"/>
        <v>15196.3</v>
      </c>
      <c r="Q18" s="124">
        <f t="shared" si="6"/>
        <v>1735700.61</v>
      </c>
      <c r="R18" s="123">
        <f t="shared" si="7"/>
        <v>7.316828807302095E-3</v>
      </c>
      <c r="T18" s="109"/>
      <c r="U18" s="109"/>
      <c r="V18" s="109"/>
      <c r="W18" s="109"/>
      <c r="X18" s="109"/>
      <c r="Y18" s="109"/>
      <c r="Z18" s="109"/>
    </row>
    <row r="19" spans="1:26">
      <c r="A19" s="250">
        <v>27</v>
      </c>
      <c r="B19" s="172" t="s">
        <v>9</v>
      </c>
      <c r="C19" s="127">
        <v>1700096</v>
      </c>
      <c r="D19" s="126">
        <f>+VLOOKUP(A19,'COEF Art 14 F I'!A$7:D$57,4,)</f>
        <v>292169</v>
      </c>
      <c r="E19" s="132">
        <f t="shared" si="0"/>
        <v>0.17185441292726999</v>
      </c>
      <c r="F19" s="131">
        <f t="shared" si="1"/>
        <v>1.064372025822383E-2</v>
      </c>
      <c r="G19" s="126">
        <v>363195</v>
      </c>
      <c r="H19" s="160">
        <f t="shared" si="2"/>
        <v>-0.19555885956579799</v>
      </c>
      <c r="I19" s="130">
        <f t="shared" si="3"/>
        <v>0</v>
      </c>
      <c r="J19" s="123">
        <f t="shared" si="4"/>
        <v>0</v>
      </c>
      <c r="K19" s="129">
        <f t="shared" si="5"/>
        <v>1.008066065685723E-4</v>
      </c>
      <c r="M19" s="128" t="s">
        <v>9</v>
      </c>
      <c r="N19" s="127">
        <f t="shared" si="8"/>
        <v>1262453.46</v>
      </c>
      <c r="O19" s="126">
        <f t="shared" si="9"/>
        <v>0</v>
      </c>
      <c r="P19" s="125">
        <f t="shared" si="10"/>
        <v>4782.68</v>
      </c>
      <c r="Q19" s="124">
        <f t="shared" si="6"/>
        <v>1267236.1399999999</v>
      </c>
      <c r="R19" s="123">
        <f t="shared" si="7"/>
        <v>5.3420214531158744E-3</v>
      </c>
      <c r="T19" s="109"/>
      <c r="U19" s="109"/>
      <c r="V19" s="109"/>
      <c r="W19" s="109"/>
      <c r="X19" s="109"/>
      <c r="Y19" s="109"/>
      <c r="Z19" s="109"/>
    </row>
    <row r="20" spans="1:26">
      <c r="A20" s="250">
        <v>26</v>
      </c>
      <c r="B20" s="172" t="s">
        <v>131</v>
      </c>
      <c r="C20" s="127">
        <v>2145081</v>
      </c>
      <c r="D20" s="126">
        <f>+VLOOKUP(A20,'COEF Art 14 F I'!A$7:D$57,4,)</f>
        <v>719516</v>
      </c>
      <c r="E20" s="132">
        <f t="shared" si="0"/>
        <v>0.33542602820126605</v>
      </c>
      <c r="F20" s="131">
        <f t="shared" si="1"/>
        <v>2.0774449434780001E-2</v>
      </c>
      <c r="G20" s="126">
        <v>1038863</v>
      </c>
      <c r="H20" s="160">
        <f t="shared" si="2"/>
        <v>-0.30740049457916974</v>
      </c>
      <c r="I20" s="130">
        <f t="shared" si="3"/>
        <v>0</v>
      </c>
      <c r="J20" s="123">
        <f t="shared" si="4"/>
        <v>0</v>
      </c>
      <c r="K20" s="129">
        <f t="shared" si="5"/>
        <v>2.4825346402867132E-4</v>
      </c>
      <c r="M20" s="128" t="s">
        <v>131</v>
      </c>
      <c r="N20" s="127">
        <f t="shared" si="8"/>
        <v>2464060.9700000002</v>
      </c>
      <c r="O20" s="126">
        <f t="shared" si="9"/>
        <v>0</v>
      </c>
      <c r="P20" s="125">
        <f t="shared" si="10"/>
        <v>11778.15</v>
      </c>
      <c r="Q20" s="124">
        <f t="shared" si="6"/>
        <v>2475839.12</v>
      </c>
      <c r="R20" s="123">
        <f t="shared" si="7"/>
        <v>1.0436875398379602E-2</v>
      </c>
      <c r="T20" s="109"/>
      <c r="U20" s="109"/>
      <c r="V20" s="109"/>
      <c r="W20" s="109"/>
      <c r="X20" s="109"/>
      <c r="Y20" s="109"/>
      <c r="Z20" s="109"/>
    </row>
    <row r="21" spans="1:26">
      <c r="A21" s="250">
        <v>29</v>
      </c>
      <c r="B21" s="172" t="s">
        <v>10</v>
      </c>
      <c r="C21" s="127">
        <v>10799410</v>
      </c>
      <c r="D21" s="126">
        <f>+VLOOKUP(A21,'COEF Art 14 F I'!A$7:D$57,4,)</f>
        <v>1519021</v>
      </c>
      <c r="E21" s="132">
        <f t="shared" si="0"/>
        <v>0.14065777667483687</v>
      </c>
      <c r="F21" s="131">
        <f t="shared" si="1"/>
        <v>8.7115716237340796E-3</v>
      </c>
      <c r="G21" s="126">
        <v>1281029</v>
      </c>
      <c r="H21" s="160">
        <f t="shared" si="2"/>
        <v>0.1857818987704416</v>
      </c>
      <c r="I21" s="130">
        <f t="shared" si="3"/>
        <v>0.1857818987704416</v>
      </c>
      <c r="J21" s="123">
        <f t="shared" si="4"/>
        <v>1.9138516612200885E-2</v>
      </c>
      <c r="K21" s="129">
        <f t="shared" si="5"/>
        <v>5.2410540583155388E-4</v>
      </c>
      <c r="M21" s="128" t="s">
        <v>10</v>
      </c>
      <c r="N21" s="127">
        <f t="shared" si="8"/>
        <v>1033280.99</v>
      </c>
      <c r="O21" s="126">
        <f t="shared" si="9"/>
        <v>1362013.62</v>
      </c>
      <c r="P21" s="125">
        <f t="shared" si="10"/>
        <v>24865.69</v>
      </c>
      <c r="Q21" s="124">
        <f t="shared" si="6"/>
        <v>2420160.3000000003</v>
      </c>
      <c r="R21" s="123">
        <f t="shared" si="7"/>
        <v>1.0202161881667416E-2</v>
      </c>
      <c r="T21" s="109"/>
      <c r="U21" s="109"/>
      <c r="V21" s="109"/>
      <c r="W21" s="109"/>
      <c r="X21" s="109"/>
      <c r="Y21" s="109"/>
      <c r="Z21" s="109"/>
    </row>
    <row r="22" spans="1:26">
      <c r="A22" s="250">
        <v>30</v>
      </c>
      <c r="B22" s="172" t="s">
        <v>132</v>
      </c>
      <c r="C22" s="127">
        <v>440237925</v>
      </c>
      <c r="D22" s="126">
        <f>+VLOOKUP(A22,'COEF Art 14 F I'!A$7:D$57,4,)</f>
        <v>99582374</v>
      </c>
      <c r="E22" s="132">
        <f t="shared" si="0"/>
        <v>0.22620126151103406</v>
      </c>
      <c r="F22" s="131">
        <f t="shared" si="1"/>
        <v>1.4009666138743278E-2</v>
      </c>
      <c r="G22" s="126">
        <v>103525907.24000001</v>
      </c>
      <c r="H22" s="160">
        <f t="shared" si="2"/>
        <v>-3.8092235510265748E-2</v>
      </c>
      <c r="I22" s="130">
        <f t="shared" si="3"/>
        <v>0</v>
      </c>
      <c r="J22" s="123">
        <f t="shared" si="4"/>
        <v>0</v>
      </c>
      <c r="K22" s="129">
        <f t="shared" si="5"/>
        <v>3.4358748522199216E-2</v>
      </c>
      <c r="M22" s="128" t="s">
        <v>132</v>
      </c>
      <c r="N22" s="127">
        <f t="shared" si="8"/>
        <v>1661688.88</v>
      </c>
      <c r="O22" s="126">
        <f t="shared" si="9"/>
        <v>0</v>
      </c>
      <c r="P22" s="125">
        <f t="shared" si="10"/>
        <v>1630118.79</v>
      </c>
      <c r="Q22" s="124">
        <f t="shared" si="6"/>
        <v>3291807.67</v>
      </c>
      <c r="R22" s="123">
        <f t="shared" si="7"/>
        <v>1.3876582775386585E-2</v>
      </c>
      <c r="T22" s="109"/>
      <c r="U22" s="109"/>
      <c r="V22" s="109"/>
      <c r="W22" s="109"/>
      <c r="X22" s="109"/>
      <c r="Y22" s="109"/>
      <c r="Z22" s="109"/>
    </row>
    <row r="23" spans="1:26">
      <c r="A23" s="250">
        <v>32</v>
      </c>
      <c r="B23" s="172" t="s">
        <v>11</v>
      </c>
      <c r="C23" s="127">
        <v>4036392</v>
      </c>
      <c r="D23" s="126">
        <f>+VLOOKUP(A23,'COEF Art 14 F I'!A$7:D$57,4,)</f>
        <v>940088</v>
      </c>
      <c r="E23" s="132">
        <f t="shared" si="0"/>
        <v>0.23290304806867124</v>
      </c>
      <c r="F23" s="131">
        <f t="shared" si="1"/>
        <v>1.4424738059997945E-2</v>
      </c>
      <c r="G23" s="126">
        <v>3566422</v>
      </c>
      <c r="H23" s="160">
        <f t="shared" si="2"/>
        <v>-0.73640584316718549</v>
      </c>
      <c r="I23" s="130">
        <f t="shared" si="3"/>
        <v>0</v>
      </c>
      <c r="J23" s="123">
        <f t="shared" si="4"/>
        <v>0</v>
      </c>
      <c r="K23" s="129">
        <f t="shared" si="5"/>
        <v>3.2435707126983357E-4</v>
      </c>
      <c r="M23" s="128" t="s">
        <v>11</v>
      </c>
      <c r="N23" s="127">
        <f t="shared" si="8"/>
        <v>1710920.63</v>
      </c>
      <c r="O23" s="126">
        <f t="shared" si="9"/>
        <v>0</v>
      </c>
      <c r="P23" s="125">
        <f t="shared" si="10"/>
        <v>15388.82</v>
      </c>
      <c r="Q23" s="124">
        <f t="shared" si="6"/>
        <v>1726309.45</v>
      </c>
      <c r="R23" s="123">
        <f t="shared" si="7"/>
        <v>7.2772404649197164E-3</v>
      </c>
      <c r="T23" s="109"/>
      <c r="U23" s="109"/>
      <c r="V23" s="109"/>
      <c r="W23" s="109"/>
      <c r="X23" s="109"/>
      <c r="Y23" s="109"/>
      <c r="Z23" s="109"/>
    </row>
    <row r="24" spans="1:26">
      <c r="A24" s="250">
        <v>33</v>
      </c>
      <c r="B24" s="172" t="s">
        <v>12</v>
      </c>
      <c r="C24" s="127">
        <v>478336774</v>
      </c>
      <c r="D24" s="126">
        <f>+VLOOKUP(A24,'COEF Art 14 F I'!A$7:D$57,4,)</f>
        <v>167034920.86000001</v>
      </c>
      <c r="E24" s="132">
        <f t="shared" si="0"/>
        <v>0.34919941334052651</v>
      </c>
      <c r="F24" s="131">
        <f t="shared" si="1"/>
        <v>2.1627497406804481E-2</v>
      </c>
      <c r="G24" s="178">
        <v>154603349.86000001</v>
      </c>
      <c r="H24" s="160">
        <f t="shared" si="2"/>
        <v>8.0409454331082264E-2</v>
      </c>
      <c r="I24" s="130">
        <f t="shared" si="3"/>
        <v>8.0409454331082264E-2</v>
      </c>
      <c r="J24" s="123">
        <f t="shared" si="4"/>
        <v>8.2834640386304E-3</v>
      </c>
      <c r="K24" s="129">
        <f t="shared" si="5"/>
        <v>5.7631793757539754E-2</v>
      </c>
      <c r="M24" s="128" t="s">
        <v>12</v>
      </c>
      <c r="N24" s="127">
        <f t="shared" si="8"/>
        <v>2565241.13</v>
      </c>
      <c r="O24" s="126">
        <f t="shared" si="9"/>
        <v>589501.84</v>
      </c>
      <c r="P24" s="125">
        <f t="shared" si="10"/>
        <v>2734286.73</v>
      </c>
      <c r="Q24" s="124">
        <f t="shared" si="6"/>
        <v>5889029.6999999993</v>
      </c>
      <c r="R24" s="123">
        <f t="shared" si="7"/>
        <v>2.4825146634025557E-2</v>
      </c>
      <c r="T24" s="109"/>
      <c r="U24" s="109"/>
      <c r="V24" s="109"/>
      <c r="W24" s="109"/>
      <c r="X24" s="109"/>
      <c r="Y24" s="109"/>
      <c r="Z24" s="109"/>
    </row>
    <row r="25" spans="1:26">
      <c r="A25" s="250">
        <v>34</v>
      </c>
      <c r="B25" s="172" t="s">
        <v>133</v>
      </c>
      <c r="C25" s="127">
        <v>13247928</v>
      </c>
      <c r="D25" s="126">
        <f>+VLOOKUP(A25,'COEF Art 14 F I'!A$7:D$57,4,)</f>
        <v>4545524</v>
      </c>
      <c r="E25" s="132">
        <f t="shared" si="0"/>
        <v>0.34311207005352085</v>
      </c>
      <c r="F25" s="131">
        <f t="shared" si="1"/>
        <v>2.1250480733452686E-2</v>
      </c>
      <c r="G25" s="126">
        <v>4608992</v>
      </c>
      <c r="H25" s="160">
        <f t="shared" si="2"/>
        <v>-1.3770473023168583E-2</v>
      </c>
      <c r="I25" s="130">
        <f t="shared" si="3"/>
        <v>0</v>
      </c>
      <c r="J25" s="123">
        <f t="shared" si="4"/>
        <v>0</v>
      </c>
      <c r="K25" s="129">
        <f t="shared" si="5"/>
        <v>1.56833493463031E-3</v>
      </c>
      <c r="M25" s="128" t="s">
        <v>133</v>
      </c>
      <c r="N25" s="127">
        <f t="shared" si="8"/>
        <v>2520523.12</v>
      </c>
      <c r="O25" s="126">
        <f t="shared" si="9"/>
        <v>0</v>
      </c>
      <c r="P25" s="125">
        <f t="shared" si="10"/>
        <v>74408.19</v>
      </c>
      <c r="Q25" s="124">
        <f t="shared" si="6"/>
        <v>2594931.31</v>
      </c>
      <c r="R25" s="123">
        <f t="shared" si="7"/>
        <v>1.0938907351065667E-2</v>
      </c>
      <c r="T25" s="109"/>
      <c r="U25" s="109"/>
      <c r="V25" s="109"/>
      <c r="W25" s="109"/>
      <c r="X25" s="109"/>
      <c r="Y25" s="109"/>
      <c r="Z25" s="109"/>
    </row>
    <row r="26" spans="1:26">
      <c r="A26" s="250">
        <v>35</v>
      </c>
      <c r="B26" s="172" t="s">
        <v>13</v>
      </c>
      <c r="C26" s="127">
        <v>882296</v>
      </c>
      <c r="D26" s="126">
        <f>+VLOOKUP(A26,'COEF Art 14 F I'!A$7:D$57,4,)</f>
        <v>298339</v>
      </c>
      <c r="E26" s="132">
        <f t="shared" si="0"/>
        <v>0.33813935459301642</v>
      </c>
      <c r="F26" s="131">
        <f t="shared" si="1"/>
        <v>2.094249799746235E-2</v>
      </c>
      <c r="G26" s="178">
        <v>246797</v>
      </c>
      <c r="H26" s="160">
        <f t="shared" si="2"/>
        <v>0.20884370555557807</v>
      </c>
      <c r="I26" s="130">
        <f t="shared" si="3"/>
        <v>0.20884370555557807</v>
      </c>
      <c r="J26" s="123">
        <f t="shared" si="4"/>
        <v>2.1514252758648995E-2</v>
      </c>
      <c r="K26" s="129">
        <f t="shared" si="5"/>
        <v>1.0293543188038871E-4</v>
      </c>
      <c r="M26" s="128" t="s">
        <v>13</v>
      </c>
      <c r="N26" s="127">
        <f t="shared" si="8"/>
        <v>2483993.2400000002</v>
      </c>
      <c r="O26" s="126">
        <f t="shared" si="9"/>
        <v>1531085.5</v>
      </c>
      <c r="P26" s="125">
        <f t="shared" si="10"/>
        <v>4883.68</v>
      </c>
      <c r="Q26" s="124">
        <f t="shared" si="6"/>
        <v>4019962.4200000004</v>
      </c>
      <c r="R26" s="123">
        <f t="shared" si="7"/>
        <v>1.6946111944344967E-2</v>
      </c>
      <c r="T26" s="109"/>
      <c r="U26" s="109"/>
      <c r="V26" s="109"/>
      <c r="W26" s="109"/>
      <c r="X26" s="109"/>
      <c r="Y26" s="109"/>
      <c r="Z26" s="109"/>
    </row>
    <row r="27" spans="1:26">
      <c r="A27" s="250">
        <v>61</v>
      </c>
      <c r="B27" s="128" t="s">
        <v>14</v>
      </c>
      <c r="C27" s="127">
        <v>1693362</v>
      </c>
      <c r="D27" s="126">
        <f>+VLOOKUP(A27,'COEF Art 14 F I'!A$7:D$57,4,)</f>
        <v>227416</v>
      </c>
      <c r="E27" s="132">
        <f t="shared" si="0"/>
        <v>0.13429851384405697</v>
      </c>
      <c r="F27" s="131">
        <f t="shared" si="1"/>
        <v>8.3177137444604924E-3</v>
      </c>
      <c r="G27" s="126">
        <v>165744</v>
      </c>
      <c r="H27" s="160">
        <f t="shared" si="2"/>
        <v>0.37209190076262177</v>
      </c>
      <c r="I27" s="130">
        <f t="shared" si="3"/>
        <v>0.37209190076262177</v>
      </c>
      <c r="J27" s="123">
        <f t="shared" si="4"/>
        <v>3.8331436330135388E-2</v>
      </c>
      <c r="K27" s="129">
        <f t="shared" si="5"/>
        <v>7.8464981703734607E-5</v>
      </c>
      <c r="M27" s="128" t="s">
        <v>14</v>
      </c>
      <c r="N27" s="127">
        <f t="shared" si="8"/>
        <v>986565.44</v>
      </c>
      <c r="O27" s="126">
        <f t="shared" si="9"/>
        <v>2727898.9</v>
      </c>
      <c r="P27" s="125">
        <f t="shared" si="10"/>
        <v>3722.7</v>
      </c>
      <c r="Q27" s="124">
        <f t="shared" si="6"/>
        <v>3718187.04</v>
      </c>
      <c r="R27" s="123">
        <f t="shared" si="7"/>
        <v>1.5673980805485405E-2</v>
      </c>
      <c r="T27" s="109"/>
      <c r="U27" s="109"/>
      <c r="V27" s="109"/>
      <c r="W27" s="109"/>
      <c r="X27" s="109"/>
      <c r="Y27" s="109"/>
      <c r="Z27" s="109"/>
    </row>
    <row r="28" spans="1:26">
      <c r="A28" s="250">
        <v>36</v>
      </c>
      <c r="B28" s="128" t="s">
        <v>15</v>
      </c>
      <c r="C28" s="127">
        <v>71592167</v>
      </c>
      <c r="D28" s="126">
        <f>+VLOOKUP(A28,'COEF Art 14 F I'!A$7:D$57,4,)</f>
        <v>16361057</v>
      </c>
      <c r="E28" s="132">
        <f t="shared" si="0"/>
        <v>0.22853138388729036</v>
      </c>
      <c r="F28" s="131">
        <f t="shared" si="1"/>
        <v>1.4153981145369239E-2</v>
      </c>
      <c r="G28" s="126">
        <v>12472493</v>
      </c>
      <c r="H28" s="160">
        <f t="shared" si="2"/>
        <v>0.31177119121253472</v>
      </c>
      <c r="I28" s="130">
        <f t="shared" si="3"/>
        <v>0.31177119121253472</v>
      </c>
      <c r="J28" s="123">
        <f t="shared" si="4"/>
        <v>3.2117435346053713E-2</v>
      </c>
      <c r="K28" s="129">
        <f t="shared" si="5"/>
        <v>5.6450295412757198E-3</v>
      </c>
      <c r="M28" s="128" t="s">
        <v>15</v>
      </c>
      <c r="N28" s="127">
        <f t="shared" si="8"/>
        <v>1678806.1</v>
      </c>
      <c r="O28" s="126">
        <f t="shared" si="9"/>
        <v>2285672.67</v>
      </c>
      <c r="P28" s="125">
        <f t="shared" si="10"/>
        <v>267823.15999999997</v>
      </c>
      <c r="Q28" s="124">
        <f t="shared" si="6"/>
        <v>4232301.93</v>
      </c>
      <c r="R28" s="123">
        <f t="shared" si="7"/>
        <v>1.7841227055064669E-2</v>
      </c>
      <c r="T28" s="109"/>
      <c r="U28" s="109"/>
      <c r="V28" s="109"/>
      <c r="W28" s="109"/>
      <c r="X28" s="109"/>
      <c r="Y28" s="109"/>
      <c r="Z28" s="109"/>
    </row>
    <row r="29" spans="1:26">
      <c r="A29" s="250">
        <v>28</v>
      </c>
      <c r="B29" s="128" t="s">
        <v>16</v>
      </c>
      <c r="C29" s="127">
        <v>935771643</v>
      </c>
      <c r="D29" s="126">
        <f>+VLOOKUP(A29,'COEF Art 14 F I'!A$7:D$57,4,)</f>
        <v>367511761.92000002</v>
      </c>
      <c r="E29" s="132">
        <f t="shared" si="0"/>
        <v>0.39273658768050529</v>
      </c>
      <c r="F29" s="131">
        <f t="shared" si="1"/>
        <v>2.4323951321574586E-2</v>
      </c>
      <c r="G29" s="126">
        <v>210861820.25999999</v>
      </c>
      <c r="H29" s="160">
        <f t="shared" si="2"/>
        <v>0.74290329784142606</v>
      </c>
      <c r="I29" s="130">
        <f t="shared" si="3"/>
        <v>0.74290329784142606</v>
      </c>
      <c r="J29" s="123">
        <f t="shared" si="4"/>
        <v>7.6530960233996095E-2</v>
      </c>
      <c r="K29" s="129">
        <f t="shared" si="5"/>
        <v>0.12680200018890522</v>
      </c>
      <c r="M29" s="128" t="s">
        <v>16</v>
      </c>
      <c r="N29" s="127">
        <f t="shared" si="8"/>
        <v>2885067.99</v>
      </c>
      <c r="O29" s="126">
        <f t="shared" si="9"/>
        <v>5446410.0999999996</v>
      </c>
      <c r="P29" s="125">
        <f t="shared" si="10"/>
        <v>6016002.6900000004</v>
      </c>
      <c r="Q29" s="124">
        <f t="shared" si="6"/>
        <v>14347480.780000001</v>
      </c>
      <c r="R29" s="123">
        <f t="shared" si="7"/>
        <v>6.0481663760731837E-2</v>
      </c>
      <c r="T29" s="109"/>
      <c r="U29" s="109"/>
      <c r="V29" s="109"/>
      <c r="W29" s="109"/>
      <c r="X29" s="109"/>
      <c r="Y29" s="109"/>
      <c r="Z29" s="109"/>
    </row>
    <row r="30" spans="1:26">
      <c r="A30" s="250">
        <v>37</v>
      </c>
      <c r="B30" s="128" t="s">
        <v>134</v>
      </c>
      <c r="C30" s="127">
        <v>1080036</v>
      </c>
      <c r="D30" s="126">
        <f>+VLOOKUP(A30,'COEF Art 14 F I'!A$7:D$57,4,)</f>
        <v>291621.78000000003</v>
      </c>
      <c r="E30" s="132">
        <f t="shared" si="0"/>
        <v>0.27001116629445687</v>
      </c>
      <c r="F30" s="131">
        <f t="shared" si="1"/>
        <v>1.6723011482115496E-2</v>
      </c>
      <c r="G30" s="126">
        <v>297293.69</v>
      </c>
      <c r="H30" s="160">
        <f t="shared" si="2"/>
        <v>-1.9078474218541142E-2</v>
      </c>
      <c r="I30" s="130">
        <f t="shared" si="3"/>
        <v>0</v>
      </c>
      <c r="J30" s="123">
        <f t="shared" si="4"/>
        <v>0</v>
      </c>
      <c r="K30" s="129">
        <f t="shared" si="5"/>
        <v>1.006178001200906E-4</v>
      </c>
      <c r="M30" s="128" t="s">
        <v>134</v>
      </c>
      <c r="N30" s="127">
        <f t="shared" si="8"/>
        <v>1983519.23</v>
      </c>
      <c r="O30" s="126">
        <f t="shared" si="9"/>
        <v>0</v>
      </c>
      <c r="P30" s="125">
        <f t="shared" si="10"/>
        <v>4773.72</v>
      </c>
      <c r="Q30" s="124">
        <f t="shared" si="6"/>
        <v>1988292.95</v>
      </c>
      <c r="R30" s="123">
        <f t="shared" si="7"/>
        <v>8.3816293259905365E-3</v>
      </c>
      <c r="T30" s="109"/>
      <c r="U30" s="109"/>
      <c r="V30" s="109"/>
      <c r="W30" s="109"/>
      <c r="X30" s="109"/>
      <c r="Y30" s="109"/>
      <c r="Z30" s="109"/>
    </row>
    <row r="31" spans="1:26">
      <c r="A31" s="250">
        <v>39</v>
      </c>
      <c r="B31" s="128" t="s">
        <v>17</v>
      </c>
      <c r="C31" s="127">
        <v>2480480</v>
      </c>
      <c r="D31" s="126">
        <f>+VLOOKUP(A31,'COEF Art 14 F I'!A$7:D$57,4,)</f>
        <v>630053</v>
      </c>
      <c r="E31" s="132">
        <f t="shared" si="0"/>
        <v>0.2540044668773786</v>
      </c>
      <c r="F31" s="131">
        <f t="shared" si="1"/>
        <v>1.573164426639577E-2</v>
      </c>
      <c r="G31" s="126">
        <v>539788</v>
      </c>
      <c r="H31" s="160">
        <f t="shared" si="2"/>
        <v>0.16722305794126591</v>
      </c>
      <c r="I31" s="130">
        <f t="shared" si="3"/>
        <v>0.16722305794126591</v>
      </c>
      <c r="J31" s="123">
        <f t="shared" si="4"/>
        <v>1.7226658213384247E-2</v>
      </c>
      <c r="K31" s="129">
        <f t="shared" si="5"/>
        <v>2.1738618706416041E-4</v>
      </c>
      <c r="M31" s="128" t="s">
        <v>17</v>
      </c>
      <c r="N31" s="127">
        <f t="shared" si="8"/>
        <v>1865932.99</v>
      </c>
      <c r="O31" s="126">
        <f t="shared" si="9"/>
        <v>1225954.1100000001</v>
      </c>
      <c r="P31" s="125">
        <f t="shared" si="10"/>
        <v>10313.68</v>
      </c>
      <c r="Q31" s="124">
        <f t="shared" si="6"/>
        <v>3102200.7800000003</v>
      </c>
      <c r="R31" s="123">
        <f t="shared" si="7"/>
        <v>1.3077296800131349E-2</v>
      </c>
      <c r="T31" s="109"/>
      <c r="U31" s="109"/>
      <c r="V31" s="109"/>
      <c r="W31" s="109"/>
      <c r="X31" s="109"/>
      <c r="Y31" s="109"/>
      <c r="Z31" s="109"/>
    </row>
    <row r="32" spans="1:26">
      <c r="A32" s="250">
        <v>38</v>
      </c>
      <c r="B32" s="128" t="s">
        <v>18</v>
      </c>
      <c r="C32" s="127">
        <v>669013</v>
      </c>
      <c r="D32" s="126">
        <f>+VLOOKUP(A32,'COEF Art 14 F I'!A$7:D$57,4,)</f>
        <v>344639</v>
      </c>
      <c r="E32" s="132">
        <f t="shared" si="0"/>
        <v>0.51514544560419606</v>
      </c>
      <c r="F32" s="131">
        <f t="shared" si="1"/>
        <v>3.1905284955525672E-2</v>
      </c>
      <c r="G32" s="126">
        <v>419888</v>
      </c>
      <c r="H32" s="160">
        <f t="shared" si="2"/>
        <v>-0.17921207560111263</v>
      </c>
      <c r="I32" s="130">
        <f t="shared" si="3"/>
        <v>0</v>
      </c>
      <c r="J32" s="123">
        <f t="shared" si="4"/>
        <v>0</v>
      </c>
      <c r="K32" s="129">
        <f t="shared" si="5"/>
        <v>1.1891024742935146E-4</v>
      </c>
      <c r="M32" s="128" t="s">
        <v>18</v>
      </c>
      <c r="N32" s="127">
        <f t="shared" si="8"/>
        <v>3784291.26</v>
      </c>
      <c r="O32" s="126">
        <f t="shared" si="9"/>
        <v>0</v>
      </c>
      <c r="P32" s="125">
        <f t="shared" si="10"/>
        <v>5641.59</v>
      </c>
      <c r="Q32" s="124">
        <f t="shared" si="6"/>
        <v>3789932.8499999996</v>
      </c>
      <c r="R32" s="123">
        <f t="shared" si="7"/>
        <v>1.5976424560120727E-2</v>
      </c>
      <c r="T32" s="109"/>
      <c r="U32" s="109"/>
      <c r="V32" s="109"/>
      <c r="W32" s="109"/>
      <c r="X32" s="109"/>
      <c r="Y32" s="109"/>
      <c r="Z32" s="109"/>
    </row>
    <row r="33" spans="1:26">
      <c r="A33" s="250">
        <v>40</v>
      </c>
      <c r="B33" s="128" t="s">
        <v>19</v>
      </c>
      <c r="C33" s="127">
        <v>2153132</v>
      </c>
      <c r="D33" s="126">
        <f>+VLOOKUP(A33,'COEF Art 14 F I'!A$7:D$57,4,)</f>
        <v>650893</v>
      </c>
      <c r="E33" s="132">
        <f t="shared" si="0"/>
        <v>0.3023005556556681</v>
      </c>
      <c r="F33" s="131">
        <f t="shared" si="1"/>
        <v>1.8722839253864646E-2</v>
      </c>
      <c r="G33" s="126">
        <v>656691</v>
      </c>
      <c r="H33" s="160">
        <f t="shared" si="2"/>
        <v>-8.829114454134479E-3</v>
      </c>
      <c r="I33" s="130">
        <f t="shared" si="3"/>
        <v>0</v>
      </c>
      <c r="J33" s="123">
        <f t="shared" si="4"/>
        <v>0</v>
      </c>
      <c r="K33" s="129">
        <f t="shared" si="5"/>
        <v>2.2457657920326156E-4</v>
      </c>
      <c r="M33" s="128" t="s">
        <v>19</v>
      </c>
      <c r="N33" s="127">
        <f t="shared" si="8"/>
        <v>2220719.14</v>
      </c>
      <c r="O33" s="126">
        <f t="shared" si="9"/>
        <v>0</v>
      </c>
      <c r="P33" s="125">
        <f t="shared" si="10"/>
        <v>10654.83</v>
      </c>
      <c r="Q33" s="124">
        <f t="shared" si="6"/>
        <v>2231373.9700000002</v>
      </c>
      <c r="R33" s="123">
        <f t="shared" si="7"/>
        <v>9.4063349690013884E-3</v>
      </c>
      <c r="T33" s="109"/>
      <c r="U33" s="109"/>
      <c r="V33" s="109"/>
      <c r="W33" s="109"/>
      <c r="X33" s="109"/>
      <c r="Y33" s="109"/>
      <c r="Z33" s="109"/>
    </row>
    <row r="34" spans="1:26">
      <c r="A34" s="250">
        <v>41</v>
      </c>
      <c r="B34" s="128" t="s">
        <v>20</v>
      </c>
      <c r="C34" s="127">
        <v>643163</v>
      </c>
      <c r="D34" s="126">
        <f>+VLOOKUP(A34,'COEF Art 14 F I'!A$7:D$57,4,)</f>
        <v>121874</v>
      </c>
      <c r="E34" s="132">
        <f t="shared" si="0"/>
        <v>0.18949162187501459</v>
      </c>
      <c r="F34" s="131">
        <f t="shared" si="1"/>
        <v>1.1736072296079748E-2</v>
      </c>
      <c r="G34" s="126">
        <v>129046</v>
      </c>
      <c r="H34" s="160">
        <f t="shared" si="2"/>
        <v>-5.5577081040869114E-2</v>
      </c>
      <c r="I34" s="130">
        <f t="shared" si="3"/>
        <v>0</v>
      </c>
      <c r="J34" s="123">
        <f t="shared" si="4"/>
        <v>0</v>
      </c>
      <c r="K34" s="129">
        <f t="shared" si="5"/>
        <v>4.2049992877198403E-5</v>
      </c>
      <c r="M34" s="128" t="s">
        <v>20</v>
      </c>
      <c r="N34" s="127">
        <f t="shared" si="8"/>
        <v>1392017.52</v>
      </c>
      <c r="O34" s="126">
        <f t="shared" si="9"/>
        <v>0</v>
      </c>
      <c r="P34" s="125">
        <f t="shared" si="10"/>
        <v>1995.02</v>
      </c>
      <c r="Q34" s="124">
        <f t="shared" si="6"/>
        <v>1394012.54</v>
      </c>
      <c r="R34" s="123">
        <f t="shared" si="7"/>
        <v>5.8764461172899881E-3</v>
      </c>
      <c r="T34" s="109"/>
      <c r="U34" s="109"/>
      <c r="V34" s="109"/>
      <c r="W34" s="109"/>
      <c r="X34" s="109"/>
      <c r="Y34" s="109"/>
      <c r="Z34" s="109"/>
    </row>
    <row r="35" spans="1:26">
      <c r="A35" s="250">
        <v>42</v>
      </c>
      <c r="B35" s="128" t="s">
        <v>135</v>
      </c>
      <c r="C35" s="127">
        <v>658051524</v>
      </c>
      <c r="D35" s="126">
        <f>+VLOOKUP(A35,'COEF Art 14 F I'!A$7:D$57,4,)</f>
        <v>127211041.94</v>
      </c>
      <c r="E35" s="132">
        <f t="shared" si="0"/>
        <v>0.19331471366670674</v>
      </c>
      <c r="F35" s="131">
        <f t="shared" si="1"/>
        <v>1.1972853644077509E-2</v>
      </c>
      <c r="G35" s="126">
        <v>116809127.09999999</v>
      </c>
      <c r="H35" s="160">
        <f t="shared" si="2"/>
        <v>8.9050531394648136E-2</v>
      </c>
      <c r="I35" s="130">
        <f t="shared" si="3"/>
        <v>8.9050531394648136E-2</v>
      </c>
      <c r="J35" s="123">
        <f t="shared" si="4"/>
        <v>9.1736336300861816E-3</v>
      </c>
      <c r="K35" s="129">
        <f t="shared" si="5"/>
        <v>4.3891423990990594E-2</v>
      </c>
      <c r="M35" s="128" t="s">
        <v>135</v>
      </c>
      <c r="N35" s="127">
        <f t="shared" si="8"/>
        <v>1420102.2</v>
      </c>
      <c r="O35" s="126">
        <f t="shared" si="9"/>
        <v>652851.74</v>
      </c>
      <c r="P35" s="125">
        <f t="shared" si="10"/>
        <v>2082387.7</v>
      </c>
      <c r="Q35" s="124">
        <f t="shared" si="6"/>
        <v>4155341.6399999997</v>
      </c>
      <c r="R35" s="123">
        <f t="shared" si="7"/>
        <v>1.7516801711404555E-2</v>
      </c>
      <c r="T35" s="109"/>
      <c r="U35" s="109"/>
      <c r="V35" s="109"/>
      <c r="W35" s="109"/>
      <c r="X35" s="109"/>
      <c r="Y35" s="109"/>
      <c r="Z35" s="109"/>
    </row>
    <row r="36" spans="1:26">
      <c r="A36" s="250">
        <v>43</v>
      </c>
      <c r="B36" s="128" t="s">
        <v>21</v>
      </c>
      <c r="C36" s="127">
        <v>4730111</v>
      </c>
      <c r="D36" s="126">
        <f>+VLOOKUP(A36,'COEF Art 14 F I'!A$7:D$57,4,)</f>
        <v>2452655</v>
      </c>
      <c r="E36" s="132">
        <f t="shared" si="0"/>
        <v>0.51851954425593816</v>
      </c>
      <c r="F36" s="131">
        <f t="shared" si="1"/>
        <v>3.2114258129743729E-2</v>
      </c>
      <c r="G36" s="126">
        <v>1176027</v>
      </c>
      <c r="H36" s="160">
        <f t="shared" si="2"/>
        <v>1.0855431040273733</v>
      </c>
      <c r="I36" s="130">
        <f t="shared" si="3"/>
        <v>1.0855431040273733</v>
      </c>
      <c r="J36" s="123">
        <f t="shared" si="4"/>
        <v>0.11182835823719908</v>
      </c>
      <c r="K36" s="129">
        <f t="shared" si="5"/>
        <v>8.4623566372011303E-4</v>
      </c>
      <c r="M36" s="128" t="s">
        <v>21</v>
      </c>
      <c r="N36" s="127">
        <f t="shared" si="8"/>
        <v>3809077.6</v>
      </c>
      <c r="O36" s="126">
        <f t="shared" si="9"/>
        <v>7958388.3200000003</v>
      </c>
      <c r="P36" s="125">
        <f t="shared" si="10"/>
        <v>40148.86</v>
      </c>
      <c r="Q36" s="124">
        <f t="shared" si="6"/>
        <v>11807614.779999999</v>
      </c>
      <c r="R36" s="123">
        <f t="shared" si="7"/>
        <v>4.9774883681022605E-2</v>
      </c>
      <c r="T36" s="109"/>
      <c r="U36" s="109"/>
      <c r="V36" s="109"/>
      <c r="W36" s="109"/>
      <c r="X36" s="109"/>
      <c r="Y36" s="109"/>
      <c r="Z36" s="109"/>
    </row>
    <row r="37" spans="1:26">
      <c r="A37" s="250">
        <v>44</v>
      </c>
      <c r="B37" s="128" t="s">
        <v>22</v>
      </c>
      <c r="C37" s="127">
        <v>40442549</v>
      </c>
      <c r="D37" s="126">
        <f>+VLOOKUP(A37,'COEF Art 14 F I'!A$7:D$57,4,)</f>
        <v>11225818</v>
      </c>
      <c r="E37" s="132">
        <f t="shared" ref="E37:E55" si="11">IFERROR(D37/C37,0)</f>
        <v>0.27757444269895054</v>
      </c>
      <c r="F37" s="131">
        <f t="shared" ref="F37:F55" si="12">IFERROR(E37/$E$56,0)</f>
        <v>1.7191439361934471E-2</v>
      </c>
      <c r="G37" s="126">
        <v>12032960</v>
      </c>
      <c r="H37" s="160">
        <f t="shared" ref="H37:H55" si="13">IFERROR((D37/G37)-1,0)</f>
        <v>-6.7077593543068414E-2</v>
      </c>
      <c r="I37" s="130">
        <f t="shared" ref="I37:I55" si="14">IF(H37&lt;0,0,H37)</f>
        <v>0</v>
      </c>
      <c r="J37" s="123">
        <f t="shared" ref="J37:J55" si="15">IFERROR(I37/$I$56,0)</f>
        <v>0</v>
      </c>
      <c r="K37" s="129">
        <f t="shared" ref="K37:K55" si="16">IFERROR(D37/$D$56,0)</f>
        <v>3.8732261757284214E-3</v>
      </c>
      <c r="M37" s="128" t="s">
        <v>22</v>
      </c>
      <c r="N37" s="127">
        <f t="shared" si="8"/>
        <v>2039079.54</v>
      </c>
      <c r="O37" s="126">
        <f t="shared" si="9"/>
        <v>0</v>
      </c>
      <c r="P37" s="125">
        <f t="shared" si="10"/>
        <v>183761.61</v>
      </c>
      <c r="Q37" s="124">
        <f t="shared" ref="Q37:Q55" si="17">IFERROR(SUM(N37:P37),0)</f>
        <v>2222841.15</v>
      </c>
      <c r="R37" s="123">
        <f t="shared" ref="R37:R55" si="18">IFERROR(Q37/$Q$56,0)</f>
        <v>9.370364950425706E-3</v>
      </c>
      <c r="T37" s="109"/>
      <c r="U37" s="109"/>
      <c r="V37" s="109"/>
      <c r="W37" s="109"/>
      <c r="X37" s="109"/>
      <c r="Y37" s="109"/>
      <c r="Z37" s="109"/>
    </row>
    <row r="38" spans="1:26">
      <c r="A38" s="250">
        <v>46</v>
      </c>
      <c r="B38" s="128" t="s">
        <v>136</v>
      </c>
      <c r="C38" s="127">
        <v>2483466</v>
      </c>
      <c r="D38" s="126">
        <f>+VLOOKUP(A38,'COEF Art 14 F I'!A$7:D$57,4,)</f>
        <v>1555152</v>
      </c>
      <c r="E38" s="132">
        <f t="shared" si="11"/>
        <v>0.62620225120859319</v>
      </c>
      <c r="F38" s="131">
        <f t="shared" si="12"/>
        <v>3.8783534698960551E-2</v>
      </c>
      <c r="G38" s="126">
        <v>947940</v>
      </c>
      <c r="H38" s="160">
        <f t="shared" si="13"/>
        <v>0.64055952908411928</v>
      </c>
      <c r="I38" s="130">
        <f t="shared" si="14"/>
        <v>0.64055952908411928</v>
      </c>
      <c r="J38" s="123">
        <f t="shared" si="15"/>
        <v>6.5987909853521695E-2</v>
      </c>
      <c r="K38" s="129">
        <f t="shared" si="16"/>
        <v>5.3657162744277581E-4</v>
      </c>
      <c r="M38" s="128" t="s">
        <v>136</v>
      </c>
      <c r="N38" s="127">
        <f t="shared" si="8"/>
        <v>4600121.62</v>
      </c>
      <c r="O38" s="126">
        <f t="shared" si="9"/>
        <v>4696102.3</v>
      </c>
      <c r="P38" s="125">
        <f t="shared" si="10"/>
        <v>25457.14</v>
      </c>
      <c r="Q38" s="124">
        <f t="shared" si="17"/>
        <v>9321681.0600000005</v>
      </c>
      <c r="R38" s="123">
        <f t="shared" si="18"/>
        <v>3.9295454595876605E-2</v>
      </c>
      <c r="T38" s="109"/>
      <c r="U38" s="109"/>
      <c r="V38" s="109"/>
      <c r="W38" s="109"/>
      <c r="X38" s="109"/>
      <c r="Y38" s="109"/>
      <c r="Z38" s="109"/>
    </row>
    <row r="39" spans="1:26">
      <c r="A39" s="250">
        <v>49</v>
      </c>
      <c r="B39" s="128" t="s">
        <v>23</v>
      </c>
      <c r="C39" s="127">
        <v>776280</v>
      </c>
      <c r="D39" s="126">
        <f>+VLOOKUP(A39,'COEF Art 14 F I'!A$7:D$57,4,)</f>
        <v>328826</v>
      </c>
      <c r="E39" s="132">
        <f t="shared" si="11"/>
        <v>0.42359200288555676</v>
      </c>
      <c r="F39" s="131">
        <f t="shared" si="12"/>
        <v>2.6234966594908891E-2</v>
      </c>
      <c r="G39" s="126">
        <v>296637</v>
      </c>
      <c r="H39" s="160">
        <f t="shared" si="13"/>
        <v>0.10851309850086133</v>
      </c>
      <c r="I39" s="130">
        <f t="shared" si="14"/>
        <v>0.10851309850086133</v>
      </c>
      <c r="J39" s="123">
        <f t="shared" si="15"/>
        <v>1.1178590336544385E-2</v>
      </c>
      <c r="K39" s="129">
        <f t="shared" si="16"/>
        <v>1.1345431312533964E-4</v>
      </c>
      <c r="M39" s="128" t="s">
        <v>23</v>
      </c>
      <c r="N39" s="127">
        <f t="shared" si="8"/>
        <v>3111733.83</v>
      </c>
      <c r="O39" s="126">
        <f t="shared" si="9"/>
        <v>795536.7</v>
      </c>
      <c r="P39" s="125">
        <f t="shared" si="10"/>
        <v>5382.73</v>
      </c>
      <c r="Q39" s="124">
        <f t="shared" si="17"/>
        <v>3912653.2600000002</v>
      </c>
      <c r="R39" s="123">
        <f t="shared" si="18"/>
        <v>1.6493751238442243E-2</v>
      </c>
      <c r="T39" s="109"/>
      <c r="U39" s="109"/>
      <c r="V39" s="109"/>
      <c r="W39" s="109"/>
      <c r="X39" s="109"/>
      <c r="Y39" s="109"/>
      <c r="Z39" s="109"/>
    </row>
    <row r="40" spans="1:26">
      <c r="A40" s="250">
        <v>48</v>
      </c>
      <c r="B40" s="128" t="s">
        <v>24</v>
      </c>
      <c r="C40" s="127">
        <v>888800</v>
      </c>
      <c r="D40" s="126">
        <f>+VLOOKUP(A40,'COEF Art 14 F I'!A$7:D$57,4,)</f>
        <v>95366</v>
      </c>
      <c r="E40" s="132">
        <f t="shared" si="11"/>
        <v>0.10729747974797479</v>
      </c>
      <c r="F40" s="131">
        <f t="shared" si="12"/>
        <v>6.645417707913044E-3</v>
      </c>
      <c r="G40" s="126">
        <v>101056</v>
      </c>
      <c r="H40" s="160">
        <f t="shared" si="13"/>
        <v>-5.6305414819506017E-2</v>
      </c>
      <c r="I40" s="130">
        <f t="shared" si="14"/>
        <v>0</v>
      </c>
      <c r="J40" s="123">
        <f t="shared" si="15"/>
        <v>0</v>
      </c>
      <c r="K40" s="129">
        <f t="shared" si="16"/>
        <v>3.2903979689900249E-5</v>
      </c>
      <c r="M40" s="128" t="s">
        <v>24</v>
      </c>
      <c r="N40" s="127">
        <f t="shared" si="8"/>
        <v>788214.12</v>
      </c>
      <c r="O40" s="126">
        <f t="shared" si="9"/>
        <v>0</v>
      </c>
      <c r="P40" s="125">
        <f t="shared" si="10"/>
        <v>1561.1</v>
      </c>
      <c r="Q40" s="124">
        <f t="shared" si="17"/>
        <v>789775.22</v>
      </c>
      <c r="R40" s="123">
        <f t="shared" si="18"/>
        <v>3.3292896526604028E-3</v>
      </c>
      <c r="T40" s="109"/>
      <c r="U40" s="109"/>
      <c r="V40" s="109"/>
      <c r="W40" s="109"/>
      <c r="X40" s="109"/>
      <c r="Y40" s="109"/>
      <c r="Z40" s="109"/>
    </row>
    <row r="41" spans="1:26">
      <c r="A41" s="250">
        <v>47</v>
      </c>
      <c r="B41" s="128" t="s">
        <v>25</v>
      </c>
      <c r="C41" s="127">
        <v>4862326</v>
      </c>
      <c r="D41" s="126">
        <f>+VLOOKUP(A41,'COEF Art 14 F I'!A$7:D$57,4,)</f>
        <v>736730</v>
      </c>
      <c r="E41" s="132">
        <f t="shared" si="11"/>
        <v>0.15151801833114439</v>
      </c>
      <c r="F41" s="131">
        <f t="shared" si="12"/>
        <v>9.3841954578125601E-3</v>
      </c>
      <c r="G41" s="178">
        <v>933845.6</v>
      </c>
      <c r="H41" s="160">
        <f t="shared" si="13"/>
        <v>-0.21107943325963086</v>
      </c>
      <c r="I41" s="130">
        <f t="shared" si="14"/>
        <v>0</v>
      </c>
      <c r="J41" s="123">
        <f t="shared" si="15"/>
        <v>0</v>
      </c>
      <c r="K41" s="129">
        <f t="shared" si="16"/>
        <v>2.5419278314011502E-4</v>
      </c>
      <c r="M41" s="128" t="s">
        <v>25</v>
      </c>
      <c r="N41" s="127">
        <f t="shared" si="8"/>
        <v>1113061.01</v>
      </c>
      <c r="O41" s="126">
        <f t="shared" si="9"/>
        <v>0</v>
      </c>
      <c r="P41" s="125">
        <f t="shared" si="10"/>
        <v>12059.94</v>
      </c>
      <c r="Q41" s="124">
        <f t="shared" si="17"/>
        <v>1125120.95</v>
      </c>
      <c r="R41" s="123">
        <f t="shared" si="18"/>
        <v>4.7429362709385118E-3</v>
      </c>
      <c r="T41" s="109"/>
      <c r="U41" s="109"/>
      <c r="V41" s="109"/>
      <c r="W41" s="109"/>
      <c r="X41" s="109"/>
      <c r="Y41" s="109"/>
      <c r="Z41" s="109"/>
    </row>
    <row r="42" spans="1:26">
      <c r="A42" s="250">
        <v>45</v>
      </c>
      <c r="B42" s="128" t="s">
        <v>26</v>
      </c>
      <c r="C42" s="127">
        <v>65670646</v>
      </c>
      <c r="D42" s="126">
        <f>+VLOOKUP(A42,'COEF Art 14 F I'!A$7:D$57,4,)</f>
        <v>20566369</v>
      </c>
      <c r="E42" s="132">
        <f t="shared" si="11"/>
        <v>0.31317445849398223</v>
      </c>
      <c r="F42" s="131">
        <f t="shared" si="12"/>
        <v>1.9396309186668195E-2</v>
      </c>
      <c r="G42" s="126">
        <v>20840679</v>
      </c>
      <c r="H42" s="160">
        <f t="shared" si="13"/>
        <v>-1.3162239099791306E-2</v>
      </c>
      <c r="I42" s="130">
        <f t="shared" si="14"/>
        <v>0</v>
      </c>
      <c r="J42" s="123">
        <f t="shared" si="15"/>
        <v>0</v>
      </c>
      <c r="K42" s="129">
        <f t="shared" si="16"/>
        <v>7.0959816692636171E-3</v>
      </c>
      <c r="M42" s="128" t="s">
        <v>26</v>
      </c>
      <c r="N42" s="127">
        <f t="shared" si="8"/>
        <v>2300599.52</v>
      </c>
      <c r="O42" s="126">
        <f t="shared" si="9"/>
        <v>0</v>
      </c>
      <c r="P42" s="125">
        <f t="shared" si="10"/>
        <v>336662.24</v>
      </c>
      <c r="Q42" s="124">
        <f t="shared" si="17"/>
        <v>2637261.7599999998</v>
      </c>
      <c r="R42" s="123">
        <f t="shared" si="18"/>
        <v>1.1117350945658896E-2</v>
      </c>
      <c r="T42" s="109"/>
      <c r="U42" s="109"/>
      <c r="V42" s="109"/>
      <c r="W42" s="109"/>
      <c r="X42" s="109"/>
      <c r="Y42" s="109"/>
      <c r="Z42" s="109"/>
    </row>
    <row r="43" spans="1:26">
      <c r="A43" s="250">
        <v>70</v>
      </c>
      <c r="B43" s="128" t="s">
        <v>27</v>
      </c>
      <c r="C43" s="127"/>
      <c r="D43" s="126"/>
      <c r="E43" s="132">
        <f t="shared" si="11"/>
        <v>0</v>
      </c>
      <c r="F43" s="131">
        <f t="shared" si="12"/>
        <v>0</v>
      </c>
      <c r="G43" s="126"/>
      <c r="H43" s="160">
        <f t="shared" si="13"/>
        <v>0</v>
      </c>
      <c r="I43" s="130">
        <f t="shared" si="14"/>
        <v>0</v>
      </c>
      <c r="J43" s="123">
        <f t="shared" si="15"/>
        <v>0</v>
      </c>
      <c r="K43" s="129">
        <f t="shared" si="16"/>
        <v>0</v>
      </c>
      <c r="M43" s="128" t="s">
        <v>27</v>
      </c>
      <c r="N43" s="127">
        <f t="shared" si="8"/>
        <v>0</v>
      </c>
      <c r="O43" s="126">
        <f t="shared" si="9"/>
        <v>0</v>
      </c>
      <c r="P43" s="125">
        <f t="shared" si="10"/>
        <v>0</v>
      </c>
      <c r="Q43" s="124">
        <f t="shared" si="17"/>
        <v>0</v>
      </c>
      <c r="R43" s="123">
        <f t="shared" si="18"/>
        <v>0</v>
      </c>
      <c r="T43" s="109"/>
      <c r="U43" s="109"/>
      <c r="V43" s="109"/>
      <c r="W43" s="109"/>
      <c r="X43" s="109"/>
      <c r="Y43" s="109"/>
      <c r="Z43" s="109"/>
    </row>
    <row r="44" spans="1:26">
      <c r="A44" s="250">
        <v>50</v>
      </c>
      <c r="B44" s="128" t="s">
        <v>137</v>
      </c>
      <c r="C44" s="127">
        <v>1446609</v>
      </c>
      <c r="D44" s="126">
        <f>+VLOOKUP(A44,'COEF Art 14 F I'!A$7:D$57,4,)</f>
        <v>409925</v>
      </c>
      <c r="E44" s="132">
        <f t="shared" si="11"/>
        <v>0.2833695905389777</v>
      </c>
      <c r="F44" s="131">
        <f t="shared" si="12"/>
        <v>1.7550359051069268E-2</v>
      </c>
      <c r="G44" s="126">
        <v>378540</v>
      </c>
      <c r="H44" s="160">
        <f t="shared" si="13"/>
        <v>8.2910656733766519E-2</v>
      </c>
      <c r="I44" s="130">
        <f t="shared" si="14"/>
        <v>8.2910656733766519E-2</v>
      </c>
      <c r="J44" s="123">
        <f t="shared" si="15"/>
        <v>8.5411280201649967E-3</v>
      </c>
      <c r="K44" s="129">
        <f t="shared" si="16"/>
        <v>1.4143577243862969E-4</v>
      </c>
      <c r="M44" s="128" t="s">
        <v>137</v>
      </c>
      <c r="N44" s="127">
        <f t="shared" si="8"/>
        <v>2081651.06</v>
      </c>
      <c r="O44" s="126">
        <f t="shared" si="9"/>
        <v>607838.79</v>
      </c>
      <c r="P44" s="125">
        <f t="shared" si="10"/>
        <v>6710.29</v>
      </c>
      <c r="Q44" s="124">
        <f t="shared" si="17"/>
        <v>2696200.14</v>
      </c>
      <c r="R44" s="123">
        <f t="shared" si="18"/>
        <v>1.1365805105411551E-2</v>
      </c>
      <c r="T44" s="109"/>
      <c r="U44" s="109"/>
      <c r="V44" s="109"/>
      <c r="W44" s="109"/>
      <c r="X44" s="109"/>
      <c r="Y44" s="109"/>
      <c r="Z44" s="109"/>
    </row>
    <row r="45" spans="1:26">
      <c r="A45" s="250">
        <v>51</v>
      </c>
      <c r="B45" s="128" t="s">
        <v>138</v>
      </c>
      <c r="C45" s="127">
        <v>118655999</v>
      </c>
      <c r="D45" s="126">
        <f>+VLOOKUP(A45,'COEF Art 14 F I'!A$7:D$57,4,)</f>
        <v>24732378.239999998</v>
      </c>
      <c r="E45" s="132">
        <f t="shared" si="11"/>
        <v>0.20843765547833784</v>
      </c>
      <c r="F45" s="131">
        <f t="shared" si="12"/>
        <v>1.2909485758334123E-2</v>
      </c>
      <c r="G45" s="126">
        <v>21534368.5</v>
      </c>
      <c r="H45" s="160">
        <f t="shared" si="13"/>
        <v>0.14850724505805668</v>
      </c>
      <c r="I45" s="130">
        <f t="shared" si="14"/>
        <v>0.14850724505805668</v>
      </c>
      <c r="J45" s="123">
        <f t="shared" si="15"/>
        <v>1.5298629174243366E-2</v>
      </c>
      <c r="K45" s="129">
        <f t="shared" si="16"/>
        <v>8.5333732283192215E-3</v>
      </c>
      <c r="M45" s="128" t="s">
        <v>138</v>
      </c>
      <c r="N45" s="127">
        <f t="shared" si="8"/>
        <v>1531196.29</v>
      </c>
      <c r="O45" s="126">
        <f t="shared" si="9"/>
        <v>1088743.8</v>
      </c>
      <c r="P45" s="125">
        <f t="shared" si="10"/>
        <v>404857.94</v>
      </c>
      <c r="Q45" s="124">
        <f t="shared" si="17"/>
        <v>3024798.03</v>
      </c>
      <c r="R45" s="123">
        <f t="shared" si="18"/>
        <v>1.2751006270703923E-2</v>
      </c>
      <c r="T45" s="109"/>
      <c r="U45" s="109"/>
      <c r="V45" s="109"/>
      <c r="W45" s="109"/>
      <c r="X45" s="109"/>
      <c r="Y45" s="109"/>
      <c r="Z45" s="109"/>
    </row>
    <row r="46" spans="1:26">
      <c r="A46" s="250">
        <v>52</v>
      </c>
      <c r="B46" s="128" t="s">
        <v>139</v>
      </c>
      <c r="C46" s="127">
        <v>8461471</v>
      </c>
      <c r="D46" s="126">
        <f>+VLOOKUP(A46,'COEF Art 14 F I'!A$7:D$57,4,)</f>
        <v>1668066</v>
      </c>
      <c r="E46" s="132">
        <f t="shared" si="11"/>
        <v>0.19713664444397433</v>
      </c>
      <c r="F46" s="131">
        <f t="shared" si="12"/>
        <v>1.2209563085206309E-2</v>
      </c>
      <c r="G46" s="126">
        <v>1244367</v>
      </c>
      <c r="H46" s="160">
        <f t="shared" si="13"/>
        <v>0.34049360036066534</v>
      </c>
      <c r="I46" s="130">
        <f t="shared" si="14"/>
        <v>0.34049360036066534</v>
      </c>
      <c r="J46" s="123">
        <f t="shared" si="15"/>
        <v>3.5076304365382463E-2</v>
      </c>
      <c r="K46" s="129">
        <f t="shared" si="16"/>
        <v>5.7553016573425693E-4</v>
      </c>
      <c r="M46" s="128" t="s">
        <v>139</v>
      </c>
      <c r="N46" s="127">
        <f t="shared" si="8"/>
        <v>1448178.35</v>
      </c>
      <c r="O46" s="126">
        <f t="shared" si="9"/>
        <v>2496243.84</v>
      </c>
      <c r="P46" s="125">
        <f t="shared" si="10"/>
        <v>27305.49</v>
      </c>
      <c r="Q46" s="124">
        <f t="shared" si="17"/>
        <v>3971727.68</v>
      </c>
      <c r="R46" s="123">
        <f t="shared" si="18"/>
        <v>1.6742778873473529E-2</v>
      </c>
      <c r="T46" s="109"/>
      <c r="U46" s="109"/>
      <c r="V46" s="109"/>
      <c r="W46" s="109"/>
      <c r="X46" s="109"/>
      <c r="Y46" s="109"/>
      <c r="Z46" s="109"/>
    </row>
    <row r="47" spans="1:26">
      <c r="A47" s="250">
        <v>53</v>
      </c>
      <c r="B47" s="128" t="s">
        <v>28</v>
      </c>
      <c r="C47" s="127">
        <v>1204547</v>
      </c>
      <c r="D47" s="126">
        <f>+VLOOKUP(A47,'COEF Art 14 F I'!A$7:D$57,4,)</f>
        <v>267154</v>
      </c>
      <c r="E47" s="132">
        <f t="shared" si="11"/>
        <v>0.22178794185698025</v>
      </c>
      <c r="F47" s="131">
        <f t="shared" si="12"/>
        <v>1.3736329312485871E-2</v>
      </c>
      <c r="G47" s="126">
        <v>290271</v>
      </c>
      <c r="H47" s="160">
        <f t="shared" si="13"/>
        <v>-7.9639371483889221E-2</v>
      </c>
      <c r="I47" s="130">
        <f t="shared" si="14"/>
        <v>0</v>
      </c>
      <c r="J47" s="123">
        <f t="shared" si="15"/>
        <v>0</v>
      </c>
      <c r="K47" s="129">
        <f t="shared" si="16"/>
        <v>9.2175720802755812E-5</v>
      </c>
      <c r="M47" s="128" t="s">
        <v>28</v>
      </c>
      <c r="N47" s="127">
        <f t="shared" si="8"/>
        <v>1629268.35</v>
      </c>
      <c r="O47" s="126">
        <f t="shared" si="9"/>
        <v>0</v>
      </c>
      <c r="P47" s="125">
        <f t="shared" si="10"/>
        <v>4373.1899999999996</v>
      </c>
      <c r="Q47" s="124">
        <f t="shared" si="17"/>
        <v>1633641.54</v>
      </c>
      <c r="R47" s="123">
        <f t="shared" si="18"/>
        <v>6.8865998040280449E-3</v>
      </c>
      <c r="T47" s="109"/>
      <c r="U47" s="109"/>
      <c r="V47" s="109"/>
      <c r="W47" s="109"/>
      <c r="X47" s="109"/>
      <c r="Y47" s="109"/>
      <c r="Z47" s="109"/>
    </row>
    <row r="48" spans="1:26">
      <c r="A48" s="250">
        <v>54</v>
      </c>
      <c r="B48" s="128" t="s">
        <v>29</v>
      </c>
      <c r="C48" s="127">
        <v>18543189</v>
      </c>
      <c r="D48" s="126">
        <f>+VLOOKUP(A48,'COEF Art 14 F I'!A$7:D$57,4,)</f>
        <v>7763840.4800000004</v>
      </c>
      <c r="E48" s="132">
        <f t="shared" si="11"/>
        <v>0.41868960511592695</v>
      </c>
      <c r="F48" s="131">
        <f t="shared" si="12"/>
        <v>2.5931338951220958E-2</v>
      </c>
      <c r="G48" s="126">
        <v>7908079.6500000004</v>
      </c>
      <c r="H48" s="160">
        <f t="shared" si="13"/>
        <v>-1.8239468541518811E-2</v>
      </c>
      <c r="I48" s="130">
        <f t="shared" si="14"/>
        <v>0</v>
      </c>
      <c r="J48" s="123">
        <f t="shared" si="15"/>
        <v>0</v>
      </c>
      <c r="K48" s="129">
        <f t="shared" si="16"/>
        <v>2.6787455641375901E-3</v>
      </c>
      <c r="M48" s="128" t="s">
        <v>29</v>
      </c>
      <c r="N48" s="127">
        <f t="shared" si="8"/>
        <v>3075720.51</v>
      </c>
      <c r="O48" s="126">
        <f t="shared" si="9"/>
        <v>0</v>
      </c>
      <c r="P48" s="125">
        <f t="shared" si="10"/>
        <v>127090.59</v>
      </c>
      <c r="Q48" s="124">
        <f t="shared" si="17"/>
        <v>3202811.0999999996</v>
      </c>
      <c r="R48" s="123">
        <f t="shared" si="18"/>
        <v>1.3501418612065193E-2</v>
      </c>
      <c r="T48" s="109"/>
      <c r="U48" s="109"/>
      <c r="V48" s="109"/>
      <c r="W48" s="109"/>
      <c r="X48" s="109"/>
      <c r="Y48" s="109"/>
      <c r="Z48" s="109"/>
    </row>
    <row r="49" spans="1:26">
      <c r="A49" s="250">
        <v>55</v>
      </c>
      <c r="B49" s="128" t="s">
        <v>30</v>
      </c>
      <c r="C49" s="127">
        <v>165708544</v>
      </c>
      <c r="D49" s="126">
        <f>+VLOOKUP(A49,'COEF Art 14 F I'!A$7:D$57,4,)</f>
        <v>36493940.880000003</v>
      </c>
      <c r="E49" s="132">
        <f t="shared" si="11"/>
        <v>0.22022968761345221</v>
      </c>
      <c r="F49" s="131">
        <f t="shared" si="12"/>
        <v>1.363981958674306E-2</v>
      </c>
      <c r="G49" s="126">
        <v>23883804.280000001</v>
      </c>
      <c r="H49" s="160">
        <f t="shared" si="13"/>
        <v>0.52797856037363244</v>
      </c>
      <c r="I49" s="130">
        <f t="shared" si="14"/>
        <v>0.52797856037363244</v>
      </c>
      <c r="J49" s="123">
        <f t="shared" si="15"/>
        <v>5.4390263612723727E-2</v>
      </c>
      <c r="K49" s="129">
        <f t="shared" si="16"/>
        <v>1.2591446527273247E-2</v>
      </c>
      <c r="M49" s="128" t="s">
        <v>30</v>
      </c>
      <c r="N49" s="127">
        <f t="shared" si="8"/>
        <v>1617821.31</v>
      </c>
      <c r="O49" s="126">
        <f t="shared" si="9"/>
        <v>3870743.03</v>
      </c>
      <c r="P49" s="125">
        <f t="shared" si="10"/>
        <v>597389.43999999994</v>
      </c>
      <c r="Q49" s="124">
        <f t="shared" si="17"/>
        <v>6085953.7799999993</v>
      </c>
      <c r="R49" s="123">
        <f t="shared" si="18"/>
        <v>2.5655278151577691E-2</v>
      </c>
      <c r="T49" s="109"/>
      <c r="U49" s="109"/>
      <c r="V49" s="109"/>
      <c r="W49" s="109"/>
      <c r="X49" s="109"/>
      <c r="Y49" s="109"/>
      <c r="Z49" s="109"/>
    </row>
    <row r="50" spans="1:26">
      <c r="A50" s="250">
        <v>58</v>
      </c>
      <c r="B50" s="128" t="s">
        <v>140</v>
      </c>
      <c r="C50" s="127">
        <v>665856327</v>
      </c>
      <c r="D50" s="126">
        <f>+VLOOKUP(A50,'COEF Art 14 F I'!A$7:D$57,4,)</f>
        <v>353219962.69999999</v>
      </c>
      <c r="E50" s="132">
        <f t="shared" si="11"/>
        <v>0.53047474113736248</v>
      </c>
      <c r="F50" s="131">
        <f t="shared" si="12"/>
        <v>3.2854697488095982E-2</v>
      </c>
      <c r="G50" s="126">
        <v>330884619.5</v>
      </c>
      <c r="H50" s="160">
        <f t="shared" si="13"/>
        <v>6.7501908168928981E-2</v>
      </c>
      <c r="I50" s="130">
        <f t="shared" si="14"/>
        <v>6.7501908168928981E-2</v>
      </c>
      <c r="J50" s="123">
        <f t="shared" si="15"/>
        <v>6.9537796706588976E-3</v>
      </c>
      <c r="K50" s="129">
        <f t="shared" si="16"/>
        <v>0.12187092337676031</v>
      </c>
      <c r="M50" s="128" t="s">
        <v>140</v>
      </c>
      <c r="N50" s="127">
        <f t="shared" si="8"/>
        <v>3896901.24</v>
      </c>
      <c r="O50" s="126">
        <f t="shared" si="9"/>
        <v>494873.39</v>
      </c>
      <c r="P50" s="125">
        <f t="shared" si="10"/>
        <v>5782052.3499999996</v>
      </c>
      <c r="Q50" s="124">
        <f t="shared" si="17"/>
        <v>10173826.98</v>
      </c>
      <c r="R50" s="123">
        <f t="shared" si="18"/>
        <v>4.28876673194067E-2</v>
      </c>
      <c r="T50" s="109"/>
      <c r="U50" s="109"/>
      <c r="V50" s="109"/>
      <c r="W50" s="109"/>
      <c r="X50" s="109"/>
      <c r="Y50" s="109"/>
      <c r="Z50" s="109"/>
    </row>
    <row r="51" spans="1:26">
      <c r="A51" s="250">
        <v>31</v>
      </c>
      <c r="B51" s="128" t="s">
        <v>141</v>
      </c>
      <c r="C51" s="127">
        <v>1378432520</v>
      </c>
      <c r="D51" s="126">
        <f>+VLOOKUP(A51,'COEF Art 14 F I'!A$7:D$57,4,)</f>
        <v>868048268.77999997</v>
      </c>
      <c r="E51" s="132">
        <f t="shared" si="11"/>
        <v>0.62973577319548435</v>
      </c>
      <c r="F51" s="131">
        <f t="shared" si="12"/>
        <v>3.9002381680624441E-2</v>
      </c>
      <c r="G51" s="126">
        <v>722790593.99000001</v>
      </c>
      <c r="H51" s="160">
        <f t="shared" si="13"/>
        <v>0.20096785431052466</v>
      </c>
      <c r="I51" s="130">
        <f t="shared" si="14"/>
        <v>0.20096785431052466</v>
      </c>
      <c r="J51" s="123">
        <f t="shared" si="15"/>
        <v>2.0702913705241389E-2</v>
      </c>
      <c r="K51" s="129">
        <f t="shared" si="16"/>
        <v>0.29950131709194255</v>
      </c>
      <c r="M51" s="128" t="s">
        <v>141</v>
      </c>
      <c r="N51" s="127">
        <f t="shared" si="8"/>
        <v>4626079.0999999996</v>
      </c>
      <c r="O51" s="126">
        <f t="shared" si="9"/>
        <v>1473345.66</v>
      </c>
      <c r="P51" s="125">
        <f t="shared" si="10"/>
        <v>14209560.789999999</v>
      </c>
      <c r="Q51" s="124">
        <f t="shared" si="17"/>
        <v>20308985.549999997</v>
      </c>
      <c r="R51" s="123">
        <f t="shared" si="18"/>
        <v>8.5612328337732135E-2</v>
      </c>
      <c r="T51" s="109"/>
      <c r="U51" s="109"/>
      <c r="V51" s="109"/>
      <c r="W51" s="109"/>
      <c r="X51" s="109"/>
      <c r="Y51" s="109"/>
      <c r="Z51" s="109"/>
    </row>
    <row r="52" spans="1:26">
      <c r="A52" s="250">
        <v>57</v>
      </c>
      <c r="B52" s="128" t="s">
        <v>31</v>
      </c>
      <c r="C52" s="127">
        <v>441398458</v>
      </c>
      <c r="D52" s="126">
        <f>+VLOOKUP(A52,'COEF Art 14 F I'!A$7:D$57,4,)</f>
        <v>202042327.25</v>
      </c>
      <c r="E52" s="132">
        <f t="shared" si="11"/>
        <v>0.45773229060532877</v>
      </c>
      <c r="F52" s="131">
        <f t="shared" si="12"/>
        <v>2.8349428864657605E-2</v>
      </c>
      <c r="G52" s="126">
        <v>126817695.59999999</v>
      </c>
      <c r="H52" s="160">
        <f t="shared" si="13"/>
        <v>0.59317141266522122</v>
      </c>
      <c r="I52" s="130">
        <f t="shared" si="14"/>
        <v>0.59317141266522122</v>
      </c>
      <c r="J52" s="123">
        <f t="shared" si="15"/>
        <v>6.1106173477123507E-2</v>
      </c>
      <c r="K52" s="129">
        <f t="shared" si="16"/>
        <v>6.9710343647989642E-2</v>
      </c>
      <c r="M52" s="128" t="s">
        <v>31</v>
      </c>
      <c r="N52" s="127">
        <f t="shared" si="8"/>
        <v>3362530.56</v>
      </c>
      <c r="O52" s="126">
        <f t="shared" si="9"/>
        <v>4348688.16</v>
      </c>
      <c r="P52" s="125">
        <f t="shared" si="10"/>
        <v>3307342.27</v>
      </c>
      <c r="Q52" s="124">
        <f t="shared" si="17"/>
        <v>11018560.99</v>
      </c>
      <c r="R52" s="123">
        <f t="shared" si="18"/>
        <v>4.6448635209413849E-2</v>
      </c>
      <c r="T52" s="109"/>
      <c r="U52" s="109"/>
      <c r="V52" s="109"/>
      <c r="W52" s="109"/>
      <c r="X52" s="109"/>
      <c r="Y52" s="109"/>
      <c r="Z52" s="109"/>
    </row>
    <row r="53" spans="1:26">
      <c r="A53" s="250">
        <v>56</v>
      </c>
      <c r="B53" s="128" t="s">
        <v>32</v>
      </c>
      <c r="C53" s="127">
        <v>260135245</v>
      </c>
      <c r="D53" s="126">
        <f>+VLOOKUP(A53,'COEF Art 14 F I'!A$7:D$57,4,)</f>
        <v>109150868.86</v>
      </c>
      <c r="E53" s="132">
        <f t="shared" si="11"/>
        <v>0.41959277321302618</v>
      </c>
      <c r="F53" s="131">
        <f t="shared" si="12"/>
        <v>2.5987276232131779E-2</v>
      </c>
      <c r="G53" s="126">
        <v>94615002.860000014</v>
      </c>
      <c r="H53" s="160">
        <f t="shared" si="13"/>
        <v>0.15363172394031865</v>
      </c>
      <c r="I53" s="130">
        <f t="shared" si="14"/>
        <v>0.15363172394031865</v>
      </c>
      <c r="J53" s="123">
        <f t="shared" si="15"/>
        <v>1.5826532726021723E-2</v>
      </c>
      <c r="K53" s="129">
        <f t="shared" si="16"/>
        <v>3.7660151124136544E-2</v>
      </c>
      <c r="M53" s="128" t="s">
        <v>32</v>
      </c>
      <c r="N53" s="127">
        <f t="shared" si="8"/>
        <v>3082355.24</v>
      </c>
      <c r="O53" s="126">
        <f t="shared" si="9"/>
        <v>1126312.6399999999</v>
      </c>
      <c r="P53" s="125">
        <f t="shared" si="10"/>
        <v>1786750.76</v>
      </c>
      <c r="Q53" s="124">
        <f t="shared" si="17"/>
        <v>5995418.6399999997</v>
      </c>
      <c r="R53" s="123">
        <f t="shared" si="18"/>
        <v>2.5273628161591732E-2</v>
      </c>
      <c r="T53" s="109"/>
      <c r="U53" s="109"/>
      <c r="V53" s="109"/>
      <c r="W53" s="109"/>
      <c r="X53" s="109"/>
      <c r="Y53" s="109"/>
      <c r="Z53" s="109"/>
    </row>
    <row r="54" spans="1:26">
      <c r="A54" s="250">
        <v>59</v>
      </c>
      <c r="B54" s="128" t="s">
        <v>33</v>
      </c>
      <c r="C54" s="127">
        <v>4746914</v>
      </c>
      <c r="D54" s="126">
        <f>+VLOOKUP(A54,'COEF Art 14 F I'!A$7:D$57,4,)</f>
        <v>1301773</v>
      </c>
      <c r="E54" s="132">
        <f t="shared" si="11"/>
        <v>0.27423564024964431</v>
      </c>
      <c r="F54" s="131">
        <f t="shared" si="12"/>
        <v>1.698465224100713E-2</v>
      </c>
      <c r="G54" s="126">
        <v>1178778</v>
      </c>
      <c r="H54" s="160">
        <f t="shared" si="13"/>
        <v>0.10434110578921563</v>
      </c>
      <c r="I54" s="130">
        <f t="shared" si="14"/>
        <v>0.10434110578921563</v>
      </c>
      <c r="J54" s="123">
        <f t="shared" si="15"/>
        <v>1.0748808143842865E-2</v>
      </c>
      <c r="K54" s="129">
        <f t="shared" si="16"/>
        <v>4.4914867303714654E-4</v>
      </c>
      <c r="M54" s="128" t="s">
        <v>33</v>
      </c>
      <c r="N54" s="127">
        <f t="shared" si="8"/>
        <v>2014552.48</v>
      </c>
      <c r="O54" s="126">
        <f t="shared" si="9"/>
        <v>764950.77</v>
      </c>
      <c r="P54" s="125">
        <f t="shared" si="10"/>
        <v>21309.439999999999</v>
      </c>
      <c r="Q54" s="124">
        <f t="shared" si="17"/>
        <v>2800812.69</v>
      </c>
      <c r="R54" s="123">
        <f t="shared" si="18"/>
        <v>1.1806798278448074E-2</v>
      </c>
      <c r="T54" s="109"/>
      <c r="U54" s="109"/>
      <c r="V54" s="109"/>
      <c r="W54" s="109"/>
      <c r="X54" s="109"/>
      <c r="Y54" s="109"/>
      <c r="Z54" s="109"/>
    </row>
    <row r="55" spans="1:26">
      <c r="A55" s="250">
        <v>60</v>
      </c>
      <c r="B55" s="128" t="s">
        <v>34</v>
      </c>
      <c r="C55" s="127">
        <v>3262285</v>
      </c>
      <c r="D55" s="126">
        <f>+VLOOKUP(A55,'COEF Art 14 F I'!A$7:D$57,4,)</f>
        <v>846367</v>
      </c>
      <c r="E55" s="132">
        <f t="shared" si="11"/>
        <v>0.25943993243999219</v>
      </c>
      <c r="F55" s="131">
        <f t="shared" si="12"/>
        <v>1.6068287206988472E-2</v>
      </c>
      <c r="G55" s="126">
        <v>668727</v>
      </c>
      <c r="H55" s="160">
        <f t="shared" si="13"/>
        <v>0.26563904253903314</v>
      </c>
      <c r="I55" s="130">
        <f t="shared" si="14"/>
        <v>0.26563904253903314</v>
      </c>
      <c r="J55" s="123">
        <f t="shared" si="15"/>
        <v>2.7365083800571489E-2</v>
      </c>
      <c r="K55" s="129">
        <f t="shared" si="16"/>
        <v>2.9202066332027982E-4</v>
      </c>
      <c r="M55" s="128" t="s">
        <v>34</v>
      </c>
      <c r="N55" s="127">
        <f t="shared" si="8"/>
        <v>1905862.27</v>
      </c>
      <c r="O55" s="126">
        <f t="shared" si="9"/>
        <v>1947466.34</v>
      </c>
      <c r="P55" s="125">
        <f t="shared" si="10"/>
        <v>13854.65</v>
      </c>
      <c r="Q55" s="124">
        <f t="shared" si="17"/>
        <v>3867183.2600000002</v>
      </c>
      <c r="R55" s="123">
        <f t="shared" si="18"/>
        <v>1.6302072901780238E-2</v>
      </c>
      <c r="T55" s="109"/>
      <c r="U55" s="109"/>
      <c r="V55" s="109"/>
      <c r="W55" s="109"/>
      <c r="X55" s="109"/>
      <c r="Y55" s="109"/>
      <c r="Z55" s="109"/>
    </row>
    <row r="56" spans="1:26" ht="13.5" thickBot="1">
      <c r="B56" s="115" t="s">
        <v>35</v>
      </c>
      <c r="C56" s="122">
        <f>SUM(C5:C55)</f>
        <v>6827387891</v>
      </c>
      <c r="D56" s="121">
        <f>SUM(D5:D55)</f>
        <v>2898312024.8300004</v>
      </c>
      <c r="E56" s="120">
        <f>SUM(E5:E55)</f>
        <v>16.146085086601872</v>
      </c>
      <c r="F56" s="119">
        <f>SUM(F5:F55)</f>
        <v>1.0000000000000002</v>
      </c>
      <c r="G56" s="113">
        <f>SUM(G5:G55)</f>
        <v>2407468822.4100003</v>
      </c>
      <c r="H56" s="118"/>
      <c r="I56" s="117">
        <f>SUM(I5:I55)</f>
        <v>9.7072256191477688</v>
      </c>
      <c r="J56" s="110">
        <f>SUM(J5:J55)</f>
        <v>0.99999999999999978</v>
      </c>
      <c r="K56" s="116">
        <f>SUM(K5:K55)</f>
        <v>0.99999999999999978</v>
      </c>
      <c r="M56" s="115" t="s">
        <v>35</v>
      </c>
      <c r="N56" s="114">
        <f>SUM(N5:N55)</f>
        <v>118610169.48999999</v>
      </c>
      <c r="O56" s="113">
        <f>SUM(O5:O55)</f>
        <v>71166101.699999988</v>
      </c>
      <c r="P56" s="112">
        <f>SUM(P5:P55)</f>
        <v>47444067.799999997</v>
      </c>
      <c r="Q56" s="111">
        <f>SUM(Q5:Q55)</f>
        <v>237220338.98999995</v>
      </c>
      <c r="R56" s="110">
        <f>SUM(R5:R55)</f>
        <v>1.0000000000000002</v>
      </c>
      <c r="T56" s="109"/>
      <c r="U56" s="109"/>
      <c r="V56" s="109"/>
      <c r="W56" s="109"/>
      <c r="X56" s="109"/>
      <c r="Y56" s="109"/>
      <c r="Z56" s="109"/>
    </row>
    <row r="57" spans="1:26" ht="13.5" thickTop="1"/>
    <row r="59" spans="1:26">
      <c r="M59" s="303" t="s">
        <v>102</v>
      </c>
      <c r="N59" s="303"/>
      <c r="O59" s="303"/>
      <c r="P59" s="303"/>
      <c r="Q59" s="303"/>
      <c r="R59" s="303"/>
    </row>
    <row r="60" spans="1:26">
      <c r="M60" s="303"/>
      <c r="N60" s="303"/>
      <c r="O60" s="303"/>
      <c r="P60" s="303"/>
      <c r="Q60" s="303"/>
      <c r="R60" s="303"/>
    </row>
    <row r="61" spans="1:26">
      <c r="M61" s="303"/>
      <c r="N61" s="303"/>
      <c r="O61" s="303"/>
      <c r="P61" s="303"/>
      <c r="Q61" s="303"/>
      <c r="R61" s="303"/>
    </row>
    <row r="62" spans="1:26">
      <c r="M62" s="303"/>
      <c r="N62" s="303"/>
      <c r="O62" s="303"/>
      <c r="P62" s="303"/>
      <c r="Q62" s="303"/>
      <c r="R62" s="303"/>
    </row>
    <row r="63" spans="1:26">
      <c r="M63" s="303"/>
      <c r="N63" s="303"/>
      <c r="O63" s="303"/>
      <c r="P63" s="303"/>
      <c r="Q63" s="303"/>
      <c r="R63" s="303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PART 2023</vt:lpstr>
      <vt:lpstr>Ajuste 1er Sem</vt:lpstr>
      <vt:lpstr>Distr 1er sem</vt:lpstr>
      <vt:lpstr>Distr Var Actuales</vt:lpstr>
      <vt:lpstr>COEF Art 14 F I</vt:lpstr>
      <vt:lpstr>PISO 2021</vt:lpstr>
      <vt:lpstr>Copete</vt:lpstr>
      <vt:lpstr>COEF Art 14 F II</vt:lpstr>
      <vt:lpstr>Art.14 Frac.III</vt:lpstr>
      <vt:lpstr>ISR BI</vt:lpstr>
      <vt:lpstr>'Ajuste 1er Sem'!Área_de_impresión</vt:lpstr>
      <vt:lpstr>'Art.14 Frac.III'!Área_de_impresión</vt:lpstr>
      <vt:lpstr>'COEF Art 14 F I'!Área_de_impresión</vt:lpstr>
      <vt:lpstr>'COEF Art 14 F II'!Área_de_impresión</vt:lpstr>
      <vt:lpstr>Copete!Área_de_impresión</vt:lpstr>
      <vt:lpstr>'Distr 1er sem'!Área_de_impresión</vt:lpstr>
      <vt:lpstr>'Distr Var Actuales'!Área_de_impresión</vt:lpstr>
      <vt:lpstr>'ISR BI'!Área_de_impresión</vt:lpstr>
      <vt:lpstr>'PART 2023'!Área_de_impresión</vt:lpstr>
      <vt:lpstr>'PISO 2021'!Área_de_impresión</vt:lpstr>
      <vt:lpstr>'Ajuste 1er Sem'!Títulos_a_imprimir</vt:lpstr>
      <vt:lpstr>'COEF Art 14 F I'!Títulos_a_imprimir</vt:lpstr>
      <vt:lpstr>'Distr 1er sem'!Títulos_a_imprimir</vt:lpstr>
      <vt:lpstr>'Distr Var Actuales'!Títulos_a_imprimir</vt:lpstr>
      <vt:lpstr>'PART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Gabriel Rivera Cantu</cp:lastModifiedBy>
  <cp:lastPrinted>2023-07-19T16:37:34Z</cp:lastPrinted>
  <dcterms:created xsi:type="dcterms:W3CDTF">2009-12-17T23:31:03Z</dcterms:created>
  <dcterms:modified xsi:type="dcterms:W3CDTF">2023-07-19T16:39:33Z</dcterms:modified>
</cp:coreProperties>
</file>